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29.xml"/>
  <Override ContentType="application/vnd.openxmlformats-officedocument.spreadsheetml.table+xml" PartName="/xl/tables/table28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dastro dos Ativos" sheetId="1" r:id="rId4"/>
    <sheet state="visible" name="Alocação" sheetId="2" r:id="rId5"/>
    <sheet state="visible" name="Atribuição" sheetId="3" r:id="rId6"/>
    <sheet state="visible" name="Controle" sheetId="4" r:id="rId7"/>
    <sheet state="visible" name="Controle D-1" sheetId="5" r:id="rId8"/>
    <sheet state="visible" name="Polaris" sheetId="6" r:id="rId9"/>
    <sheet state="visible" name="Endor" sheetId="7" r:id="rId10"/>
    <sheet state="visible" name="Vega" sheetId="8" r:id="rId11"/>
    <sheet state="visible" name="Orion" sheetId="9" r:id="rId12"/>
    <sheet state="visible" name="Atribuição Semanal" sheetId="10" r:id="rId13"/>
    <sheet state="hidden" name="Futuros" sheetId="11" r:id="rId14"/>
    <sheet state="hidden" name="Feriados" sheetId="12" r:id="rId15"/>
    <sheet state="hidden" name="Preços Futuros" sheetId="13" r:id="rId16"/>
    <sheet state="visible" name="Histórico T" sheetId="14" r:id="rId17"/>
    <sheet state="visible" name="Histórico" sheetId="15" r:id="rId18"/>
  </sheets>
  <definedNames>
    <definedName name="Data_Ant">#REF!</definedName>
    <definedName localSheetId="4" name="Data_Ant">'Controle D-1'!$B$4</definedName>
    <definedName name="Dia_Ref">#REF!</definedName>
    <definedName name="pud">#REF!</definedName>
    <definedName name="ptax">#REF!</definedName>
    <definedName name="mz">'Histórico'!$B$1:$EB$982</definedName>
    <definedName name="x">'Alocação'!$D$2:$Q$1001</definedName>
    <definedName localSheetId="4" name="Dia_Ref">'Controle D-1'!$B$6</definedName>
    <definedName localSheetId="3" name="Data_Ant">Controle!$B$4</definedName>
    <definedName localSheetId="3" name="Dia_Ref">Controle!$B$6</definedName>
    <definedName hidden="1" name="Google_Sheet_Link_881528969">mz</definedName>
    <definedName hidden="1" name="Google_Sheet_Link_902952374">x</definedName>
  </definedNames>
  <calcPr/>
  <extLst>
    <ext uri="GoogleSheetsCustomDataVersion2">
      <go:sheetsCustomData xmlns:go="http://customooxmlschemas.google.com/" r:id="rId19" roundtripDataChecksum="OD1FpwchbST8by7O9swmqwzcR+xw8rwU1j1W2EvzX/0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4">
      <text>
        <t xml:space="preserve">======
ID#AAAA4nJdEqM
Lucas Fortuna Arantes Junqueira    (2023-09-05 01:51:37)
Tem erro aqui, não sei porque</t>
      </text>
    </comment>
  </commentList>
  <extLst>
    <ext uri="GoogleSheetsCustomDataVersion2">
      <go:sheetsCustomData xmlns:go="http://customooxmlschemas.google.com/" r:id="rId1" roundtripDataSignature="AMtx7mjpuSBCAJWPlsbBcN4stZLor2Q3hA=="/>
    </ext>
  </extLst>
</comments>
</file>

<file path=xl/sharedStrings.xml><?xml version="1.0" encoding="utf-8"?>
<sst xmlns="http://schemas.openxmlformats.org/spreadsheetml/2006/main" count="1963" uniqueCount="440">
  <si>
    <t>*</t>
  </si>
  <si>
    <t>Nome</t>
  </si>
  <si>
    <t>Classe</t>
  </si>
  <si>
    <t>Vencimento</t>
  </si>
  <si>
    <t>PETR4</t>
  </si>
  <si>
    <t>Petroleo Brasileiro SA Petrobras Preference Shares</t>
  </si>
  <si>
    <t>Ações Listadas na B3</t>
  </si>
  <si>
    <t>SPY</t>
  </si>
  <si>
    <t>SPDR S&amp;P 500 ETF Trust</t>
  </si>
  <si>
    <t>Ações Americanas</t>
  </si>
  <si>
    <t>DI1-J23</t>
  </si>
  <si>
    <t>DI com vencimento abr-23</t>
  </si>
  <si>
    <t>Futuros</t>
  </si>
  <si>
    <t>CAN-J23</t>
  </si>
  <si>
    <t>Futuro de Dólar Canadense</t>
  </si>
  <si>
    <t>AZUL4</t>
  </si>
  <si>
    <t xml:space="preserve"> Azul Linhas Aéreas Brasileiras</t>
  </si>
  <si>
    <t>DI1-F25</t>
  </si>
  <si>
    <t>Futuro de DI</t>
  </si>
  <si>
    <t>XLF</t>
  </si>
  <si>
    <t>Financials U.S.</t>
  </si>
  <si>
    <t>JAP-K23</t>
  </si>
  <si>
    <t>Futuro de USD/JPY</t>
  </si>
  <si>
    <t>CNH-K23</t>
  </si>
  <si>
    <t>Futuro de USD/CNH</t>
  </si>
  <si>
    <t>GBR-K23</t>
  </si>
  <si>
    <t>Futuro de GBP/USD</t>
  </si>
  <si>
    <t>USD/HUF</t>
  </si>
  <si>
    <t>Moeda Hungria contra Dólar</t>
  </si>
  <si>
    <t>Moedas</t>
  </si>
  <si>
    <t>MEX-K23</t>
  </si>
  <si>
    <t>Futuro de USD/MXN</t>
  </si>
  <si>
    <t>COPX</t>
  </si>
  <si>
    <t>ETF de Cobre (U.S.)</t>
  </si>
  <si>
    <t>JJU</t>
  </si>
  <si>
    <t xml:space="preserve">Aluminium </t>
  </si>
  <si>
    <t>BNO</t>
  </si>
  <si>
    <t>Petróleo (U.S.)</t>
  </si>
  <si>
    <t>EUP-K23</t>
  </si>
  <si>
    <t>Futuro de EUR/USD</t>
  </si>
  <si>
    <t>EWG</t>
  </si>
  <si>
    <t>ETF da Alemanha</t>
  </si>
  <si>
    <t>EWP</t>
  </si>
  <si>
    <t>ETF da Espanha</t>
  </si>
  <si>
    <t>EWI</t>
  </si>
  <si>
    <t>ETF da Itália</t>
  </si>
  <si>
    <t>SOYB</t>
  </si>
  <si>
    <t>Etf soja</t>
  </si>
  <si>
    <t>VALE3</t>
  </si>
  <si>
    <t>Vale</t>
  </si>
  <si>
    <t>KRE</t>
  </si>
  <si>
    <t>SPDR S&amp;P Regional Banking ETF</t>
  </si>
  <si>
    <t>Financial Select Sector SPDR Fund</t>
  </si>
  <si>
    <t>XLY</t>
  </si>
  <si>
    <t xml:space="preserve">Consumer Discretionary Select Sector SPDR Fund </t>
  </si>
  <si>
    <t>MSFT</t>
  </si>
  <si>
    <t>Microsoft Corporation</t>
  </si>
  <si>
    <t>META</t>
  </si>
  <si>
    <t>Meta Platforms, Inc.</t>
  </si>
  <si>
    <t>XLK</t>
  </si>
  <si>
    <t>Technology Select Sector SPDR Fund</t>
  </si>
  <si>
    <t>TCEHY</t>
  </si>
  <si>
    <t>Tencent Holdings Limited</t>
  </si>
  <si>
    <t>VBR</t>
  </si>
  <si>
    <t>Vanguard Small-Cap Value ETF</t>
  </si>
  <si>
    <t>DI1-H24</t>
  </si>
  <si>
    <t>DI com vencimento mar-2024</t>
  </si>
  <si>
    <t>Tesouro IPCA+</t>
  </si>
  <si>
    <t>NTNB Principal</t>
  </si>
  <si>
    <t>Títulos</t>
  </si>
  <si>
    <t>EUR/HUF</t>
  </si>
  <si>
    <t>Moeda Hungria contra Euro</t>
  </si>
  <si>
    <t>DI1-V24</t>
  </si>
  <si>
    <t>DI1-F29</t>
  </si>
  <si>
    <t>DI1-N25</t>
  </si>
  <si>
    <t>EUR-K23</t>
  </si>
  <si>
    <t>Futuro de Real contra Euro</t>
  </si>
  <si>
    <t>DOL-K23</t>
  </si>
  <si>
    <t>Futuro de Dólar contra Real</t>
  </si>
  <si>
    <t>EXSA.DE</t>
  </si>
  <si>
    <t>Bolsa Europeia</t>
  </si>
  <si>
    <t>Ações Europeias</t>
  </si>
  <si>
    <t>EWQ</t>
  </si>
  <si>
    <t>ETF Bolsa Francesa</t>
  </si>
  <si>
    <t>BOVA11</t>
  </si>
  <si>
    <t>Ishares Ibovespa Fundo de Indice</t>
  </si>
  <si>
    <t>EWJ</t>
  </si>
  <si>
    <t>ETF de Japan</t>
  </si>
  <si>
    <t>XLI</t>
  </si>
  <si>
    <t>ETF Industrial</t>
  </si>
  <si>
    <t>JAP-M23</t>
  </si>
  <si>
    <t>Futuro de Iene contra Dólar</t>
  </si>
  <si>
    <t>EUP-M23</t>
  </si>
  <si>
    <t>MEX-M23</t>
  </si>
  <si>
    <t>GBR-M23</t>
  </si>
  <si>
    <t>DOL-M23</t>
  </si>
  <si>
    <t>CHL-M23</t>
  </si>
  <si>
    <t>Futuro de USD/CLP (Dólar contra peso chileno)</t>
  </si>
  <si>
    <t>NTN-B Principal com Vencimento em Agosto 24</t>
  </si>
  <si>
    <t>EEM</t>
  </si>
  <si>
    <t>iShares MSCI Emerging Markets ETF</t>
  </si>
  <si>
    <t>RDOR3</t>
  </si>
  <si>
    <t>Rede D'Or São Luiz S.A. (RDOR3.SA)</t>
  </si>
  <si>
    <t>VIVA3</t>
  </si>
  <si>
    <t>Vivara Participações S.A. (VIVA3.SA)</t>
  </si>
  <si>
    <t>PETZ3</t>
  </si>
  <si>
    <t>Pet Center Comércio e Participações S.A. (PETZ3.SA)</t>
  </si>
  <si>
    <t>CPER</t>
  </si>
  <si>
    <t>United States Copper Index Fund</t>
  </si>
  <si>
    <t>NZD-M23</t>
  </si>
  <si>
    <t>Futuro de Dólar da Nova Zelândia contra Real</t>
  </si>
  <si>
    <t>AUD-M23</t>
  </si>
  <si>
    <t>Futuro de Dólar Australiano contra Real</t>
  </si>
  <si>
    <t>UUP</t>
  </si>
  <si>
    <t>Invesco DB US Dollar Index Bullish Fund</t>
  </si>
  <si>
    <t>ONCO3</t>
  </si>
  <si>
    <t>Oncoclínicas do Brasil Serviços Médicos S.A. (ONCO3.SA)</t>
  </si>
  <si>
    <t>JAP-N23</t>
  </si>
  <si>
    <t>MEX-N23</t>
  </si>
  <si>
    <t>DI1-F26</t>
  </si>
  <si>
    <t>DI1-V25</t>
  </si>
  <si>
    <t>CNH-N23</t>
  </si>
  <si>
    <t>Futuro de USD/CNY</t>
  </si>
  <si>
    <t>NTN-B9070</t>
  </si>
  <si>
    <t>NTN-B Principal com Vencimento em  2025</t>
  </si>
  <si>
    <t>JAP-Q23</t>
  </si>
  <si>
    <t>CNH-Q23</t>
  </si>
  <si>
    <t>DOL-Q23</t>
  </si>
  <si>
    <t>ILTB</t>
  </si>
  <si>
    <t>iShares Core 10+ Year USD Bond ETF</t>
  </si>
  <si>
    <t>DRIV</t>
  </si>
  <si>
    <t>Global X Autonomous &amp; Electric Vehicles ETF</t>
  </si>
  <si>
    <t>EUP-Z23</t>
  </si>
  <si>
    <t>DI1-Z23</t>
  </si>
  <si>
    <t>DI com vencimento em dezembro de 2023</t>
  </si>
  <si>
    <t>DI com vencimento em janeiro de 2026</t>
  </si>
  <si>
    <t>DOL-U23</t>
  </si>
  <si>
    <t>DIVO11</t>
  </si>
  <si>
    <t>IT Now IDIV Fundo de Indice</t>
  </si>
  <si>
    <t>PETR3</t>
  </si>
  <si>
    <t>Petroleo Brasileiro SA Petrobras Ordinary Shares</t>
  </si>
  <si>
    <t>NIKE34</t>
  </si>
  <si>
    <t>NIKE, Inc. (NIKE34.SA) BDR</t>
  </si>
  <si>
    <t>XLP</t>
  </si>
  <si>
    <t>Consumer Staples Select Sector SPDR Fund (XLP)</t>
  </si>
  <si>
    <t>NKE</t>
  </si>
  <si>
    <t>NIKE, Inc. (NKE)</t>
  </si>
  <si>
    <t>CNY-U23</t>
  </si>
  <si>
    <t>Futuro de Iuan Chinês Onshore (em Reais)</t>
  </si>
  <si>
    <t>BEEF3</t>
  </si>
  <si>
    <t>Minerva S.A. (BEEF3.SA)</t>
  </si>
  <si>
    <t>SJC-F24</t>
  </si>
  <si>
    <t>Contrato Futuro Míni de Soja (Mini-Sized Soybean Futures) do CME Group.</t>
  </si>
  <si>
    <t>BP</t>
  </si>
  <si>
    <t>British Petroleum p.l.c. (BP)</t>
  </si>
  <si>
    <t>IND-V23</t>
  </si>
  <si>
    <t>Futuro IBOV</t>
  </si>
  <si>
    <t>ASAI3</t>
  </si>
  <si>
    <t>Sendas Distribuidora S.A. (ASAI3.SA)</t>
  </si>
  <si>
    <t>DI1-F24</t>
  </si>
  <si>
    <t>DI com vencimento JAN-24</t>
  </si>
  <si>
    <t>DI1-F27</t>
  </si>
  <si>
    <t>DI com vencimento JAN-27</t>
  </si>
  <si>
    <t>T10-Z23</t>
  </si>
  <si>
    <t>Treasuries 10Y</t>
  </si>
  <si>
    <t>CNH-V23</t>
  </si>
  <si>
    <t>Futuro de Iuan Chinês Offshore (em USD)</t>
  </si>
  <si>
    <t>DI1-J24</t>
  </si>
  <si>
    <t>DI com vencimento em abril de 2024</t>
  </si>
  <si>
    <t>DOL-Z23</t>
  </si>
  <si>
    <t>Contrato futuro de Dólar contra Real</t>
  </si>
  <si>
    <t>DOL-V23</t>
  </si>
  <si>
    <t>MSOS</t>
  </si>
  <si>
    <t>AdvisorShares Pure US Cannabis ETF</t>
  </si>
  <si>
    <t>SUZB3</t>
  </si>
  <si>
    <t>Suzano S.A. (SUZB3.SA)</t>
  </si>
  <si>
    <t>RAIL3</t>
  </si>
  <si>
    <t>Rumo S.A. (RAIL3.SA)</t>
  </si>
  <si>
    <t>CRFB3</t>
  </si>
  <si>
    <t>Atacadão S.A. (CRFB3.SA)</t>
  </si>
  <si>
    <t>VAMO3</t>
  </si>
  <si>
    <t xml:space="preserve">Vamos Locação de Caminhões, Máquinas e Equipamentos S.A. (VAMO3.SA)
</t>
  </si>
  <si>
    <t>Data</t>
  </si>
  <si>
    <t>Ativo</t>
  </si>
  <si>
    <t>Direção</t>
  </si>
  <si>
    <t>Book</t>
  </si>
  <si>
    <t>Preço</t>
  </si>
  <si>
    <t>Dólar/Euro</t>
  </si>
  <si>
    <t>Tamanho</t>
  </si>
  <si>
    <t>% PL book</t>
  </si>
  <si>
    <t>% PL total</t>
  </si>
  <si>
    <t>Total da Ordem</t>
  </si>
  <si>
    <t>Tamanho (Futuros)</t>
  </si>
  <si>
    <t>Tamanho Aux</t>
  </si>
  <si>
    <t>Qtde Atual</t>
  </si>
  <si>
    <t xml:space="preserve">Qtde Dia da Equipe </t>
  </si>
  <si>
    <t>Qtde Dia da Equipe -1</t>
  </si>
  <si>
    <t>Capital Disponível</t>
  </si>
  <si>
    <t>V</t>
  </si>
  <si>
    <t>Endor</t>
  </si>
  <si>
    <t>Polaris</t>
  </si>
  <si>
    <t>Vega</t>
  </si>
  <si>
    <t>Capital Movimentado:</t>
  </si>
  <si>
    <t>Próximos Vencimentos</t>
  </si>
  <si>
    <t>Contrato</t>
  </si>
  <si>
    <t>Dias até o vencimento</t>
  </si>
  <si>
    <t>Letra</t>
  </si>
  <si>
    <t>Mês de Vencimento</t>
  </si>
  <si>
    <t>C</t>
  </si>
  <si>
    <t>F</t>
  </si>
  <si>
    <t>Janeiro</t>
  </si>
  <si>
    <t>G</t>
  </si>
  <si>
    <t>Fevereiro</t>
  </si>
  <si>
    <t>H</t>
  </si>
  <si>
    <t>Março</t>
  </si>
  <si>
    <t>J</t>
  </si>
  <si>
    <t>Abril</t>
  </si>
  <si>
    <t>K</t>
  </si>
  <si>
    <t>Maio</t>
  </si>
  <si>
    <t>M</t>
  </si>
  <si>
    <t>Junho</t>
  </si>
  <si>
    <t>N</t>
  </si>
  <si>
    <t>Julho</t>
  </si>
  <si>
    <t>Q</t>
  </si>
  <si>
    <t xml:space="preserve">Agosto </t>
  </si>
  <si>
    <t>U</t>
  </si>
  <si>
    <t>Setembro</t>
  </si>
  <si>
    <t>Outubro</t>
  </si>
  <si>
    <t>X</t>
  </si>
  <si>
    <t>Novembro</t>
  </si>
  <si>
    <t>Z</t>
  </si>
  <si>
    <t>Dezembro</t>
  </si>
  <si>
    <t>Vencimentos</t>
  </si>
  <si>
    <t>DOL</t>
  </si>
  <si>
    <t>Futuro de Dólar</t>
  </si>
  <si>
    <t>1º Dia Utíl do Mês de Vencimento do Contrato</t>
  </si>
  <si>
    <t>Todos os Meses</t>
  </si>
  <si>
    <t>WDO</t>
  </si>
  <si>
    <t>Mini Contrato 
de Futuro de Dólar</t>
  </si>
  <si>
    <t>EUR</t>
  </si>
  <si>
    <t>Futuro de Euro</t>
  </si>
  <si>
    <t>WEU</t>
  </si>
  <si>
    <t>Mini Contrato
 de Futuro de Euro</t>
  </si>
  <si>
    <t>DI1</t>
  </si>
  <si>
    <t>Primeira Sessão de Negociação do mês de vencimento de contrato</t>
  </si>
  <si>
    <t>Meses Pares</t>
  </si>
  <si>
    <t>WIN</t>
  </si>
  <si>
    <t>Mini Contrato de Futuro 
de Índice Ibovespa</t>
  </si>
  <si>
    <t>Quarta-Feira mais próxima do dia 15 do mês de vencimento</t>
  </si>
  <si>
    <t>ISP</t>
  </si>
  <si>
    <t>Futuro de Índice 
S&amp;P 500</t>
  </si>
  <si>
    <t>Terceira Sexta-Feira do Mês de Vencimento</t>
  </si>
  <si>
    <t>Março, Junho, Setembro, Dezembro</t>
  </si>
  <si>
    <t>T10</t>
  </si>
  <si>
    <t>Futuro de US 
Treasury Note de 10 Anos</t>
  </si>
  <si>
    <t>Última Sessão de Negociação do Mês Anterior ao Mês de Vencimento</t>
  </si>
  <si>
    <t>DAP</t>
  </si>
  <si>
    <t>Futuro de Cupom IPCA</t>
  </si>
  <si>
    <t xml:space="preserve">15º dia do mês de vencimento </t>
  </si>
  <si>
    <t>CCM</t>
  </si>
  <si>
    <t>Futuro de Milho</t>
  </si>
  <si>
    <t>Dia 15 do mês de vencimento</t>
  </si>
  <si>
    <t>Janeiro, Março, Maio, Julho, Setembro, Novembro</t>
  </si>
  <si>
    <t>SJC</t>
  </si>
  <si>
    <t>Futuro de Soja</t>
  </si>
  <si>
    <t>2º Dia Útil Anterior ao Mês de Vencimento</t>
  </si>
  <si>
    <t>Março, Abril, Maio, Junho, Julho, Agosto, Setembro, Novembro</t>
  </si>
  <si>
    <t>BGI</t>
  </si>
  <si>
    <t>Futuro de Boi Gordo</t>
  </si>
  <si>
    <t>Última Sessão de Negociação do Mês de Vencimento de Contrato</t>
  </si>
  <si>
    <t>OZ1</t>
  </si>
  <si>
    <t>Futuro de Ouro</t>
  </si>
  <si>
    <t>NTN-B45519</t>
  </si>
  <si>
    <t>Orion</t>
  </si>
  <si>
    <t>Date</t>
  </si>
  <si>
    <t>Cotas Diária</t>
  </si>
  <si>
    <t>Cota Endor</t>
  </si>
  <si>
    <t>Cota Polaris</t>
  </si>
  <si>
    <t>Cota Vega</t>
  </si>
  <si>
    <t>Cota Orion</t>
  </si>
  <si>
    <t>PTAX</t>
  </si>
  <si>
    <t>CDI</t>
  </si>
  <si>
    <t>EUR/BRL</t>
  </si>
  <si>
    <t>GBP/BRL</t>
  </si>
  <si>
    <t>BRL/JPY</t>
  </si>
  <si>
    <t>CAD/BRL</t>
  </si>
  <si>
    <t>CNY/USD</t>
  </si>
  <si>
    <t>BRL/USD</t>
  </si>
  <si>
    <t>AUD/USD</t>
  </si>
  <si>
    <t>NZD/USD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</si>
  <si>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</si>
  <si>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</si>
  <si>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</si>
  <si>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</si>
  <si>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</si>
  <si>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</si>
  <si>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</si>
  <si>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</si>
  <si>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</si>
  <si>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</si>
  <si>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</si>
  <si>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</si>
  <si>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Ano</t>
  </si>
  <si>
    <t>Acum.%</t>
  </si>
  <si>
    <t>Data Anterior:</t>
  </si>
  <si>
    <t>PL do dia</t>
  </si>
  <si>
    <t>Caixa</t>
  </si>
  <si>
    <t>Carrego CDI:</t>
  </si>
  <si>
    <t>Taxa Adm:</t>
  </si>
  <si>
    <t>Impactus X</t>
  </si>
  <si>
    <t>-</t>
  </si>
  <si>
    <t>Dia Referência:</t>
  </si>
  <si>
    <t>Total de Ativos:</t>
  </si>
  <si>
    <t>Var Diária:</t>
  </si>
  <si>
    <t>Movimentado:</t>
  </si>
  <si>
    <t>PL - histórico</t>
  </si>
  <si>
    <t>Caixa - histórico</t>
  </si>
  <si>
    <t>Retorno</t>
  </si>
  <si>
    <t>Bench CDI</t>
  </si>
  <si>
    <t>PL - Sirius</t>
  </si>
  <si>
    <t>Caixa - Sirius</t>
  </si>
  <si>
    <t>Cota</t>
  </si>
  <si>
    <t>Underwater</t>
  </si>
  <si>
    <t>Vol5D</t>
  </si>
  <si>
    <t>Quantidade</t>
  </si>
  <si>
    <t>Preço/Ajuste</t>
  </si>
  <si>
    <t>Valor</t>
  </si>
  <si>
    <t>PL - Canion</t>
  </si>
  <si>
    <t>Caixa - Canion</t>
  </si>
  <si>
    <t>Dia</t>
  </si>
  <si>
    <t>Retorno Acumulado</t>
  </si>
  <si>
    <t>Equipe</t>
  </si>
  <si>
    <t>PL Dia:</t>
  </si>
  <si>
    <t>PL Anterior</t>
  </si>
  <si>
    <t>Caixa:</t>
  </si>
  <si>
    <t>Maiores Altas</t>
  </si>
  <si>
    <t>Maiores Baixas</t>
  </si>
  <si>
    <t>ATIVOS</t>
  </si>
  <si>
    <t>% Cg</t>
  </si>
  <si>
    <t>Cota Diária:</t>
  </si>
  <si>
    <t>Variação Diária (%)</t>
  </si>
  <si>
    <t>CDI Diário</t>
  </si>
  <si>
    <t>Ganhos (R$)</t>
  </si>
  <si>
    <t>Contribuição (%)</t>
  </si>
  <si>
    <t>Portfólio</t>
  </si>
  <si>
    <t>Dividendos:</t>
  </si>
  <si>
    <t xml:space="preserve">
</t>
  </si>
  <si>
    <t>Aporte:</t>
  </si>
  <si>
    <t>Ajustes de Futuros:</t>
  </si>
  <si>
    <t>GROSS</t>
  </si>
  <si>
    <t>NET</t>
  </si>
  <si>
    <t>Taxa de Admnistração</t>
  </si>
  <si>
    <t>Desconto (R$)</t>
  </si>
  <si>
    <t>Apoio</t>
  </si>
  <si>
    <t>Tipo</t>
  </si>
  <si>
    <t>Exposição PL (%)</t>
  </si>
  <si>
    <t>ABS</t>
  </si>
  <si>
    <t>Ganho (R$)</t>
  </si>
  <si>
    <t>Variação Ativo(%)</t>
  </si>
  <si>
    <t>Volatilidade</t>
  </si>
  <si>
    <t>variação</t>
  </si>
  <si>
    <t>variação única</t>
  </si>
  <si>
    <t>rank</t>
  </si>
  <si>
    <t>Saldo</t>
  </si>
  <si>
    <t>Movimentado</t>
  </si>
  <si>
    <t>Ganho Final</t>
  </si>
  <si>
    <t>Diária</t>
  </si>
  <si>
    <t>Soma</t>
  </si>
  <si>
    <t>Anualizada</t>
  </si>
  <si>
    <t>var</t>
  </si>
  <si>
    <t>Check</t>
  </si>
  <si>
    <t>VaR - H</t>
  </si>
  <si>
    <t>Diff</t>
  </si>
  <si>
    <t>Exposição PL(%)</t>
  </si>
  <si>
    <t>Somatório</t>
  </si>
  <si>
    <t>Ganhos</t>
  </si>
  <si>
    <t>Variação</t>
  </si>
  <si>
    <t>Ganho (invertido)</t>
  </si>
  <si>
    <t>Preços de ajustes diários</t>
  </si>
  <si>
    <t>Tamanho Futuros diário</t>
  </si>
  <si>
    <t>COntrel D0 e D-1</t>
  </si>
  <si>
    <t>Dia de referência</t>
  </si>
  <si>
    <t>Cota Sirius</t>
  </si>
  <si>
    <t>Retorno do dia</t>
  </si>
  <si>
    <t>acum cdi</t>
  </si>
  <si>
    <t>Diário</t>
  </si>
  <si>
    <t>Acumulado</t>
  </si>
  <si>
    <t>MDD</t>
  </si>
  <si>
    <t>Sharpe</t>
  </si>
  <si>
    <t>Contribuição Semanal</t>
  </si>
  <si>
    <t>Contribuição Acumulada</t>
  </si>
  <si>
    <t>Futuro de S&amp;P500</t>
  </si>
  <si>
    <t>Futuro Índice Ibovespa</t>
  </si>
  <si>
    <t>Padrão</t>
  </si>
  <si>
    <t>Padrão (IND)</t>
  </si>
  <si>
    <t>Dólar</t>
  </si>
  <si>
    <t>Q21</t>
  </si>
  <si>
    <t>Preço de Ajuste</t>
  </si>
  <si>
    <t xml:space="preserve">Quantidade </t>
  </si>
  <si>
    <t>Exposição</t>
  </si>
  <si>
    <t>Quantidade Mín.</t>
  </si>
  <si>
    <t xml:space="preserve">Preço de ajuste </t>
  </si>
  <si>
    <t>IND</t>
  </si>
  <si>
    <t>Mini</t>
  </si>
  <si>
    <t>Futuro de Soja (SJC)</t>
  </si>
  <si>
    <t>X21</t>
  </si>
  <si>
    <t>Futuro de Milho (CCM)</t>
  </si>
  <si>
    <t>Preço do ajuste</t>
  </si>
  <si>
    <t>Preço do ajuste (t)</t>
  </si>
  <si>
    <t>Preço do ajuste (t-1)</t>
  </si>
  <si>
    <t>Input</t>
  </si>
  <si>
    <t>B3</t>
  </si>
  <si>
    <t>Output</t>
  </si>
  <si>
    <t>Preço do ajuste D-1</t>
  </si>
  <si>
    <t>Preço do Ajuste D0</t>
  </si>
  <si>
    <t>DOL-Z22</t>
  </si>
  <si>
    <t>EUP-Z22</t>
  </si>
  <si>
    <t>GBP-Z22</t>
  </si>
  <si>
    <t>ISP-Z22</t>
  </si>
  <si>
    <t>JAP-Z22</t>
  </si>
  <si>
    <t>JSE-Z22</t>
  </si>
  <si>
    <t>T10-Z22</t>
  </si>
  <si>
    <t>DOL-G23</t>
  </si>
  <si>
    <t>EUP-G23</t>
  </si>
  <si>
    <t>GBP-G23</t>
  </si>
  <si>
    <t>ISP-H23</t>
  </si>
  <si>
    <t>JSE-H23</t>
  </si>
  <si>
    <t>T10-H23</t>
  </si>
  <si>
    <t>5.402,8680</t>
  </si>
  <si>
    <t>1.038,087</t>
  </si>
  <si>
    <t>6.499,0020</t>
  </si>
  <si>
    <t>4.031,75</t>
  </si>
  <si>
    <t>139.731,733</t>
  </si>
  <si>
    <t>61.912,66</t>
  </si>
  <si>
    <t>5.269,6430</t>
  </si>
  <si>
    <t>1.066,043</t>
  </si>
  <si>
    <t>6.369,0720</t>
  </si>
  <si>
    <t>3.917,25</t>
  </si>
  <si>
    <t>71.491</t>
  </si>
  <si>
    <t>1142187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</si>
</sst>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7">
    <numFmt numFmtId="164" formatCode="dd/mm/yyyy"/>
    <numFmt numFmtId="165" formatCode="dd/MM/yyyy"/>
    <numFmt numFmtId="166" formatCode="dd/mm/yy"/>
    <numFmt numFmtId="167" formatCode="[$R$ -416]#,##0.00"/>
    <numFmt numFmtId="168" formatCode="_-[$$-409]* #,##0.00_ ;_-[$$-409]* \-#,##0.00\ ;_-[$$-409]* &quot;-&quot;??_ ;_-@_ "/>
    <numFmt numFmtId="169" formatCode="YYYY-MM-DD HH:MM:SS"/>
    <numFmt numFmtId="170" formatCode="[$R$ -416]#,##0.000000"/>
    <numFmt numFmtId="171" formatCode="0.0000"/>
    <numFmt numFmtId="172" formatCode="m.yyyy"/>
    <numFmt numFmtId="173" formatCode="0.000%"/>
    <numFmt numFmtId="174" formatCode="0.000"/>
    <numFmt numFmtId="175" formatCode="0.0000%"/>
    <numFmt numFmtId="176" formatCode="0.000000000%"/>
    <numFmt numFmtId="177" formatCode="0.0%"/>
    <numFmt numFmtId="178" formatCode="[$R$ -416]#,##0.0"/>
    <numFmt numFmtId="179" formatCode="0.0000000%"/>
    <numFmt numFmtId="180" formatCode="0.00000000"/>
    <numFmt numFmtId="181" formatCode="[$R$ -416]#,##0.0000000000"/>
    <numFmt numFmtId="182" formatCode="[$R$ -416]#,##0.00000"/>
    <numFmt numFmtId="183" formatCode="[$R$ -416]#,##0.000000000"/>
    <numFmt numFmtId="184" formatCode="[$R$ -416]#,##0.0000000"/>
    <numFmt numFmtId="185" formatCode="[$R$ -416]#,##0.00000000"/>
    <numFmt numFmtId="186" formatCode="0.00000%"/>
    <numFmt numFmtId="187" formatCode="0.000000%"/>
    <numFmt numFmtId="188" formatCode="[$R$ -416]#,##0"/>
    <numFmt numFmtId="189" formatCode="#,##0.0000"/>
    <numFmt numFmtId="190" formatCode="[$$]#,##0.00"/>
  </numFmts>
  <fonts count="49">
    <font>
      <sz val="10.0"/>
      <color rgb="FF000000"/>
      <name val="Arial"/>
      <scheme val="minor"/>
    </font>
    <font>
      <b/>
      <sz val="11.0"/>
      <color rgb="FFFFFFFF"/>
      <name val="Montserrat"/>
    </font>
    <font>
      <sz val="10.0"/>
      <color rgb="FF000000"/>
      <name val="Arial"/>
    </font>
    <font>
      <b/>
      <sz val="10.0"/>
      <color rgb="FF000000"/>
      <name val="Montserrat"/>
    </font>
    <font>
      <sz val="10.0"/>
      <color rgb="FF000000"/>
      <name val="Montserrat"/>
    </font>
    <font>
      <b/>
      <u/>
      <sz val="10.0"/>
      <color rgb="FF000000"/>
      <name val="Montserrat"/>
    </font>
    <font>
      <sz val="11.0"/>
      <color rgb="FF1F1F1F"/>
      <name val="Arial"/>
    </font>
    <font>
      <b/>
      <sz val="10.0"/>
      <color theme="1"/>
      <name val="Montserrat"/>
    </font>
    <font>
      <sz val="10.0"/>
      <color theme="1"/>
      <name val="Montserrat"/>
    </font>
    <font>
      <b/>
      <sz val="10.0"/>
      <color rgb="FF000000"/>
      <name val="Arial"/>
    </font>
    <font>
      <sz val="11.0"/>
      <color rgb="FF000000"/>
      <name val="Montserrat"/>
    </font>
    <font>
      <sz val="9.0"/>
      <color rgb="FF000000"/>
      <name val="Montserrat"/>
    </font>
    <font>
      <sz val="9.0"/>
      <color theme="1"/>
      <name val="Montserrat"/>
    </font>
    <font>
      <b/>
      <sz val="9.0"/>
      <color rgb="FFFFFFFF"/>
      <name val="Montserrat"/>
    </font>
    <font>
      <b/>
      <sz val="9.0"/>
      <color rgb="FF000000"/>
      <name val="Montserrat"/>
    </font>
    <font>
      <b/>
      <sz val="9.0"/>
      <color theme="1"/>
      <name val="Montserrat"/>
    </font>
    <font/>
    <font>
      <sz val="9.0"/>
      <color rgb="FF000000"/>
      <name val="Arial"/>
    </font>
    <font>
      <u/>
      <sz val="9.0"/>
      <color rgb="FF1155CC"/>
      <name val="Montserrat"/>
    </font>
    <font>
      <sz val="9.0"/>
      <color rgb="FF1155CC"/>
      <name val="Montserrat"/>
    </font>
    <font>
      <u/>
      <sz val="9.0"/>
      <color rgb="FF1155CC"/>
      <name val="Montserrat"/>
    </font>
    <font>
      <color theme="1"/>
      <name val="Arial"/>
    </font>
    <font>
      <color rgb="FF232A31"/>
      <name val="Arial"/>
    </font>
    <font>
      <color theme="1"/>
      <name val="Arial"/>
      <scheme val="minor"/>
    </font>
    <font>
      <u/>
      <color rgb="FF0000FF"/>
    </font>
    <font>
      <b/>
      <sz val="10.0"/>
      <color rgb="FFFFFFFF"/>
      <name val="Montserrat"/>
    </font>
    <font>
      <color theme="1"/>
      <name val="Montserrat"/>
    </font>
    <font>
      <b/>
      <sz val="11.0"/>
      <color rgb="FF082631"/>
      <name val="Montserrat"/>
    </font>
    <font>
      <sz val="11.0"/>
      <color rgb="FF000000"/>
      <name val="Inconsolata"/>
    </font>
    <font>
      <sz val="10.0"/>
      <color rgb="FFFFFFFF"/>
      <name val="Montserrat"/>
    </font>
    <font>
      <b/>
      <sz val="12.0"/>
      <color rgb="FFFFFFFF"/>
      <name val="Montserrat"/>
    </font>
    <font>
      <b/>
      <sz val="10.0"/>
      <color rgb="FF082631"/>
      <name val="Montserrat"/>
    </font>
    <font>
      <sz val="10.0"/>
      <color rgb="FFAE2012"/>
      <name val="Montserrat"/>
    </font>
    <font>
      <b/>
      <color rgb="FFFFFFFF"/>
      <name val="Montserrat"/>
    </font>
    <font>
      <u/>
      <color theme="1"/>
      <name val="Montserrat"/>
    </font>
    <font>
      <color rgb="FFFFFFFF"/>
      <name val="Montserrat"/>
    </font>
    <font>
      <b/>
      <color theme="1"/>
      <name val="Montserrat"/>
    </font>
    <font>
      <color rgb="FF000000"/>
      <name val="Montserrat"/>
    </font>
    <font>
      <sz val="6.0"/>
      <color rgb="FF000000"/>
      <name val="Arial"/>
    </font>
    <font>
      <sz val="7.0"/>
      <color theme="1"/>
      <name val="Montserrat"/>
    </font>
    <font>
      <sz val="13.0"/>
      <color rgb="FFAE2012"/>
      <name val="Montserrat"/>
    </font>
    <font>
      <color rgb="FFAE2012"/>
      <name val="Montserrat"/>
    </font>
    <font>
      <b/>
      <sz val="9.0"/>
      <color rgb="FFFFFFFF"/>
      <name val="Arial"/>
    </font>
    <font>
      <b/>
      <sz val="7.0"/>
      <color rgb="FFFFFFFF"/>
      <name val="Montserrat"/>
    </font>
    <font>
      <sz val="10.0"/>
      <color rgb="FFFFFFFF"/>
      <name val="Arial"/>
    </font>
    <font>
      <sz val="11.0"/>
      <color rgb="FF5C5F60"/>
      <name val="Montserrat"/>
    </font>
    <font>
      <u/>
      <color rgb="FF1155CC"/>
    </font>
    <font>
      <sz val="11.0"/>
      <color theme="1"/>
      <name val="Arial"/>
    </font>
    <font>
      <b/>
      <color theme="1"/>
      <name val="Arial"/>
    </font>
  </fonts>
  <fills count="19">
    <fill>
      <patternFill patternType="none"/>
    </fill>
    <fill>
      <patternFill patternType="lightGray"/>
    </fill>
    <fill>
      <patternFill patternType="solid">
        <fgColor rgb="FF134F5C"/>
        <bgColor rgb="FF134F5C"/>
      </patternFill>
    </fill>
    <fill>
      <patternFill patternType="solid">
        <fgColor rgb="FFFFFFFF"/>
        <bgColor rgb="FFFFFFFF"/>
      </patternFill>
    </fill>
    <fill>
      <patternFill patternType="solid">
        <fgColor rgb="FFD0E0E3"/>
        <bgColor rgb="FFD0E0E3"/>
      </patternFill>
    </fill>
    <fill>
      <patternFill patternType="solid">
        <fgColor rgb="FF082631"/>
        <bgColor rgb="FF082631"/>
      </patternFill>
    </fill>
    <fill>
      <patternFill patternType="solid">
        <fgColor rgb="FF999999"/>
        <bgColor rgb="FF999999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rgb="FFAE2012"/>
        <bgColor rgb="FFAE2012"/>
      </patternFill>
    </fill>
    <fill>
      <patternFill patternType="solid">
        <fgColor rgb="FFEE9B00"/>
        <bgColor rgb="FFEE9B00"/>
      </patternFill>
    </fill>
    <fill>
      <patternFill patternType="solid">
        <fgColor rgb="FF005F73"/>
        <bgColor rgb="FF005F73"/>
      </patternFill>
    </fill>
    <fill>
      <patternFill patternType="solid">
        <fgColor rgb="FF206A13"/>
        <bgColor rgb="FF206A13"/>
      </patternFill>
    </fill>
    <fill>
      <patternFill patternType="solid">
        <fgColor rgb="FF6FA8DC"/>
        <bgColor rgb="FF6FA8DC"/>
      </patternFill>
    </fill>
    <fill>
      <patternFill patternType="solid">
        <fgColor rgb="FFA4C2F4"/>
        <bgColor rgb="FFA4C2F4"/>
      </patternFill>
    </fill>
    <fill>
      <patternFill patternType="solid">
        <fgColor rgb="FFD9D9D9"/>
        <bgColor rgb="FFD9D9D9"/>
      </patternFill>
    </fill>
    <fill>
      <patternFill patternType="solid">
        <fgColor rgb="FF0C343D"/>
        <bgColor rgb="FF0C343D"/>
      </patternFill>
    </fill>
    <fill>
      <patternFill patternType="solid">
        <fgColor rgb="FFFFF2CC"/>
        <bgColor rgb="FFFFF2CC"/>
      </patternFill>
    </fill>
    <fill>
      <patternFill patternType="solid">
        <fgColor rgb="FFCCCCCC"/>
        <bgColor rgb="FFCCCCCC"/>
      </patternFill>
    </fill>
  </fills>
  <borders count="8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</border>
    <border>
      <left/>
      <right style="medium">
        <color rgb="FF000000"/>
      </right>
      <top style="medium">
        <color rgb="FF000000"/>
      </top>
    </border>
    <border>
      <left/>
      <right style="medium">
        <color rgb="FF000000"/>
      </right>
    </border>
    <border>
      <left/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bottom style="dotted">
        <color rgb="FF000000"/>
      </bottom>
    </border>
    <border>
      <bottom style="thin">
        <color rgb="FF000000"/>
      </bottom>
    </border>
    <border>
      <left/>
      <right/>
      <top/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/>
      <right style="medium">
        <color rgb="FF000000"/>
      </right>
      <top/>
      <bottom/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medium">
        <color rgb="FF000000"/>
      </left>
      <right/>
      <top/>
      <bottom/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56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0" fillId="0" fontId="2" numFmtId="0" xfId="0" applyFont="1"/>
    <xf borderId="2" fillId="3" fontId="3" numFmtId="0" xfId="0" applyAlignment="1" applyBorder="1" applyFill="1" applyFont="1">
      <alignment horizontal="center" vertical="center"/>
    </xf>
    <xf borderId="2" fillId="3" fontId="4" numFmtId="0" xfId="0" applyAlignment="1" applyBorder="1" applyFont="1">
      <alignment horizontal="center" vertical="center"/>
    </xf>
    <xf borderId="2" fillId="0" fontId="4" numFmtId="0" xfId="0" applyAlignment="1" applyBorder="1" applyFont="1">
      <alignment horizontal="center" vertical="center"/>
    </xf>
    <xf borderId="2" fillId="4" fontId="3" numFmtId="0" xfId="0" applyAlignment="1" applyBorder="1" applyFill="1" applyFont="1">
      <alignment horizontal="center" vertical="center"/>
    </xf>
    <xf borderId="2" fillId="4" fontId="4" numFmtId="0" xfId="0" applyAlignment="1" applyBorder="1" applyFont="1">
      <alignment horizontal="center" vertical="center"/>
    </xf>
    <xf borderId="2" fillId="4" fontId="4" numFmtId="164" xfId="0" applyAlignment="1" applyBorder="1" applyFont="1" applyNumberFormat="1">
      <alignment horizontal="center" vertical="center"/>
    </xf>
    <xf borderId="2" fillId="3" fontId="4" numFmtId="164" xfId="0" applyAlignment="1" applyBorder="1" applyFont="1" applyNumberFormat="1">
      <alignment horizontal="center" vertical="center"/>
    </xf>
    <xf borderId="2" fillId="4" fontId="4" numFmtId="165" xfId="0" applyAlignment="1" applyBorder="1" applyFont="1" applyNumberFormat="1">
      <alignment horizontal="center" vertical="center"/>
    </xf>
    <xf borderId="2" fillId="4" fontId="4" numFmtId="166" xfId="0" applyAlignment="1" applyBorder="1" applyFont="1" applyNumberFormat="1">
      <alignment horizontal="center" vertical="center"/>
    </xf>
    <xf borderId="2" fillId="3" fontId="5" numFmtId="0" xfId="0" applyAlignment="1" applyBorder="1" applyFont="1">
      <alignment horizontal="center" vertical="center"/>
    </xf>
    <xf borderId="0" fillId="3" fontId="6" numFmtId="0" xfId="0" applyAlignment="1" applyFont="1">
      <alignment horizontal="center"/>
    </xf>
    <xf borderId="2" fillId="3" fontId="4" numFmtId="165" xfId="0" applyAlignment="1" applyBorder="1" applyFont="1" applyNumberFormat="1">
      <alignment horizontal="center" vertical="center"/>
    </xf>
    <xf borderId="2" fillId="4" fontId="7" numFmtId="0" xfId="0" applyAlignment="1" applyBorder="1" applyFont="1">
      <alignment horizontal="center" vertical="center"/>
    </xf>
    <xf borderId="2" fillId="3" fontId="7" numFmtId="0" xfId="0" applyAlignment="1" applyBorder="1" applyFont="1">
      <alignment horizontal="center" vertical="center"/>
    </xf>
    <xf borderId="2" fillId="3" fontId="8" numFmtId="0" xfId="0" applyAlignment="1" applyBorder="1" applyFont="1">
      <alignment horizontal="center" vertical="center"/>
    </xf>
    <xf borderId="2" fillId="0" fontId="8" numFmtId="0" xfId="0" applyAlignment="1" applyBorder="1" applyFont="1">
      <alignment horizontal="center" vertical="center"/>
    </xf>
    <xf borderId="2" fillId="3" fontId="8" numFmtId="164" xfId="0" applyAlignment="1" applyBorder="1" applyFont="1" applyNumberFormat="1">
      <alignment horizontal="center" vertical="center"/>
    </xf>
    <xf borderId="2" fillId="4" fontId="7" numFmtId="0" xfId="0" applyAlignment="1" applyBorder="1" applyFont="1">
      <alignment horizontal="center"/>
    </xf>
    <xf borderId="2" fillId="4" fontId="8" numFmtId="0" xfId="0" applyAlignment="1" applyBorder="1" applyFont="1">
      <alignment horizontal="center"/>
    </xf>
    <xf borderId="2" fillId="0" fontId="8" numFmtId="0" xfId="0" applyAlignment="1" applyBorder="1" applyFont="1">
      <alignment horizontal="center"/>
    </xf>
    <xf borderId="2" fillId="3" fontId="7" numFmtId="0" xfId="0" applyAlignment="1" applyBorder="1" applyFont="1">
      <alignment horizontal="center"/>
    </xf>
    <xf borderId="2" fillId="3" fontId="8" numFmtId="164" xfId="0" applyAlignment="1" applyBorder="1" applyFont="1" applyNumberFormat="1">
      <alignment horizontal="center"/>
    </xf>
    <xf borderId="2" fillId="0" fontId="9" numFmtId="0" xfId="0" applyBorder="1" applyFont="1"/>
    <xf borderId="2" fillId="0" fontId="2" numFmtId="0" xfId="0" applyBorder="1" applyFont="1"/>
    <xf borderId="0" fillId="5" fontId="10" numFmtId="10" xfId="0" applyAlignment="1" applyFill="1" applyFont="1" applyNumberFormat="1">
      <alignment horizontal="center" vertical="center"/>
    </xf>
    <xf borderId="0" fillId="5" fontId="11" numFmtId="0" xfId="0" applyAlignment="1" applyFont="1">
      <alignment horizontal="center" vertical="center"/>
    </xf>
    <xf borderId="0" fillId="5" fontId="11" numFmtId="167" xfId="0" applyAlignment="1" applyFont="1" applyNumberFormat="1">
      <alignment horizontal="center" vertical="center"/>
    </xf>
    <xf borderId="0" fillId="5" fontId="12" numFmtId="0" xfId="0" applyAlignment="1" applyFont="1">
      <alignment horizontal="center" vertical="center"/>
    </xf>
    <xf borderId="0" fillId="5" fontId="12" numFmtId="167" xfId="0" applyAlignment="1" applyFont="1" applyNumberFormat="1">
      <alignment horizontal="center" vertical="center"/>
    </xf>
    <xf borderId="3" fillId="5" fontId="13" numFmtId="165" xfId="0" applyAlignment="1" applyBorder="1" applyFont="1" applyNumberFormat="1">
      <alignment horizontal="center" vertical="center"/>
    </xf>
    <xf borderId="3" fillId="5" fontId="13" numFmtId="0" xfId="0" applyAlignment="1" applyBorder="1" applyFont="1">
      <alignment horizontal="center" vertical="center"/>
    </xf>
    <xf borderId="3" fillId="5" fontId="13" numFmtId="167" xfId="0" applyAlignment="1" applyBorder="1" applyFont="1" applyNumberFormat="1">
      <alignment horizontal="center" vertical="center"/>
    </xf>
    <xf borderId="3" fillId="6" fontId="14" numFmtId="167" xfId="0" applyAlignment="1" applyBorder="1" applyFill="1" applyFont="1" applyNumberFormat="1">
      <alignment horizontal="center" vertical="center"/>
    </xf>
    <xf borderId="3" fillId="6" fontId="15" numFmtId="167" xfId="0" applyAlignment="1" applyBorder="1" applyFont="1" applyNumberFormat="1">
      <alignment horizontal="center" vertical="center"/>
    </xf>
    <xf borderId="4" fillId="6" fontId="15" numFmtId="0" xfId="0" applyAlignment="1" applyBorder="1" applyFont="1">
      <alignment horizontal="center" vertical="center"/>
    </xf>
    <xf borderId="3" fillId="6" fontId="15" numFmtId="0" xfId="0" applyAlignment="1" applyBorder="1" applyFont="1">
      <alignment horizontal="center" vertical="center"/>
    </xf>
    <xf borderId="3" fillId="6" fontId="14" numFmtId="168" xfId="0" applyAlignment="1" applyBorder="1" applyFont="1" applyNumberFormat="1">
      <alignment horizontal="center" vertical="center"/>
    </xf>
    <xf borderId="0" fillId="0" fontId="12" numFmtId="0" xfId="0" applyAlignment="1" applyFont="1">
      <alignment horizontal="center" vertical="center"/>
    </xf>
    <xf borderId="5" fillId="5" fontId="13" numFmtId="0" xfId="0" applyBorder="1" applyFont="1"/>
    <xf borderId="6" fillId="0" fontId="16" numFmtId="0" xfId="0" applyBorder="1" applyFont="1"/>
    <xf borderId="7" fillId="0" fontId="11" numFmtId="167" xfId="0" applyAlignment="1" applyBorder="1" applyFont="1" applyNumberFormat="1">
      <alignment horizontal="center"/>
    </xf>
    <xf borderId="2" fillId="0" fontId="11" numFmtId="165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4" xfId="0" applyAlignment="1" applyBorder="1" applyFont="1" applyNumberFormat="1">
      <alignment horizontal="center" vertical="center"/>
    </xf>
    <xf borderId="8" fillId="6" fontId="12" numFmtId="10" xfId="0" applyAlignment="1" applyBorder="1" applyFont="1" applyNumberFormat="1">
      <alignment horizontal="center" vertical="center"/>
    </xf>
    <xf borderId="8" fillId="6" fontId="12" numFmtId="167" xfId="0" applyAlignment="1" applyBorder="1" applyFont="1" applyNumberFormat="1">
      <alignment horizontal="center" vertical="center"/>
    </xf>
    <xf borderId="8" fillId="6" fontId="12" numFmtId="0" xfId="0" applyAlignment="1" applyBorder="1" applyFont="1">
      <alignment horizontal="center" vertical="center"/>
    </xf>
    <xf borderId="8" fillId="6" fontId="12" numFmtId="1" xfId="0" applyAlignment="1" applyBorder="1" applyFont="1" applyNumberFormat="1">
      <alignment horizontal="center" vertical="center"/>
    </xf>
    <xf borderId="9" fillId="6" fontId="12" numFmtId="0" xfId="0" applyAlignment="1" applyBorder="1" applyFont="1">
      <alignment horizontal="center" vertical="center"/>
    </xf>
    <xf borderId="0" fillId="0" fontId="12" numFmtId="0" xfId="0" applyFont="1"/>
    <xf borderId="0" fillId="0" fontId="12" numFmtId="0" xfId="0" applyAlignment="1" applyFont="1">
      <alignment horizontal="center"/>
    </xf>
    <xf borderId="10" fillId="0" fontId="11" numFmtId="164" xfId="0" applyAlignment="1" applyBorder="1" applyFont="1" applyNumberFormat="1">
      <alignment horizontal="center" vertical="center"/>
    </xf>
    <xf borderId="11" fillId="5" fontId="13" numFmtId="0" xfId="0" applyBorder="1" applyFont="1"/>
    <xf borderId="12" fillId="0" fontId="16" numFmtId="0" xfId="0" applyBorder="1" applyFont="1"/>
    <xf borderId="13" fillId="0" fontId="12" numFmtId="167" xfId="0" applyAlignment="1" applyBorder="1" applyFont="1" applyNumberFormat="1">
      <alignment horizontal="center"/>
    </xf>
    <xf borderId="10" fillId="0" fontId="11" numFmtId="165" xfId="0" applyAlignment="1" applyBorder="1" applyFont="1" applyNumberFormat="1">
      <alignment horizontal="center" vertical="center"/>
    </xf>
    <xf borderId="14" fillId="5" fontId="13" numFmtId="0" xfId="0" applyBorder="1" applyFont="1"/>
    <xf borderId="15" fillId="0" fontId="16" numFmtId="0" xfId="0" applyBorder="1" applyFont="1"/>
    <xf borderId="16" fillId="0" fontId="12" numFmtId="167" xfId="0" applyAlignment="1" applyBorder="1" applyFont="1" applyNumberFormat="1">
      <alignment horizontal="center"/>
    </xf>
    <xf borderId="2" fillId="0" fontId="11" numFmtId="164" xfId="0" applyAlignment="1" applyBorder="1" applyFont="1" applyNumberFormat="1">
      <alignment horizontal="center" vertical="center"/>
    </xf>
    <xf borderId="5" fillId="5" fontId="13" numFmtId="0" xfId="0" applyAlignment="1" applyBorder="1" applyFont="1">
      <alignment horizontal="center" vertical="center"/>
    </xf>
    <xf borderId="17" fillId="5" fontId="13" numFmtId="0" xfId="0" applyAlignment="1" applyBorder="1" applyFont="1">
      <alignment horizontal="center" vertical="center"/>
    </xf>
    <xf borderId="18" fillId="5" fontId="13" numFmtId="0" xfId="0" applyAlignment="1" applyBorder="1" applyFont="1">
      <alignment horizontal="center" vertical="center"/>
    </xf>
    <xf borderId="19" fillId="5" fontId="13" numFmtId="0" xfId="0" applyAlignment="1" applyBorder="1" applyFont="1">
      <alignment horizontal="center" vertical="center"/>
    </xf>
    <xf borderId="20" fillId="5" fontId="13" numFmtId="0" xfId="0" applyAlignment="1" applyBorder="1" applyFont="1">
      <alignment horizontal="center" vertical="center"/>
    </xf>
    <xf borderId="21" fillId="0" fontId="11" numFmtId="164" xfId="0" applyAlignment="1" applyBorder="1" applyFont="1" applyNumberFormat="1">
      <alignment horizontal="center" vertical="center"/>
    </xf>
    <xf borderId="22" fillId="3" fontId="14" numFmtId="0" xfId="0" applyAlignment="1" applyBorder="1" applyFont="1">
      <alignment horizontal="center" vertical="center"/>
    </xf>
    <xf borderId="8" fillId="3" fontId="11" numFmtId="165" xfId="0" applyAlignment="1" applyBorder="1" applyFont="1" applyNumberFormat="1">
      <alignment horizontal="center" vertical="center"/>
    </xf>
    <xf borderId="23" fillId="3" fontId="11" numFmtId="0" xfId="0" applyAlignment="1" applyBorder="1" applyFont="1">
      <alignment horizontal="center" vertical="center"/>
    </xf>
    <xf borderId="24" fillId="4" fontId="14" numFmtId="0" xfId="0" applyAlignment="1" applyBorder="1" applyFont="1">
      <alignment horizontal="center" vertical="center"/>
    </xf>
    <xf borderId="23" fillId="4" fontId="11" numFmtId="0" xfId="0" applyAlignment="1" applyBorder="1" applyFont="1">
      <alignment horizontal="center" vertical="center"/>
    </xf>
    <xf borderId="8" fillId="4" fontId="11" numFmtId="165" xfId="0" applyAlignment="1" applyBorder="1" applyFont="1" applyNumberFormat="1">
      <alignment horizontal="center" vertical="center"/>
    </xf>
    <xf borderId="10" fillId="3" fontId="14" numFmtId="0" xfId="0" applyAlignment="1" applyBorder="1" applyFont="1">
      <alignment horizontal="center" vertical="center"/>
    </xf>
    <xf borderId="25" fillId="5" fontId="11" numFmtId="0" xfId="0" applyAlignment="1" applyBorder="1" applyFont="1">
      <alignment horizontal="center" vertical="center"/>
    </xf>
    <xf borderId="21" fillId="0" fontId="11" numFmtId="165" xfId="0" applyAlignment="1" applyBorder="1" applyFont="1" applyNumberFormat="1">
      <alignment horizontal="center" vertical="center"/>
    </xf>
    <xf borderId="21" fillId="4" fontId="14" numFmtId="0" xfId="0" applyAlignment="1" applyBorder="1" applyFont="1">
      <alignment horizontal="center" vertical="center"/>
    </xf>
    <xf borderId="21" fillId="3" fontId="14" numFmtId="0" xfId="0" applyAlignment="1" applyBorder="1" applyFont="1">
      <alignment horizontal="center" vertical="center"/>
    </xf>
    <xf borderId="2" fillId="0" fontId="11" numFmtId="166" xfId="0" applyAlignment="1" applyBorder="1" applyFont="1" applyNumberFormat="1">
      <alignment horizontal="center" vertical="center"/>
    </xf>
    <xf borderId="0" fillId="3" fontId="17" numFmtId="0" xfId="0" applyFont="1"/>
    <xf borderId="23" fillId="7" fontId="11" numFmtId="0" xfId="0" applyAlignment="1" applyBorder="1" applyFill="1" applyFont="1">
      <alignment horizontal="center" vertical="center"/>
    </xf>
    <xf borderId="21" fillId="3" fontId="11" numFmtId="0" xfId="0" applyAlignment="1" applyBorder="1" applyFont="1">
      <alignment horizontal="center" vertical="center"/>
    </xf>
    <xf borderId="26" fillId="3" fontId="11" numFmtId="0" xfId="0" applyAlignment="1" applyBorder="1" applyFont="1">
      <alignment horizontal="center" vertical="center"/>
    </xf>
    <xf borderId="27" fillId="4" fontId="14" numFmtId="0" xfId="0" applyAlignment="1" applyBorder="1" applyFont="1">
      <alignment horizontal="center" vertical="center"/>
    </xf>
    <xf borderId="18" fillId="4" fontId="11" numFmtId="0" xfId="0" applyAlignment="1" applyBorder="1" applyFont="1">
      <alignment horizontal="center" vertical="center"/>
    </xf>
    <xf borderId="28" fillId="4" fontId="11" numFmtId="165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7" fillId="0" fontId="16" numFmtId="0" xfId="0" applyBorder="1" applyFont="1"/>
    <xf borderId="29" fillId="5" fontId="13" numFmtId="0" xfId="0" applyAlignment="1" applyBorder="1" applyFont="1">
      <alignment horizontal="center" vertical="center"/>
    </xf>
    <xf borderId="29" fillId="0" fontId="18" numFmtId="0" xfId="0" applyAlignment="1" applyBorder="1" applyFont="1">
      <alignment horizontal="center" vertical="center"/>
    </xf>
    <xf borderId="30" fillId="8" fontId="11" numFmtId="0" xfId="0" applyAlignment="1" applyBorder="1" applyFill="1" applyFont="1">
      <alignment horizontal="center" vertical="center"/>
    </xf>
    <xf borderId="31" fillId="0" fontId="16" numFmtId="0" xfId="0" applyBorder="1" applyFont="1"/>
    <xf borderId="32" fillId="0" fontId="16" numFmtId="0" xfId="0" applyBorder="1" applyFont="1"/>
    <xf borderId="33" fillId="0" fontId="16" numFmtId="0" xfId="0" applyBorder="1" applyFont="1"/>
    <xf borderId="34" fillId="6" fontId="11" numFmtId="0" xfId="0" applyAlignment="1" applyBorder="1" applyFont="1">
      <alignment horizontal="center" vertical="center"/>
    </xf>
    <xf borderId="35" fillId="0" fontId="16" numFmtId="0" xfId="0" applyBorder="1" applyFont="1"/>
    <xf borderId="36" fillId="0" fontId="16" numFmtId="0" xfId="0" applyBorder="1" applyFont="1"/>
    <xf borderId="34" fillId="8" fontId="11" numFmtId="0" xfId="0" applyAlignment="1" applyBorder="1" applyFont="1">
      <alignment horizontal="center" vertical="center"/>
    </xf>
    <xf borderId="34" fillId="0" fontId="12" numFmtId="165" xfId="0" applyAlignment="1" applyBorder="1" applyFont="1" applyNumberFormat="1">
      <alignment horizontal="center" vertical="center"/>
    </xf>
    <xf borderId="2" fillId="0" fontId="12" numFmtId="4" xfId="0" applyAlignment="1" applyBorder="1" applyFont="1" applyNumberFormat="1">
      <alignment horizontal="center" vertical="center"/>
    </xf>
    <xf borderId="2" fillId="0" fontId="12" numFmtId="165" xfId="0" applyAlignment="1" applyBorder="1" applyFont="1" applyNumberFormat="1">
      <alignment horizontal="center" vertical="center"/>
    </xf>
    <xf borderId="2" fillId="0" fontId="12" numFmtId="166" xfId="0" applyAlignment="1" applyBorder="1" applyFont="1" applyNumberFormat="1">
      <alignment horizontal="center" vertical="center"/>
    </xf>
    <xf borderId="29" fillId="0" fontId="19" numFmtId="0" xfId="0" applyAlignment="1" applyBorder="1" applyFont="1">
      <alignment horizontal="center" vertical="center"/>
    </xf>
    <xf borderId="37" fillId="5" fontId="13" numFmtId="0" xfId="0" applyAlignment="1" applyBorder="1" applyFont="1">
      <alignment horizontal="center" vertical="center"/>
    </xf>
    <xf borderId="34" fillId="6" fontId="11" numFmtId="0" xfId="0" applyAlignment="1" applyBorder="1" applyFont="1">
      <alignment horizontal="center"/>
    </xf>
    <xf borderId="38" fillId="5" fontId="13" numFmtId="0" xfId="0" applyAlignment="1" applyBorder="1" applyFont="1">
      <alignment horizontal="center" vertical="center"/>
    </xf>
    <xf borderId="34" fillId="8" fontId="11" numFmtId="0" xfId="0" applyAlignment="1" applyBorder="1" applyFont="1">
      <alignment horizontal="center"/>
    </xf>
    <xf borderId="39" fillId="0" fontId="16" numFmtId="0" xfId="0" applyBorder="1" applyFont="1"/>
    <xf borderId="2" fillId="0" fontId="12" numFmtId="164" xfId="0" applyAlignment="1" applyBorder="1" applyFont="1" applyNumberFormat="1">
      <alignment horizontal="center" vertical="center"/>
    </xf>
    <xf borderId="0" fillId="0" fontId="12" numFmtId="0" xfId="0" applyAlignment="1" applyFont="1">
      <alignment horizontal="center" vertical="center"/>
    </xf>
    <xf borderId="34" fillId="6" fontId="12" numFmtId="0" xfId="0" applyAlignment="1" applyBorder="1" applyFont="1">
      <alignment horizontal="center" vertical="center"/>
    </xf>
    <xf borderId="34" fillId="8" fontId="12" numFmtId="0" xfId="0" applyAlignment="1" applyBorder="1" applyFont="1">
      <alignment horizontal="center" vertical="center"/>
    </xf>
    <xf borderId="40" fillId="0" fontId="16" numFmtId="0" xfId="0" applyBorder="1" applyFont="1"/>
    <xf borderId="41" fillId="0" fontId="16" numFmtId="0" xfId="0" applyBorder="1" applyFont="1"/>
    <xf borderId="33" fillId="5" fontId="13" numFmtId="0" xfId="0" applyAlignment="1" applyBorder="1" applyFont="1">
      <alignment horizontal="center" vertical="center"/>
    </xf>
    <xf borderId="33" fillId="0" fontId="20" numFmtId="0" xfId="0" applyAlignment="1" applyBorder="1" applyFont="1">
      <alignment horizontal="center" vertical="center"/>
    </xf>
    <xf borderId="42" fillId="8" fontId="12" numFmtId="0" xfId="0" applyAlignment="1" applyBorder="1" applyFont="1">
      <alignment horizontal="center" vertical="center"/>
    </xf>
    <xf borderId="43" fillId="0" fontId="16" numFmtId="0" xfId="0" applyBorder="1" applyFont="1"/>
    <xf borderId="44" fillId="0" fontId="16" numFmtId="0" xfId="0" applyBorder="1" applyFont="1"/>
    <xf borderId="45" fillId="6" fontId="12" numFmtId="0" xfId="0" applyAlignment="1" applyBorder="1" applyFont="1">
      <alignment horizontal="center" vertical="center"/>
    </xf>
    <xf borderId="46" fillId="0" fontId="16" numFmtId="0" xfId="0" applyBorder="1" applyFont="1"/>
    <xf borderId="16" fillId="0" fontId="16" numFmtId="0" xfId="0" applyBorder="1" applyFont="1"/>
    <xf borderId="21" fillId="0" fontId="12" numFmtId="165" xfId="0" applyAlignment="1" applyBorder="1" applyFont="1" applyNumberFormat="1">
      <alignment horizontal="center" vertical="center"/>
    </xf>
    <xf borderId="47" fillId="0" fontId="12" numFmtId="0" xfId="0" applyAlignment="1" applyBorder="1" applyFont="1">
      <alignment horizontal="center" vertical="center"/>
    </xf>
    <xf borderId="47" fillId="0" fontId="12" numFmtId="4" xfId="0" applyAlignment="1" applyBorder="1" applyFont="1" applyNumberFormat="1">
      <alignment horizontal="center" vertical="center"/>
    </xf>
    <xf borderId="48" fillId="0" fontId="12" numFmtId="0" xfId="0" applyAlignment="1" applyBorder="1" applyFont="1">
      <alignment horizontal="center" vertical="center"/>
    </xf>
    <xf borderId="48" fillId="0" fontId="12" numFmtId="4" xfId="0" applyAlignment="1" applyBorder="1" applyFont="1" applyNumberFormat="1">
      <alignment horizontal="center" vertical="center"/>
    </xf>
    <xf borderId="48" fillId="0" fontId="12" numFmtId="165" xfId="0" applyAlignment="1" applyBorder="1" applyFont="1" applyNumberFormat="1">
      <alignment horizontal="center" vertical="center"/>
    </xf>
    <xf borderId="48" fillId="0" fontId="12" numFmtId="164" xfId="0" applyAlignment="1" applyBorder="1" applyFont="1" applyNumberFormat="1">
      <alignment horizontal="center" vertical="center"/>
    </xf>
    <xf borderId="47" fillId="0" fontId="12" numFmtId="0" xfId="0" applyAlignment="1" applyBorder="1" applyFont="1">
      <alignment horizontal="center"/>
    </xf>
    <xf borderId="47" fillId="0" fontId="21" numFmtId="4" xfId="0" applyBorder="1" applyFont="1" applyNumberFormat="1"/>
    <xf borderId="47" fillId="0" fontId="12" numFmtId="165" xfId="0" applyAlignment="1" applyBorder="1" applyFont="1" applyNumberFormat="1">
      <alignment horizontal="center"/>
    </xf>
    <xf borderId="49" fillId="0" fontId="12" numFmtId="0" xfId="0" applyAlignment="1" applyBorder="1" applyFont="1">
      <alignment horizontal="center"/>
    </xf>
    <xf borderId="49" fillId="0" fontId="21" numFmtId="4" xfId="0" applyBorder="1" applyFont="1" applyNumberFormat="1"/>
    <xf borderId="49" fillId="0" fontId="12" numFmtId="164" xfId="0" applyAlignment="1" applyBorder="1" applyFont="1" applyNumberFormat="1">
      <alignment horizontal="center"/>
    </xf>
    <xf borderId="49" fillId="0" fontId="12" numFmtId="165" xfId="0" applyAlignment="1" applyBorder="1" applyFont="1" applyNumberFormat="1">
      <alignment horizontal="center"/>
    </xf>
    <xf borderId="10" fillId="0" fontId="12" numFmtId="164" xfId="0" applyAlignment="1" applyBorder="1" applyFont="1" applyNumberFormat="1">
      <alignment horizontal="center"/>
    </xf>
    <xf borderId="0" fillId="3" fontId="17" numFmtId="10" xfId="0" applyFont="1" applyNumberFormat="1"/>
    <xf borderId="2" fillId="0" fontId="12" numFmtId="167" xfId="0" applyAlignment="1" applyBorder="1" applyFont="1" applyNumberFormat="1">
      <alignment horizontal="center" vertical="center"/>
    </xf>
    <xf borderId="2" fillId="0" fontId="11" numFmtId="2" xfId="0" applyAlignment="1" applyBorder="1" applyFont="1" applyNumberFormat="1">
      <alignment horizontal="center" vertical="center"/>
    </xf>
    <xf borderId="2" fillId="0" fontId="12" numFmtId="2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horizontal="center" vertical="center"/>
    </xf>
    <xf borderId="1" fillId="0" fontId="12" numFmtId="4" xfId="0" applyAlignment="1" applyBorder="1" applyFont="1" applyNumberFormat="1">
      <alignment horizontal="center" vertical="center"/>
    </xf>
    <xf borderId="1" fillId="0" fontId="12" numFmtId="164" xfId="0" applyAlignment="1" applyBorder="1" applyFont="1" applyNumberFormat="1">
      <alignment horizontal="center" vertical="center"/>
    </xf>
    <xf borderId="0" fillId="5" fontId="2" numFmtId="0" xfId="0" applyFont="1"/>
    <xf borderId="50" fillId="3" fontId="22" numFmtId="4" xfId="0" applyAlignment="1" applyBorder="1" applyFont="1" applyNumberFormat="1">
      <alignment horizontal="center" shrinkToFit="0" wrapText="0"/>
    </xf>
    <xf borderId="0" fillId="6" fontId="22" numFmtId="4" xfId="0" applyAlignment="1" applyFont="1" applyNumberFormat="1">
      <alignment horizontal="center"/>
    </xf>
    <xf borderId="21" fillId="0" fontId="2" numFmtId="165" xfId="0" applyAlignment="1" applyBorder="1" applyFont="1" applyNumberFormat="1">
      <alignment horizontal="center" vertical="center"/>
    </xf>
    <xf borderId="2" fillId="0" fontId="2" numFmtId="0" xfId="0" applyAlignment="1" applyBorder="1" applyFont="1">
      <alignment horizontal="center" vertical="center"/>
    </xf>
    <xf borderId="2" fillId="0" fontId="2" numFmtId="4" xfId="0" applyAlignment="1" applyBorder="1" applyFont="1" applyNumberFormat="1">
      <alignment horizontal="center" vertical="center"/>
    </xf>
    <xf borderId="51" fillId="0" fontId="2" numFmtId="0" xfId="0" applyAlignment="1" applyBorder="1" applyFont="1">
      <alignment horizontal="center" vertical="center"/>
    </xf>
    <xf borderId="51" fillId="0" fontId="2" numFmtId="4" xfId="0" applyAlignment="1" applyBorder="1" applyFont="1" applyNumberFormat="1">
      <alignment horizontal="center" vertical="center"/>
    </xf>
    <xf borderId="0" fillId="0" fontId="12" numFmtId="167" xfId="0" applyAlignment="1" applyFont="1" applyNumberFormat="1">
      <alignment horizontal="center" vertical="center"/>
    </xf>
    <xf borderId="0" fillId="0" fontId="23" numFmtId="0" xfId="0" applyFont="1"/>
    <xf borderId="0" fillId="0" fontId="23" numFmtId="0" xfId="0" applyAlignment="1" applyFont="1">
      <alignment readingOrder="0"/>
    </xf>
    <xf borderId="0" fillId="0" fontId="23" numFmtId="165" xfId="0" applyFont="1" applyNumberFormat="1"/>
    <xf borderId="0" fillId="0" fontId="23" numFmtId="2" xfId="0" applyFont="1" applyNumberFormat="1"/>
    <xf borderId="0" fillId="0" fontId="23" numFmtId="169" xfId="0" applyFont="1" applyNumberFormat="1"/>
    <xf borderId="0" fillId="0" fontId="23" numFmtId="4" xfId="0" applyFont="1" applyNumberFormat="1"/>
    <xf borderId="0" fillId="0" fontId="24" numFmtId="0" xfId="0" applyFont="1"/>
    <xf borderId="0" fillId="3" fontId="12" numFmtId="0" xfId="0" applyAlignment="1" applyFont="1">
      <alignment horizontal="center"/>
    </xf>
    <xf borderId="0" fillId="3" fontId="11" numFmtId="0" xfId="0" applyAlignment="1" applyFont="1">
      <alignment horizontal="center"/>
    </xf>
    <xf borderId="0" fillId="3" fontId="11" numFmtId="165" xfId="0" applyAlignment="1" applyFont="1" applyNumberFormat="1">
      <alignment horizontal="center"/>
    </xf>
    <xf borderId="0" fillId="3" fontId="12" numFmtId="10" xfId="0" applyAlignment="1" applyFont="1" applyNumberFormat="1">
      <alignment horizontal="center"/>
    </xf>
    <xf borderId="0" fillId="3" fontId="12" numFmtId="167" xfId="0" applyAlignment="1" applyFont="1" applyNumberFormat="1">
      <alignment horizontal="center"/>
    </xf>
    <xf borderId="0" fillId="3" fontId="13" numFmtId="0" xfId="0" applyAlignment="1" applyFont="1">
      <alignment horizontal="center" vertical="center"/>
    </xf>
    <xf borderId="0" fillId="3" fontId="13" numFmtId="167" xfId="0" applyAlignment="1" applyFont="1" applyNumberFormat="1">
      <alignment horizontal="center" vertical="center"/>
    </xf>
    <xf borderId="0" fillId="0" fontId="13" numFmtId="0" xfId="0" applyAlignment="1" applyFont="1">
      <alignment horizontal="center" vertical="center"/>
    </xf>
    <xf borderId="52" fillId="9" fontId="1" numFmtId="0" xfId="0" applyAlignment="1" applyBorder="1" applyFill="1" applyFont="1">
      <alignment horizontal="center" vertical="center"/>
    </xf>
    <xf borderId="47" fillId="0" fontId="16" numFmtId="0" xfId="0" applyBorder="1" applyFont="1"/>
    <xf borderId="52" fillId="10" fontId="1" numFmtId="0" xfId="0" applyAlignment="1" applyBorder="1" applyFill="1" applyFont="1">
      <alignment horizontal="center" vertical="center"/>
    </xf>
    <xf borderId="52" fillId="11" fontId="1" numFmtId="0" xfId="0" applyAlignment="1" applyBorder="1" applyFill="1" applyFont="1">
      <alignment horizontal="center" vertical="center"/>
    </xf>
    <xf borderId="52" fillId="12" fontId="1" numFmtId="0" xfId="0" applyAlignment="1" applyBorder="1" applyFill="1" applyFont="1">
      <alignment horizontal="center" vertical="center"/>
    </xf>
    <xf borderId="0" fillId="0" fontId="11" numFmtId="165" xfId="0" applyAlignment="1" applyFont="1" applyNumberFormat="1">
      <alignment horizontal="center"/>
    </xf>
    <xf borderId="0" fillId="0" fontId="11" numFmtId="0" xfId="0" applyAlignment="1" applyFont="1">
      <alignment horizontal="center"/>
    </xf>
    <xf borderId="0" fillId="0" fontId="12" numFmtId="10" xfId="0" applyAlignment="1" applyFont="1" applyNumberFormat="1">
      <alignment horizontal="center"/>
    </xf>
    <xf borderId="0" fillId="0" fontId="12" numFmtId="167" xfId="0" applyAlignment="1" applyFont="1" applyNumberFormat="1">
      <alignment horizontal="center"/>
    </xf>
    <xf borderId="25" fillId="5" fontId="13" numFmtId="0" xfId="0" applyAlignment="1" applyBorder="1" applyFont="1">
      <alignment horizontal="center" vertical="center"/>
    </xf>
    <xf borderId="25" fillId="5" fontId="13" numFmtId="167" xfId="0" applyAlignment="1" applyBorder="1" applyFont="1" applyNumberFormat="1">
      <alignment horizontal="center" vertical="center"/>
    </xf>
    <xf borderId="11" fillId="5" fontId="13" numFmtId="165" xfId="0" applyAlignment="1" applyBorder="1" applyFont="1" applyNumberFormat="1">
      <alignment horizontal="center" vertical="bottom"/>
    </xf>
    <xf borderId="2" fillId="5" fontId="25" numFmtId="0" xfId="0" applyAlignment="1" applyBorder="1" applyFont="1">
      <alignment horizontal="center" vertical="bottom"/>
    </xf>
    <xf borderId="0" fillId="0" fontId="11" numFmtId="167" xfId="0" applyAlignment="1" applyFont="1" applyNumberFormat="1">
      <alignment horizontal="center"/>
    </xf>
    <xf borderId="0" fillId="0" fontId="21" numFmtId="0" xfId="0" applyAlignment="1" applyFont="1">
      <alignment vertical="bottom"/>
    </xf>
    <xf borderId="53" fillId="5" fontId="13" numFmtId="0" xfId="0" applyAlignment="1" applyBorder="1" applyFont="1">
      <alignment horizontal="center" vertical="bottom"/>
    </xf>
    <xf borderId="19" fillId="5" fontId="13" numFmtId="167" xfId="0" applyAlignment="1" applyBorder="1" applyFont="1" applyNumberFormat="1">
      <alignment horizontal="center" vertical="bottom"/>
    </xf>
    <xf borderId="0" fillId="0" fontId="15" numFmtId="0" xfId="0" applyAlignment="1" applyFont="1">
      <alignment horizontal="center" textRotation="90" vertical="center"/>
    </xf>
    <xf borderId="54" fillId="0" fontId="15" numFmtId="0" xfId="0" applyAlignment="1" applyBorder="1" applyFont="1">
      <alignment horizontal="center" vertical="center"/>
    </xf>
    <xf borderId="54" fillId="0" fontId="12" numFmtId="0" xfId="0" applyAlignment="1" applyBorder="1" applyFont="1">
      <alignment horizontal="center" vertical="center"/>
    </xf>
    <xf borderId="54" fillId="0" fontId="12" numFmtId="4" xfId="0" applyAlignment="1" applyBorder="1" applyFont="1" applyNumberFormat="1">
      <alignment horizontal="center" vertical="center"/>
    </xf>
    <xf borderId="54" fillId="0" fontId="12" numFmtId="10" xfId="0" applyAlignment="1" applyBorder="1" applyFont="1" applyNumberFormat="1">
      <alignment horizontal="center" vertical="center"/>
    </xf>
    <xf borderId="0" fillId="0" fontId="12" numFmtId="10" xfId="0" applyAlignment="1" applyFont="1" applyNumberFormat="1">
      <alignment horizontal="center" vertical="center"/>
    </xf>
    <xf borderId="34" fillId="6" fontId="11" numFmtId="165" xfId="0" applyAlignment="1" applyBorder="1" applyFont="1" applyNumberFormat="1">
      <alignment horizontal="center" vertical="bottom"/>
    </xf>
    <xf borderId="2" fillId="3" fontId="26" numFmtId="167" xfId="0" applyBorder="1" applyFont="1" applyNumberFormat="1"/>
    <xf borderId="2" fillId="3" fontId="26" numFmtId="4" xfId="0" applyBorder="1" applyFont="1" applyNumberFormat="1"/>
    <xf borderId="0" fillId="3" fontId="26" numFmtId="4" xfId="0" applyFont="1" applyNumberFormat="1"/>
    <xf borderId="19" fillId="0" fontId="11" numFmtId="167" xfId="0" applyAlignment="1" applyBorder="1" applyFont="1" applyNumberFormat="1">
      <alignment horizontal="center" vertical="bottom"/>
    </xf>
    <xf borderId="21" fillId="0" fontId="11" numFmtId="10" xfId="0" applyAlignment="1" applyBorder="1" applyFont="1" applyNumberFormat="1">
      <alignment horizontal="center" vertical="bottom"/>
    </xf>
    <xf borderId="55" fillId="0" fontId="15" numFmtId="0" xfId="0" applyAlignment="1" applyBorder="1" applyFont="1">
      <alignment horizontal="center" vertical="center"/>
    </xf>
    <xf borderId="55" fillId="0" fontId="12" numFmtId="0" xfId="0" applyAlignment="1" applyBorder="1" applyFont="1">
      <alignment horizontal="center" vertical="center"/>
    </xf>
    <xf borderId="55" fillId="0" fontId="12" numFmtId="4" xfId="0" applyAlignment="1" applyBorder="1" applyFont="1" applyNumberFormat="1">
      <alignment horizontal="center" vertical="center"/>
    </xf>
    <xf borderId="55" fillId="0" fontId="12" numFmtId="10" xfId="0" applyAlignment="1" applyBorder="1" applyFont="1" applyNumberFormat="1">
      <alignment horizontal="center" vertical="center"/>
    </xf>
    <xf borderId="56" fillId="3" fontId="11" numFmtId="10" xfId="0" applyAlignment="1" applyBorder="1" applyFont="1" applyNumberFormat="1">
      <alignment horizontal="center" vertical="center"/>
    </xf>
    <xf borderId="0" fillId="3" fontId="11" numFmtId="10" xfId="0" applyAlignment="1" applyFont="1" applyNumberFormat="1">
      <alignment horizontal="center" vertical="center"/>
    </xf>
    <xf borderId="0" fillId="0" fontId="11" numFmtId="10" xfId="0" applyAlignment="1" applyFont="1" applyNumberFormat="1">
      <alignment horizontal="center" vertical="center"/>
    </xf>
    <xf borderId="34" fillId="5" fontId="13" numFmtId="165" xfId="0" applyAlignment="1" applyBorder="1" applyFont="1" applyNumberFormat="1">
      <alignment horizontal="center" vertical="bottom"/>
    </xf>
    <xf borderId="21" fillId="5" fontId="13" numFmtId="0" xfId="0" applyAlignment="1" applyBorder="1" applyFont="1">
      <alignment horizontal="center" vertical="bottom"/>
    </xf>
    <xf borderId="21" fillId="5" fontId="13" numFmtId="167" xfId="0" applyAlignment="1" applyBorder="1" applyFont="1" applyNumberFormat="1">
      <alignment horizontal="center" vertical="bottom"/>
    </xf>
    <xf borderId="0" fillId="3" fontId="17" numFmtId="167" xfId="0" applyFont="1" applyNumberFormat="1"/>
    <xf borderId="57" fillId="13" fontId="27" numFmtId="165" xfId="0" applyAlignment="1" applyBorder="1" applyFill="1" applyFont="1" applyNumberFormat="1">
      <alignment horizontal="center" vertical="bottom"/>
    </xf>
    <xf borderId="2" fillId="3" fontId="4" numFmtId="10" xfId="0" applyAlignment="1" applyBorder="1" applyFont="1" applyNumberFormat="1">
      <alignment horizontal="center"/>
    </xf>
    <xf borderId="2" fillId="3" fontId="26" numFmtId="10" xfId="0" applyBorder="1" applyFont="1" applyNumberFormat="1"/>
    <xf borderId="0" fillId="3" fontId="26" numFmtId="167" xfId="0" applyFont="1" applyNumberFormat="1"/>
    <xf borderId="27" fillId="0" fontId="11" numFmtId="167" xfId="0" applyAlignment="1" applyBorder="1" applyFont="1" applyNumberFormat="1">
      <alignment horizontal="center" vertical="bottom"/>
    </xf>
    <xf borderId="27" fillId="0" fontId="11" numFmtId="10" xfId="0" applyAlignment="1" applyBorder="1" applyFont="1" applyNumberFormat="1">
      <alignment horizontal="center" vertical="bottom"/>
    </xf>
    <xf borderId="0" fillId="3" fontId="28" numFmtId="0" xfId="0" applyFont="1"/>
    <xf borderId="0" fillId="3" fontId="28" numFmtId="167" xfId="0" applyFont="1" applyNumberFormat="1"/>
    <xf borderId="0" fillId="0" fontId="12" numFmtId="9" xfId="0" applyAlignment="1" applyFont="1" applyNumberFormat="1">
      <alignment horizontal="center"/>
    </xf>
    <xf borderId="58" fillId="5" fontId="25" numFmtId="0" xfId="0" applyAlignment="1" applyBorder="1" applyFont="1">
      <alignment horizontal="center" vertical="bottom"/>
    </xf>
    <xf borderId="2" fillId="9" fontId="25" numFmtId="0" xfId="0" applyAlignment="1" applyBorder="1" applyFont="1">
      <alignment horizontal="center" vertical="bottom"/>
    </xf>
    <xf borderId="2" fillId="10" fontId="25" numFmtId="0" xfId="0" applyAlignment="1" applyBorder="1" applyFont="1">
      <alignment horizontal="center" vertical="bottom"/>
    </xf>
    <xf borderId="2" fillId="11" fontId="25" numFmtId="0" xfId="0" applyAlignment="1" applyBorder="1" applyFont="1">
      <alignment horizontal="center" vertical="bottom"/>
    </xf>
    <xf borderId="2" fillId="12" fontId="25" numFmtId="0" xfId="0" applyAlignment="1" applyBorder="1" applyFont="1">
      <alignment horizontal="center" vertical="bottom"/>
    </xf>
    <xf borderId="2" fillId="5" fontId="25" numFmtId="0" xfId="0" applyAlignment="1" applyBorder="1" applyFont="1">
      <alignment horizontal="center" vertical="bottom"/>
    </xf>
    <xf borderId="52" fillId="5" fontId="25" numFmtId="0" xfId="0" applyAlignment="1" applyBorder="1" applyFont="1">
      <alignment horizontal="center" vertical="bottom"/>
    </xf>
    <xf borderId="52" fillId="5" fontId="25" numFmtId="0" xfId="0" applyAlignment="1" applyBorder="1" applyFont="1">
      <alignment horizontal="center" vertical="bottom"/>
    </xf>
    <xf borderId="52" fillId="9" fontId="25" numFmtId="0" xfId="0" applyAlignment="1" applyBorder="1" applyFont="1">
      <alignment horizontal="center" vertical="bottom"/>
    </xf>
    <xf borderId="52" fillId="10" fontId="25" numFmtId="0" xfId="0" applyAlignment="1" applyBorder="1" applyFont="1">
      <alignment horizontal="center" vertical="bottom"/>
    </xf>
    <xf borderId="52" fillId="11" fontId="25" numFmtId="0" xfId="0" applyAlignment="1" applyBorder="1" applyFont="1">
      <alignment horizontal="center" vertical="bottom"/>
    </xf>
    <xf borderId="52" fillId="12" fontId="25" numFmtId="0" xfId="0" applyAlignment="1" applyBorder="1" applyFont="1">
      <alignment horizontal="center" vertical="bottom"/>
    </xf>
    <xf borderId="0" fillId="0" fontId="25" numFmtId="0" xfId="0" applyAlignment="1" applyFont="1">
      <alignment horizontal="center" vertical="bottom"/>
    </xf>
    <xf borderId="21" fillId="3" fontId="11" numFmtId="165" xfId="0" applyAlignment="1" applyBorder="1" applyFont="1" applyNumberFormat="1">
      <alignment horizontal="center"/>
    </xf>
    <xf borderId="2" fillId="3" fontId="26" numFmtId="4" xfId="0" applyAlignment="1" applyBorder="1" applyFont="1" applyNumberFormat="1">
      <alignment horizontal="center"/>
    </xf>
    <xf borderId="0" fillId="3" fontId="26" numFmtId="4" xfId="0" applyAlignment="1" applyFont="1" applyNumberFormat="1">
      <alignment horizontal="center"/>
    </xf>
    <xf borderId="2" fillId="3" fontId="26" numFmtId="4" xfId="0" applyAlignment="1" applyBorder="1" applyFont="1" applyNumberFormat="1">
      <alignment horizontal="center"/>
    </xf>
    <xf borderId="2" fillId="6" fontId="26" numFmtId="4" xfId="0" applyAlignment="1" applyBorder="1" applyFont="1" applyNumberFormat="1">
      <alignment horizontal="center"/>
    </xf>
    <xf borderId="2" fillId="5" fontId="13" numFmtId="0" xfId="0" applyAlignment="1" applyBorder="1" applyFont="1">
      <alignment horizontal="center" vertical="bottom"/>
    </xf>
    <xf borderId="2" fillId="5" fontId="13" numFmtId="167" xfId="0" applyAlignment="1" applyBorder="1" applyFont="1" applyNumberFormat="1">
      <alignment horizontal="center" vertical="bottom"/>
    </xf>
    <xf borderId="0" fillId="0" fontId="13" numFmtId="167" xfId="0" applyAlignment="1" applyFont="1" applyNumberFormat="1">
      <alignment horizontal="center" vertical="bottom"/>
    </xf>
    <xf borderId="2" fillId="3" fontId="26" numFmtId="10" xfId="0" applyAlignment="1" applyBorder="1" applyFont="1" applyNumberFormat="1">
      <alignment horizontal="center"/>
    </xf>
    <xf borderId="2" fillId="3" fontId="26" numFmtId="10" xfId="0" applyAlignment="1" applyBorder="1" applyFont="1" applyNumberFormat="1">
      <alignment horizontal="center"/>
    </xf>
    <xf borderId="2" fillId="3" fontId="11" numFmtId="0" xfId="0" applyAlignment="1" applyBorder="1" applyFont="1">
      <alignment horizontal="center"/>
    </xf>
    <xf borderId="2" fillId="3" fontId="11" numFmtId="167" xfId="0" applyAlignment="1" applyBorder="1" applyFont="1" applyNumberFormat="1">
      <alignment horizontal="center"/>
    </xf>
    <xf borderId="59" fillId="0" fontId="11" numFmtId="0" xfId="0" applyAlignment="1" applyBorder="1" applyFont="1">
      <alignment horizontal="center"/>
    </xf>
    <xf borderId="2" fillId="0" fontId="12" numFmtId="0" xfId="0" applyAlignment="1" applyBorder="1" applyFont="1">
      <alignment horizontal="center"/>
    </xf>
    <xf borderId="2" fillId="3" fontId="26" numFmtId="167" xfId="0" applyAlignment="1" applyBorder="1" applyFont="1" applyNumberFormat="1">
      <alignment horizontal="center"/>
    </xf>
    <xf borderId="0" fillId="3" fontId="26" numFmtId="0" xfId="0" applyAlignment="1" applyFont="1">
      <alignment horizontal="center"/>
    </xf>
    <xf borderId="2" fillId="3" fontId="26" numFmtId="167" xfId="0" applyBorder="1" applyFont="1" applyNumberFormat="1"/>
    <xf borderId="0" fillId="3" fontId="21" numFmtId="164" xfId="0" applyFont="1" applyNumberFormat="1"/>
    <xf borderId="0" fillId="0" fontId="26" numFmtId="164" xfId="0" applyAlignment="1" applyFont="1" applyNumberFormat="1">
      <alignment horizontal="center"/>
    </xf>
    <xf borderId="0" fillId="3" fontId="26" numFmtId="164" xfId="0" applyAlignment="1" applyFont="1" applyNumberFormat="1">
      <alignment horizontal="center"/>
    </xf>
    <xf borderId="50" fillId="3" fontId="26" numFmtId="4" xfId="0" applyAlignment="1" applyBorder="1" applyFont="1" applyNumberFormat="1">
      <alignment horizontal="center"/>
    </xf>
    <xf borderId="0" fillId="0" fontId="21" numFmtId="164" xfId="0" applyFont="1" applyNumberFormat="1"/>
    <xf borderId="0" fillId="3" fontId="13" numFmtId="0" xfId="0" applyAlignment="1" applyFont="1">
      <alignment horizontal="center" vertical="bottom"/>
    </xf>
    <xf borderId="0" fillId="3" fontId="13" numFmtId="167" xfId="0" applyAlignment="1" applyFont="1" applyNumberFormat="1">
      <alignment horizontal="center" vertical="bottom"/>
    </xf>
    <xf borderId="0" fillId="0" fontId="15" numFmtId="167" xfId="0" applyAlignment="1" applyFont="1" applyNumberFormat="1">
      <alignment horizontal="center"/>
    </xf>
    <xf borderId="0" fillId="0" fontId="15" numFmtId="4" xfId="0" applyAlignment="1" applyFont="1" applyNumberFormat="1">
      <alignment horizontal="center"/>
    </xf>
    <xf borderId="0" fillId="3" fontId="15" numFmtId="4" xfId="0" applyAlignment="1" applyFont="1" applyNumberFormat="1">
      <alignment horizontal="center"/>
    </xf>
    <xf borderId="0" fillId="3" fontId="11" numFmtId="167" xfId="0" applyAlignment="1" applyFont="1" applyNumberFormat="1">
      <alignment horizontal="center"/>
    </xf>
    <xf borderId="0" fillId="0" fontId="12" numFmtId="170" xfId="0" applyAlignment="1" applyFont="1" applyNumberFormat="1">
      <alignment horizontal="center"/>
    </xf>
    <xf borderId="0" fillId="3" fontId="11" numFmtId="3" xfId="0" applyAlignment="1" applyFont="1" applyNumberFormat="1">
      <alignment horizontal="center"/>
    </xf>
    <xf borderId="0" fillId="3" fontId="11" numFmtId="167" xfId="0" applyAlignment="1" applyFont="1" applyNumberFormat="1">
      <alignment horizontal="center" vertical="bottom"/>
    </xf>
    <xf borderId="0" fillId="0" fontId="12" numFmtId="4" xfId="0" applyAlignment="1" applyFont="1" applyNumberFormat="1">
      <alignment horizontal="center"/>
    </xf>
    <xf borderId="0" fillId="3" fontId="12" numFmtId="4" xfId="0" applyAlignment="1" applyFont="1" applyNumberFormat="1">
      <alignment horizontal="center"/>
    </xf>
    <xf borderId="0" fillId="0" fontId="29" numFmtId="0" xfId="0" applyAlignment="1" applyFont="1">
      <alignment horizontal="center" vertical="bottom"/>
    </xf>
    <xf borderId="0" fillId="3" fontId="25" numFmtId="0" xfId="0" applyAlignment="1" applyFont="1">
      <alignment horizontal="center" vertical="bottom"/>
    </xf>
    <xf borderId="0" fillId="3" fontId="13" numFmtId="0" xfId="0" applyAlignment="1" applyFont="1">
      <alignment horizontal="center"/>
    </xf>
    <xf borderId="0" fillId="5" fontId="13" numFmtId="0" xfId="0" applyAlignment="1" applyFont="1">
      <alignment horizontal="center" vertical="center"/>
    </xf>
    <xf borderId="0" fillId="5" fontId="13" numFmtId="167" xfId="0" applyAlignment="1" applyFont="1" applyNumberFormat="1">
      <alignment horizontal="center" vertical="center"/>
    </xf>
    <xf borderId="52" fillId="10" fontId="30" numFmtId="0" xfId="0" applyAlignment="1" applyBorder="1" applyFont="1">
      <alignment horizontal="center" vertical="center"/>
    </xf>
    <xf borderId="52" fillId="11" fontId="30" numFmtId="0" xfId="0" applyAlignment="1" applyBorder="1" applyFont="1">
      <alignment horizontal="center" vertical="center"/>
    </xf>
    <xf borderId="25" fillId="3" fontId="13" numFmtId="0" xfId="0" applyAlignment="1" applyBorder="1" applyFont="1">
      <alignment horizontal="center"/>
    </xf>
    <xf borderId="25" fillId="3" fontId="13" numFmtId="0" xfId="0" applyAlignment="1" applyBorder="1" applyFont="1">
      <alignment horizontal="center" vertical="center"/>
    </xf>
    <xf borderId="19" fillId="5" fontId="13" numFmtId="165" xfId="0" applyAlignment="1" applyBorder="1" applyFont="1" applyNumberFormat="1">
      <alignment horizontal="center" vertical="bottom"/>
    </xf>
    <xf borderId="0" fillId="0" fontId="28" numFmtId="0" xfId="0" applyFont="1"/>
    <xf borderId="0" fillId="3" fontId="12" numFmtId="10" xfId="0" applyAlignment="1" applyFont="1" applyNumberFormat="1">
      <alignment horizontal="center" vertical="center"/>
    </xf>
    <xf borderId="21" fillId="6" fontId="11" numFmtId="165" xfId="0" applyAlignment="1" applyBorder="1" applyFont="1" applyNumberFormat="1">
      <alignment horizontal="center" vertical="bottom"/>
    </xf>
    <xf borderId="0" fillId="0" fontId="26" numFmtId="4" xfId="0" applyFont="1" applyNumberFormat="1"/>
    <xf borderId="21" fillId="5" fontId="13" numFmtId="165" xfId="0" applyAlignment="1" applyBorder="1" applyFont="1" applyNumberFormat="1">
      <alignment horizontal="center" vertical="bottom"/>
    </xf>
    <xf borderId="60" fillId="0" fontId="11" numFmtId="165" xfId="0" applyAlignment="1" applyBorder="1" applyFont="1" applyNumberFormat="1">
      <alignment horizontal="center" vertical="bottom"/>
    </xf>
    <xf borderId="27" fillId="13" fontId="31" numFmtId="165" xfId="0" applyAlignment="1" applyBorder="1" applyFont="1" applyNumberFormat="1">
      <alignment horizontal="center" vertical="bottom"/>
    </xf>
    <xf borderId="0" fillId="0" fontId="26" numFmtId="10" xfId="0" applyFont="1" applyNumberFormat="1"/>
    <xf borderId="0" fillId="3" fontId="26" numFmtId="10" xfId="0" applyFont="1" applyNumberFormat="1"/>
    <xf borderId="0" fillId="3" fontId="28" numFmtId="171" xfId="0" applyFont="1" applyNumberFormat="1"/>
    <xf borderId="2" fillId="2" fontId="25" numFmtId="0" xfId="0" applyAlignment="1" applyBorder="1" applyFont="1">
      <alignment horizontal="center" vertical="bottom"/>
    </xf>
    <xf borderId="0" fillId="0" fontId="2" numFmtId="0" xfId="0" applyFont="1"/>
    <xf borderId="0" fillId="0" fontId="12" numFmtId="10" xfId="0" applyAlignment="1" applyFont="1" applyNumberFormat="1">
      <alignment horizontal="center"/>
    </xf>
    <xf borderId="2" fillId="3" fontId="26" numFmtId="165" xfId="0" applyAlignment="1" applyBorder="1" applyFont="1" applyNumberFormat="1">
      <alignment horizontal="center"/>
    </xf>
    <xf borderId="52" fillId="3" fontId="26" numFmtId="4" xfId="0" applyAlignment="1" applyBorder="1" applyFont="1" applyNumberFormat="1">
      <alignment horizontal="center"/>
    </xf>
    <xf borderId="61" fillId="3" fontId="26" numFmtId="4" xfId="0" applyAlignment="1" applyBorder="1" applyFont="1" applyNumberFormat="1">
      <alignment horizontal="center"/>
    </xf>
    <xf borderId="47" fillId="3" fontId="26" numFmtId="4" xfId="0" applyAlignment="1" applyBorder="1" applyFont="1" applyNumberFormat="1">
      <alignment horizontal="center"/>
    </xf>
    <xf borderId="61" fillId="3" fontId="26" numFmtId="4" xfId="0" applyAlignment="1" applyBorder="1" applyFont="1" applyNumberFormat="1">
      <alignment horizontal="center"/>
    </xf>
    <xf borderId="2" fillId="6" fontId="26" numFmtId="4" xfId="0" applyAlignment="1" applyBorder="1" applyFont="1" applyNumberFormat="1">
      <alignment horizontal="center"/>
    </xf>
    <xf borderId="0" fillId="3" fontId="12" numFmtId="10" xfId="0" applyAlignment="1" applyFont="1" applyNumberFormat="1">
      <alignment horizontal="center"/>
    </xf>
    <xf borderId="2" fillId="6" fontId="26" numFmtId="4" xfId="0" applyAlignment="1" applyBorder="1" applyFont="1" applyNumberFormat="1">
      <alignment horizontal="center" vertical="bottom"/>
    </xf>
    <xf borderId="47" fillId="6" fontId="26" numFmtId="4" xfId="0" applyAlignment="1" applyBorder="1" applyFont="1" applyNumberFormat="1">
      <alignment horizontal="center" vertical="bottom"/>
    </xf>
    <xf borderId="62" fillId="3" fontId="21" numFmtId="4" xfId="0" applyAlignment="1" applyBorder="1" applyFont="1" applyNumberFormat="1">
      <alignment vertical="bottom"/>
    </xf>
    <xf borderId="62" fillId="6" fontId="21" numFmtId="4" xfId="0" applyAlignment="1" applyBorder="1" applyFont="1" applyNumberFormat="1">
      <alignment vertical="bottom"/>
    </xf>
    <xf borderId="0" fillId="3" fontId="26" numFmtId="164" xfId="0" applyAlignment="1" applyFont="1" applyNumberFormat="1">
      <alignment horizontal="center"/>
    </xf>
    <xf borderId="50" fillId="3" fontId="26" numFmtId="4" xfId="0" applyAlignment="1" applyBorder="1" applyFont="1" applyNumberFormat="1">
      <alignment horizontal="center"/>
    </xf>
    <xf borderId="0" fillId="3" fontId="26" numFmtId="4" xfId="0" applyAlignment="1" applyFont="1" applyNumberFormat="1">
      <alignment horizontal="center"/>
    </xf>
    <xf borderId="0" fillId="3" fontId="15" numFmtId="4" xfId="0" applyAlignment="1" applyFont="1" applyNumberFormat="1">
      <alignment horizontal="center"/>
    </xf>
    <xf borderId="0" fillId="3" fontId="12" numFmtId="167" xfId="0" applyAlignment="1" applyFont="1" applyNumberFormat="1">
      <alignment horizontal="center"/>
    </xf>
    <xf borderId="0" fillId="3" fontId="12" numFmtId="4" xfId="0" applyAlignment="1" applyFont="1" applyNumberFormat="1">
      <alignment horizontal="center"/>
    </xf>
    <xf borderId="0" fillId="0" fontId="32" numFmtId="10" xfId="0" applyAlignment="1" applyFont="1" applyNumberFormat="1">
      <alignment horizontal="center"/>
    </xf>
    <xf borderId="0" fillId="0" fontId="4" numFmtId="0" xfId="0" applyAlignment="1" applyFont="1">
      <alignment horizontal="center"/>
    </xf>
    <xf borderId="0" fillId="0" fontId="26" numFmtId="0" xfId="0" applyAlignment="1" applyFont="1">
      <alignment horizontal="center"/>
    </xf>
    <xf borderId="63" fillId="5" fontId="25" numFmtId="0" xfId="0" applyAlignment="1" applyBorder="1" applyFont="1">
      <alignment horizontal="center" vertical="bottom"/>
    </xf>
    <xf borderId="2" fillId="5" fontId="25" numFmtId="167" xfId="0" applyAlignment="1" applyBorder="1" applyFont="1" applyNumberFormat="1">
      <alignment horizontal="center" vertical="bottom"/>
    </xf>
    <xf borderId="0" fillId="3" fontId="22" numFmtId="172" xfId="0" applyAlignment="1" applyFont="1" applyNumberFormat="1">
      <alignment horizontal="right"/>
    </xf>
    <xf borderId="0" fillId="0" fontId="4" numFmtId="0" xfId="0" applyFont="1"/>
    <xf borderId="0" fillId="0" fontId="26" numFmtId="173" xfId="0" applyAlignment="1" applyFont="1" applyNumberFormat="1">
      <alignment horizontal="center"/>
    </xf>
    <xf borderId="64" fillId="6" fontId="4" numFmtId="165" xfId="0" applyAlignment="1" applyBorder="1" applyFont="1" applyNumberFormat="1">
      <alignment horizontal="center" vertical="bottom"/>
    </xf>
    <xf borderId="51" fillId="0" fontId="4" numFmtId="10" xfId="0" applyAlignment="1" applyBorder="1" applyFont="1" applyNumberFormat="1">
      <alignment horizontal="center" vertical="bottom"/>
    </xf>
    <xf borderId="0" fillId="3" fontId="22" numFmtId="10" xfId="0" applyFont="1" applyNumberFormat="1"/>
    <xf borderId="0" fillId="0" fontId="26" numFmtId="10" xfId="0" applyAlignment="1" applyFont="1" applyNumberFormat="1">
      <alignment horizontal="center"/>
    </xf>
    <xf borderId="2" fillId="10" fontId="25" numFmtId="0" xfId="0" applyAlignment="1" applyBorder="1" applyFont="1">
      <alignment horizontal="center"/>
    </xf>
    <xf borderId="48" fillId="0" fontId="26" numFmtId="0" xfId="0" applyAlignment="1" applyBorder="1" applyFont="1">
      <alignment horizontal="center" vertical="bottom"/>
    </xf>
    <xf borderId="19" fillId="5" fontId="25" numFmtId="0" xfId="0" applyAlignment="1" applyBorder="1" applyFont="1">
      <alignment horizontal="center" vertical="bottom"/>
    </xf>
    <xf borderId="65" fillId="5" fontId="25" numFmtId="167" xfId="0" applyAlignment="1" applyBorder="1" applyFont="1" applyNumberFormat="1">
      <alignment horizontal="center" vertical="bottom"/>
    </xf>
    <xf borderId="66" fillId="5" fontId="25" numFmtId="167" xfId="0" applyAlignment="1" applyBorder="1" applyFont="1" applyNumberFormat="1">
      <alignment horizontal="center" vertical="bottom"/>
    </xf>
    <xf borderId="20" fillId="5" fontId="25" numFmtId="0" xfId="0" applyAlignment="1" applyBorder="1" applyFont="1">
      <alignment horizontal="center" vertical="bottom"/>
    </xf>
    <xf borderId="5" fillId="5" fontId="33" numFmtId="0" xfId="0" applyAlignment="1" applyBorder="1" applyFont="1">
      <alignment horizontal="center"/>
    </xf>
    <xf borderId="21" fillId="6" fontId="4" numFmtId="167" xfId="0" applyAlignment="1" applyBorder="1" applyFont="1" applyNumberFormat="1">
      <alignment horizontal="center" vertical="bottom"/>
    </xf>
    <xf borderId="47" fillId="0" fontId="4" numFmtId="167" xfId="0" applyAlignment="1" applyBorder="1" applyFont="1" applyNumberFormat="1">
      <alignment horizontal="center" vertical="bottom"/>
    </xf>
    <xf borderId="2" fillId="0" fontId="4" numFmtId="167" xfId="0" applyAlignment="1" applyBorder="1" applyFont="1" applyNumberFormat="1">
      <alignment horizontal="center" vertical="bottom"/>
    </xf>
    <xf borderId="67" fillId="0" fontId="4" numFmtId="167" xfId="0" applyAlignment="1" applyBorder="1" applyFont="1" applyNumberFormat="1">
      <alignment horizontal="center" vertical="bottom"/>
    </xf>
    <xf borderId="0" fillId="0" fontId="4" numFmtId="167" xfId="0" applyAlignment="1" applyFont="1" applyNumberFormat="1">
      <alignment horizontal="center" vertical="bottom"/>
    </xf>
    <xf borderId="33" fillId="5" fontId="33" numFmtId="0" xfId="0" applyAlignment="1" applyBorder="1" applyFont="1">
      <alignment horizontal="center" vertical="center"/>
    </xf>
    <xf borderId="68" fillId="5" fontId="33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5" fillId="5" fontId="33" numFmtId="0" xfId="0" applyAlignment="1" applyBorder="1" applyFont="1">
      <alignment horizontal="center" vertical="bottom"/>
    </xf>
    <xf borderId="24" fillId="5" fontId="25" numFmtId="167" xfId="0" applyAlignment="1" applyBorder="1" applyFont="1" applyNumberFormat="1">
      <alignment horizontal="center" vertical="bottom"/>
    </xf>
    <xf borderId="47" fillId="5" fontId="25" numFmtId="167" xfId="0" applyAlignment="1" applyBorder="1" applyFont="1" applyNumberFormat="1">
      <alignment horizontal="center" vertical="bottom"/>
    </xf>
    <xf borderId="67" fillId="5" fontId="25" numFmtId="0" xfId="0" applyAlignment="1" applyBorder="1" applyFont="1">
      <alignment horizontal="center" vertical="bottom"/>
    </xf>
    <xf borderId="41" fillId="5" fontId="33" numFmtId="0" xfId="0" applyAlignment="1" applyBorder="1" applyFont="1">
      <alignment horizontal="center" vertical="bottom"/>
    </xf>
    <xf borderId="16" fillId="5" fontId="33" numFmtId="0" xfId="0" applyAlignment="1" applyBorder="1" applyFont="1">
      <alignment horizontal="center" vertical="bottom"/>
    </xf>
    <xf borderId="3" fillId="6" fontId="4" numFmtId="167" xfId="0" applyAlignment="1" applyBorder="1" applyFont="1" applyNumberFormat="1">
      <alignment horizontal="center"/>
    </xf>
    <xf borderId="69" fillId="0" fontId="4" numFmtId="10" xfId="0" applyAlignment="1" applyBorder="1" applyFont="1" applyNumberFormat="1">
      <alignment horizontal="center" vertical="bottom"/>
    </xf>
    <xf borderId="70" fillId="0" fontId="4" numFmtId="10" xfId="0" applyAlignment="1" applyBorder="1" applyFont="1" applyNumberFormat="1">
      <alignment horizontal="center" vertical="bottom"/>
    </xf>
    <xf borderId="0" fillId="0" fontId="4" numFmtId="10" xfId="0" applyAlignment="1" applyFont="1" applyNumberFormat="1">
      <alignment horizontal="center" vertical="bottom"/>
    </xf>
    <xf borderId="0" fillId="0" fontId="29" numFmtId="0" xfId="0" applyAlignment="1" applyFont="1">
      <alignment horizontal="center"/>
    </xf>
    <xf borderId="48" fillId="0" fontId="34" numFmtId="0" xfId="0" applyAlignment="1" applyBorder="1" applyFont="1">
      <alignment horizontal="center" vertical="bottom"/>
    </xf>
    <xf borderId="49" fillId="0" fontId="26" numFmtId="10" xfId="0" applyAlignment="1" applyBorder="1" applyFont="1" applyNumberFormat="1">
      <alignment horizontal="center" vertical="bottom"/>
    </xf>
    <xf borderId="59" fillId="0" fontId="35" numFmtId="0" xfId="0" applyAlignment="1" applyBorder="1" applyFont="1">
      <alignment horizontal="center" vertical="bottom"/>
    </xf>
    <xf borderId="41" fillId="8" fontId="26" numFmtId="167" xfId="0" applyAlignment="1" applyBorder="1" applyFont="1" applyNumberFormat="1">
      <alignment horizontal="center" vertical="bottom"/>
    </xf>
    <xf borderId="16" fillId="8" fontId="26" numFmtId="10" xfId="0" applyAlignment="1" applyBorder="1" applyFont="1" applyNumberFormat="1">
      <alignment horizontal="center" vertical="bottom"/>
    </xf>
    <xf borderId="0" fillId="0" fontId="26" numFmtId="0" xfId="0" applyFont="1"/>
    <xf borderId="0" fillId="0" fontId="4" numFmtId="10" xfId="0" applyAlignment="1" applyFont="1" applyNumberFormat="1">
      <alignment horizontal="center"/>
    </xf>
    <xf borderId="0" fillId="0" fontId="4" numFmtId="4" xfId="0" applyAlignment="1" applyFont="1" applyNumberFormat="1">
      <alignment horizontal="center"/>
    </xf>
    <xf borderId="46" fillId="0" fontId="26" numFmtId="167" xfId="0" applyAlignment="1" applyBorder="1" applyFont="1" applyNumberFormat="1">
      <alignment vertical="bottom"/>
    </xf>
    <xf borderId="46" fillId="0" fontId="26" numFmtId="0" xfId="0" applyAlignment="1" applyBorder="1" applyFont="1">
      <alignment vertical="bottom"/>
    </xf>
    <xf borderId="45" fillId="5" fontId="33" numFmtId="0" xfId="0" applyAlignment="1" applyBorder="1" applyFont="1">
      <alignment horizontal="center" vertical="bottom"/>
    </xf>
    <xf borderId="53" fillId="5" fontId="25" numFmtId="0" xfId="0" applyAlignment="1" applyBorder="1" applyFont="1">
      <alignment horizontal="center" vertical="bottom"/>
    </xf>
    <xf borderId="71" fillId="5" fontId="25" numFmtId="167" xfId="0" applyAlignment="1" applyBorder="1" applyFont="1" applyNumberFormat="1">
      <alignment horizontal="center" vertical="bottom"/>
    </xf>
    <xf borderId="72" fillId="5" fontId="25" numFmtId="167" xfId="0" applyAlignment="1" applyBorder="1" applyFont="1" applyNumberFormat="1">
      <alignment horizontal="center" vertical="bottom"/>
    </xf>
    <xf borderId="73" fillId="5" fontId="25" numFmtId="0" xfId="0" applyAlignment="1" applyBorder="1" applyFont="1">
      <alignment horizontal="center"/>
    </xf>
    <xf borderId="0" fillId="0" fontId="25" numFmtId="0" xfId="0" applyAlignment="1" applyFont="1">
      <alignment horizontal="center"/>
    </xf>
    <xf borderId="0" fillId="0" fontId="26" numFmtId="1" xfId="0" applyAlignment="1" applyFont="1" applyNumberFormat="1">
      <alignment horizontal="center"/>
    </xf>
    <xf borderId="0" fillId="0" fontId="26" numFmtId="174" xfId="0" applyAlignment="1" applyFont="1" applyNumberFormat="1">
      <alignment horizontal="center"/>
    </xf>
    <xf borderId="19" fillId="0" fontId="4" numFmtId="167" xfId="0" applyAlignment="1" applyBorder="1" applyFont="1" applyNumberFormat="1">
      <alignment horizontal="center" vertical="bottom"/>
    </xf>
    <xf borderId="12" fillId="0" fontId="4" numFmtId="167" xfId="0" applyAlignment="1" applyBorder="1" applyFont="1" applyNumberFormat="1">
      <alignment horizontal="center" vertical="bottom"/>
    </xf>
    <xf borderId="20" fillId="0" fontId="4" numFmtId="167" xfId="0" applyAlignment="1" applyBorder="1" applyFont="1" applyNumberFormat="1">
      <alignment horizontal="center" vertical="bottom"/>
    </xf>
    <xf borderId="68" fillId="0" fontId="4" numFmtId="167" xfId="0" applyAlignment="1" applyBorder="1" applyFont="1" applyNumberFormat="1">
      <alignment horizontal="center"/>
    </xf>
    <xf borderId="0" fillId="0" fontId="4" numFmtId="167" xfId="0" applyAlignment="1" applyFont="1" applyNumberFormat="1">
      <alignment horizontal="center"/>
    </xf>
    <xf borderId="0" fillId="0" fontId="26" numFmtId="167" xfId="0" applyAlignment="1" applyFont="1" applyNumberFormat="1">
      <alignment horizontal="center"/>
    </xf>
    <xf borderId="21" fillId="5" fontId="25" numFmtId="0" xfId="0" applyAlignment="1" applyBorder="1" applyFont="1">
      <alignment horizontal="center" vertical="bottom"/>
    </xf>
    <xf borderId="35" fillId="5" fontId="25" numFmtId="167" xfId="0" applyAlignment="1" applyBorder="1" applyFont="1" applyNumberFormat="1">
      <alignment horizontal="center" vertical="bottom"/>
    </xf>
    <xf borderId="67" fillId="5" fontId="25" numFmtId="167" xfId="0" applyAlignment="1" applyBorder="1" applyFont="1" applyNumberFormat="1">
      <alignment horizontal="center" vertical="bottom"/>
    </xf>
    <xf borderId="46" fillId="0" fontId="26" numFmtId="10" xfId="0" applyAlignment="1" applyBorder="1" applyFont="1" applyNumberFormat="1">
      <alignment vertical="bottom"/>
    </xf>
    <xf borderId="27" fillId="0" fontId="4" numFmtId="167" xfId="0" applyAlignment="1" applyBorder="1" applyFont="1" applyNumberFormat="1">
      <alignment horizontal="center" vertical="bottom"/>
    </xf>
    <xf borderId="74" fillId="0" fontId="4" numFmtId="167" xfId="0" applyAlignment="1" applyBorder="1" applyFont="1" applyNumberFormat="1">
      <alignment horizontal="center" vertical="bottom"/>
    </xf>
    <xf borderId="70" fillId="0" fontId="4" numFmtId="167" xfId="0" applyAlignment="1" applyBorder="1" applyFont="1" applyNumberFormat="1">
      <alignment horizontal="center" vertical="bottom"/>
    </xf>
    <xf borderId="18" fillId="3" fontId="4" numFmtId="167" xfId="0" applyAlignment="1" applyBorder="1" applyFont="1" applyNumberFormat="1">
      <alignment horizontal="center"/>
    </xf>
    <xf borderId="2" fillId="5" fontId="25" numFmtId="0" xfId="0" applyAlignment="1" applyBorder="1" applyFont="1">
      <alignment horizontal="center"/>
    </xf>
    <xf borderId="48" fillId="0" fontId="26" numFmtId="10" xfId="0" applyAlignment="1" applyBorder="1" applyFont="1" applyNumberFormat="1">
      <alignment horizontal="center" vertical="bottom"/>
    </xf>
    <xf borderId="6" fillId="0" fontId="26" numFmtId="0" xfId="0" applyAlignment="1" applyBorder="1" applyFont="1">
      <alignment vertical="bottom"/>
    </xf>
    <xf borderId="46" fillId="14" fontId="36" numFmtId="0" xfId="0" applyAlignment="1" applyBorder="1" applyFill="1" applyFont="1">
      <alignment horizontal="center" vertical="bottom"/>
    </xf>
    <xf borderId="29" fillId="5" fontId="25" numFmtId="0" xfId="0" applyAlignment="1" applyBorder="1" applyFont="1">
      <alignment horizontal="center" vertical="bottom"/>
    </xf>
    <xf borderId="29" fillId="5" fontId="25" numFmtId="167" xfId="0" applyAlignment="1" applyBorder="1" applyFont="1" applyNumberFormat="1">
      <alignment horizontal="center" vertical="bottom"/>
    </xf>
    <xf borderId="29" fillId="5" fontId="25" numFmtId="0" xfId="0" applyAlignment="1" applyBorder="1" applyFont="1">
      <alignment horizontal="center"/>
    </xf>
    <xf borderId="75" fillId="5" fontId="25" numFmtId="0" xfId="0" applyAlignment="1" applyBorder="1" applyFont="1">
      <alignment horizontal="center"/>
    </xf>
    <xf borderId="0" fillId="3" fontId="26" numFmtId="0" xfId="0" applyFont="1"/>
    <xf borderId="49" fillId="3" fontId="26" numFmtId="0" xfId="0" applyAlignment="1" applyBorder="1" applyFont="1">
      <alignment vertical="bottom"/>
    </xf>
    <xf borderId="47" fillId="5" fontId="33" numFmtId="0" xfId="0" applyAlignment="1" applyBorder="1" applyFont="1">
      <alignment horizontal="center" vertical="bottom"/>
    </xf>
    <xf borderId="0" fillId="0" fontId="26" numFmtId="0" xfId="0" applyAlignment="1" applyFont="1">
      <alignment vertical="bottom"/>
    </xf>
    <xf borderId="0" fillId="0" fontId="33" numFmtId="0" xfId="0" applyAlignment="1" applyFont="1">
      <alignment horizontal="center" vertical="bottom"/>
    </xf>
    <xf borderId="76" fillId="5" fontId="33" numFmtId="0" xfId="0" applyAlignment="1" applyBorder="1" applyFont="1">
      <alignment horizontal="center" vertical="bottom"/>
    </xf>
    <xf borderId="77" fillId="5" fontId="33" numFmtId="0" xfId="0" applyAlignment="1" applyBorder="1" applyFont="1">
      <alignment horizontal="center" vertical="bottom"/>
    </xf>
    <xf borderId="19" fillId="3" fontId="4" numFmtId="0" xfId="0" applyAlignment="1" applyBorder="1" applyFont="1">
      <alignment horizontal="center" vertical="center"/>
    </xf>
    <xf borderId="66" fillId="3" fontId="4" numFmtId="0" xfId="0" applyAlignment="1" applyBorder="1" applyFont="1">
      <alignment horizontal="center" vertical="center"/>
    </xf>
    <xf borderId="66" fillId="3" fontId="4" numFmtId="10" xfId="0" applyAlignment="1" applyBorder="1" applyFont="1" applyNumberFormat="1">
      <alignment horizontal="center" vertical="center"/>
    </xf>
    <xf borderId="66" fillId="3" fontId="4" numFmtId="175" xfId="0" applyAlignment="1" applyBorder="1" applyFont="1" applyNumberFormat="1">
      <alignment horizontal="center" vertical="center"/>
    </xf>
    <xf borderId="2" fillId="3" fontId="4" numFmtId="4" xfId="0" applyAlignment="1" applyBorder="1" applyFont="1" applyNumberFormat="1">
      <alignment horizontal="center" vertical="center"/>
    </xf>
    <xf borderId="52" fillId="3" fontId="4" numFmtId="175" xfId="0" applyAlignment="1" applyBorder="1" applyFont="1" applyNumberFormat="1">
      <alignment horizontal="center" vertical="center"/>
    </xf>
    <xf borderId="67" fillId="8" fontId="26" numFmtId="175" xfId="0" applyAlignment="1" applyBorder="1" applyFont="1" applyNumberFormat="1">
      <alignment horizontal="center"/>
    </xf>
    <xf borderId="48" fillId="0" fontId="26" numFmtId="0" xfId="0" applyAlignment="1" applyBorder="1" applyFont="1">
      <alignment vertical="bottom"/>
    </xf>
    <xf borderId="2" fillId="8" fontId="26" numFmtId="167" xfId="0" applyAlignment="1" applyBorder="1" applyFont="1" applyNumberFormat="1">
      <alignment horizontal="center" vertical="bottom"/>
    </xf>
    <xf borderId="2" fillId="8" fontId="26" numFmtId="175" xfId="0" applyAlignment="1" applyBorder="1" applyFont="1" applyNumberFormat="1">
      <alignment horizontal="center" vertical="bottom"/>
    </xf>
    <xf borderId="0" fillId="3" fontId="37" numFmtId="10" xfId="0" applyAlignment="1" applyFont="1" applyNumberFormat="1">
      <alignment horizontal="center" vertical="bottom"/>
    </xf>
    <xf borderId="0" fillId="3" fontId="37" numFmtId="176" xfId="0" applyAlignment="1" applyFont="1" applyNumberFormat="1">
      <alignment horizontal="center" vertical="bottom"/>
    </xf>
    <xf borderId="0" fillId="3" fontId="37" numFmtId="0" xfId="0" applyAlignment="1" applyFont="1">
      <alignment horizontal="center" vertical="bottom"/>
    </xf>
    <xf borderId="76" fillId="15" fontId="26" numFmtId="0" xfId="0" applyAlignment="1" applyBorder="1" applyFill="1" applyFont="1">
      <alignment horizontal="center" vertical="bottom"/>
    </xf>
    <xf borderId="77" fillId="15" fontId="26" numFmtId="10" xfId="0" applyAlignment="1" applyBorder="1" applyFont="1" applyNumberFormat="1">
      <alignment horizontal="center" vertical="bottom"/>
    </xf>
    <xf borderId="77" fillId="15" fontId="26" numFmtId="167" xfId="0" applyAlignment="1" applyBorder="1" applyFont="1" applyNumberFormat="1">
      <alignment horizontal="center" vertical="bottom"/>
    </xf>
    <xf borderId="21" fillId="3" fontId="4" numFmtId="0" xfId="0" applyAlignment="1" applyBorder="1" applyFont="1">
      <alignment horizontal="center" vertical="center"/>
    </xf>
    <xf borderId="2" fillId="3" fontId="4" numFmtId="10" xfId="0" applyAlignment="1" applyBorder="1" applyFont="1" applyNumberFormat="1">
      <alignment horizontal="center" vertical="center"/>
    </xf>
    <xf borderId="2" fillId="3" fontId="4" numFmtId="175" xfId="0" applyAlignment="1" applyBorder="1" applyFont="1" applyNumberFormat="1">
      <alignment horizontal="center" vertical="center"/>
    </xf>
    <xf borderId="16" fillId="8" fontId="26" numFmtId="167" xfId="0" applyAlignment="1" applyBorder="1" applyFont="1" applyNumberFormat="1">
      <alignment horizontal="center" vertical="bottom"/>
    </xf>
    <xf borderId="16" fillId="8" fontId="26" numFmtId="173" xfId="0" applyAlignment="1" applyBorder="1" applyFont="1" applyNumberFormat="1">
      <alignment horizontal="center" vertical="bottom"/>
    </xf>
    <xf borderId="0" fillId="0" fontId="21" numFmtId="0" xfId="0" applyFont="1"/>
    <xf borderId="55" fillId="0" fontId="26" numFmtId="0" xfId="0" applyAlignment="1" applyBorder="1" applyFont="1">
      <alignment vertical="bottom"/>
    </xf>
    <xf borderId="16" fillId="8" fontId="26" numFmtId="177" xfId="0" applyAlignment="1" applyBorder="1" applyFont="1" applyNumberFormat="1">
      <alignment horizontal="center" vertical="bottom"/>
    </xf>
    <xf borderId="49" fillId="5" fontId="33" numFmtId="0" xfId="0" applyAlignment="1" applyBorder="1" applyFont="1">
      <alignment horizontal="center" vertical="bottom"/>
    </xf>
    <xf borderId="48" fillId="0" fontId="26" numFmtId="9" xfId="0" applyAlignment="1" applyBorder="1" applyFont="1" applyNumberFormat="1">
      <alignment horizontal="center" vertical="bottom"/>
    </xf>
    <xf borderId="0" fillId="3" fontId="26" numFmtId="167" xfId="0" applyAlignment="1" applyFont="1" applyNumberFormat="1">
      <alignment horizontal="center"/>
    </xf>
    <xf borderId="76" fillId="15" fontId="26" numFmtId="10" xfId="0" applyAlignment="1" applyBorder="1" applyFont="1" applyNumberFormat="1">
      <alignment horizontal="center" vertical="bottom"/>
    </xf>
    <xf borderId="0" fillId="3" fontId="26" numFmtId="178" xfId="0" applyAlignment="1" applyFont="1" applyNumberFormat="1">
      <alignment horizontal="center"/>
    </xf>
    <xf borderId="76" fillId="15" fontId="26" numFmtId="179" xfId="0" applyAlignment="1" applyBorder="1" applyFont="1" applyNumberFormat="1">
      <alignment horizontal="center" vertical="bottom"/>
    </xf>
    <xf borderId="68" fillId="15" fontId="26" numFmtId="10" xfId="0" applyAlignment="1" applyBorder="1" applyFont="1" applyNumberFormat="1">
      <alignment horizontal="center" vertical="bottom"/>
    </xf>
    <xf borderId="45" fillId="15" fontId="26" numFmtId="0" xfId="0" applyAlignment="1" applyBorder="1" applyFont="1">
      <alignment vertical="bottom"/>
    </xf>
    <xf borderId="3" fillId="15" fontId="26" numFmtId="10" xfId="0" applyAlignment="1" applyBorder="1" applyFont="1" applyNumberFormat="1">
      <alignment vertical="bottom"/>
    </xf>
    <xf borderId="41" fillId="8" fontId="26" numFmtId="10" xfId="0" applyAlignment="1" applyBorder="1" applyFont="1" applyNumberFormat="1">
      <alignment horizontal="center" vertical="bottom"/>
    </xf>
    <xf borderId="0" fillId="0" fontId="26" numFmtId="167" xfId="0" applyFont="1" applyNumberFormat="1"/>
    <xf borderId="0" fillId="3" fontId="6" numFmtId="0" xfId="0" applyFont="1"/>
    <xf borderId="0" fillId="3" fontId="38" numFmtId="167" xfId="0" applyFont="1" applyNumberFormat="1"/>
    <xf borderId="0" fillId="3" fontId="4" numFmtId="0" xfId="0" applyAlignment="1" applyFont="1">
      <alignment horizontal="center"/>
    </xf>
    <xf borderId="0" fillId="3" fontId="39" numFmtId="0" xfId="0" applyFont="1"/>
    <xf borderId="27" fillId="3" fontId="4" numFmtId="0" xfId="0" applyAlignment="1" applyBorder="1" applyFont="1">
      <alignment horizontal="center" vertical="center"/>
    </xf>
    <xf borderId="51" fillId="3" fontId="4" numFmtId="0" xfId="0" applyAlignment="1" applyBorder="1" applyFont="1">
      <alignment horizontal="center" vertical="center"/>
    </xf>
    <xf borderId="51" fillId="3" fontId="4" numFmtId="175" xfId="0" applyAlignment="1" applyBorder="1" applyFont="1" applyNumberFormat="1">
      <alignment horizontal="center" vertical="center"/>
    </xf>
    <xf borderId="51" fillId="3" fontId="4" numFmtId="4" xfId="0" applyAlignment="1" applyBorder="1" applyFont="1" applyNumberFormat="1">
      <alignment horizontal="center" vertical="center"/>
    </xf>
    <xf borderId="78" fillId="3" fontId="4" numFmtId="175" xfId="0" applyAlignment="1" applyBorder="1" applyFont="1" applyNumberFormat="1">
      <alignment horizontal="center" vertical="center"/>
    </xf>
    <xf borderId="70" fillId="8" fontId="26" numFmtId="175" xfId="0" applyAlignment="1" applyBorder="1" applyFont="1" applyNumberFormat="1">
      <alignment horizontal="center"/>
    </xf>
    <xf borderId="0" fillId="3" fontId="10" numFmtId="0" xfId="0" applyAlignment="1" applyFont="1">
      <alignment horizontal="center"/>
    </xf>
    <xf borderId="0" fillId="3" fontId="4" numFmtId="0" xfId="0" applyFont="1"/>
    <xf borderId="0" fillId="3" fontId="4" numFmtId="167" xfId="0" applyAlignment="1" applyFont="1" applyNumberFormat="1">
      <alignment horizontal="center"/>
    </xf>
    <xf borderId="0" fillId="0" fontId="40" numFmtId="10" xfId="0" applyAlignment="1" applyFont="1" applyNumberFormat="1">
      <alignment horizontal="center"/>
    </xf>
    <xf borderId="0" fillId="0" fontId="32" numFmtId="0" xfId="0" applyAlignment="1" applyFont="1">
      <alignment horizontal="center"/>
    </xf>
    <xf borderId="0" fillId="0" fontId="41" numFmtId="0" xfId="0" applyAlignment="1" applyFont="1">
      <alignment horizontal="center"/>
    </xf>
    <xf borderId="2" fillId="9" fontId="25" numFmtId="0" xfId="0" applyAlignment="1" applyBorder="1" applyFont="1">
      <alignment horizontal="center"/>
    </xf>
    <xf borderId="0" fillId="0" fontId="26" numFmtId="180" xfId="0" applyAlignment="1" applyFont="1" applyNumberFormat="1">
      <alignment horizontal="center"/>
    </xf>
    <xf borderId="0" fillId="0" fontId="26" numFmtId="181" xfId="0" applyAlignment="1" applyFont="1" applyNumberFormat="1">
      <alignment horizontal="center"/>
    </xf>
    <xf borderId="20" fillId="3" fontId="4" numFmtId="175" xfId="0" applyAlignment="1" applyBorder="1" applyFont="1" applyNumberFormat="1">
      <alignment horizontal="center" vertical="center"/>
    </xf>
    <xf borderId="77" fillId="15" fontId="26" numFmtId="182" xfId="0" applyAlignment="1" applyBorder="1" applyFont="1" applyNumberFormat="1">
      <alignment horizontal="center" vertical="bottom"/>
    </xf>
    <xf borderId="67" fillId="3" fontId="4" numFmtId="175" xfId="0" applyAlignment="1" applyBorder="1" applyFont="1" applyNumberFormat="1">
      <alignment horizontal="center" vertical="center"/>
    </xf>
    <xf borderId="16" fillId="8" fontId="26" numFmtId="175" xfId="0" applyAlignment="1" applyBorder="1" applyFont="1" applyNumberFormat="1">
      <alignment horizontal="center" vertical="bottom"/>
    </xf>
    <xf borderId="77" fillId="15" fontId="26" numFmtId="183" xfId="0" applyAlignment="1" applyBorder="1" applyFont="1" applyNumberFormat="1">
      <alignment horizontal="center" vertical="bottom"/>
    </xf>
    <xf borderId="16" fillId="8" fontId="26" numFmtId="182" xfId="0" applyAlignment="1" applyBorder="1" applyFont="1" applyNumberFormat="1">
      <alignment horizontal="center" vertical="bottom"/>
    </xf>
    <xf borderId="16" fillId="8" fontId="26" numFmtId="179" xfId="0" applyAlignment="1" applyBorder="1" applyFont="1" applyNumberFormat="1">
      <alignment horizontal="center" vertical="bottom"/>
    </xf>
    <xf borderId="77" fillId="15" fontId="26" numFmtId="184" xfId="0" applyAlignment="1" applyBorder="1" applyFont="1" applyNumberFormat="1">
      <alignment horizontal="center" vertical="bottom"/>
    </xf>
    <xf borderId="77" fillId="15" fontId="26" numFmtId="185" xfId="0" applyAlignment="1" applyBorder="1" applyFont="1" applyNumberFormat="1">
      <alignment horizontal="center" vertical="bottom"/>
    </xf>
    <xf borderId="0" fillId="3" fontId="26" numFmtId="0" xfId="0" applyAlignment="1" applyFont="1">
      <alignment shrinkToFit="0" vertical="bottom" wrapText="1"/>
    </xf>
    <xf borderId="76" fillId="15" fontId="26" numFmtId="0" xfId="0" applyAlignment="1" applyBorder="1" applyFont="1">
      <alignment vertical="bottom"/>
    </xf>
    <xf borderId="41" fillId="15" fontId="26" numFmtId="0" xfId="0" applyAlignment="1" applyBorder="1" applyFont="1">
      <alignment vertical="bottom"/>
    </xf>
    <xf borderId="16" fillId="15" fontId="26" numFmtId="10" xfId="0" applyAlignment="1" applyBorder="1" applyFont="1" applyNumberFormat="1">
      <alignment horizontal="center" vertical="bottom"/>
    </xf>
    <xf borderId="0" fillId="0" fontId="26" numFmtId="182" xfId="0" applyFont="1" applyNumberFormat="1"/>
    <xf borderId="70" fillId="3" fontId="4" numFmtId="175" xfId="0" applyAlignment="1" applyBorder="1" applyFont="1" applyNumberFormat="1">
      <alignment horizontal="center" vertical="center"/>
    </xf>
    <xf borderId="2" fillId="11" fontId="25" numFmtId="0" xfId="0" applyAlignment="1" applyBorder="1" applyFont="1">
      <alignment horizontal="center"/>
    </xf>
    <xf borderId="21" fillId="6" fontId="4" numFmtId="167" xfId="0" applyAlignment="1" applyBorder="1" applyFont="1" applyNumberFormat="1">
      <alignment horizontal="left" vertical="bottom"/>
    </xf>
    <xf borderId="0" fillId="0" fontId="3" numFmtId="0" xfId="0" applyAlignment="1" applyFont="1">
      <alignment horizontal="center" vertical="bottom"/>
    </xf>
    <xf borderId="51" fillId="0" fontId="4" numFmtId="186" xfId="0" applyAlignment="1" applyBorder="1" applyFont="1" applyNumberFormat="1">
      <alignment horizontal="center" vertical="bottom"/>
    </xf>
    <xf borderId="66" fillId="3" fontId="4" numFmtId="4" xfId="0" applyAlignment="1" applyBorder="1" applyFont="1" applyNumberFormat="1">
      <alignment horizontal="center" vertical="center"/>
    </xf>
    <xf borderId="0" fillId="3" fontId="4" numFmtId="167" xfId="0" applyAlignment="1" applyFont="1" applyNumberFormat="1">
      <alignment horizontal="center" vertical="center"/>
    </xf>
    <xf borderId="46" fillId="8" fontId="26" numFmtId="167" xfId="0" applyAlignment="1" applyBorder="1" applyFont="1" applyNumberFormat="1">
      <alignment horizontal="center" vertical="bottom"/>
    </xf>
    <xf borderId="3" fillId="5" fontId="33" numFmtId="0" xfId="0" applyAlignment="1" applyBorder="1" applyFont="1">
      <alignment horizontal="center" vertical="bottom"/>
    </xf>
    <xf borderId="0" fillId="3" fontId="4" numFmtId="0" xfId="0" applyAlignment="1" applyFont="1">
      <alignment horizontal="center" vertical="center"/>
    </xf>
    <xf borderId="2" fillId="12" fontId="25" numFmtId="0" xfId="0" applyAlignment="1" applyBorder="1" applyFont="1">
      <alignment horizontal="center"/>
    </xf>
    <xf borderId="2" fillId="8" fontId="26" numFmtId="187" xfId="0" applyAlignment="1" applyBorder="1" applyFont="1" applyNumberFormat="1">
      <alignment horizontal="center" vertical="bottom"/>
    </xf>
    <xf borderId="16" fillId="8" fontId="26" numFmtId="187" xfId="0" applyAlignment="1" applyBorder="1" applyFont="1" applyNumberFormat="1">
      <alignment horizontal="center" vertical="bottom"/>
    </xf>
    <xf borderId="0" fillId="5" fontId="26" numFmtId="10" xfId="0" applyAlignment="1" applyFont="1" applyNumberFormat="1">
      <alignment vertical="bottom"/>
    </xf>
    <xf borderId="55" fillId="5" fontId="26" numFmtId="0" xfId="0" applyAlignment="1" applyBorder="1" applyFont="1">
      <alignment vertical="bottom"/>
    </xf>
    <xf borderId="0" fillId="5" fontId="26" numFmtId="0" xfId="0" applyAlignment="1" applyFont="1">
      <alignment vertical="bottom"/>
    </xf>
    <xf borderId="62" fillId="5" fontId="26" numFmtId="0" xfId="0" applyAlignment="1" applyBorder="1" applyFont="1">
      <alignment vertical="bottom"/>
    </xf>
    <xf borderId="49" fillId="5" fontId="33" numFmtId="0" xfId="0" applyAlignment="1" applyBorder="1" applyFont="1">
      <alignment horizontal="center" vertical="center"/>
    </xf>
    <xf borderId="0" fillId="5" fontId="26" numFmtId="0" xfId="0" applyAlignment="1" applyFont="1">
      <alignment vertical="center"/>
    </xf>
    <xf borderId="49" fillId="5" fontId="26" numFmtId="0" xfId="0" applyAlignment="1" applyBorder="1" applyFont="1">
      <alignment vertical="center"/>
    </xf>
    <xf borderId="55" fillId="5" fontId="33" numFmtId="0" xfId="0" applyAlignment="1" applyBorder="1" applyFont="1">
      <alignment horizontal="center" vertical="bottom"/>
    </xf>
    <xf borderId="49" fillId="6" fontId="26" numFmtId="164" xfId="0" applyAlignment="1" applyBorder="1" applyFont="1" applyNumberFormat="1">
      <alignment horizontal="center" vertical="bottom"/>
    </xf>
    <xf borderId="49" fillId="0" fontId="26" numFmtId="167" xfId="0" applyAlignment="1" applyBorder="1" applyFont="1" applyNumberFormat="1">
      <alignment horizontal="center" vertical="bottom"/>
    </xf>
    <xf borderId="49" fillId="0" fontId="36" numFmtId="167" xfId="0" applyAlignment="1" applyBorder="1" applyFont="1" applyNumberFormat="1">
      <alignment horizontal="center" vertical="bottom"/>
    </xf>
    <xf borderId="62" fillId="0" fontId="26" numFmtId="0" xfId="0" applyAlignment="1" applyBorder="1" applyFont="1">
      <alignment vertical="bottom"/>
    </xf>
    <xf borderId="49" fillId="0" fontId="26" numFmtId="0" xfId="0" applyAlignment="1" applyBorder="1" applyFont="1">
      <alignment vertical="bottom"/>
    </xf>
    <xf borderId="0" fillId="3" fontId="26" numFmtId="10" xfId="0" applyAlignment="1" applyFont="1" applyNumberFormat="1">
      <alignment vertical="bottom"/>
    </xf>
    <xf borderId="55" fillId="3" fontId="26" numFmtId="0" xfId="0" applyAlignment="1" applyBorder="1" applyFont="1">
      <alignment vertical="bottom"/>
    </xf>
    <xf borderId="49" fillId="5" fontId="33" numFmtId="2" xfId="0" applyAlignment="1" applyBorder="1" applyFont="1" applyNumberFormat="1">
      <alignment horizontal="center" vertical="bottom"/>
    </xf>
    <xf borderId="49" fillId="0" fontId="26" numFmtId="165" xfId="0" applyAlignment="1" applyBorder="1" applyFont="1" applyNumberFormat="1">
      <alignment horizontal="center" vertical="bottom"/>
    </xf>
    <xf borderId="49" fillId="0" fontId="26" numFmtId="2" xfId="0" applyAlignment="1" applyBorder="1" applyFont="1" applyNumberFormat="1">
      <alignment horizontal="center" vertical="bottom"/>
    </xf>
    <xf borderId="49" fillId="0" fontId="36" numFmtId="2" xfId="0" applyAlignment="1" applyBorder="1" applyFont="1" applyNumberFormat="1">
      <alignment horizontal="center" vertical="bottom"/>
    </xf>
    <xf borderId="49" fillId="6" fontId="26" numFmtId="165" xfId="0" applyAlignment="1" applyBorder="1" applyFont="1" applyNumberFormat="1">
      <alignment horizontal="center" vertical="bottom"/>
    </xf>
    <xf borderId="49" fillId="6" fontId="26" numFmtId="2" xfId="0" applyAlignment="1" applyBorder="1" applyFont="1" applyNumberFormat="1">
      <alignment horizontal="center" vertical="bottom"/>
    </xf>
    <xf borderId="49" fillId="6" fontId="36" numFmtId="2" xfId="0" applyAlignment="1" applyBorder="1" applyFont="1" applyNumberFormat="1">
      <alignment horizontal="center" vertical="bottom"/>
    </xf>
    <xf borderId="49" fillId="6" fontId="36" numFmtId="10" xfId="0" applyAlignment="1" applyBorder="1" applyFont="1" applyNumberFormat="1">
      <alignment horizontal="center" vertical="bottom"/>
    </xf>
    <xf borderId="49" fillId="0" fontId="36" numFmtId="10" xfId="0" applyAlignment="1" applyBorder="1" applyFont="1" applyNumberFormat="1">
      <alignment horizontal="center" vertical="bottom"/>
    </xf>
    <xf borderId="49" fillId="0" fontId="26" numFmtId="9" xfId="0" applyAlignment="1" applyBorder="1" applyFont="1" applyNumberFormat="1">
      <alignment horizontal="center" vertical="bottom"/>
    </xf>
    <xf borderId="49" fillId="0" fontId="26" numFmtId="4" xfId="0" applyAlignment="1" applyBorder="1" applyFont="1" applyNumberFormat="1">
      <alignment horizontal="center" vertical="bottom"/>
    </xf>
    <xf borderId="0" fillId="0" fontId="26" numFmtId="10" xfId="0" applyAlignment="1" applyFont="1" applyNumberFormat="1">
      <alignment vertical="bottom"/>
    </xf>
    <xf borderId="0" fillId="0" fontId="26" numFmtId="176" xfId="0" applyAlignment="1" applyFont="1" applyNumberFormat="1">
      <alignment vertical="bottom"/>
    </xf>
    <xf borderId="0" fillId="0" fontId="26" numFmtId="167" xfId="0" applyAlignment="1" applyFont="1" applyNumberFormat="1">
      <alignment vertical="bottom"/>
    </xf>
    <xf borderId="2" fillId="0" fontId="26" numFmtId="10" xfId="0" applyAlignment="1" applyBorder="1" applyFont="1" applyNumberFormat="1">
      <alignment horizontal="center" vertical="bottom"/>
    </xf>
    <xf borderId="0" fillId="3" fontId="26" numFmtId="0" xfId="0" applyAlignment="1" applyFont="1">
      <alignment vertical="bottom"/>
    </xf>
    <xf borderId="49" fillId="5" fontId="33" numFmtId="0" xfId="0" applyAlignment="1" applyBorder="1" applyFont="1">
      <alignment horizontal="left" vertical="center"/>
    </xf>
    <xf borderId="0" fillId="3" fontId="26" numFmtId="167" xfId="0" applyAlignment="1" applyFont="1" applyNumberFormat="1">
      <alignment vertical="bottom"/>
    </xf>
    <xf borderId="0" fillId="3" fontId="26" numFmtId="2" xfId="0" applyAlignment="1" applyFont="1" applyNumberFormat="1">
      <alignment vertical="bottom"/>
    </xf>
    <xf borderId="0" fillId="0" fontId="26" numFmtId="2" xfId="0" applyAlignment="1" applyFont="1" applyNumberFormat="1">
      <alignment vertical="bottom"/>
    </xf>
    <xf borderId="0" fillId="0" fontId="2" numFmtId="0" xfId="0" applyAlignment="1" applyFont="1">
      <alignment horizontal="center"/>
    </xf>
    <xf borderId="3" fillId="16" fontId="42" numFmtId="0" xfId="0" applyBorder="1" applyFill="1" applyFont="1"/>
    <xf borderId="4" fillId="16" fontId="13" numFmtId="0" xfId="0" applyAlignment="1" applyBorder="1" applyFont="1">
      <alignment horizontal="center"/>
    </xf>
    <xf borderId="3" fillId="16" fontId="13" numFmtId="0" xfId="0" applyAlignment="1" applyBorder="1" applyFont="1">
      <alignment horizontal="left" vertical="center"/>
    </xf>
    <xf borderId="4" fillId="16" fontId="13" numFmtId="0" xfId="0" applyAlignment="1" applyBorder="1" applyFont="1">
      <alignment horizontal="center" vertical="center"/>
    </xf>
    <xf borderId="0" fillId="0" fontId="19" numFmtId="0" xfId="0" applyAlignment="1" applyFont="1">
      <alignment horizontal="center" vertical="center"/>
    </xf>
    <xf borderId="0" fillId="0" fontId="21" numFmtId="0" xfId="0" applyAlignment="1" applyFont="1">
      <alignment horizontal="center" vertical="center"/>
    </xf>
    <xf borderId="79" fillId="16" fontId="13" numFmtId="0" xfId="0" applyBorder="1" applyFont="1"/>
    <xf borderId="80" fillId="15" fontId="11" numFmtId="0" xfId="0" applyAlignment="1" applyBorder="1" applyFont="1">
      <alignment horizontal="center"/>
    </xf>
    <xf borderId="79" fillId="16" fontId="13" numFmtId="0" xfId="0" applyAlignment="1" applyBorder="1" applyFont="1">
      <alignment horizontal="left" vertical="center"/>
    </xf>
    <xf borderId="80" fillId="15" fontId="17" numFmtId="0" xfId="0" applyAlignment="1" applyBorder="1" applyFont="1">
      <alignment horizontal="center"/>
    </xf>
    <xf borderId="79" fillId="16" fontId="13" numFmtId="0" xfId="0" applyAlignment="1" applyBorder="1" applyFont="1">
      <alignment vertical="bottom"/>
    </xf>
    <xf borderId="68" fillId="0" fontId="17" numFmtId="167" xfId="0" applyAlignment="1" applyBorder="1" applyFont="1" applyNumberFormat="1">
      <alignment horizontal="center" vertical="bottom"/>
    </xf>
    <xf borderId="80" fillId="15" fontId="11" numFmtId="4" xfId="0" applyAlignment="1" applyBorder="1" applyFont="1" applyNumberFormat="1">
      <alignment horizontal="center"/>
    </xf>
    <xf borderId="17" fillId="16" fontId="13" numFmtId="0" xfId="0" applyBorder="1" applyFont="1"/>
    <xf borderId="18" fillId="17" fontId="14" numFmtId="167" xfId="0" applyAlignment="1" applyBorder="1" applyFill="1" applyFont="1" applyNumberFormat="1">
      <alignment horizontal="center"/>
    </xf>
    <xf borderId="17" fillId="16" fontId="13" numFmtId="0" xfId="0" applyAlignment="1" applyBorder="1" applyFont="1">
      <alignment horizontal="left" vertical="center"/>
    </xf>
    <xf borderId="68" fillId="0" fontId="11" numFmtId="3" xfId="0" applyAlignment="1" applyBorder="1" applyFont="1" applyNumberFormat="1">
      <alignment horizontal="center" vertical="bottom"/>
    </xf>
    <xf borderId="80" fillId="15" fontId="11" numFmtId="188" xfId="0" applyAlignment="1" applyBorder="1" applyFont="1" applyNumberFormat="1">
      <alignment horizontal="center" vertical="bottom"/>
    </xf>
    <xf borderId="81" fillId="16" fontId="13" numFmtId="0" xfId="0" applyAlignment="1" applyBorder="1" applyFont="1">
      <alignment horizontal="center"/>
    </xf>
    <xf borderId="0" fillId="0" fontId="13" numFmtId="0" xfId="0" applyAlignment="1" applyFont="1">
      <alignment horizontal="center"/>
    </xf>
    <xf borderId="17" fillId="16" fontId="13" numFmtId="0" xfId="0" applyAlignment="1" applyBorder="1" applyFont="1">
      <alignment vertical="bottom"/>
    </xf>
    <xf borderId="18" fillId="17" fontId="14" numFmtId="188" xfId="0" applyAlignment="1" applyBorder="1" applyFont="1" applyNumberFormat="1">
      <alignment horizontal="center" vertical="bottom"/>
    </xf>
    <xf borderId="80" fillId="16" fontId="13" numFmtId="0" xfId="0" applyAlignment="1" applyBorder="1" applyFont="1">
      <alignment horizontal="left"/>
    </xf>
    <xf borderId="68" fillId="0" fontId="11" numFmtId="0" xfId="0" applyAlignment="1" applyBorder="1" applyFont="1">
      <alignment horizontal="center"/>
    </xf>
    <xf borderId="0" fillId="0" fontId="2" numFmtId="4" xfId="0" applyFont="1" applyNumberFormat="1"/>
    <xf borderId="0" fillId="0" fontId="13" numFmtId="0" xfId="0" applyFont="1"/>
    <xf borderId="19" fillId="16" fontId="13" numFmtId="0" xfId="0" applyAlignment="1" applyBorder="1" applyFont="1">
      <alignment horizontal="center"/>
    </xf>
    <xf borderId="82" fillId="16" fontId="13" numFmtId="0" xfId="0" applyAlignment="1" applyBorder="1" applyFont="1">
      <alignment horizontal="center"/>
    </xf>
    <xf borderId="18" fillId="16" fontId="13" numFmtId="0" xfId="0" applyAlignment="1" applyBorder="1" applyFont="1">
      <alignment horizontal="left"/>
    </xf>
    <xf borderId="83" fillId="16" fontId="13" numFmtId="0" xfId="0" applyAlignment="1" applyBorder="1" applyFont="1">
      <alignment vertical="bottom"/>
    </xf>
    <xf borderId="0" fillId="0" fontId="21" numFmtId="167" xfId="0" applyFont="1" applyNumberFormat="1"/>
    <xf borderId="4" fillId="16" fontId="43" numFmtId="0" xfId="0" applyAlignment="1" applyBorder="1" applyFont="1">
      <alignment horizontal="center" shrinkToFit="0" wrapText="1"/>
    </xf>
    <xf borderId="22" fillId="16" fontId="13" numFmtId="0" xfId="0" applyAlignment="1" applyBorder="1" applyFont="1">
      <alignment horizontal="center"/>
    </xf>
    <xf borderId="23" fillId="16" fontId="13" numFmtId="0" xfId="0" applyAlignment="1" applyBorder="1" applyFont="1">
      <alignment horizontal="center"/>
    </xf>
    <xf borderId="68" fillId="0" fontId="11" numFmtId="189" xfId="0" applyAlignment="1" applyBorder="1" applyFont="1" applyNumberFormat="1">
      <alignment horizontal="center" vertical="bottom"/>
    </xf>
    <xf borderId="25" fillId="3" fontId="44" numFmtId="0" xfId="0" applyBorder="1" applyFont="1"/>
    <xf borderId="80" fillId="3" fontId="11" numFmtId="3" xfId="0" applyAlignment="1" applyBorder="1" applyFont="1" applyNumberFormat="1">
      <alignment horizontal="center" vertical="bottom"/>
    </xf>
    <xf borderId="80" fillId="15" fontId="17" numFmtId="164" xfId="0" applyAlignment="1" applyBorder="1" applyFont="1" applyNumberFormat="1">
      <alignment horizontal="center"/>
    </xf>
    <xf borderId="80" fillId="15" fontId="11" numFmtId="189" xfId="0" applyAlignment="1" applyBorder="1" applyFont="1" applyNumberFormat="1">
      <alignment horizontal="center"/>
    </xf>
    <xf borderId="0" fillId="0" fontId="21" numFmtId="0" xfId="0" applyAlignment="1" applyFont="1">
      <alignment horizontal="center"/>
    </xf>
    <xf borderId="80" fillId="15" fontId="17" numFmtId="190" xfId="0" applyAlignment="1" applyBorder="1" applyFont="1" applyNumberFormat="1">
      <alignment horizontal="center"/>
    </xf>
    <xf borderId="25" fillId="3" fontId="45" numFmtId="0" xfId="0" applyAlignment="1" applyBorder="1" applyFont="1">
      <alignment horizontal="right"/>
    </xf>
    <xf borderId="79" fillId="15" fontId="11" numFmtId="4" xfId="0" applyAlignment="1" applyBorder="1" applyFont="1" applyNumberFormat="1">
      <alignment horizontal="center"/>
    </xf>
    <xf borderId="68" fillId="0" fontId="17" numFmtId="167" xfId="0" applyAlignment="1" applyBorder="1" applyFont="1" applyNumberFormat="1">
      <alignment horizontal="center"/>
    </xf>
    <xf borderId="18" fillId="17" fontId="14" numFmtId="167" xfId="0" applyAlignment="1" applyBorder="1" applyFont="1" applyNumberFormat="1">
      <alignment horizontal="center" vertical="bottom"/>
    </xf>
    <xf borderId="84" fillId="16" fontId="13" numFmtId="0" xfId="0" applyAlignment="1" applyBorder="1" applyFont="1">
      <alignment vertical="bottom"/>
    </xf>
    <xf borderId="79" fillId="18" fontId="17" numFmtId="167" xfId="0" applyAlignment="1" applyBorder="1" applyFill="1" applyFont="1" applyNumberFormat="1">
      <alignment horizontal="center" vertical="bottom"/>
    </xf>
    <xf borderId="85" fillId="16" fontId="13" numFmtId="0" xfId="0" applyAlignment="1" applyBorder="1" applyFont="1">
      <alignment vertical="bottom"/>
    </xf>
    <xf borderId="17" fillId="17" fontId="14" numFmtId="167" xfId="0" applyAlignment="1" applyBorder="1" applyFont="1" applyNumberFormat="1">
      <alignment horizontal="center" vertical="bottom"/>
    </xf>
    <xf borderId="25" fillId="15" fontId="14" numFmtId="4" xfId="0" applyAlignment="1" applyBorder="1" applyFont="1" applyNumberFormat="1">
      <alignment horizontal="center"/>
    </xf>
    <xf borderId="0" fillId="0" fontId="46" numFmtId="0" xfId="0" applyFont="1"/>
    <xf borderId="25" fillId="17" fontId="15" numFmtId="167" xfId="0" applyAlignment="1" applyBorder="1" applyFont="1" applyNumberFormat="1">
      <alignment horizontal="center"/>
    </xf>
    <xf borderId="0" fillId="0" fontId="13" numFmtId="0" xfId="0" applyAlignment="1" applyFont="1">
      <alignment vertical="bottom"/>
    </xf>
    <xf borderId="0" fillId="0" fontId="14" numFmtId="167" xfId="0" applyAlignment="1" applyFont="1" applyNumberFormat="1">
      <alignment horizontal="center" vertical="bottom"/>
    </xf>
    <xf borderId="80" fillId="15" fontId="11" numFmtId="167" xfId="0" applyAlignment="1" applyBorder="1" applyFont="1" applyNumberFormat="1">
      <alignment horizontal="center" vertical="bottom"/>
    </xf>
    <xf borderId="86" fillId="16" fontId="13" numFmtId="0" xfId="0" applyAlignment="1" applyBorder="1" applyFont="1">
      <alignment vertical="bottom"/>
    </xf>
    <xf borderId="2" fillId="0" fontId="47" numFmtId="165" xfId="0" applyAlignment="1" applyBorder="1" applyFont="1" applyNumberFormat="1">
      <alignment horizontal="right" vertical="bottom"/>
    </xf>
    <xf borderId="0" fillId="0" fontId="21" numFmtId="4" xfId="0" applyFont="1" applyNumberFormat="1"/>
    <xf borderId="2" fillId="0" fontId="48" numFmtId="0" xfId="0" applyAlignment="1" applyBorder="1" applyFont="1">
      <alignment horizontal="center" vertical="top"/>
    </xf>
    <xf borderId="2" fillId="0" fontId="48" numFmtId="169" xfId="0" applyAlignment="1" applyBorder="1" applyFont="1" applyNumberFormat="1">
      <alignment horizontal="center" vertical="top"/>
    </xf>
    <xf borderId="0" fillId="0" fontId="21" numFmtId="169" xfId="0" applyFont="1" applyNumberFormat="1"/>
    <xf borderId="0" fillId="0" fontId="21" numFmtId="10" xfId="0" applyFont="1" applyNumberFormat="1"/>
  </cellXfs>
  <cellStyles count="1">
    <cellStyle xfId="0" name="Normal" builtinId="0"/>
  </cellStyles>
  <dxfs count="9">
    <dxf>
      <font/>
      <fill>
        <patternFill patternType="none"/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082631"/>
          <bgColor rgb="FF082631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>
        <color theme="1"/>
      </font>
      <fill>
        <patternFill patternType="solid">
          <fgColor rgb="FFF34A3C"/>
          <bgColor rgb="FFF34A3C"/>
        </patternFill>
      </fill>
      <border/>
    </dxf>
    <dxf>
      <font/>
      <fill>
        <patternFill patternType="solid">
          <fgColor rgb="FFD0E0E3"/>
          <bgColor rgb="FFD0E0E3"/>
        </patternFill>
      </fill>
      <border/>
    </dxf>
  </dxfs>
  <tableStyles count="29">
    <tableStyle count="2" pivot="0" name="Cadastro dos Ativos-style">
      <tableStyleElement dxfId="1" type="firstRowStripe"/>
      <tableStyleElement dxfId="2" type="secondRowStripe"/>
    </tableStyle>
    <tableStyle count="2" pivot="0" name="Alocação-style">
      <tableStyleElement dxfId="3" type="firstRowStripe"/>
      <tableStyleElement dxfId="2" type="secondRowStripe"/>
    </tableStyle>
    <tableStyle count="2" pivot="0" name="Alocação-style 2">
      <tableStyleElement dxfId="1" type="firstRowStripe"/>
      <tableStyleElement dxfId="2" type="secondRowStripe"/>
    </tableStyle>
    <tableStyle count="2" pivot="0" name="Alocação-style 3">
      <tableStyleElement dxfId="1" type="firstRowStripe"/>
      <tableStyleElement dxfId="2" type="secondRowStripe"/>
    </tableStyle>
    <tableStyle count="3" pivot="0" name="Controle-style">
      <tableStyleElement dxfId="4" type="headerRow"/>
      <tableStyleElement dxfId="1" type="firstRowStripe"/>
      <tableStyleElement dxfId="2" type="secondRowStripe"/>
    </tableStyle>
    <tableStyle count="2" pivot="0" name="Controle-style 2">
      <tableStyleElement dxfId="2" type="firstRowStripe"/>
      <tableStyleElement dxfId="1" type="secondRowStripe"/>
    </tableStyle>
    <tableStyle count="2" pivot="0" name="Controle-style 3">
      <tableStyleElement dxfId="2" type="firstRowStripe"/>
      <tableStyleElement dxfId="1" type="secondRowStripe"/>
    </tableStyle>
    <tableStyle count="2" pivot="0" name="Controle-style 4">
      <tableStyleElement dxfId="2" type="firstRowStripe"/>
      <tableStyleElement dxfId="1" type="secondRowStripe"/>
    </tableStyle>
    <tableStyle count="2" pivot="0" name="Controle-style 5">
      <tableStyleElement dxfId="2" type="firstRowStripe"/>
      <tableStyleElement dxfId="1" type="secondRowStripe"/>
    </tableStyle>
    <tableStyle count="2" pivot="0" name="Controle-style 6">
      <tableStyleElement dxfId="1" type="firstRowStripe"/>
      <tableStyleElement dxfId="2" type="secondRowStripe"/>
    </tableStyle>
    <tableStyle count="2" pivot="0" name="Controle-style 7">
      <tableStyleElement dxfId="1" type="firstRowStripe"/>
      <tableStyleElement dxfId="2" type="secondRowStripe"/>
    </tableStyle>
    <tableStyle count="2" pivot="0" name="Controle-style 8">
      <tableStyleElement dxfId="1" type="firstRowStripe"/>
      <tableStyleElement dxfId="2" type="secondRowStripe"/>
    </tableStyle>
    <tableStyle count="2" pivot="0" name="Controle-style 9">
      <tableStyleElement dxfId="1" type="firstRowStripe"/>
      <tableStyleElement dxfId="2" type="secondRowStripe"/>
    </tableStyle>
    <tableStyle count="2" pivot="0" name="Controle-style 10">
      <tableStyleElement dxfId="1" type="firstRowStripe"/>
      <tableStyleElement dxfId="2" type="secondRowStripe"/>
    </tableStyle>
    <tableStyle count="2" pivot="0" name="Controle D-1-style">
      <tableStyleElement dxfId="1" type="firstRowStripe"/>
      <tableStyleElement dxfId="2" type="secondRowStripe"/>
    </tableStyle>
    <tableStyle count="2" pivot="0" name="Controle D-1-style 2">
      <tableStyleElement dxfId="2" type="firstRowStripe"/>
      <tableStyleElement dxfId="2" type="secondRowStripe"/>
    </tableStyle>
    <tableStyle count="3" pivot="0" name="Controle D-1-style 3">
      <tableStyleElement dxfId="4" type="headerRow"/>
      <tableStyleElement dxfId="1" type="firstRowStripe"/>
      <tableStyleElement dxfId="2" type="secondRowStripe"/>
    </tableStyle>
    <tableStyle count="2" pivot="0" name="Controle D-1-style 4">
      <tableStyleElement dxfId="2" type="firstRowStripe"/>
      <tableStyleElement dxfId="1" type="secondRowStripe"/>
    </tableStyle>
    <tableStyle count="2" pivot="0" name="Controle D-1-style 5">
      <tableStyleElement dxfId="2" type="firstRowStripe"/>
      <tableStyleElement dxfId="1" type="secondRowStripe"/>
    </tableStyle>
    <tableStyle count="2" pivot="0" name="Controle D-1-style 6">
      <tableStyleElement dxfId="2" type="firstRowStripe"/>
      <tableStyleElement dxfId="1" type="secondRowStripe"/>
    </tableStyle>
    <tableStyle count="2" pivot="0" name="Controle D-1-style 7">
      <tableStyleElement dxfId="2" type="firstRowStripe"/>
      <tableStyleElement dxfId="1" type="secondRowStripe"/>
    </tableStyle>
    <tableStyle count="2" pivot="0" name="Controle D-1-style 8">
      <tableStyleElement dxfId="1" type="firstRowStripe"/>
      <tableStyleElement dxfId="2" type="secondRowStripe"/>
    </tableStyle>
    <tableStyle count="2" pivot="0" name="Controle D-1-style 9">
      <tableStyleElement dxfId="1" type="firstRowStripe"/>
      <tableStyleElement dxfId="2" type="secondRowStripe"/>
    </tableStyle>
    <tableStyle count="2" pivot="0" name="Controle D-1-style 10">
      <tableStyleElement dxfId="1" type="firstRowStripe"/>
      <tableStyleElement dxfId="2" type="secondRowStripe"/>
    </tableStyle>
    <tableStyle count="2" pivot="0" name="Controle D-1-style 11">
      <tableStyleElement dxfId="1" type="firstRowStripe"/>
      <tableStyleElement dxfId="2" type="secondRowStripe"/>
    </tableStyle>
    <tableStyle count="2" pivot="0" name="Polaris-style">
      <tableStyleElement dxfId="2" type="firstRowStripe"/>
      <tableStyleElement dxfId="1" type="secondRowStripe"/>
    </tableStyle>
    <tableStyle count="2" pivot="0" name="Endor-style">
      <tableStyleElement dxfId="2" type="firstRowStripe"/>
      <tableStyleElement dxfId="1" type="secondRowStripe"/>
    </tableStyle>
    <tableStyle count="2" pivot="0" name="Vega-style">
      <tableStyleElement dxfId="2" type="firstRowStripe"/>
      <tableStyleElement dxfId="1" type="secondRowStripe"/>
    </tableStyle>
    <tableStyle count="2" pivot="0" name="Orion-style">
      <tableStyleElement dxfId="2" type="firstRowStripe"/>
      <tableStyleElement dxfId="1" type="secondRowStripe"/>
    </tableStyle>
  </tableStyle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82631"/>
                </a:solidFill>
                <a:latin typeface="Arial"/>
              </a:defRPr>
            </a:pPr>
            <a:r>
              <a:rPr b="1" i="0">
                <a:solidFill>
                  <a:srgbClr val="082631"/>
                </a:solidFill>
                <a:latin typeface="Arial"/>
              </a:rPr>
              <a:t>Impactus Sirius</a:t>
            </a:r>
          </a:p>
        </c:rich>
      </c:tx>
      <c:overlay val="0"/>
    </c:title>
    <c:plotArea>
      <c:layout>
        <c:manualLayout>
          <c:xMode val="edge"/>
          <c:yMode val="edge"/>
          <c:x val="0.1179775280898876"/>
          <c:y val="0.1604046242774566"/>
          <c:w val="0.8431460674157302"/>
          <c:h val="0.7042389210019266"/>
        </c:manualLayout>
      </c:layout>
      <c:lineChart>
        <c:ser>
          <c:idx val="0"/>
          <c:order val="0"/>
          <c:tx>
            <c:v>Sirius</c:v>
          </c:tx>
          <c:spPr>
            <a:ln cmpd="sng">
              <a:solidFill>
                <a:srgbClr val="073763"/>
              </a:solidFill>
            </a:ln>
          </c:spPr>
          <c:marker>
            <c:symbol val="none"/>
          </c:marker>
          <c:dPt>
            <c:idx val="5"/>
            <c:marker>
              <c:symbol val="none"/>
            </c:marker>
          </c:dPt>
          <c:val>
            <c:numRef>
              <c:f>Controle!$V$10:$V$242</c:f>
              <c:numCache/>
            </c:numRef>
          </c:val>
          <c:smooth val="1"/>
        </c:ser>
        <c:ser>
          <c:idx val="1"/>
          <c:order val="1"/>
          <c:tx>
            <c:v>CDI</c:v>
          </c:tx>
          <c:spPr>
            <a:ln cmpd="sng">
              <a:solidFill>
                <a:srgbClr val="F1C232"/>
              </a:solidFill>
            </a:ln>
          </c:spPr>
          <c:marker>
            <c:symbol val="none"/>
          </c:marker>
          <c:dPt>
            <c:idx val="5"/>
            <c:marker>
              <c:symbol val="none"/>
            </c:marker>
          </c:dPt>
          <c:val>
            <c:numRef>
              <c:f>Controle!$Z$10:$Z$242</c:f>
              <c:numCache/>
            </c:numRef>
          </c:val>
          <c:smooth val="1"/>
        </c:ser>
        <c:axId val="1535337904"/>
        <c:axId val="710944980"/>
      </c:lineChart>
      <c:catAx>
        <c:axId val="153533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710944980"/>
      </c:catAx>
      <c:valAx>
        <c:axId val="710944980"/>
        <c:scaling>
          <c:orientation val="minMax"/>
          <c:min val="98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535337904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82631"/>
                </a:solidFill>
                <a:latin typeface="Arial"/>
              </a:defRPr>
            </a:pPr>
            <a:r>
              <a:rPr b="1" i="0">
                <a:solidFill>
                  <a:srgbClr val="082631"/>
                </a:solidFill>
                <a:latin typeface="Arial"/>
              </a:rPr>
              <a:t>Volatilidade móvel 5 dias</a:t>
            </a:r>
          </a:p>
        </c:rich>
      </c:tx>
      <c:overlay val="0"/>
    </c:title>
    <c:plotArea>
      <c:layout>
        <c:manualLayout>
          <c:xMode val="edge"/>
          <c:yMode val="edge"/>
          <c:x val="0.1179775280898876"/>
          <c:y val="0.1604046242774566"/>
          <c:w val="0.8431460674157302"/>
          <c:h val="0.7042389210019266"/>
        </c:manualLayout>
      </c:layout>
      <c:lineChart>
        <c:varyColors val="0"/>
        <c:ser>
          <c:idx val="0"/>
          <c:order val="0"/>
          <c:spPr>
            <a:ln cmpd="sng">
              <a:solidFill>
                <a:srgbClr val="073763"/>
              </a:solidFill>
            </a:ln>
          </c:spPr>
          <c:marker>
            <c:symbol val="none"/>
          </c:marker>
          <c:dPt>
            <c:idx val="5"/>
            <c:marker>
              <c:symbol val="none"/>
            </c:marker>
          </c:dPt>
          <c:val>
            <c:numRef>
              <c:f>Controle!$Y$18:$Y$242</c:f>
              <c:numCache/>
            </c:numRef>
          </c:val>
          <c:smooth val="1"/>
        </c:ser>
        <c:axId val="404745662"/>
        <c:axId val="1546297285"/>
      </c:lineChart>
      <c:catAx>
        <c:axId val="4047456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546297285"/>
      </c:catAx>
      <c:valAx>
        <c:axId val="1546297285"/>
        <c:scaling>
          <c:orientation val="minMax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404745662"/>
      </c:valAx>
    </c:plotArea>
    <c:plotVisOnly val="0"/>
  </c:chart>
</c:chartSpace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28575</xdr:colOff>
      <xdr:row>2</xdr:row>
      <xdr:rowOff>0</xdr:rowOff>
    </xdr:from>
    <xdr:ext cx="3857625" cy="3000375"/>
    <xdr:graphicFrame>
      <xdr:nvGraphicFramePr>
        <xdr:cNvPr id="53188968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28575</xdr:colOff>
      <xdr:row>17</xdr:row>
      <xdr:rowOff>123825</xdr:rowOff>
    </xdr:from>
    <xdr:ext cx="3857625" cy="3000375"/>
    <xdr:graphicFrame>
      <xdr:nvGraphicFramePr>
        <xdr:cNvPr id="1197635150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D220" displayName="Table_1" id="1">
  <tableColumns count="4">
    <tableColumn name="Column1" id="1"/>
    <tableColumn name="Column2" id="2"/>
    <tableColumn name="Column3" id="3"/>
    <tableColumn name="Column4" id="4"/>
  </tableColumns>
  <tableStyleInfo name="Cadastro dos Ativos-style" showColumnStripes="0" showFirstColumn="1" showLastColumn="1" showRowStripes="1"/>
</table>
</file>

<file path=xl/tables/table2.xml><?xml version="1.0" encoding="utf-8"?>
<table xmlns="http://schemas.openxmlformats.org/spreadsheetml/2006/main" headerRowCount="0" ref="B3:J401" displayName="Table_2" id="2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Alocação-style" showColumnStripes="0" showFirstColumn="1" showLastColumn="1" showRowStripes="1"/>
</table>
</file>

<file path=xl/tables/table3.xml><?xml version="1.0" encoding="utf-8"?>
<table xmlns="http://schemas.openxmlformats.org/spreadsheetml/2006/main" headerRowCount="0" ref="U9:W20" displayName="Table_3" id="3">
  <tableColumns count="3">
    <tableColumn name="Column1" id="1"/>
    <tableColumn name="Column2" id="2"/>
    <tableColumn name="Column3" id="3"/>
  </tableColumns>
  <tableStyleInfo name="Alocação-style 2" showColumnStripes="0" showFirstColumn="1" showLastColumn="1" showRowStripes="1"/>
</table>
</file>

<file path=xl/tables/table4.xml><?xml version="1.0" encoding="utf-8"?>
<table xmlns="http://schemas.openxmlformats.org/spreadsheetml/2006/main" headerRowCount="0" ref="Y9:Z20" displayName="Table_4" id="4">
  <tableColumns count="2">
    <tableColumn name="Column1" id="1"/>
    <tableColumn name="Column2" id="2"/>
  </tableColumns>
  <tableStyleInfo name="Alocação-style 3" showColumnStripes="0" showFirstColumn="1" showLastColumn="1" showRowStripes="1"/>
</table>
</file>

<file path=xl/tables/table5.xml><?xml version="1.0" encoding="utf-8"?>
<table xmlns="http://schemas.openxmlformats.org/spreadsheetml/2006/main" ref="T9:V242" displayName="Table_5" id="5">
  <tableColumns count="3">
    <tableColumn name="PL - Sirius" id="1"/>
    <tableColumn name="Caixa - Sirius" id="2"/>
    <tableColumn name="Cota" id="3"/>
  </tableColumns>
  <tableStyleInfo name="Controle-style" showColumnStripes="0" showFirstColumn="1" showLastColumn="1" showRowStripes="1"/>
</table>
</file>

<file path=xl/tables/table6.xml><?xml version="1.0" encoding="utf-8"?>
<table xmlns="http://schemas.openxmlformats.org/spreadsheetml/2006/main" headerRowCount="0" ref="B10:D242" displayName="Table_6" id="6">
  <tableColumns count="3">
    <tableColumn name="Column1" id="1"/>
    <tableColumn name="Column2" id="2"/>
    <tableColumn name="Column3" id="3"/>
  </tableColumns>
  <tableStyleInfo name="Controle-style 2" showColumnStripes="0" showFirstColumn="1" showLastColumn="1" showRowStripes="1"/>
</table>
</file>

<file path=xl/tables/table7.xml><?xml version="1.0" encoding="utf-8"?>
<table xmlns="http://schemas.openxmlformats.org/spreadsheetml/2006/main" headerRowCount="0" ref="F10:G242" displayName="Table_7" id="7">
  <tableColumns count="2">
    <tableColumn name="Column1" id="1"/>
    <tableColumn name="Column2" id="2"/>
  </tableColumns>
  <tableStyleInfo name="Controle-style 3" showColumnStripes="0" showFirstColumn="1" showLastColumn="1" showRowStripes="1"/>
</table>
</file>

<file path=xl/tables/table8.xml><?xml version="1.0" encoding="utf-8"?>
<table xmlns="http://schemas.openxmlformats.org/spreadsheetml/2006/main" headerRowCount="0" ref="I10:J242" displayName="Table_8" id="8">
  <tableColumns count="2">
    <tableColumn name="Column1" id="1"/>
    <tableColumn name="Column2" id="2"/>
  </tableColumns>
  <tableStyleInfo name="Controle-style 4" showColumnStripes="0" showFirstColumn="1" showLastColumn="1" showRowStripes="1"/>
</table>
</file>

<file path=xl/tables/table9.xml><?xml version="1.0" encoding="utf-8"?>
<table xmlns="http://schemas.openxmlformats.org/spreadsheetml/2006/main" headerRowCount="0" ref="L10:M242" displayName="Table_9" id="9">
  <tableColumns count="2">
    <tableColumn name="Column1" id="1"/>
    <tableColumn name="Column2" id="2"/>
  </tableColumns>
  <tableStyleInfo name="Controle-style 5" showColumnStripes="0" showFirstColumn="1" showLastColumn="1" showRowStripes="1"/>
</table>
</file>

<file path=xl/tables/table10.xml><?xml version="1.0" encoding="utf-8"?>
<table xmlns="http://schemas.openxmlformats.org/spreadsheetml/2006/main" headerRowCount="0" ref="W10:Z242" displayName="Table_10" id="10">
  <tableColumns count="4">
    <tableColumn name="Column1" id="1"/>
    <tableColumn name="Column2" id="2"/>
    <tableColumn name="Column3" id="3"/>
    <tableColumn name="Column4" id="4"/>
  </tableColumns>
  <tableStyleInfo name="Controle-style 6" showColumnStripes="0" showFirstColumn="1" showLastColumn="1" showRowStripes="1"/>
</table>
</file>

<file path=xl/tables/table11.xml><?xml version="1.0" encoding="utf-8"?>
<table xmlns="http://schemas.openxmlformats.org/spreadsheetml/2006/main" headerRowCount="0" ref="AB11:AF221" displayName="Table_11" id="11">
  <tableColumns count="5">
    <tableColumn name="Column1" id="1"/>
    <tableColumn name="Column2" id="2"/>
    <tableColumn name="Column3" id="3"/>
    <tableColumn name="Column4" id="4"/>
    <tableColumn name="Column5" id="5"/>
  </tableColumns>
  <tableStyleInfo name="Controle-style 7" showColumnStripes="0" showFirstColumn="1" showLastColumn="1" showRowStripes="1"/>
</table>
</file>

<file path=xl/tables/table12.xml><?xml version="1.0" encoding="utf-8"?>
<table xmlns="http://schemas.openxmlformats.org/spreadsheetml/2006/main" headerRowCount="0" ref="AH11:AL221" displayName="Table_12" id="12">
  <tableColumns count="5">
    <tableColumn name="Column1" id="1"/>
    <tableColumn name="Column2" id="2"/>
    <tableColumn name="Column3" id="3"/>
    <tableColumn name="Column4" id="4"/>
    <tableColumn name="Column5" id="5"/>
  </tableColumns>
  <tableStyleInfo name="Controle-style 8" showColumnStripes="0" showFirstColumn="1" showLastColumn="1" showRowStripes="1"/>
</table>
</file>

<file path=xl/tables/table13.xml><?xml version="1.0" encoding="utf-8"?>
<table xmlns="http://schemas.openxmlformats.org/spreadsheetml/2006/main" headerRowCount="0" ref="AN11:AR221" displayName="Table_13" id="13">
  <tableColumns count="5">
    <tableColumn name="Column1" id="1"/>
    <tableColumn name="Column2" id="2"/>
    <tableColumn name="Column3" id="3"/>
    <tableColumn name="Column4" id="4"/>
    <tableColumn name="Column5" id="5"/>
  </tableColumns>
  <tableStyleInfo name="Controle-style 9" showColumnStripes="0" showFirstColumn="1" showLastColumn="1" showRowStripes="1"/>
</table>
</file>

<file path=xl/tables/table14.xml><?xml version="1.0" encoding="utf-8"?>
<table xmlns="http://schemas.openxmlformats.org/spreadsheetml/2006/main" headerRowCount="0" ref="AT11:AX221" displayName="Table_14" id="14">
  <tableColumns count="5">
    <tableColumn name="Column1" id="1"/>
    <tableColumn name="Column2" id="2"/>
    <tableColumn name="Column3" id="3"/>
    <tableColumn name="Column4" id="4"/>
    <tableColumn name="Column5" id="5"/>
  </tableColumns>
  <tableStyleInfo name="Controle-style 10" showColumnStripes="0" showFirstColumn="1" showLastColumn="1" showRowStripes="1"/>
</table>
</file>

<file path=xl/tables/table15.xml><?xml version="1.0" encoding="utf-8"?>
<table xmlns="http://schemas.openxmlformats.org/spreadsheetml/2006/main" headerRowCount="0" ref="I9:K1001" displayName="Table_15" id="15">
  <tableColumns count="3">
    <tableColumn name="Column1" id="1"/>
    <tableColumn name="Column2" id="2"/>
    <tableColumn name="Column3" id="3"/>
  </tableColumns>
  <tableStyleInfo name="Controle D-1-style" showColumnStripes="0" showFirstColumn="1" showLastColumn="1" showRowStripes="1"/>
</table>
</file>

<file path=xl/tables/table16.xml><?xml version="1.0" encoding="utf-8"?>
<table xmlns="http://schemas.openxmlformats.org/spreadsheetml/2006/main" headerRowCount="0" ref="R9:S1001" displayName="Table_16" id="16">
  <tableColumns count="2">
    <tableColumn name="Column1" id="1"/>
    <tableColumn name="Column2" id="2"/>
  </tableColumns>
  <tableStyleInfo name="Controle D-1-style 2" showColumnStripes="0" showFirstColumn="1" showLastColumn="1" showRowStripes="1"/>
</table>
</file>

<file path=xl/tables/table17.xml><?xml version="1.0" encoding="utf-8"?>
<table xmlns="http://schemas.openxmlformats.org/spreadsheetml/2006/main" ref="T9:V1000" displayName="Table_17" id="17">
  <tableColumns count="3">
    <tableColumn name="PL - Canion" id="1"/>
    <tableColumn name="Caixa - Canion" id="2"/>
    <tableColumn name="Cota" id="3"/>
  </tableColumns>
  <tableStyleInfo name="Controle D-1-style 3" showColumnStripes="0" showFirstColumn="1" showLastColumn="1" showRowStripes="1"/>
</table>
</file>

<file path=xl/tables/table18.xml><?xml version="1.0" encoding="utf-8"?>
<table xmlns="http://schemas.openxmlformats.org/spreadsheetml/2006/main" headerRowCount="0" ref="B10:D1001" displayName="Table_18" id="18">
  <tableColumns count="3">
    <tableColumn name="Column1" id="1"/>
    <tableColumn name="Column2" id="2"/>
    <tableColumn name="Column3" id="3"/>
  </tableColumns>
  <tableStyleInfo name="Controle D-1-style 4" showColumnStripes="0" showFirstColumn="1" showLastColumn="1" showRowStripes="1"/>
</table>
</file>

<file path=xl/tables/table19.xml><?xml version="1.0" encoding="utf-8"?>
<table xmlns="http://schemas.openxmlformats.org/spreadsheetml/2006/main" headerRowCount="0" ref="F10:G1001" displayName="Table_19" id="19">
  <tableColumns count="2">
    <tableColumn name="Column1" id="1"/>
    <tableColumn name="Column2" id="2"/>
  </tableColumns>
  <tableStyleInfo name="Controle D-1-style 5" showColumnStripes="0" showFirstColumn="1" showLastColumn="1" showRowStripes="1"/>
</table>
</file>

<file path=xl/tables/table20.xml><?xml version="1.0" encoding="utf-8"?>
<table xmlns="http://schemas.openxmlformats.org/spreadsheetml/2006/main" headerRowCount="0" ref="L10:M1001" displayName="Table_20" id="20">
  <tableColumns count="2">
    <tableColumn name="Column1" id="1"/>
    <tableColumn name="Column2" id="2"/>
  </tableColumns>
  <tableStyleInfo name="Controle D-1-style 6" showColumnStripes="0" showFirstColumn="1" showLastColumn="1" showRowStripes="1"/>
</table>
</file>

<file path=xl/tables/table21.xml><?xml version="1.0" encoding="utf-8"?>
<table xmlns="http://schemas.openxmlformats.org/spreadsheetml/2006/main" headerRowCount="0" ref="W10:AA1001" displayName="Table_21" id="21">
  <tableColumns count="5">
    <tableColumn name="Column1" id="1"/>
    <tableColumn name="Column2" id="2"/>
    <tableColumn name="Column3" id="3"/>
    <tableColumn name="Column4" id="4"/>
    <tableColumn name="Column5" id="5"/>
  </tableColumns>
  <tableStyleInfo name="Controle D-1-style 7" showColumnStripes="0" showFirstColumn="1" showLastColumn="1" showRowStripes="1"/>
</table>
</file>

<file path=xl/tables/table22.xml><?xml version="1.0" encoding="utf-8"?>
<table xmlns="http://schemas.openxmlformats.org/spreadsheetml/2006/main" headerRowCount="0" ref="AB11:AF221" displayName="Table_22" id="22">
  <tableColumns count="5">
    <tableColumn name="Column1" id="1"/>
    <tableColumn name="Column2" id="2"/>
    <tableColumn name="Column3" id="3"/>
    <tableColumn name="Column4" id="4"/>
    <tableColumn name="Column5" id="5"/>
  </tableColumns>
  <tableStyleInfo name="Controle D-1-style 8" showColumnStripes="0" showFirstColumn="1" showLastColumn="1" showRowStripes="1"/>
</table>
</file>

<file path=xl/tables/table23.xml><?xml version="1.0" encoding="utf-8"?>
<table xmlns="http://schemas.openxmlformats.org/spreadsheetml/2006/main" headerRowCount="0" ref="AH11:AL221" displayName="Table_23" id="23">
  <tableColumns count="5">
    <tableColumn name="Column1" id="1"/>
    <tableColumn name="Column2" id="2"/>
    <tableColumn name="Column3" id="3"/>
    <tableColumn name="Column4" id="4"/>
    <tableColumn name="Column5" id="5"/>
  </tableColumns>
  <tableStyleInfo name="Controle D-1-style 9" showColumnStripes="0" showFirstColumn="1" showLastColumn="1" showRowStripes="1"/>
</table>
</file>

<file path=xl/tables/table24.xml><?xml version="1.0" encoding="utf-8"?>
<table xmlns="http://schemas.openxmlformats.org/spreadsheetml/2006/main" headerRowCount="0" ref="AN11:AR221" displayName="Table_24" id="24">
  <tableColumns count="5">
    <tableColumn name="Column1" id="1"/>
    <tableColumn name="Column2" id="2"/>
    <tableColumn name="Column3" id="3"/>
    <tableColumn name="Column4" id="4"/>
    <tableColumn name="Column5" id="5"/>
  </tableColumns>
  <tableStyleInfo name="Controle D-1-style 10" showColumnStripes="0" showFirstColumn="1" showLastColumn="1" showRowStripes="1"/>
</table>
</file>

<file path=xl/tables/table25.xml><?xml version="1.0" encoding="utf-8"?>
<table xmlns="http://schemas.openxmlformats.org/spreadsheetml/2006/main" headerRowCount="0" ref="AT11:AX221" displayName="Table_25" id="25">
  <tableColumns count="5">
    <tableColumn name="Column1" id="1"/>
    <tableColumn name="Column2" id="2"/>
    <tableColumn name="Column3" id="3"/>
    <tableColumn name="Column4" id="4"/>
    <tableColumn name="Column5" id="5"/>
  </tableColumns>
  <tableStyleInfo name="Controle D-1-style 11" showColumnStripes="0" showFirstColumn="1" showLastColumn="1" showRowStripes="1"/>
</table>
</file>

<file path=xl/tables/table26.xml><?xml version="1.0" encoding="utf-8"?>
<table xmlns="http://schemas.openxmlformats.org/spreadsheetml/2006/main" headerRowCount="0" ref="B18:I37" displayName="Table_26" id="26">
  <tableColumns count="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</tableColumns>
  <tableStyleInfo name="Polaris-style" showColumnStripes="0" showFirstColumn="1" showLastColumn="1" showRowStripes="1"/>
</table>
</file>

<file path=xl/tables/table27.xml><?xml version="1.0" encoding="utf-8"?>
<table xmlns="http://schemas.openxmlformats.org/spreadsheetml/2006/main" headerRowCount="0" ref="B18:H37" displayName="Table_27" id="27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Endor-style" showColumnStripes="0" showFirstColumn="1" showLastColumn="1" showRowStripes="1"/>
</table>
</file>

<file path=xl/tables/table28.xml><?xml version="1.0" encoding="utf-8"?>
<table xmlns="http://schemas.openxmlformats.org/spreadsheetml/2006/main" headerRowCount="0" ref="B18:H37" displayName="Table_28" id="28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Vega-style" showColumnStripes="0" showFirstColumn="1" showLastColumn="1" showRowStripes="1"/>
</table>
</file>

<file path=xl/tables/table29.xml><?xml version="1.0" encoding="utf-8"?>
<table xmlns="http://schemas.openxmlformats.org/spreadsheetml/2006/main" headerRowCount="0" ref="B18:H37" displayName="Table_29" id="29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Orion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vale3.sa/" TargetMode="External"/><Relationship Id="rId2" Type="http://schemas.openxmlformats.org/officeDocument/2006/relationships/drawing" Target="../drawings/drawing1.xml"/><Relationship Id="rId4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table" Target="../tables/table4.xml"/><Relationship Id="rId11" Type="http://schemas.openxmlformats.org/officeDocument/2006/relationships/hyperlink" Target="http://www.b3.com.br/pt_br/produtos-e-servicos/negociacao/commodities/ficha-do-produto-8AE490CA6D41D4C7016D45F3CBBA3977.htm" TargetMode="External"/><Relationship Id="rId10" Type="http://schemas.openxmlformats.org/officeDocument/2006/relationships/hyperlink" Target="http://www.b3.com.br/pt_br/produtos-e-servicos/negociacao/commodities/ficha-do-produto-8AE490CA6D41D4C7016D45F3CB0A38F0.htm" TargetMode="External"/><Relationship Id="rId13" Type="http://schemas.openxmlformats.org/officeDocument/2006/relationships/hyperlink" Target="http://www.b3.com.br/pt_br/produtos-e-servicos/negociacao/commodities/ficha-do-produto-8AE490CA6D41D4C7016D45F3CB49391D.htm" TargetMode="External"/><Relationship Id="rId12" Type="http://schemas.openxmlformats.org/officeDocument/2006/relationships/hyperlink" Target="http://www.b3.com.br/pt_br/produtos-e-servicos/negociacao/commodities/ficha-do-produto-8AE490CA6D41D4C7016D45F3CA183814.htm" TargetMode="External"/><Relationship Id="rId1" Type="http://schemas.openxmlformats.org/officeDocument/2006/relationships/hyperlink" Target="http://www.b3.com.br/pt_br/produtos-e-servicos/negociacao/moedas/futuro-de-taxa-de-cambio-de-reais-por-dolar-comercial.htm" TargetMode="External"/><Relationship Id="rId2" Type="http://schemas.openxmlformats.org/officeDocument/2006/relationships/hyperlink" Target="http://www.b3.com.br/pt_br/produtos-e-servicos/negociacao/moedas/futuro-mini-de-taxa-de-cambio-de-reais-por-dolar-comercial.htm" TargetMode="External"/><Relationship Id="rId3" Type="http://schemas.openxmlformats.org/officeDocument/2006/relationships/hyperlink" Target="http://www.b3.com.br/pt_br/produtos-e-servicos/negociacao/moedas/futuro-de-euro-em-reais.htm" TargetMode="External"/><Relationship Id="rId4" Type="http://schemas.openxmlformats.org/officeDocument/2006/relationships/hyperlink" Target="http://www.b3.com.br/pt_br/produtos-e-servicos/negociacao/moedas/futuro-de-euro-em-reais.htm" TargetMode="External"/><Relationship Id="rId9" Type="http://schemas.openxmlformats.org/officeDocument/2006/relationships/hyperlink" Target="http://www.b3.com.br/pt_br/produtos-e-servicos/negociacao/juros/futuro-de-cupom-ipca.htm" TargetMode="External"/><Relationship Id="rId14" Type="http://schemas.openxmlformats.org/officeDocument/2006/relationships/drawing" Target="../drawings/drawing2.xml"/><Relationship Id="rId5" Type="http://schemas.openxmlformats.org/officeDocument/2006/relationships/hyperlink" Target="http://www.b3.com.br/pt_br/produtos-e-servicos/negociacao/juros/futuro-de-taxa-media-de-depositos-interfinanceiros-de-um-dia.htm" TargetMode="External"/><Relationship Id="rId19" Type="http://schemas.openxmlformats.org/officeDocument/2006/relationships/table" Target="../tables/table3.xml"/><Relationship Id="rId6" Type="http://schemas.openxmlformats.org/officeDocument/2006/relationships/hyperlink" Target="http://www.b3.com.br/pt_br/produtos-e-servicos/negociacao/renda-variavel/futuro-mini-de-ibovespa.htm" TargetMode="External"/><Relationship Id="rId18" Type="http://schemas.openxmlformats.org/officeDocument/2006/relationships/table" Target="../tables/table2.xml"/><Relationship Id="rId7" Type="http://schemas.openxmlformats.org/officeDocument/2006/relationships/hyperlink" Target="http://www.b3.com.br/pt_br/produtos-e-servicos/negociacao/renda-variavel/futuro-de-s-p-500.htm" TargetMode="External"/><Relationship Id="rId8" Type="http://schemas.openxmlformats.org/officeDocument/2006/relationships/hyperlink" Target="http://www.b3.com.br/pt_br/produtos-e-servicos/negociacao/renda-fixa/contrato-futuro-de-us-treasury-note-de-10-anos.htm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exsa.de" TargetMode="External"/><Relationship Id="rId3" Type="http://schemas.openxmlformats.org/officeDocument/2006/relationships/drawing" Target="../drawings/drawing3.xml"/><Relationship Id="rId4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table" Target="../tables/table13.xml"/><Relationship Id="rId21" Type="http://schemas.openxmlformats.org/officeDocument/2006/relationships/table" Target="../tables/table14.xml"/><Relationship Id="rId13" Type="http://schemas.openxmlformats.org/officeDocument/2006/relationships/table" Target="../tables/table6.xml"/><Relationship Id="rId12" Type="http://schemas.openxmlformats.org/officeDocument/2006/relationships/table" Target="../tables/table5.xml"/><Relationship Id="rId1" Type="http://schemas.openxmlformats.org/officeDocument/2006/relationships/drawing" Target="../drawings/drawing4.xml"/><Relationship Id="rId15" Type="http://schemas.openxmlformats.org/officeDocument/2006/relationships/table" Target="../tables/table8.xml"/><Relationship Id="rId14" Type="http://schemas.openxmlformats.org/officeDocument/2006/relationships/table" Target="../tables/table7.xml"/><Relationship Id="rId17" Type="http://schemas.openxmlformats.org/officeDocument/2006/relationships/table" Target="../tables/table10.xml"/><Relationship Id="rId16" Type="http://schemas.openxmlformats.org/officeDocument/2006/relationships/table" Target="../tables/table9.xml"/><Relationship Id="rId19" Type="http://schemas.openxmlformats.org/officeDocument/2006/relationships/table" Target="../tables/table12.xml"/><Relationship Id="rId18" Type="http://schemas.openxmlformats.org/officeDocument/2006/relationships/table" Target="../tables/table11.xm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table" Target="../tables/table22.xml"/><Relationship Id="rId22" Type="http://schemas.openxmlformats.org/officeDocument/2006/relationships/table" Target="../tables/table24.xml"/><Relationship Id="rId21" Type="http://schemas.openxmlformats.org/officeDocument/2006/relationships/table" Target="../tables/table23.xml"/><Relationship Id="rId13" Type="http://schemas.openxmlformats.org/officeDocument/2006/relationships/table" Target="../tables/table15.xml"/><Relationship Id="rId23" Type="http://schemas.openxmlformats.org/officeDocument/2006/relationships/table" Target="../tables/table25.xml"/><Relationship Id="rId1" Type="http://schemas.openxmlformats.org/officeDocument/2006/relationships/drawing" Target="../drawings/drawing5.xml"/><Relationship Id="rId15" Type="http://schemas.openxmlformats.org/officeDocument/2006/relationships/table" Target="../tables/table17.xml"/><Relationship Id="rId14" Type="http://schemas.openxmlformats.org/officeDocument/2006/relationships/table" Target="../tables/table16.xml"/><Relationship Id="rId17" Type="http://schemas.openxmlformats.org/officeDocument/2006/relationships/table" Target="../tables/table19.xml"/><Relationship Id="rId16" Type="http://schemas.openxmlformats.org/officeDocument/2006/relationships/table" Target="../tables/table18.xml"/><Relationship Id="rId19" Type="http://schemas.openxmlformats.org/officeDocument/2006/relationships/table" Target="../tables/table21.xml"/><Relationship Id="rId18" Type="http://schemas.openxmlformats.org/officeDocument/2006/relationships/table" Target="../tables/table20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2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2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2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2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www.b3.com.br/pt_br/market-data-e-indices/servicos-de-dados/market-data/historico/derivativos/ajustes-do-pregao/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7.25"/>
    <col customWidth="1" min="2" max="2" width="75.38"/>
    <col customWidth="1" min="3" max="3" width="43.25"/>
    <col customWidth="1" min="4" max="4" width="21.63"/>
  </cols>
  <sheetData>
    <row r="1" ht="31.5" customHeight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</row>
    <row r="2">
      <c r="A2" s="3" t="s">
        <v>4</v>
      </c>
      <c r="B2" s="4" t="s">
        <v>5</v>
      </c>
      <c r="C2" s="5" t="s">
        <v>6</v>
      </c>
      <c r="D2" s="4"/>
      <c r="E2" s="2"/>
      <c r="F2" s="2"/>
    </row>
    <row r="3">
      <c r="A3" s="6" t="s">
        <v>7</v>
      </c>
      <c r="B3" s="7" t="s">
        <v>8</v>
      </c>
      <c r="C3" s="5" t="s">
        <v>9</v>
      </c>
      <c r="D3" s="7"/>
      <c r="E3" s="2"/>
      <c r="F3" s="2"/>
    </row>
    <row r="4">
      <c r="A4" s="3" t="s">
        <v>10</v>
      </c>
      <c r="B4" s="4" t="s">
        <v>11</v>
      </c>
      <c r="C4" s="5" t="s">
        <v>12</v>
      </c>
      <c r="D4" s="4"/>
      <c r="E4" s="2"/>
      <c r="F4" s="2"/>
    </row>
    <row r="5">
      <c r="A5" s="6" t="s">
        <v>13</v>
      </c>
      <c r="B5" s="7" t="s">
        <v>14</v>
      </c>
      <c r="C5" s="5" t="s">
        <v>12</v>
      </c>
      <c r="D5" s="7"/>
      <c r="E5" s="2"/>
      <c r="F5" s="2"/>
    </row>
    <row r="6">
      <c r="A6" s="3" t="s">
        <v>15</v>
      </c>
      <c r="B6" s="4" t="s">
        <v>16</v>
      </c>
      <c r="C6" s="5" t="s">
        <v>6</v>
      </c>
      <c r="D6" s="4"/>
      <c r="E6" s="2"/>
      <c r="F6" s="2"/>
    </row>
    <row r="7">
      <c r="A7" s="6" t="s">
        <v>17</v>
      </c>
      <c r="B7" s="7" t="s">
        <v>18</v>
      </c>
      <c r="C7" s="5" t="s">
        <v>12</v>
      </c>
      <c r="D7" s="8">
        <v>45659.0</v>
      </c>
      <c r="E7" s="2"/>
      <c r="F7" s="2"/>
    </row>
    <row r="8">
      <c r="A8" s="3" t="s">
        <v>19</v>
      </c>
      <c r="B8" s="4" t="s">
        <v>20</v>
      </c>
      <c r="C8" s="5" t="s">
        <v>9</v>
      </c>
      <c r="D8" s="4"/>
      <c r="E8" s="2"/>
      <c r="F8" s="2"/>
    </row>
    <row r="9">
      <c r="A9" s="6" t="s">
        <v>21</v>
      </c>
      <c r="B9" s="7" t="s">
        <v>22</v>
      </c>
      <c r="C9" s="5" t="s">
        <v>12</v>
      </c>
      <c r="D9" s="8">
        <v>45048.0</v>
      </c>
      <c r="E9" s="2"/>
      <c r="F9" s="2"/>
    </row>
    <row r="10">
      <c r="A10" s="3" t="s">
        <v>23</v>
      </c>
      <c r="B10" s="4" t="s">
        <v>24</v>
      </c>
      <c r="C10" s="5" t="s">
        <v>12</v>
      </c>
      <c r="D10" s="9">
        <v>45048.0</v>
      </c>
      <c r="E10" s="2"/>
      <c r="F10" s="2"/>
    </row>
    <row r="11">
      <c r="A11" s="6" t="s">
        <v>25</v>
      </c>
      <c r="B11" s="7" t="s">
        <v>26</v>
      </c>
      <c r="C11" s="5" t="s">
        <v>12</v>
      </c>
      <c r="D11" s="10">
        <v>45048.0</v>
      </c>
      <c r="E11" s="2"/>
      <c r="F11" s="2"/>
    </row>
    <row r="12">
      <c r="A12" s="6" t="s">
        <v>27</v>
      </c>
      <c r="B12" s="4" t="s">
        <v>28</v>
      </c>
      <c r="C12" s="5" t="s">
        <v>29</v>
      </c>
      <c r="D12" s="4"/>
      <c r="E12" s="2"/>
      <c r="F12" s="2"/>
    </row>
    <row r="13">
      <c r="A13" s="3" t="s">
        <v>30</v>
      </c>
      <c r="B13" s="7" t="s">
        <v>31</v>
      </c>
      <c r="C13" s="5" t="s">
        <v>12</v>
      </c>
      <c r="D13" s="10">
        <v>45048.0</v>
      </c>
      <c r="E13" s="2"/>
      <c r="F13" s="2"/>
    </row>
    <row r="14">
      <c r="A14" s="6" t="s">
        <v>32</v>
      </c>
      <c r="B14" s="4" t="s">
        <v>33</v>
      </c>
      <c r="C14" s="5" t="s">
        <v>9</v>
      </c>
      <c r="D14" s="4"/>
      <c r="E14" s="2"/>
      <c r="F14" s="2"/>
    </row>
    <row r="15">
      <c r="A15" s="3" t="s">
        <v>34</v>
      </c>
      <c r="B15" s="7" t="s">
        <v>35</v>
      </c>
      <c r="C15" s="5" t="s">
        <v>9</v>
      </c>
      <c r="D15" s="7"/>
      <c r="E15" s="2"/>
      <c r="F15" s="2"/>
    </row>
    <row r="16">
      <c r="A16" s="6" t="s">
        <v>36</v>
      </c>
      <c r="B16" s="4" t="s">
        <v>37</v>
      </c>
      <c r="C16" s="5" t="s">
        <v>9</v>
      </c>
      <c r="D16" s="4"/>
      <c r="E16" s="2"/>
      <c r="F16" s="2"/>
    </row>
    <row r="17">
      <c r="A17" s="6" t="s">
        <v>38</v>
      </c>
      <c r="B17" s="7" t="s">
        <v>39</v>
      </c>
      <c r="C17" s="5" t="s">
        <v>12</v>
      </c>
      <c r="D17" s="11">
        <v>45048.0</v>
      </c>
      <c r="E17" s="2"/>
      <c r="F17" s="2"/>
    </row>
    <row r="18">
      <c r="A18" s="3" t="s">
        <v>40</v>
      </c>
      <c r="B18" s="4" t="s">
        <v>41</v>
      </c>
      <c r="C18" s="5" t="s">
        <v>9</v>
      </c>
      <c r="D18" s="4"/>
      <c r="E18" s="2"/>
      <c r="F18" s="2"/>
    </row>
    <row r="19" ht="15.75" customHeight="1">
      <c r="A19" s="6" t="s">
        <v>42</v>
      </c>
      <c r="B19" s="7" t="s">
        <v>43</v>
      </c>
      <c r="C19" s="5" t="s">
        <v>9</v>
      </c>
      <c r="D19" s="7"/>
      <c r="E19" s="2"/>
      <c r="F19" s="2"/>
    </row>
    <row r="20" ht="15.75" customHeight="1">
      <c r="A20" s="3" t="s">
        <v>44</v>
      </c>
      <c r="B20" s="4" t="s">
        <v>45</v>
      </c>
      <c r="C20" s="5" t="s">
        <v>9</v>
      </c>
      <c r="D20" s="4"/>
      <c r="E20" s="2"/>
      <c r="F20" s="2"/>
    </row>
    <row r="21" ht="15.75" customHeight="1">
      <c r="A21" s="6" t="s">
        <v>46</v>
      </c>
      <c r="B21" s="7" t="s">
        <v>47</v>
      </c>
      <c r="C21" s="5" t="s">
        <v>9</v>
      </c>
      <c r="D21" s="7"/>
      <c r="E21" s="2"/>
      <c r="F21" s="2"/>
    </row>
    <row r="22" ht="15.75" customHeight="1">
      <c r="A22" s="12" t="s">
        <v>48</v>
      </c>
      <c r="B22" s="4" t="s">
        <v>49</v>
      </c>
      <c r="C22" s="5" t="s">
        <v>6</v>
      </c>
      <c r="D22" s="4"/>
      <c r="E22" s="2"/>
      <c r="F22" s="2"/>
    </row>
    <row r="23" ht="15.75" customHeight="1">
      <c r="A23" s="6" t="s">
        <v>50</v>
      </c>
      <c r="B23" s="7" t="s">
        <v>51</v>
      </c>
      <c r="C23" s="5" t="s">
        <v>9</v>
      </c>
      <c r="D23" s="7"/>
      <c r="E23" s="2"/>
      <c r="F23" s="2"/>
    </row>
    <row r="24" ht="15.75" customHeight="1">
      <c r="A24" s="3" t="s">
        <v>19</v>
      </c>
      <c r="B24" s="4" t="s">
        <v>52</v>
      </c>
      <c r="C24" s="5" t="s">
        <v>9</v>
      </c>
      <c r="D24" s="4"/>
      <c r="E24" s="2"/>
      <c r="F24" s="2"/>
    </row>
    <row r="25" ht="15.75" customHeight="1">
      <c r="A25" s="6" t="s">
        <v>53</v>
      </c>
      <c r="B25" s="7" t="s">
        <v>54</v>
      </c>
      <c r="C25" s="5" t="s">
        <v>9</v>
      </c>
      <c r="D25" s="7"/>
      <c r="E25" s="2"/>
      <c r="F25" s="2"/>
    </row>
    <row r="26" ht="15.75" customHeight="1">
      <c r="A26" s="3" t="s">
        <v>55</v>
      </c>
      <c r="B26" s="4" t="s">
        <v>56</v>
      </c>
      <c r="C26" s="5" t="s">
        <v>9</v>
      </c>
      <c r="D26" s="4"/>
      <c r="E26" s="2"/>
      <c r="F26" s="2"/>
    </row>
    <row r="27" ht="15.75" customHeight="1">
      <c r="A27" s="6" t="s">
        <v>57</v>
      </c>
      <c r="B27" s="7" t="s">
        <v>58</v>
      </c>
      <c r="C27" s="5" t="s">
        <v>9</v>
      </c>
      <c r="D27" s="7"/>
      <c r="E27" s="2"/>
      <c r="F27" s="2"/>
    </row>
    <row r="28" ht="15.75" customHeight="1">
      <c r="A28" s="3" t="s">
        <v>59</v>
      </c>
      <c r="B28" s="4" t="s">
        <v>60</v>
      </c>
      <c r="C28" s="5" t="s">
        <v>9</v>
      </c>
      <c r="D28" s="4"/>
      <c r="E28" s="2"/>
      <c r="F28" s="2"/>
    </row>
    <row r="29" ht="15.75" customHeight="1">
      <c r="A29" s="6" t="s">
        <v>61</v>
      </c>
      <c r="B29" s="7" t="s">
        <v>62</v>
      </c>
      <c r="C29" s="5" t="s">
        <v>9</v>
      </c>
      <c r="D29" s="7"/>
      <c r="E29" s="2"/>
      <c r="F29" s="2"/>
    </row>
    <row r="30" ht="15.75" customHeight="1">
      <c r="A30" s="3" t="s">
        <v>63</v>
      </c>
      <c r="B30" s="4" t="s">
        <v>64</v>
      </c>
      <c r="C30" s="5" t="s">
        <v>9</v>
      </c>
      <c r="D30" s="4"/>
      <c r="E30" s="2"/>
      <c r="F30" s="2"/>
    </row>
    <row r="31" ht="15.75" customHeight="1">
      <c r="A31" s="6" t="s">
        <v>65</v>
      </c>
      <c r="B31" s="7" t="s">
        <v>66</v>
      </c>
      <c r="C31" s="5" t="s">
        <v>12</v>
      </c>
      <c r="D31" s="8">
        <v>45352.0</v>
      </c>
      <c r="E31" s="2"/>
      <c r="F31" s="2"/>
    </row>
    <row r="32" ht="15.75" customHeight="1">
      <c r="A32" s="3" t="s">
        <v>67</v>
      </c>
      <c r="B32" s="13" t="s">
        <v>68</v>
      </c>
      <c r="C32" s="5" t="s">
        <v>69</v>
      </c>
      <c r="D32" s="14">
        <v>45519.0</v>
      </c>
      <c r="E32" s="2"/>
      <c r="F32" s="2"/>
    </row>
    <row r="33" ht="15.75" customHeight="1">
      <c r="A33" s="6" t="s">
        <v>70</v>
      </c>
      <c r="B33" s="7" t="s">
        <v>71</v>
      </c>
      <c r="C33" s="5" t="s">
        <v>29</v>
      </c>
      <c r="D33" s="7"/>
      <c r="E33" s="2"/>
      <c r="F33" s="2"/>
    </row>
    <row r="34" ht="15.75" customHeight="1">
      <c r="A34" s="6" t="s">
        <v>72</v>
      </c>
      <c r="B34" s="4" t="s">
        <v>18</v>
      </c>
      <c r="C34" s="5" t="s">
        <v>12</v>
      </c>
      <c r="D34" s="14">
        <v>45566.0</v>
      </c>
      <c r="E34" s="2"/>
      <c r="F34" s="2"/>
    </row>
    <row r="35" ht="15.75" customHeight="1">
      <c r="A35" s="6" t="s">
        <v>73</v>
      </c>
      <c r="B35" s="7" t="s">
        <v>18</v>
      </c>
      <c r="C35" s="5" t="s">
        <v>12</v>
      </c>
      <c r="D35" s="10">
        <v>47120.0</v>
      </c>
      <c r="E35" s="2"/>
      <c r="F35" s="2"/>
    </row>
    <row r="36" ht="15.75" customHeight="1">
      <c r="A36" s="3" t="s">
        <v>74</v>
      </c>
      <c r="B36" s="4" t="s">
        <v>18</v>
      </c>
      <c r="C36" s="5" t="s">
        <v>12</v>
      </c>
      <c r="D36" s="9">
        <v>45839.0</v>
      </c>
      <c r="E36" s="2"/>
      <c r="F36" s="2"/>
    </row>
    <row r="37" ht="15.75" customHeight="1">
      <c r="A37" s="6" t="s">
        <v>75</v>
      </c>
      <c r="B37" s="7" t="s">
        <v>76</v>
      </c>
      <c r="C37" s="5" t="s">
        <v>12</v>
      </c>
      <c r="D37" s="10">
        <v>45048.0</v>
      </c>
      <c r="E37" s="2"/>
      <c r="F37" s="2"/>
    </row>
    <row r="38" ht="15.75" customHeight="1">
      <c r="A38" s="3" t="s">
        <v>77</v>
      </c>
      <c r="B38" s="4" t="s">
        <v>78</v>
      </c>
      <c r="C38" s="5" t="s">
        <v>12</v>
      </c>
      <c r="D38" s="10">
        <v>45048.0</v>
      </c>
      <c r="E38" s="2"/>
      <c r="F38" s="2"/>
    </row>
    <row r="39" ht="15.75" customHeight="1">
      <c r="A39" s="15" t="s">
        <v>79</v>
      </c>
      <c r="B39" s="7" t="s">
        <v>80</v>
      </c>
      <c r="C39" s="5" t="s">
        <v>81</v>
      </c>
      <c r="D39" s="7"/>
      <c r="E39" s="2"/>
      <c r="F39" s="2"/>
    </row>
    <row r="40" ht="15.75" customHeight="1">
      <c r="A40" s="3" t="s">
        <v>82</v>
      </c>
      <c r="B40" s="4" t="s">
        <v>83</v>
      </c>
      <c r="C40" s="5" t="s">
        <v>9</v>
      </c>
      <c r="D40" s="4"/>
      <c r="E40" s="2"/>
      <c r="F40" s="2"/>
    </row>
    <row r="41" ht="15.75" customHeight="1">
      <c r="A41" s="15" t="s">
        <v>84</v>
      </c>
      <c r="B41" s="7" t="s">
        <v>85</v>
      </c>
      <c r="C41" s="5" t="s">
        <v>6</v>
      </c>
      <c r="D41" s="7"/>
      <c r="E41" s="2"/>
      <c r="F41" s="2"/>
    </row>
    <row r="42" ht="15.75" customHeight="1">
      <c r="A42" s="3" t="s">
        <v>86</v>
      </c>
      <c r="B42" s="4" t="s">
        <v>87</v>
      </c>
      <c r="C42" s="5" t="s">
        <v>9</v>
      </c>
      <c r="D42" s="4"/>
      <c r="E42" s="2"/>
      <c r="F42" s="2"/>
    </row>
    <row r="43" ht="15.75" customHeight="1">
      <c r="A43" s="6" t="s">
        <v>88</v>
      </c>
      <c r="B43" s="7" t="s">
        <v>89</v>
      </c>
      <c r="C43" s="5" t="s">
        <v>9</v>
      </c>
      <c r="D43" s="7"/>
      <c r="E43" s="2"/>
      <c r="F43" s="2"/>
    </row>
    <row r="44" ht="15.75" customHeight="1">
      <c r="A44" s="3" t="s">
        <v>90</v>
      </c>
      <c r="B44" s="4" t="s">
        <v>91</v>
      </c>
      <c r="C44" s="5" t="s">
        <v>12</v>
      </c>
      <c r="D44" s="9">
        <v>45078.0</v>
      </c>
      <c r="E44" s="2"/>
      <c r="F44" s="2"/>
    </row>
    <row r="45" ht="15.75" customHeight="1">
      <c r="A45" s="6" t="s">
        <v>92</v>
      </c>
      <c r="B45" s="7" t="s">
        <v>39</v>
      </c>
      <c r="C45" s="5" t="s">
        <v>12</v>
      </c>
      <c r="D45" s="8">
        <v>45078.0</v>
      </c>
      <c r="E45" s="2"/>
      <c r="F45" s="2"/>
    </row>
    <row r="46" ht="15.75" customHeight="1">
      <c r="A46" s="3" t="s">
        <v>93</v>
      </c>
      <c r="B46" s="7" t="s">
        <v>31</v>
      </c>
      <c r="C46" s="5" t="s">
        <v>12</v>
      </c>
      <c r="D46" s="10">
        <v>45078.0</v>
      </c>
      <c r="E46" s="2"/>
      <c r="F46" s="2"/>
    </row>
    <row r="47" ht="15.75" customHeight="1">
      <c r="A47" s="6" t="s">
        <v>94</v>
      </c>
      <c r="B47" s="7" t="s">
        <v>26</v>
      </c>
      <c r="C47" s="5" t="s">
        <v>12</v>
      </c>
      <c r="D47" s="10">
        <v>45078.0</v>
      </c>
      <c r="E47" s="2"/>
      <c r="F47" s="2"/>
    </row>
    <row r="48" ht="15.75" customHeight="1">
      <c r="A48" s="3" t="s">
        <v>95</v>
      </c>
      <c r="B48" s="4" t="s">
        <v>78</v>
      </c>
      <c r="C48" s="5" t="s">
        <v>12</v>
      </c>
      <c r="D48" s="10">
        <v>45078.0</v>
      </c>
      <c r="E48" s="2"/>
      <c r="F48" s="2"/>
    </row>
    <row r="49" ht="15.75" customHeight="1">
      <c r="A49" s="6" t="s">
        <v>96</v>
      </c>
      <c r="B49" s="7" t="s">
        <v>97</v>
      </c>
      <c r="C49" s="5" t="s">
        <v>12</v>
      </c>
      <c r="D49" s="10">
        <v>45078.0</v>
      </c>
      <c r="E49" s="2"/>
      <c r="F49" s="2"/>
    </row>
    <row r="50" ht="15.75" customHeight="1">
      <c r="A50" s="3" t="str">
        <f>LEFT(B50,5)&amp;D50</f>
        <v>NTN-B45519</v>
      </c>
      <c r="B50" s="4" t="s">
        <v>98</v>
      </c>
      <c r="C50" s="5" t="s">
        <v>69</v>
      </c>
      <c r="D50" s="10">
        <v>45519.0</v>
      </c>
      <c r="E50" s="2"/>
      <c r="F50" s="2"/>
    </row>
    <row r="51" ht="15.75" customHeight="1">
      <c r="A51" s="6" t="s">
        <v>99</v>
      </c>
      <c r="B51" s="7" t="s">
        <v>100</v>
      </c>
      <c r="C51" s="5" t="s">
        <v>9</v>
      </c>
      <c r="D51" s="7"/>
      <c r="E51" s="2"/>
      <c r="F51" s="2"/>
    </row>
    <row r="52" ht="15.75" customHeight="1">
      <c r="A52" s="3" t="s">
        <v>101</v>
      </c>
      <c r="B52" s="4" t="s">
        <v>102</v>
      </c>
      <c r="C52" s="5" t="s">
        <v>6</v>
      </c>
      <c r="D52" s="4"/>
      <c r="E52" s="2"/>
      <c r="F52" s="2"/>
    </row>
    <row r="53" ht="15.75" customHeight="1">
      <c r="A53" s="6" t="s">
        <v>103</v>
      </c>
      <c r="B53" s="7" t="s">
        <v>104</v>
      </c>
      <c r="C53" s="5" t="s">
        <v>6</v>
      </c>
      <c r="D53" s="7"/>
      <c r="E53" s="2"/>
      <c r="F53" s="2"/>
    </row>
    <row r="54" ht="15.75" customHeight="1">
      <c r="A54" s="3" t="s">
        <v>105</v>
      </c>
      <c r="B54" s="4" t="s">
        <v>106</v>
      </c>
      <c r="C54" s="5" t="s">
        <v>6</v>
      </c>
      <c r="D54" s="4"/>
      <c r="E54" s="2"/>
      <c r="F54" s="2"/>
    </row>
    <row r="55" ht="15.75" customHeight="1">
      <c r="A55" s="6" t="s">
        <v>107</v>
      </c>
      <c r="B55" s="7" t="s">
        <v>108</v>
      </c>
      <c r="C55" s="5" t="s">
        <v>9</v>
      </c>
      <c r="D55" s="7"/>
      <c r="E55" s="2"/>
      <c r="F55" s="2"/>
    </row>
    <row r="56" ht="15.75" customHeight="1">
      <c r="A56" s="3" t="s">
        <v>109</v>
      </c>
      <c r="B56" s="4" t="s">
        <v>110</v>
      </c>
      <c r="C56" s="5" t="s">
        <v>12</v>
      </c>
      <c r="D56" s="9">
        <v>45078.0</v>
      </c>
      <c r="E56" s="2"/>
      <c r="F56" s="2"/>
    </row>
    <row r="57" ht="15.75" customHeight="1">
      <c r="A57" s="6" t="s">
        <v>111</v>
      </c>
      <c r="B57" s="7" t="s">
        <v>112</v>
      </c>
      <c r="C57" s="5" t="s">
        <v>12</v>
      </c>
      <c r="D57" s="8">
        <v>45078.0</v>
      </c>
      <c r="E57" s="2"/>
      <c r="F57" s="2"/>
    </row>
    <row r="58" ht="15.75" customHeight="1">
      <c r="A58" s="3" t="s">
        <v>113</v>
      </c>
      <c r="B58" s="4" t="s">
        <v>114</v>
      </c>
      <c r="C58" s="5" t="s">
        <v>9</v>
      </c>
      <c r="D58" s="4"/>
      <c r="E58" s="2"/>
      <c r="F58" s="2"/>
    </row>
    <row r="59" ht="15.75" customHeight="1">
      <c r="A59" s="6" t="s">
        <v>115</v>
      </c>
      <c r="B59" s="7" t="s">
        <v>116</v>
      </c>
      <c r="C59" s="5" t="s">
        <v>6</v>
      </c>
      <c r="D59" s="7"/>
      <c r="E59" s="2"/>
      <c r="F59" s="2"/>
    </row>
    <row r="60" ht="15.75" customHeight="1">
      <c r="A60" s="3" t="s">
        <v>117</v>
      </c>
      <c r="B60" s="4" t="s">
        <v>91</v>
      </c>
      <c r="C60" s="5" t="s">
        <v>12</v>
      </c>
      <c r="D60" s="9">
        <v>45110.0</v>
      </c>
      <c r="E60" s="2"/>
      <c r="F60" s="2"/>
    </row>
    <row r="61" ht="15.75" customHeight="1">
      <c r="A61" s="6" t="s">
        <v>118</v>
      </c>
      <c r="B61" s="7" t="s">
        <v>31</v>
      </c>
      <c r="C61" s="5" t="s">
        <v>12</v>
      </c>
      <c r="D61" s="8">
        <v>45110.0</v>
      </c>
      <c r="E61" s="2"/>
      <c r="F61" s="2"/>
    </row>
    <row r="62" ht="15.75" customHeight="1">
      <c r="A62" s="3" t="s">
        <v>119</v>
      </c>
      <c r="B62" s="4" t="s">
        <v>11</v>
      </c>
      <c r="C62" s="5" t="s">
        <v>12</v>
      </c>
      <c r="D62" s="9">
        <v>46025.0</v>
      </c>
      <c r="E62" s="2"/>
      <c r="F62" s="2"/>
    </row>
    <row r="63" ht="15.75" customHeight="1">
      <c r="A63" s="6" t="s">
        <v>117</v>
      </c>
      <c r="B63" s="7" t="s">
        <v>91</v>
      </c>
      <c r="C63" s="5" t="s">
        <v>12</v>
      </c>
      <c r="D63" s="8">
        <v>45110.0</v>
      </c>
      <c r="E63" s="2"/>
      <c r="F63" s="2"/>
    </row>
    <row r="64" ht="15.75" customHeight="1">
      <c r="A64" s="16" t="s">
        <v>120</v>
      </c>
      <c r="B64" s="17" t="s">
        <v>18</v>
      </c>
      <c r="C64" s="18" t="s">
        <v>12</v>
      </c>
      <c r="D64" s="19">
        <v>45932.0</v>
      </c>
      <c r="E64" s="2"/>
      <c r="F64" s="2"/>
    </row>
    <row r="65" ht="15.75" customHeight="1">
      <c r="A65" s="6" t="s">
        <v>121</v>
      </c>
      <c r="B65" s="7" t="s">
        <v>122</v>
      </c>
      <c r="C65" s="5" t="s">
        <v>12</v>
      </c>
      <c r="D65" s="8">
        <v>45110.0</v>
      </c>
      <c r="E65" s="2"/>
      <c r="F65" s="2"/>
    </row>
    <row r="66" ht="15.75" customHeight="1">
      <c r="A66" s="3" t="s">
        <v>123</v>
      </c>
      <c r="B66" s="4" t="s">
        <v>124</v>
      </c>
      <c r="C66" s="5" t="s">
        <v>69</v>
      </c>
      <c r="D66" s="9">
        <v>45853.0</v>
      </c>
      <c r="E66" s="2"/>
      <c r="F66" s="2"/>
    </row>
    <row r="67" ht="15.75" customHeight="1">
      <c r="A67" s="6" t="s">
        <v>125</v>
      </c>
      <c r="B67" s="7" t="s">
        <v>91</v>
      </c>
      <c r="C67" s="5" t="s">
        <v>12</v>
      </c>
      <c r="D67" s="8">
        <v>45139.0</v>
      </c>
      <c r="E67" s="2"/>
      <c r="F67" s="2"/>
    </row>
    <row r="68" ht="15.75" customHeight="1">
      <c r="A68" s="3" t="s">
        <v>126</v>
      </c>
      <c r="B68" s="4" t="s">
        <v>122</v>
      </c>
      <c r="C68" s="5" t="s">
        <v>12</v>
      </c>
      <c r="D68" s="9">
        <v>45139.0</v>
      </c>
      <c r="E68" s="2"/>
      <c r="F68" s="2"/>
    </row>
    <row r="69" ht="15.75" customHeight="1">
      <c r="A69" s="20" t="s">
        <v>127</v>
      </c>
      <c r="B69" s="21" t="s">
        <v>78</v>
      </c>
      <c r="C69" s="22" t="s">
        <v>12</v>
      </c>
      <c r="D69" s="8">
        <v>45139.0</v>
      </c>
      <c r="E69" s="2"/>
      <c r="F69" s="2"/>
    </row>
    <row r="70" ht="15.75" customHeight="1">
      <c r="A70" s="23" t="s">
        <v>128</v>
      </c>
      <c r="B70" s="21" t="s">
        <v>129</v>
      </c>
      <c r="C70" s="22" t="s">
        <v>9</v>
      </c>
      <c r="D70" s="24"/>
      <c r="E70" s="2"/>
      <c r="F70" s="2"/>
    </row>
    <row r="71" ht="15.75" customHeight="1">
      <c r="A71" s="6" t="s">
        <v>130</v>
      </c>
      <c r="B71" s="7" t="s">
        <v>131</v>
      </c>
      <c r="C71" s="5" t="s">
        <v>9</v>
      </c>
      <c r="D71" s="7"/>
      <c r="E71" s="2"/>
      <c r="F71" s="2"/>
    </row>
    <row r="72" ht="15.75" customHeight="1">
      <c r="A72" s="3" t="s">
        <v>132</v>
      </c>
      <c r="B72" s="4" t="s">
        <v>39</v>
      </c>
      <c r="C72" s="5" t="s">
        <v>12</v>
      </c>
      <c r="D72" s="9">
        <v>45261.0</v>
      </c>
      <c r="E72" s="2"/>
      <c r="F72" s="2"/>
    </row>
    <row r="73" ht="15.75" customHeight="1">
      <c r="A73" s="6" t="s">
        <v>133</v>
      </c>
      <c r="B73" s="7" t="s">
        <v>134</v>
      </c>
      <c r="C73" s="5" t="s">
        <v>12</v>
      </c>
      <c r="D73" s="8">
        <v>45261.0</v>
      </c>
      <c r="E73" s="2"/>
      <c r="F73" s="2"/>
    </row>
    <row r="74" ht="15.75" customHeight="1">
      <c r="A74" s="3" t="s">
        <v>119</v>
      </c>
      <c r="B74" s="4" t="s">
        <v>135</v>
      </c>
      <c r="C74" s="5" t="s">
        <v>12</v>
      </c>
      <c r="D74" s="9">
        <v>46024.0</v>
      </c>
      <c r="E74" s="2"/>
      <c r="F74" s="2"/>
    </row>
    <row r="75" ht="15.75" customHeight="1">
      <c r="A75" s="6" t="s">
        <v>136</v>
      </c>
      <c r="B75" s="21" t="s">
        <v>78</v>
      </c>
      <c r="C75" s="5" t="s">
        <v>12</v>
      </c>
      <c r="D75" s="8">
        <v>45170.0</v>
      </c>
      <c r="E75" s="2"/>
      <c r="F75" s="2"/>
    </row>
    <row r="76" ht="15.75" customHeight="1">
      <c r="A76" s="3" t="s">
        <v>137</v>
      </c>
      <c r="B76" s="4" t="s">
        <v>138</v>
      </c>
      <c r="C76" s="5" t="s">
        <v>6</v>
      </c>
      <c r="D76" s="4"/>
      <c r="E76" s="2"/>
      <c r="F76" s="2"/>
    </row>
    <row r="77" ht="15.75" customHeight="1">
      <c r="A77" s="3" t="s">
        <v>139</v>
      </c>
      <c r="B77" s="4" t="s">
        <v>140</v>
      </c>
      <c r="C77" s="5" t="s">
        <v>6</v>
      </c>
      <c r="D77" s="7"/>
      <c r="E77" s="2"/>
      <c r="F77" s="2"/>
    </row>
    <row r="78" ht="15.75" customHeight="1">
      <c r="A78" s="3" t="s">
        <v>141</v>
      </c>
      <c r="B78" s="4" t="s">
        <v>142</v>
      </c>
      <c r="C78" s="5" t="s">
        <v>6</v>
      </c>
      <c r="D78" s="4"/>
      <c r="E78" s="2"/>
      <c r="F78" s="2"/>
    </row>
    <row r="79" ht="15.75" customHeight="1">
      <c r="A79" s="3" t="s">
        <v>143</v>
      </c>
      <c r="B79" s="7" t="s">
        <v>144</v>
      </c>
      <c r="C79" s="5" t="s">
        <v>9</v>
      </c>
      <c r="D79" s="7"/>
      <c r="E79" s="2"/>
      <c r="F79" s="2"/>
    </row>
    <row r="80" ht="15.75" customHeight="1">
      <c r="A80" s="3" t="s">
        <v>145</v>
      </c>
      <c r="B80" s="4" t="s">
        <v>146</v>
      </c>
      <c r="C80" s="5" t="s">
        <v>9</v>
      </c>
      <c r="D80" s="4"/>
      <c r="E80" s="2"/>
      <c r="F80" s="2"/>
    </row>
    <row r="81" ht="15.75" customHeight="1">
      <c r="A81" s="3" t="s">
        <v>147</v>
      </c>
      <c r="B81" s="7" t="s">
        <v>148</v>
      </c>
      <c r="C81" s="5" t="s">
        <v>69</v>
      </c>
      <c r="D81" s="8">
        <v>45170.0</v>
      </c>
      <c r="E81" s="2"/>
      <c r="F81" s="2"/>
    </row>
    <row r="82" ht="15.75" customHeight="1">
      <c r="A82" s="3" t="s">
        <v>149</v>
      </c>
      <c r="B82" s="4" t="s">
        <v>150</v>
      </c>
      <c r="C82" s="5" t="s">
        <v>6</v>
      </c>
      <c r="D82" s="4"/>
      <c r="E82" s="2"/>
      <c r="F82" s="2"/>
    </row>
    <row r="83" ht="15.75" customHeight="1">
      <c r="A83" s="3" t="s">
        <v>151</v>
      </c>
      <c r="B83" s="7" t="s">
        <v>152</v>
      </c>
      <c r="C83" s="5" t="s">
        <v>12</v>
      </c>
      <c r="D83" s="8">
        <v>45287.0</v>
      </c>
      <c r="E83" s="2"/>
      <c r="F83" s="2"/>
    </row>
    <row r="84" ht="15.75" customHeight="1">
      <c r="A84" s="3" t="s">
        <v>153</v>
      </c>
      <c r="B84" s="4" t="s">
        <v>154</v>
      </c>
      <c r="C84" s="5" t="s">
        <v>9</v>
      </c>
      <c r="D84" s="4"/>
      <c r="E84" s="2"/>
      <c r="F84" s="2"/>
    </row>
    <row r="85" ht="15.75" customHeight="1">
      <c r="A85" s="3" t="s">
        <v>155</v>
      </c>
      <c r="B85" s="7" t="s">
        <v>156</v>
      </c>
      <c r="C85" s="5" t="s">
        <v>12</v>
      </c>
      <c r="D85" s="8">
        <v>45217.0</v>
      </c>
      <c r="E85" s="2"/>
      <c r="F85" s="2"/>
    </row>
    <row r="86" ht="15.75" customHeight="1">
      <c r="A86" s="3" t="s">
        <v>157</v>
      </c>
      <c r="B86" s="4" t="s">
        <v>158</v>
      </c>
      <c r="C86" s="5" t="s">
        <v>6</v>
      </c>
      <c r="D86" s="4"/>
      <c r="E86" s="2"/>
      <c r="F86" s="2"/>
    </row>
    <row r="87" ht="15.75" customHeight="1">
      <c r="A87" s="3" t="s">
        <v>159</v>
      </c>
      <c r="B87" s="7" t="s">
        <v>160</v>
      </c>
      <c r="C87" s="5" t="s">
        <v>12</v>
      </c>
      <c r="D87" s="8">
        <v>45293.0</v>
      </c>
      <c r="E87" s="2"/>
      <c r="F87" s="2"/>
    </row>
    <row r="88" ht="15.75" customHeight="1">
      <c r="A88" s="3" t="s">
        <v>161</v>
      </c>
      <c r="B88" s="4" t="s">
        <v>162</v>
      </c>
      <c r="C88" s="5" t="s">
        <v>12</v>
      </c>
      <c r="D88" s="8">
        <v>46389.0</v>
      </c>
      <c r="E88" s="2"/>
      <c r="F88" s="2"/>
    </row>
    <row r="89" ht="15.75" customHeight="1">
      <c r="A89" s="3" t="s">
        <v>163</v>
      </c>
      <c r="B89" s="7" t="s">
        <v>164</v>
      </c>
      <c r="C89" s="5" t="s">
        <v>12</v>
      </c>
      <c r="D89" s="8">
        <v>45260.0</v>
      </c>
      <c r="E89" s="2"/>
      <c r="F89" s="2"/>
    </row>
    <row r="90" ht="15.75" customHeight="1">
      <c r="A90" s="3" t="s">
        <v>165</v>
      </c>
      <c r="B90" s="7" t="s">
        <v>166</v>
      </c>
      <c r="C90" s="5" t="s">
        <v>12</v>
      </c>
      <c r="D90" s="8">
        <v>45201.0</v>
      </c>
      <c r="E90" s="2"/>
      <c r="F90" s="2"/>
    </row>
    <row r="91" ht="15.75" customHeight="1">
      <c r="A91" s="3" t="s">
        <v>167</v>
      </c>
      <c r="B91" s="7" t="s">
        <v>168</v>
      </c>
      <c r="C91" s="5" t="s">
        <v>12</v>
      </c>
      <c r="D91" s="8">
        <v>45383.0</v>
      </c>
      <c r="E91" s="2"/>
      <c r="F91" s="2"/>
    </row>
    <row r="92" ht="15.75" customHeight="1">
      <c r="A92" s="3"/>
      <c r="B92" s="4"/>
      <c r="C92" s="5" t="s">
        <v>12</v>
      </c>
      <c r="D92" s="9">
        <v>45293.0</v>
      </c>
      <c r="E92" s="2"/>
      <c r="F92" s="2"/>
    </row>
    <row r="93" ht="15.75" customHeight="1">
      <c r="A93" s="3" t="s">
        <v>169</v>
      </c>
      <c r="B93" s="7" t="s">
        <v>170</v>
      </c>
      <c r="C93" s="5" t="s">
        <v>12</v>
      </c>
      <c r="D93" s="8">
        <v>45261.0</v>
      </c>
      <c r="E93" s="2"/>
      <c r="F93" s="2"/>
    </row>
    <row r="94" ht="15.75" customHeight="1">
      <c r="A94" s="3" t="s">
        <v>171</v>
      </c>
      <c r="B94" s="4" t="s">
        <v>170</v>
      </c>
      <c r="C94" s="5" t="s">
        <v>12</v>
      </c>
      <c r="D94" s="9">
        <v>45201.0</v>
      </c>
      <c r="E94" s="2"/>
      <c r="F94" s="2"/>
    </row>
    <row r="95" ht="15.75" customHeight="1">
      <c r="A95" s="3" t="s">
        <v>172</v>
      </c>
      <c r="B95" s="7" t="s">
        <v>173</v>
      </c>
      <c r="C95" s="5" t="s">
        <v>9</v>
      </c>
      <c r="D95" s="7"/>
      <c r="E95" s="2"/>
      <c r="F95" s="2"/>
    </row>
    <row r="96" ht="15.75" customHeight="1">
      <c r="A96" s="3" t="s">
        <v>174</v>
      </c>
      <c r="B96" s="4" t="s">
        <v>175</v>
      </c>
      <c r="C96" s="5" t="s">
        <v>6</v>
      </c>
      <c r="D96" s="4"/>
      <c r="E96" s="2"/>
      <c r="F96" s="2"/>
    </row>
    <row r="97" ht="15.75" customHeight="1">
      <c r="A97" s="3" t="s">
        <v>176</v>
      </c>
      <c r="B97" s="7" t="s">
        <v>177</v>
      </c>
      <c r="C97" s="5" t="s">
        <v>6</v>
      </c>
      <c r="D97" s="7"/>
      <c r="E97" s="2"/>
      <c r="F97" s="2"/>
    </row>
    <row r="98" ht="15.75" customHeight="1">
      <c r="A98" s="3" t="s">
        <v>178</v>
      </c>
      <c r="B98" s="4" t="s">
        <v>179</v>
      </c>
      <c r="C98" s="5" t="s">
        <v>6</v>
      </c>
      <c r="D98" s="4"/>
      <c r="E98" s="2"/>
      <c r="F98" s="2"/>
    </row>
    <row r="99" ht="15.75" customHeight="1">
      <c r="A99" s="3" t="s">
        <v>180</v>
      </c>
      <c r="B99" s="7" t="s">
        <v>181</v>
      </c>
      <c r="C99" s="5" t="s">
        <v>6</v>
      </c>
      <c r="D99" s="7"/>
      <c r="E99" s="2"/>
      <c r="F99" s="2"/>
    </row>
    <row r="100" ht="15.75" customHeight="1">
      <c r="A100" s="3"/>
      <c r="B100" s="4"/>
      <c r="C100" s="5"/>
      <c r="D100" s="4"/>
      <c r="E100" s="2"/>
      <c r="F100" s="2"/>
    </row>
    <row r="101" ht="15.75" customHeight="1">
      <c r="A101" s="3"/>
      <c r="B101" s="7"/>
      <c r="C101" s="5"/>
      <c r="D101" s="7"/>
      <c r="E101" s="2"/>
      <c r="F101" s="2"/>
    </row>
    <row r="102" ht="15.75" customHeight="1">
      <c r="A102" s="3"/>
      <c r="B102" s="4"/>
      <c r="C102" s="5"/>
      <c r="D102" s="4"/>
      <c r="E102" s="2"/>
      <c r="F102" s="2"/>
    </row>
    <row r="103" ht="15.75" customHeight="1">
      <c r="A103" s="3"/>
      <c r="B103" s="7"/>
      <c r="C103" s="5"/>
      <c r="D103" s="7"/>
      <c r="E103" s="2"/>
      <c r="F103" s="2"/>
    </row>
    <row r="104" ht="15.75" customHeight="1">
      <c r="A104" s="3"/>
      <c r="B104" s="4"/>
      <c r="C104" s="5"/>
      <c r="D104" s="4"/>
      <c r="E104" s="2"/>
      <c r="F104" s="2"/>
    </row>
    <row r="105" ht="15.75" customHeight="1">
      <c r="A105" s="3"/>
      <c r="B105" s="7"/>
      <c r="C105" s="5"/>
      <c r="D105" s="7"/>
      <c r="E105" s="2"/>
      <c r="F105" s="2"/>
    </row>
    <row r="106" ht="15.75" customHeight="1">
      <c r="A106" s="3"/>
      <c r="B106" s="4"/>
      <c r="C106" s="5"/>
      <c r="D106" s="4"/>
      <c r="E106" s="2"/>
      <c r="F106" s="2"/>
    </row>
    <row r="107" ht="15.75" customHeight="1">
      <c r="A107" s="3"/>
      <c r="B107" s="7"/>
      <c r="C107" s="5"/>
      <c r="D107" s="7"/>
      <c r="E107" s="2"/>
      <c r="F107" s="2"/>
    </row>
    <row r="108" ht="15.75" customHeight="1">
      <c r="A108" s="3"/>
      <c r="B108" s="4"/>
      <c r="C108" s="5"/>
      <c r="D108" s="4"/>
      <c r="E108" s="2"/>
      <c r="F108" s="2"/>
    </row>
    <row r="109" ht="15.75" customHeight="1">
      <c r="A109" s="3"/>
      <c r="B109" s="7"/>
      <c r="C109" s="5"/>
      <c r="D109" s="7"/>
      <c r="E109" s="2"/>
      <c r="F109" s="2"/>
    </row>
    <row r="110" ht="15.75" customHeight="1">
      <c r="A110" s="3"/>
      <c r="B110" s="4"/>
      <c r="C110" s="5"/>
      <c r="D110" s="4"/>
      <c r="E110" s="2"/>
      <c r="F110" s="2"/>
    </row>
    <row r="111" ht="15.75" customHeight="1">
      <c r="A111" s="3"/>
      <c r="B111" s="7"/>
      <c r="C111" s="5"/>
      <c r="D111" s="7"/>
      <c r="E111" s="2"/>
      <c r="F111" s="2"/>
    </row>
    <row r="112" ht="15.75" customHeight="1">
      <c r="A112" s="3"/>
      <c r="B112" s="4"/>
      <c r="C112" s="5"/>
      <c r="D112" s="4"/>
      <c r="E112" s="2"/>
      <c r="F112" s="2"/>
    </row>
    <row r="113" ht="15.75" customHeight="1">
      <c r="A113" s="3"/>
      <c r="B113" s="7"/>
      <c r="C113" s="5"/>
      <c r="D113" s="7"/>
      <c r="E113" s="2"/>
      <c r="F113" s="2"/>
    </row>
    <row r="114" ht="15.75" customHeight="1">
      <c r="A114" s="3"/>
      <c r="B114" s="4"/>
      <c r="C114" s="5"/>
      <c r="D114" s="4"/>
      <c r="E114" s="2"/>
      <c r="F114" s="2"/>
    </row>
    <row r="115" ht="15.75" customHeight="1">
      <c r="A115" s="3"/>
      <c r="B115" s="7"/>
      <c r="C115" s="5"/>
      <c r="D115" s="7"/>
      <c r="E115" s="2"/>
      <c r="F115" s="2"/>
    </row>
    <row r="116" ht="15.75" customHeight="1">
      <c r="A116" s="3"/>
      <c r="B116" s="4"/>
      <c r="C116" s="5"/>
      <c r="D116" s="4"/>
      <c r="E116" s="2"/>
      <c r="F116" s="2"/>
    </row>
    <row r="117" ht="15.75" customHeight="1">
      <c r="A117" s="3"/>
      <c r="B117" s="7"/>
      <c r="C117" s="5"/>
      <c r="D117" s="7"/>
      <c r="E117" s="2"/>
      <c r="F117" s="2"/>
    </row>
    <row r="118" ht="15.75" customHeight="1">
      <c r="A118" s="3"/>
      <c r="B118" s="4"/>
      <c r="C118" s="5"/>
      <c r="D118" s="4"/>
      <c r="E118" s="2"/>
      <c r="F118" s="2"/>
    </row>
    <row r="119" ht="15.75" customHeight="1">
      <c r="A119" s="3"/>
      <c r="B119" s="7"/>
      <c r="C119" s="5"/>
      <c r="D119" s="7"/>
      <c r="E119" s="2"/>
      <c r="F119" s="2"/>
    </row>
    <row r="120" ht="15.75" customHeight="1">
      <c r="A120" s="3"/>
      <c r="B120" s="4"/>
      <c r="C120" s="5"/>
      <c r="D120" s="4"/>
      <c r="E120" s="2"/>
      <c r="F120" s="2"/>
    </row>
    <row r="121" ht="15.75" customHeight="1">
      <c r="A121" s="3"/>
      <c r="B121" s="7"/>
      <c r="C121" s="5"/>
      <c r="D121" s="7"/>
      <c r="E121" s="2"/>
      <c r="F121" s="2"/>
    </row>
    <row r="122" ht="15.75" customHeight="1">
      <c r="A122" s="3"/>
      <c r="B122" s="4"/>
      <c r="C122" s="5"/>
      <c r="D122" s="4"/>
      <c r="E122" s="2"/>
      <c r="F122" s="2"/>
    </row>
    <row r="123" ht="15.75" customHeight="1">
      <c r="A123" s="3"/>
      <c r="B123" s="7"/>
      <c r="C123" s="5"/>
      <c r="D123" s="7"/>
      <c r="E123" s="2"/>
      <c r="F123" s="2"/>
    </row>
    <row r="124" ht="15.75" customHeight="1">
      <c r="A124" s="3"/>
      <c r="B124" s="4"/>
      <c r="C124" s="5"/>
      <c r="D124" s="4"/>
      <c r="E124" s="2"/>
      <c r="F124" s="2"/>
    </row>
    <row r="125" ht="15.75" customHeight="1">
      <c r="A125" s="3"/>
      <c r="B125" s="7"/>
      <c r="C125" s="5"/>
      <c r="D125" s="7"/>
      <c r="E125" s="2"/>
      <c r="F125" s="2"/>
    </row>
    <row r="126" ht="15.75" customHeight="1">
      <c r="A126" s="3"/>
      <c r="B126" s="4"/>
      <c r="C126" s="5"/>
      <c r="D126" s="4"/>
      <c r="E126" s="2"/>
      <c r="F126" s="2"/>
    </row>
    <row r="127" ht="15.75" customHeight="1">
      <c r="A127" s="3"/>
      <c r="B127" s="7"/>
      <c r="C127" s="5"/>
      <c r="D127" s="7"/>
      <c r="E127" s="2"/>
      <c r="F127" s="2"/>
    </row>
    <row r="128" ht="15.75" customHeight="1">
      <c r="A128" s="3"/>
      <c r="B128" s="4"/>
      <c r="C128" s="5"/>
      <c r="D128" s="4"/>
      <c r="E128" s="2"/>
      <c r="F128" s="2"/>
    </row>
    <row r="129" ht="15.75" customHeight="1">
      <c r="A129" s="3"/>
      <c r="B129" s="7"/>
      <c r="C129" s="5"/>
      <c r="D129" s="7"/>
      <c r="E129" s="2"/>
      <c r="F129" s="2"/>
    </row>
    <row r="130" ht="15.75" customHeight="1">
      <c r="A130" s="3"/>
      <c r="B130" s="4"/>
      <c r="C130" s="5"/>
      <c r="D130" s="4"/>
      <c r="E130" s="2"/>
      <c r="F130" s="2"/>
    </row>
    <row r="131" ht="15.75" customHeight="1">
      <c r="A131" s="3"/>
      <c r="B131" s="7"/>
      <c r="C131" s="5"/>
      <c r="D131" s="7"/>
      <c r="E131" s="2"/>
      <c r="F131" s="2"/>
    </row>
    <row r="132" ht="15.75" customHeight="1">
      <c r="A132" s="3"/>
      <c r="B132" s="4"/>
      <c r="C132" s="5"/>
      <c r="D132" s="4"/>
      <c r="E132" s="2"/>
      <c r="F132" s="2"/>
    </row>
    <row r="133" ht="15.75" customHeight="1">
      <c r="A133" s="3"/>
      <c r="B133" s="7"/>
      <c r="C133" s="5"/>
      <c r="D133" s="7"/>
      <c r="E133" s="2"/>
      <c r="F133" s="2"/>
    </row>
    <row r="134" ht="15.75" customHeight="1">
      <c r="A134" s="3"/>
      <c r="B134" s="4"/>
      <c r="C134" s="5"/>
      <c r="D134" s="4"/>
      <c r="E134" s="2"/>
      <c r="F134" s="2"/>
    </row>
    <row r="135" ht="15.75" customHeight="1">
      <c r="A135" s="6"/>
      <c r="B135" s="7"/>
      <c r="C135" s="5"/>
      <c r="D135" s="7"/>
      <c r="E135" s="2"/>
      <c r="F135" s="2"/>
    </row>
    <row r="136" ht="15.75" customHeight="1">
      <c r="A136" s="3"/>
      <c r="B136" s="4"/>
      <c r="C136" s="5"/>
      <c r="D136" s="4"/>
      <c r="E136" s="2"/>
      <c r="F136" s="2"/>
    </row>
    <row r="137" ht="15.75" customHeight="1">
      <c r="A137" s="6"/>
      <c r="B137" s="7"/>
      <c r="C137" s="5"/>
      <c r="D137" s="7"/>
      <c r="E137" s="2"/>
      <c r="F137" s="2"/>
    </row>
    <row r="138" ht="15.75" customHeight="1">
      <c r="A138" s="3"/>
      <c r="B138" s="4"/>
      <c r="C138" s="5"/>
      <c r="D138" s="4"/>
      <c r="E138" s="2"/>
      <c r="F138" s="2"/>
    </row>
    <row r="139" ht="15.75" customHeight="1">
      <c r="A139" s="6"/>
      <c r="B139" s="7"/>
      <c r="C139" s="5"/>
      <c r="D139" s="7"/>
      <c r="E139" s="2"/>
      <c r="F139" s="2"/>
    </row>
    <row r="140" ht="15.75" customHeight="1">
      <c r="A140" s="3"/>
      <c r="B140" s="4"/>
      <c r="C140" s="5"/>
      <c r="D140" s="4"/>
      <c r="E140" s="2"/>
      <c r="F140" s="2"/>
    </row>
    <row r="141" ht="15.75" customHeight="1">
      <c r="A141" s="6"/>
      <c r="B141" s="7"/>
      <c r="C141" s="5"/>
      <c r="D141" s="7"/>
      <c r="E141" s="2"/>
      <c r="F141" s="2"/>
    </row>
    <row r="142" ht="15.75" customHeight="1">
      <c r="A142" s="3"/>
      <c r="B142" s="4"/>
      <c r="C142" s="5"/>
      <c r="D142" s="4"/>
      <c r="E142" s="2"/>
      <c r="F142" s="2"/>
    </row>
    <row r="143" ht="15.75" customHeight="1">
      <c r="A143" s="6"/>
      <c r="B143" s="7"/>
      <c r="C143" s="5"/>
      <c r="D143" s="7"/>
      <c r="E143" s="2"/>
      <c r="F143" s="2"/>
    </row>
    <row r="144" ht="15.75" customHeight="1">
      <c r="A144" s="3"/>
      <c r="B144" s="4"/>
      <c r="C144" s="5"/>
      <c r="D144" s="4"/>
      <c r="E144" s="2"/>
      <c r="F144" s="2"/>
    </row>
    <row r="145" ht="15.75" customHeight="1">
      <c r="A145" s="6"/>
      <c r="B145" s="7"/>
      <c r="C145" s="5"/>
      <c r="D145" s="7"/>
      <c r="E145" s="2"/>
      <c r="F145" s="2"/>
    </row>
    <row r="146" ht="15.75" customHeight="1">
      <c r="A146" s="3"/>
      <c r="B146" s="4"/>
      <c r="C146" s="5"/>
      <c r="D146" s="4"/>
      <c r="E146" s="2"/>
      <c r="F146" s="2"/>
    </row>
    <row r="147" ht="15.75" customHeight="1">
      <c r="A147" s="6"/>
      <c r="B147" s="7"/>
      <c r="C147" s="5"/>
      <c r="D147" s="7"/>
      <c r="E147" s="2"/>
      <c r="F147" s="2"/>
    </row>
    <row r="148" ht="15.75" customHeight="1">
      <c r="A148" s="3"/>
      <c r="B148" s="4"/>
      <c r="C148" s="5"/>
      <c r="D148" s="4"/>
      <c r="E148" s="2"/>
      <c r="F148" s="2"/>
    </row>
    <row r="149" ht="15.75" customHeight="1">
      <c r="A149" s="6"/>
      <c r="B149" s="7"/>
      <c r="C149" s="5"/>
      <c r="D149" s="7"/>
      <c r="E149" s="2"/>
      <c r="F149" s="2"/>
    </row>
    <row r="150" ht="15.75" customHeight="1">
      <c r="A150" s="3"/>
      <c r="B150" s="4"/>
      <c r="C150" s="5"/>
      <c r="D150" s="4"/>
      <c r="E150" s="2"/>
      <c r="F150" s="2"/>
    </row>
    <row r="151" ht="15.75" customHeight="1">
      <c r="A151" s="6"/>
      <c r="B151" s="7"/>
      <c r="C151" s="5"/>
      <c r="D151" s="7"/>
      <c r="E151" s="2"/>
      <c r="F151" s="2"/>
    </row>
    <row r="152" ht="15.75" customHeight="1">
      <c r="A152" s="3"/>
      <c r="B152" s="4"/>
      <c r="C152" s="5"/>
      <c r="D152" s="4"/>
      <c r="E152" s="2"/>
      <c r="F152" s="2"/>
    </row>
    <row r="153" ht="15.75" customHeight="1">
      <c r="A153" s="6"/>
      <c r="B153" s="7"/>
      <c r="C153" s="5"/>
      <c r="D153" s="7"/>
      <c r="E153" s="2"/>
      <c r="F153" s="2"/>
    </row>
    <row r="154" ht="15.75" customHeight="1">
      <c r="A154" s="3"/>
      <c r="B154" s="4"/>
      <c r="C154" s="5"/>
      <c r="D154" s="4"/>
      <c r="E154" s="2"/>
      <c r="F154" s="2"/>
    </row>
    <row r="155" ht="15.75" customHeight="1">
      <c r="A155" s="6"/>
      <c r="B155" s="7"/>
      <c r="C155" s="5"/>
      <c r="D155" s="7"/>
      <c r="E155" s="2"/>
      <c r="F155" s="2"/>
    </row>
    <row r="156" ht="15.75" customHeight="1">
      <c r="A156" s="3"/>
      <c r="B156" s="4"/>
      <c r="C156" s="5"/>
      <c r="D156" s="4"/>
      <c r="E156" s="2"/>
      <c r="F156" s="2"/>
    </row>
    <row r="157" ht="15.75" customHeight="1">
      <c r="A157" s="6"/>
      <c r="B157" s="7"/>
      <c r="C157" s="5"/>
      <c r="D157" s="7"/>
      <c r="E157" s="2"/>
      <c r="F157" s="2"/>
    </row>
    <row r="158" ht="15.75" customHeight="1">
      <c r="A158" s="3"/>
      <c r="B158" s="4"/>
      <c r="C158" s="5"/>
      <c r="D158" s="4"/>
      <c r="E158" s="2"/>
      <c r="F158" s="2"/>
    </row>
    <row r="159" ht="15.75" customHeight="1">
      <c r="A159" s="6"/>
      <c r="B159" s="7"/>
      <c r="C159" s="5"/>
      <c r="D159" s="7"/>
      <c r="E159" s="2"/>
      <c r="F159" s="2"/>
    </row>
    <row r="160" ht="15.75" customHeight="1">
      <c r="A160" s="3"/>
      <c r="B160" s="4"/>
      <c r="C160" s="5"/>
      <c r="D160" s="4"/>
      <c r="E160" s="2"/>
      <c r="F160" s="2"/>
    </row>
    <row r="161" ht="15.75" customHeight="1">
      <c r="A161" s="6"/>
      <c r="B161" s="7"/>
      <c r="C161" s="5"/>
      <c r="D161" s="7"/>
      <c r="E161" s="2"/>
      <c r="F161" s="2"/>
    </row>
    <row r="162" ht="15.75" customHeight="1">
      <c r="A162" s="3"/>
      <c r="B162" s="4"/>
      <c r="C162" s="5"/>
      <c r="D162" s="4"/>
      <c r="E162" s="2"/>
      <c r="F162" s="2"/>
    </row>
    <row r="163" ht="15.75" customHeight="1">
      <c r="A163" s="6"/>
      <c r="B163" s="7"/>
      <c r="C163" s="5"/>
      <c r="D163" s="7"/>
      <c r="E163" s="2"/>
      <c r="F163" s="2"/>
    </row>
    <row r="164" ht="15.75" customHeight="1">
      <c r="A164" s="3"/>
      <c r="B164" s="4"/>
      <c r="C164" s="5"/>
      <c r="D164" s="4"/>
      <c r="E164" s="2"/>
      <c r="F164" s="2"/>
    </row>
    <row r="165" ht="15.75" customHeight="1">
      <c r="A165" s="6"/>
      <c r="B165" s="7"/>
      <c r="C165" s="5"/>
      <c r="D165" s="7"/>
      <c r="E165" s="2"/>
      <c r="F165" s="2"/>
    </row>
    <row r="166" ht="15.75" customHeight="1">
      <c r="A166" s="3"/>
      <c r="B166" s="4"/>
      <c r="C166" s="5"/>
      <c r="D166" s="4"/>
      <c r="E166" s="2"/>
      <c r="F166" s="2"/>
    </row>
    <row r="167" ht="15.75" customHeight="1">
      <c r="A167" s="6"/>
      <c r="B167" s="7"/>
      <c r="C167" s="5"/>
      <c r="D167" s="7"/>
      <c r="E167" s="2"/>
      <c r="F167" s="2"/>
    </row>
    <row r="168" ht="15.75" customHeight="1">
      <c r="A168" s="3"/>
      <c r="B168" s="4"/>
      <c r="C168" s="5"/>
      <c r="D168" s="4"/>
      <c r="E168" s="2"/>
      <c r="F168" s="2"/>
    </row>
    <row r="169" ht="15.75" customHeight="1">
      <c r="A169" s="6"/>
      <c r="B169" s="7"/>
      <c r="C169" s="5"/>
      <c r="D169" s="7"/>
      <c r="E169" s="2"/>
      <c r="F169" s="2"/>
    </row>
    <row r="170" ht="15.75" customHeight="1">
      <c r="A170" s="3"/>
      <c r="B170" s="4"/>
      <c r="C170" s="5"/>
      <c r="D170" s="4"/>
      <c r="E170" s="2"/>
      <c r="F170" s="2"/>
    </row>
    <row r="171" ht="15.75" customHeight="1">
      <c r="A171" s="6"/>
      <c r="B171" s="7"/>
      <c r="C171" s="5"/>
      <c r="D171" s="7"/>
      <c r="E171" s="2"/>
      <c r="F171" s="2"/>
    </row>
    <row r="172" ht="15.75" customHeight="1">
      <c r="A172" s="3"/>
      <c r="B172" s="4"/>
      <c r="C172" s="5"/>
      <c r="D172" s="4"/>
      <c r="E172" s="2"/>
      <c r="F172" s="2"/>
    </row>
    <row r="173" ht="15.75" customHeight="1">
      <c r="A173" s="6"/>
      <c r="B173" s="7"/>
      <c r="C173" s="5"/>
      <c r="D173" s="7"/>
      <c r="E173" s="2"/>
      <c r="F173" s="2"/>
    </row>
    <row r="174" ht="15.75" customHeight="1">
      <c r="A174" s="3"/>
      <c r="B174" s="4"/>
      <c r="C174" s="5"/>
      <c r="D174" s="4"/>
      <c r="E174" s="2"/>
      <c r="F174" s="2"/>
    </row>
    <row r="175" ht="15.75" customHeight="1">
      <c r="A175" s="6"/>
      <c r="B175" s="7"/>
      <c r="C175" s="5"/>
      <c r="D175" s="7"/>
      <c r="E175" s="2"/>
      <c r="F175" s="2"/>
    </row>
    <row r="176" ht="15.75" customHeight="1">
      <c r="A176" s="3"/>
      <c r="B176" s="4"/>
      <c r="C176" s="5"/>
      <c r="D176" s="4"/>
      <c r="E176" s="2"/>
      <c r="F176" s="2"/>
    </row>
    <row r="177" ht="15.75" customHeight="1">
      <c r="A177" s="6"/>
      <c r="B177" s="7"/>
      <c r="C177" s="5"/>
      <c r="D177" s="7"/>
      <c r="E177" s="2"/>
      <c r="F177" s="2"/>
    </row>
    <row r="178" ht="15.75" customHeight="1">
      <c r="A178" s="3"/>
      <c r="B178" s="4"/>
      <c r="C178" s="5"/>
      <c r="D178" s="4"/>
      <c r="E178" s="2"/>
      <c r="F178" s="2"/>
    </row>
    <row r="179" ht="15.75" customHeight="1">
      <c r="A179" s="6"/>
      <c r="B179" s="7"/>
      <c r="C179" s="5"/>
      <c r="D179" s="7"/>
      <c r="E179" s="2"/>
      <c r="F179" s="2"/>
    </row>
    <row r="180" ht="15.75" customHeight="1">
      <c r="A180" s="3"/>
      <c r="B180" s="4"/>
      <c r="C180" s="5"/>
      <c r="D180" s="4"/>
      <c r="E180" s="2"/>
      <c r="F180" s="2"/>
    </row>
    <row r="181" ht="15.75" customHeight="1">
      <c r="A181" s="6"/>
      <c r="B181" s="7"/>
      <c r="C181" s="5"/>
      <c r="D181" s="7"/>
      <c r="E181" s="2"/>
      <c r="F181" s="2"/>
    </row>
    <row r="182" ht="15.75" customHeight="1">
      <c r="A182" s="3"/>
      <c r="B182" s="4"/>
      <c r="C182" s="5"/>
      <c r="D182" s="4"/>
      <c r="E182" s="2"/>
      <c r="F182" s="2"/>
    </row>
    <row r="183" ht="15.75" customHeight="1">
      <c r="A183" s="6"/>
      <c r="B183" s="7"/>
      <c r="C183" s="5"/>
      <c r="D183" s="7"/>
      <c r="E183" s="2"/>
      <c r="F183" s="2"/>
    </row>
    <row r="184" ht="15.75" customHeight="1">
      <c r="A184" s="3"/>
      <c r="B184" s="4"/>
      <c r="C184" s="5"/>
      <c r="D184" s="4"/>
      <c r="E184" s="2"/>
      <c r="F184" s="2"/>
    </row>
    <row r="185" ht="15.75" customHeight="1">
      <c r="A185" s="6"/>
      <c r="B185" s="7"/>
      <c r="C185" s="5"/>
      <c r="D185" s="7"/>
      <c r="E185" s="2"/>
      <c r="F185" s="2"/>
    </row>
    <row r="186" ht="15.75" customHeight="1">
      <c r="A186" s="3"/>
      <c r="B186" s="4"/>
      <c r="C186" s="5"/>
      <c r="D186" s="4"/>
      <c r="E186" s="2"/>
      <c r="F186" s="2"/>
    </row>
    <row r="187" ht="15.75" customHeight="1">
      <c r="A187" s="6"/>
      <c r="B187" s="7"/>
      <c r="C187" s="5"/>
      <c r="D187" s="7"/>
      <c r="E187" s="2"/>
      <c r="F187" s="2"/>
    </row>
    <row r="188" ht="15.75" customHeight="1">
      <c r="A188" s="3"/>
      <c r="B188" s="4"/>
      <c r="C188" s="5"/>
      <c r="D188" s="4"/>
      <c r="E188" s="2"/>
      <c r="F188" s="2"/>
    </row>
    <row r="189" ht="15.75" customHeight="1">
      <c r="A189" s="6"/>
      <c r="B189" s="7"/>
      <c r="C189" s="5"/>
      <c r="D189" s="7"/>
      <c r="E189" s="2"/>
      <c r="F189" s="2"/>
    </row>
    <row r="190" ht="15.75" customHeight="1">
      <c r="A190" s="3"/>
      <c r="B190" s="4"/>
      <c r="C190" s="5"/>
      <c r="D190" s="4"/>
      <c r="E190" s="2"/>
      <c r="F190" s="2"/>
    </row>
    <row r="191" ht="15.75" customHeight="1">
      <c r="A191" s="6"/>
      <c r="B191" s="7"/>
      <c r="C191" s="5"/>
      <c r="D191" s="7"/>
      <c r="E191" s="2"/>
      <c r="F191" s="2"/>
    </row>
    <row r="192" ht="15.75" customHeight="1">
      <c r="A192" s="3"/>
      <c r="B192" s="4"/>
      <c r="C192" s="5"/>
      <c r="D192" s="4"/>
      <c r="E192" s="2"/>
      <c r="F192" s="2"/>
    </row>
    <row r="193" ht="15.75" customHeight="1">
      <c r="A193" s="6"/>
      <c r="B193" s="7"/>
      <c r="C193" s="5"/>
      <c r="D193" s="7"/>
      <c r="E193" s="2"/>
      <c r="F193" s="2"/>
    </row>
    <row r="194" ht="15.75" customHeight="1">
      <c r="A194" s="3"/>
      <c r="B194" s="4"/>
      <c r="C194" s="5"/>
      <c r="D194" s="4"/>
      <c r="E194" s="2"/>
      <c r="F194" s="2"/>
    </row>
    <row r="195" ht="15.75" customHeight="1">
      <c r="A195" s="6"/>
      <c r="B195" s="7"/>
      <c r="C195" s="5"/>
      <c r="D195" s="7"/>
      <c r="E195" s="2"/>
      <c r="F195" s="2"/>
    </row>
    <row r="196" ht="15.75" customHeight="1">
      <c r="A196" s="3"/>
      <c r="B196" s="4"/>
      <c r="C196" s="5"/>
      <c r="D196" s="4"/>
      <c r="E196" s="2"/>
      <c r="F196" s="2"/>
    </row>
    <row r="197" ht="15.75" customHeight="1">
      <c r="A197" s="6"/>
      <c r="B197" s="7"/>
      <c r="C197" s="5"/>
      <c r="D197" s="7"/>
      <c r="E197" s="2"/>
      <c r="F197" s="2"/>
    </row>
    <row r="198" ht="15.75" customHeight="1">
      <c r="A198" s="3"/>
      <c r="B198" s="4"/>
      <c r="C198" s="5"/>
      <c r="D198" s="4"/>
      <c r="E198" s="2"/>
      <c r="F198" s="2"/>
    </row>
    <row r="199" ht="15.75" customHeight="1">
      <c r="A199" s="6"/>
      <c r="B199" s="7"/>
      <c r="C199" s="5"/>
      <c r="D199" s="7"/>
      <c r="E199" s="2"/>
      <c r="F199" s="2"/>
    </row>
    <row r="200" ht="15.75" customHeight="1">
      <c r="A200" s="3"/>
      <c r="B200" s="4"/>
      <c r="C200" s="5"/>
      <c r="D200" s="4"/>
      <c r="E200" s="2"/>
      <c r="F200" s="2"/>
    </row>
    <row r="201" ht="15.75" customHeight="1">
      <c r="A201" s="6"/>
      <c r="B201" s="7"/>
      <c r="C201" s="5"/>
      <c r="D201" s="7"/>
      <c r="E201" s="2"/>
      <c r="F201" s="2"/>
    </row>
    <row r="202" ht="15.75" customHeight="1">
      <c r="A202" s="3"/>
      <c r="B202" s="4"/>
      <c r="C202" s="5"/>
      <c r="D202" s="4"/>
      <c r="E202" s="2"/>
      <c r="F202" s="2"/>
    </row>
    <row r="203" ht="15.75" customHeight="1">
      <c r="A203" s="6"/>
      <c r="B203" s="7"/>
      <c r="C203" s="5"/>
      <c r="D203" s="7"/>
      <c r="E203" s="2"/>
      <c r="F203" s="2"/>
    </row>
    <row r="204" ht="15.75" customHeight="1">
      <c r="A204" s="3"/>
      <c r="B204" s="4"/>
      <c r="C204" s="5"/>
      <c r="D204" s="4"/>
      <c r="E204" s="2"/>
      <c r="F204" s="2"/>
    </row>
    <row r="205" ht="15.75" customHeight="1">
      <c r="A205" s="6"/>
      <c r="B205" s="7"/>
      <c r="C205" s="5"/>
      <c r="D205" s="7"/>
      <c r="E205" s="2"/>
      <c r="F205" s="2"/>
    </row>
    <row r="206" ht="15.75" customHeight="1">
      <c r="A206" s="3"/>
      <c r="B206" s="4"/>
      <c r="C206" s="5"/>
      <c r="D206" s="4"/>
      <c r="E206" s="2"/>
      <c r="F206" s="2"/>
    </row>
    <row r="207" ht="15.75" customHeight="1">
      <c r="A207" s="6"/>
      <c r="B207" s="7"/>
      <c r="C207" s="5"/>
      <c r="D207" s="7"/>
      <c r="E207" s="2"/>
      <c r="F207" s="2"/>
    </row>
    <row r="208" ht="15.75" customHeight="1">
      <c r="A208" s="3"/>
      <c r="B208" s="4"/>
      <c r="C208" s="5"/>
      <c r="D208" s="4"/>
      <c r="E208" s="2"/>
      <c r="F208" s="2"/>
    </row>
    <row r="209" ht="15.75" customHeight="1">
      <c r="A209" s="6"/>
      <c r="B209" s="7"/>
      <c r="C209" s="5"/>
      <c r="D209" s="7"/>
      <c r="E209" s="2"/>
      <c r="F209" s="2"/>
    </row>
    <row r="210" ht="15.75" customHeight="1">
      <c r="A210" s="3"/>
      <c r="B210" s="4"/>
      <c r="C210" s="5"/>
      <c r="D210" s="4"/>
      <c r="E210" s="2"/>
      <c r="F210" s="2"/>
    </row>
    <row r="211" ht="15.75" customHeight="1">
      <c r="A211" s="6"/>
      <c r="B211" s="7"/>
      <c r="C211" s="5"/>
      <c r="D211" s="7"/>
      <c r="E211" s="2"/>
      <c r="F211" s="2"/>
    </row>
    <row r="212" ht="15.75" customHeight="1">
      <c r="A212" s="3"/>
      <c r="B212" s="4"/>
      <c r="C212" s="5"/>
      <c r="D212" s="4"/>
      <c r="E212" s="2"/>
      <c r="F212" s="2"/>
    </row>
    <row r="213" ht="15.75" customHeight="1">
      <c r="A213" s="6"/>
      <c r="B213" s="7"/>
      <c r="C213" s="5"/>
      <c r="D213" s="7"/>
      <c r="E213" s="2"/>
      <c r="F213" s="2"/>
    </row>
    <row r="214" ht="15.75" customHeight="1">
      <c r="A214" s="3"/>
      <c r="B214" s="4"/>
      <c r="C214" s="5"/>
      <c r="D214" s="4"/>
      <c r="E214" s="2"/>
      <c r="F214" s="2"/>
    </row>
    <row r="215" ht="15.75" customHeight="1">
      <c r="A215" s="6"/>
      <c r="B215" s="7"/>
      <c r="C215" s="5"/>
      <c r="D215" s="7"/>
      <c r="E215" s="2"/>
      <c r="F215" s="2"/>
    </row>
    <row r="216" ht="15.75" customHeight="1">
      <c r="A216" s="3"/>
      <c r="B216" s="4"/>
      <c r="C216" s="5"/>
      <c r="D216" s="4"/>
      <c r="E216" s="2"/>
      <c r="F216" s="2"/>
    </row>
    <row r="217" ht="15.75" customHeight="1">
      <c r="A217" s="6"/>
      <c r="B217" s="7"/>
      <c r="C217" s="5"/>
      <c r="D217" s="7"/>
      <c r="E217" s="2"/>
      <c r="F217" s="2"/>
    </row>
    <row r="218" ht="15.75" customHeight="1">
      <c r="A218" s="25"/>
      <c r="B218" s="26"/>
      <c r="C218" s="26"/>
      <c r="D218" s="26"/>
      <c r="E218" s="2"/>
      <c r="F218" s="2"/>
    </row>
    <row r="219" ht="15.75" customHeight="1">
      <c r="A219" s="25"/>
      <c r="B219" s="26"/>
      <c r="C219" s="26"/>
      <c r="D219" s="26"/>
      <c r="E219" s="2"/>
      <c r="F219" s="2"/>
    </row>
    <row r="220" ht="15.75" customHeight="1">
      <c r="A220" s="25"/>
      <c r="B220" s="26"/>
      <c r="C220" s="26"/>
      <c r="D220" s="26"/>
      <c r="E220" s="2"/>
      <c r="F220" s="2"/>
    </row>
    <row r="221" ht="15.75" customHeight="1">
      <c r="A221" s="2"/>
      <c r="B221" s="2"/>
      <c r="C221" s="2"/>
      <c r="D221" s="2"/>
      <c r="E221" s="2"/>
      <c r="F221" s="2"/>
    </row>
    <row r="222" ht="15.75" customHeight="1">
      <c r="A222" s="2"/>
      <c r="B222" s="2"/>
      <c r="C222" s="2"/>
      <c r="D222" s="2"/>
      <c r="E222" s="2"/>
      <c r="F222" s="2"/>
    </row>
    <row r="223" ht="15.75" customHeight="1">
      <c r="A223" s="2"/>
      <c r="B223" s="2"/>
      <c r="C223" s="2"/>
      <c r="D223" s="2"/>
      <c r="E223" s="2"/>
      <c r="F223" s="2"/>
    </row>
    <row r="224" ht="15.75" customHeight="1">
      <c r="A224" s="2"/>
      <c r="B224" s="2"/>
      <c r="C224" s="2"/>
      <c r="D224" s="2"/>
      <c r="E224" s="2"/>
      <c r="F224" s="2"/>
    </row>
    <row r="225" ht="15.75" customHeight="1">
      <c r="A225" s="2"/>
      <c r="B225" s="2"/>
      <c r="C225" s="2"/>
      <c r="D225" s="2"/>
      <c r="E225" s="2"/>
      <c r="F225" s="2"/>
    </row>
    <row r="226" ht="15.75" customHeight="1">
      <c r="A226" s="2"/>
      <c r="B226" s="2"/>
      <c r="C226" s="2"/>
      <c r="D226" s="2"/>
      <c r="E226" s="2"/>
      <c r="F226" s="2"/>
    </row>
    <row r="227" ht="15.75" customHeight="1">
      <c r="A227" s="2"/>
      <c r="B227" s="2"/>
      <c r="C227" s="2"/>
      <c r="D227" s="2"/>
      <c r="E227" s="2"/>
      <c r="F227" s="2"/>
    </row>
    <row r="228" ht="15.75" customHeight="1">
      <c r="A228" s="2"/>
      <c r="B228" s="2"/>
      <c r="C228" s="2"/>
      <c r="D228" s="2"/>
      <c r="E228" s="2"/>
      <c r="F228" s="2"/>
    </row>
    <row r="229" ht="15.75" customHeight="1">
      <c r="A229" s="2"/>
      <c r="B229" s="2"/>
      <c r="C229" s="2"/>
      <c r="D229" s="2"/>
      <c r="E229" s="2"/>
      <c r="F229" s="2"/>
    </row>
    <row r="230" ht="15.75" customHeight="1">
      <c r="A230" s="2"/>
      <c r="B230" s="2"/>
      <c r="C230" s="2"/>
      <c r="D230" s="2"/>
      <c r="E230" s="2"/>
      <c r="F230" s="2"/>
    </row>
    <row r="231" ht="15.75" customHeight="1">
      <c r="A231" s="2"/>
      <c r="B231" s="2"/>
      <c r="C231" s="2"/>
      <c r="D231" s="2"/>
      <c r="E231" s="2"/>
      <c r="F231" s="2"/>
    </row>
    <row r="232" ht="15.75" customHeight="1">
      <c r="A232" s="2"/>
      <c r="B232" s="2"/>
      <c r="C232" s="2"/>
      <c r="D232" s="2"/>
      <c r="E232" s="2"/>
      <c r="F232" s="2"/>
    </row>
    <row r="233" ht="15.75" customHeight="1">
      <c r="A233" s="2"/>
      <c r="B233" s="2"/>
      <c r="C233" s="2"/>
      <c r="D233" s="2"/>
      <c r="E233" s="2"/>
      <c r="F233" s="2"/>
    </row>
    <row r="234" ht="15.75" customHeight="1">
      <c r="A234" s="2"/>
      <c r="B234" s="2"/>
      <c r="C234" s="2"/>
      <c r="D234" s="2"/>
      <c r="E234" s="2"/>
      <c r="F234" s="2"/>
    </row>
    <row r="235" ht="15.75" customHeight="1">
      <c r="A235" s="2"/>
      <c r="B235" s="2"/>
      <c r="C235" s="2"/>
      <c r="D235" s="2"/>
      <c r="E235" s="2"/>
      <c r="F235" s="2"/>
    </row>
    <row r="236" ht="15.75" customHeight="1">
      <c r="A236" s="2"/>
      <c r="B236" s="2"/>
      <c r="C236" s="2"/>
      <c r="D236" s="2"/>
      <c r="E236" s="2"/>
      <c r="F236" s="2"/>
    </row>
    <row r="237" ht="15.75" customHeight="1">
      <c r="A237" s="2"/>
      <c r="B237" s="2"/>
      <c r="C237" s="2"/>
      <c r="D237" s="2"/>
      <c r="E237" s="2"/>
      <c r="F237" s="2"/>
    </row>
    <row r="238" ht="15.75" customHeight="1">
      <c r="A238" s="2"/>
      <c r="B238" s="2"/>
      <c r="C238" s="2"/>
      <c r="D238" s="2"/>
      <c r="E238" s="2"/>
      <c r="F238" s="2"/>
    </row>
    <row r="239" ht="15.75" customHeight="1">
      <c r="A239" s="2"/>
      <c r="B239" s="2"/>
      <c r="C239" s="2"/>
      <c r="D239" s="2"/>
      <c r="E239" s="2"/>
      <c r="F239" s="2"/>
    </row>
    <row r="240" ht="15.75" customHeight="1">
      <c r="A240" s="2"/>
      <c r="B240" s="2"/>
      <c r="C240" s="2"/>
      <c r="D240" s="2"/>
      <c r="E240" s="2"/>
      <c r="F240" s="2"/>
    </row>
    <row r="241" ht="15.75" customHeight="1">
      <c r="A241" s="2"/>
      <c r="B241" s="2"/>
      <c r="C241" s="2"/>
      <c r="D241" s="2"/>
      <c r="E241" s="2"/>
      <c r="F241" s="2"/>
    </row>
    <row r="242" ht="15.75" customHeight="1">
      <c r="A242" s="2"/>
      <c r="B242" s="2"/>
      <c r="C242" s="2"/>
      <c r="D242" s="2"/>
      <c r="E242" s="2"/>
      <c r="F242" s="2"/>
    </row>
    <row r="243" ht="15.75" customHeight="1">
      <c r="A243" s="2"/>
      <c r="B243" s="2"/>
      <c r="C243" s="2"/>
      <c r="D243" s="2"/>
      <c r="E243" s="2"/>
      <c r="F243" s="2"/>
    </row>
    <row r="244" ht="15.75" customHeight="1">
      <c r="A244" s="2"/>
      <c r="B244" s="2"/>
      <c r="C244" s="2"/>
      <c r="D244" s="2"/>
      <c r="E244" s="2"/>
      <c r="F244" s="2"/>
    </row>
    <row r="245" ht="15.75" customHeight="1">
      <c r="A245" s="2"/>
      <c r="B245" s="2"/>
      <c r="C245" s="2"/>
      <c r="D245" s="2"/>
      <c r="E245" s="2"/>
      <c r="F245" s="2"/>
    </row>
    <row r="246" ht="15.75" customHeight="1">
      <c r="A246" s="2"/>
      <c r="B246" s="2"/>
      <c r="C246" s="2"/>
      <c r="D246" s="2"/>
      <c r="E246" s="2"/>
      <c r="F246" s="2"/>
    </row>
    <row r="247" ht="15.75" customHeight="1">
      <c r="A247" s="2"/>
      <c r="B247" s="2"/>
      <c r="C247" s="2"/>
      <c r="D247" s="2"/>
      <c r="E247" s="2"/>
      <c r="F247" s="2"/>
    </row>
    <row r="248" ht="15.75" customHeight="1">
      <c r="A248" s="2"/>
      <c r="B248" s="2"/>
      <c r="C248" s="2"/>
      <c r="D248" s="2"/>
      <c r="E248" s="2"/>
      <c r="F248" s="2"/>
    </row>
    <row r="249" ht="15.75" customHeight="1">
      <c r="A249" s="2"/>
      <c r="B249" s="2"/>
      <c r="C249" s="2"/>
      <c r="D249" s="2"/>
      <c r="E249" s="2"/>
      <c r="F249" s="2"/>
    </row>
    <row r="250" ht="15.75" customHeight="1">
      <c r="A250" s="2"/>
      <c r="B250" s="2"/>
      <c r="C250" s="2"/>
      <c r="D250" s="2"/>
      <c r="E250" s="2"/>
      <c r="F250" s="2"/>
    </row>
    <row r="251" ht="15.75" customHeight="1">
      <c r="A251" s="2"/>
      <c r="B251" s="2"/>
      <c r="C251" s="2"/>
      <c r="D251" s="2"/>
      <c r="E251" s="2"/>
      <c r="F251" s="2"/>
    </row>
    <row r="252" ht="15.75" customHeight="1">
      <c r="A252" s="2"/>
      <c r="B252" s="2"/>
      <c r="C252" s="2"/>
      <c r="D252" s="2"/>
      <c r="E252" s="2"/>
      <c r="F252" s="2"/>
    </row>
    <row r="253" ht="15.75" customHeight="1">
      <c r="A253" s="2"/>
      <c r="B253" s="2"/>
      <c r="C253" s="2"/>
      <c r="D253" s="2"/>
      <c r="E253" s="2"/>
      <c r="F253" s="2"/>
    </row>
    <row r="254" ht="15.75" customHeight="1">
      <c r="A254" s="2"/>
      <c r="B254" s="2"/>
      <c r="C254" s="2"/>
      <c r="D254" s="2"/>
      <c r="E254" s="2"/>
      <c r="F254" s="2"/>
    </row>
    <row r="255" ht="15.75" customHeight="1">
      <c r="A255" s="2"/>
      <c r="B255" s="2"/>
      <c r="C255" s="2"/>
      <c r="D255" s="2"/>
      <c r="E255" s="2"/>
      <c r="F255" s="2"/>
    </row>
    <row r="256" ht="15.75" customHeight="1">
      <c r="A256" s="2"/>
      <c r="B256" s="2"/>
      <c r="C256" s="2"/>
      <c r="D256" s="2"/>
      <c r="E256" s="2"/>
      <c r="F256" s="2"/>
    </row>
    <row r="257" ht="15.75" customHeight="1">
      <c r="A257" s="2"/>
      <c r="B257" s="2"/>
      <c r="C257" s="2"/>
      <c r="D257" s="2"/>
      <c r="E257" s="2"/>
      <c r="F257" s="2"/>
    </row>
    <row r="258" ht="15.75" customHeight="1">
      <c r="A258" s="2"/>
      <c r="B258" s="2"/>
      <c r="C258" s="2"/>
      <c r="D258" s="2"/>
      <c r="E258" s="2"/>
      <c r="F258" s="2"/>
    </row>
    <row r="259" ht="15.75" customHeight="1">
      <c r="A259" s="2"/>
      <c r="B259" s="2"/>
      <c r="C259" s="2"/>
      <c r="D259" s="2"/>
      <c r="E259" s="2"/>
      <c r="F259" s="2"/>
    </row>
    <row r="260" ht="15.75" customHeight="1">
      <c r="A260" s="2"/>
      <c r="B260" s="2"/>
      <c r="C260" s="2"/>
      <c r="D260" s="2"/>
      <c r="E260" s="2"/>
      <c r="F260" s="2"/>
    </row>
    <row r="261" ht="15.75" customHeight="1">
      <c r="A261" s="2"/>
      <c r="B261" s="2"/>
      <c r="C261" s="2"/>
      <c r="D261" s="2"/>
      <c r="E261" s="2"/>
      <c r="F261" s="2"/>
    </row>
    <row r="262" ht="15.75" customHeight="1">
      <c r="A262" s="2"/>
      <c r="B262" s="2"/>
      <c r="C262" s="2"/>
      <c r="D262" s="2"/>
      <c r="E262" s="2"/>
      <c r="F262" s="2"/>
    </row>
    <row r="263" ht="15.75" customHeight="1">
      <c r="A263" s="2"/>
      <c r="B263" s="2"/>
      <c r="C263" s="2"/>
      <c r="D263" s="2"/>
      <c r="E263" s="2"/>
      <c r="F263" s="2"/>
    </row>
    <row r="264" ht="15.75" customHeight="1">
      <c r="A264" s="2"/>
      <c r="B264" s="2"/>
      <c r="C264" s="2"/>
      <c r="D264" s="2"/>
      <c r="E264" s="2"/>
      <c r="F264" s="2"/>
    </row>
    <row r="265" ht="15.75" customHeight="1">
      <c r="A265" s="2"/>
      <c r="B265" s="2"/>
      <c r="C265" s="2"/>
      <c r="D265" s="2"/>
      <c r="E265" s="2"/>
      <c r="F265" s="2"/>
    </row>
    <row r="266" ht="15.75" customHeight="1">
      <c r="A266" s="2"/>
      <c r="B266" s="2"/>
      <c r="C266" s="2"/>
      <c r="D266" s="2"/>
      <c r="E266" s="2"/>
      <c r="F266" s="2"/>
    </row>
    <row r="267" ht="15.75" customHeight="1">
      <c r="A267" s="2"/>
      <c r="B267" s="2"/>
      <c r="C267" s="2"/>
      <c r="D267" s="2"/>
      <c r="E267" s="2"/>
      <c r="F267" s="2"/>
    </row>
    <row r="268" ht="15.75" customHeight="1">
      <c r="A268" s="2"/>
      <c r="B268" s="2"/>
      <c r="C268" s="2"/>
      <c r="D268" s="2"/>
      <c r="E268" s="2"/>
      <c r="F268" s="2"/>
    </row>
    <row r="269" ht="15.75" customHeight="1">
      <c r="A269" s="2"/>
      <c r="B269" s="2"/>
      <c r="C269" s="2"/>
      <c r="D269" s="2"/>
      <c r="E269" s="2"/>
      <c r="F269" s="2"/>
    </row>
    <row r="270" ht="15.75" customHeight="1">
      <c r="A270" s="2"/>
      <c r="B270" s="2"/>
      <c r="C270" s="2"/>
      <c r="D270" s="2"/>
      <c r="E270" s="2"/>
      <c r="F270" s="2"/>
    </row>
    <row r="271" ht="15.75" customHeight="1">
      <c r="A271" s="2"/>
      <c r="B271" s="2"/>
      <c r="C271" s="2"/>
      <c r="D271" s="2"/>
      <c r="E271" s="2"/>
      <c r="F271" s="2"/>
    </row>
    <row r="272" ht="15.75" customHeight="1">
      <c r="A272" s="2"/>
      <c r="B272" s="2"/>
      <c r="C272" s="2"/>
      <c r="D272" s="2"/>
      <c r="E272" s="2"/>
      <c r="F272" s="2"/>
    </row>
    <row r="273" ht="15.75" customHeight="1">
      <c r="A273" s="2"/>
      <c r="B273" s="2"/>
      <c r="C273" s="2"/>
      <c r="D273" s="2"/>
      <c r="E273" s="2"/>
      <c r="F273" s="2"/>
    </row>
    <row r="274" ht="15.75" customHeight="1">
      <c r="A274" s="2"/>
      <c r="B274" s="2"/>
      <c r="C274" s="2"/>
      <c r="D274" s="2"/>
      <c r="E274" s="2"/>
      <c r="F274" s="2"/>
    </row>
    <row r="275" ht="15.75" customHeight="1">
      <c r="A275" s="2"/>
      <c r="B275" s="2"/>
      <c r="C275" s="2"/>
      <c r="D275" s="2"/>
      <c r="E275" s="2"/>
      <c r="F275" s="2"/>
    </row>
    <row r="276" ht="15.75" customHeight="1">
      <c r="A276" s="2"/>
      <c r="B276" s="2"/>
      <c r="C276" s="2"/>
      <c r="D276" s="2"/>
      <c r="E276" s="2"/>
      <c r="F276" s="2"/>
    </row>
    <row r="277" ht="15.75" customHeight="1">
      <c r="A277" s="2"/>
      <c r="B277" s="2"/>
      <c r="C277" s="2"/>
      <c r="D277" s="2"/>
      <c r="E277" s="2"/>
      <c r="F277" s="2"/>
    </row>
    <row r="278" ht="15.75" customHeight="1">
      <c r="A278" s="2"/>
      <c r="B278" s="2"/>
      <c r="C278" s="2"/>
      <c r="D278" s="2"/>
      <c r="E278" s="2"/>
      <c r="F278" s="2"/>
    </row>
    <row r="279" ht="15.75" customHeight="1">
      <c r="A279" s="2"/>
      <c r="B279" s="2"/>
      <c r="C279" s="2"/>
      <c r="D279" s="2"/>
      <c r="E279" s="2"/>
      <c r="F279" s="2"/>
    </row>
    <row r="280" ht="15.75" customHeight="1">
      <c r="A280" s="2"/>
      <c r="B280" s="2"/>
      <c r="C280" s="2"/>
      <c r="D280" s="2"/>
      <c r="E280" s="2"/>
      <c r="F280" s="2"/>
    </row>
    <row r="281" ht="15.75" customHeight="1">
      <c r="A281" s="2"/>
      <c r="B281" s="2"/>
      <c r="C281" s="2"/>
      <c r="D281" s="2"/>
      <c r="E281" s="2"/>
      <c r="F281" s="2"/>
    </row>
    <row r="282" ht="15.75" customHeight="1">
      <c r="A282" s="2"/>
      <c r="B282" s="2"/>
      <c r="C282" s="2"/>
      <c r="D282" s="2"/>
      <c r="E282" s="2"/>
      <c r="F282" s="2"/>
    </row>
    <row r="283" ht="15.75" customHeight="1">
      <c r="A283" s="2"/>
      <c r="B283" s="2"/>
      <c r="C283" s="2"/>
      <c r="D283" s="2"/>
      <c r="E283" s="2"/>
      <c r="F283" s="2"/>
    </row>
    <row r="284" ht="15.75" customHeight="1">
      <c r="A284" s="2"/>
      <c r="B284" s="2"/>
      <c r="C284" s="2"/>
      <c r="D284" s="2"/>
      <c r="E284" s="2"/>
      <c r="F284" s="2"/>
    </row>
    <row r="285" ht="15.75" customHeight="1">
      <c r="A285" s="2"/>
      <c r="B285" s="2"/>
      <c r="C285" s="2"/>
      <c r="D285" s="2"/>
      <c r="E285" s="2"/>
      <c r="F285" s="2"/>
    </row>
    <row r="286" ht="15.75" customHeight="1">
      <c r="A286" s="2"/>
      <c r="B286" s="2"/>
      <c r="C286" s="2"/>
      <c r="D286" s="2"/>
      <c r="E286" s="2"/>
      <c r="F286" s="2"/>
    </row>
    <row r="287" ht="15.75" customHeight="1">
      <c r="A287" s="2"/>
      <c r="B287" s="2"/>
      <c r="C287" s="2"/>
      <c r="D287" s="2"/>
      <c r="E287" s="2"/>
      <c r="F287" s="2"/>
    </row>
    <row r="288" ht="15.75" customHeight="1">
      <c r="A288" s="2"/>
      <c r="B288" s="2"/>
      <c r="C288" s="2"/>
      <c r="D288" s="2"/>
      <c r="E288" s="2"/>
      <c r="F288" s="2"/>
    </row>
    <row r="289" ht="15.75" customHeight="1">
      <c r="A289" s="2"/>
      <c r="B289" s="2"/>
      <c r="C289" s="2"/>
      <c r="D289" s="2"/>
      <c r="E289" s="2"/>
      <c r="F289" s="2"/>
    </row>
    <row r="290" ht="15.75" customHeight="1">
      <c r="A290" s="2"/>
      <c r="B290" s="2"/>
      <c r="C290" s="2"/>
      <c r="D290" s="2"/>
      <c r="E290" s="2"/>
      <c r="F290" s="2"/>
    </row>
    <row r="291" ht="15.75" customHeight="1">
      <c r="A291" s="2"/>
      <c r="B291" s="2"/>
      <c r="C291" s="2"/>
      <c r="D291" s="2"/>
      <c r="E291" s="2"/>
      <c r="F291" s="2"/>
    </row>
    <row r="292" ht="15.75" customHeight="1">
      <c r="A292" s="2"/>
      <c r="B292" s="2"/>
      <c r="C292" s="2"/>
      <c r="D292" s="2"/>
      <c r="E292" s="2"/>
      <c r="F292" s="2"/>
    </row>
    <row r="293" ht="15.75" customHeight="1">
      <c r="A293" s="2"/>
      <c r="B293" s="2"/>
      <c r="C293" s="2"/>
      <c r="D293" s="2"/>
      <c r="E293" s="2"/>
      <c r="F293" s="2"/>
    </row>
    <row r="294" ht="15.75" customHeight="1">
      <c r="A294" s="2"/>
      <c r="B294" s="2"/>
      <c r="C294" s="2"/>
      <c r="D294" s="2"/>
      <c r="E294" s="2"/>
      <c r="F294" s="2"/>
    </row>
    <row r="295" ht="15.75" customHeight="1">
      <c r="A295" s="2"/>
      <c r="B295" s="2"/>
      <c r="C295" s="2"/>
      <c r="D295" s="2"/>
      <c r="E295" s="2"/>
      <c r="F295" s="2"/>
    </row>
    <row r="296" ht="15.75" customHeight="1">
      <c r="A296" s="2"/>
      <c r="B296" s="2"/>
      <c r="C296" s="2"/>
      <c r="D296" s="2"/>
      <c r="E296" s="2"/>
      <c r="F296" s="2"/>
    </row>
    <row r="297" ht="15.75" customHeight="1">
      <c r="A297" s="2"/>
      <c r="B297" s="2"/>
      <c r="C297" s="2"/>
      <c r="D297" s="2"/>
      <c r="E297" s="2"/>
      <c r="F297" s="2"/>
    </row>
    <row r="298" ht="15.75" customHeight="1">
      <c r="A298" s="2"/>
      <c r="B298" s="2"/>
      <c r="C298" s="2"/>
      <c r="D298" s="2"/>
      <c r="E298" s="2"/>
      <c r="F298" s="2"/>
    </row>
    <row r="299" ht="15.75" customHeight="1">
      <c r="A299" s="2"/>
      <c r="B299" s="2"/>
      <c r="C299" s="2"/>
      <c r="D299" s="2"/>
      <c r="E299" s="2"/>
      <c r="F299" s="2"/>
    </row>
    <row r="300" ht="15.75" customHeight="1">
      <c r="A300" s="2"/>
      <c r="B300" s="2"/>
      <c r="C300" s="2"/>
      <c r="D300" s="2"/>
      <c r="E300" s="2"/>
      <c r="F300" s="2"/>
    </row>
    <row r="301" ht="15.75" customHeight="1">
      <c r="A301" s="2"/>
      <c r="B301" s="2"/>
      <c r="C301" s="2"/>
      <c r="D301" s="2"/>
      <c r="E301" s="2"/>
      <c r="F301" s="2"/>
    </row>
    <row r="302" ht="15.75" customHeight="1">
      <c r="A302" s="2"/>
      <c r="B302" s="2"/>
      <c r="C302" s="2"/>
      <c r="D302" s="2"/>
      <c r="E302" s="2"/>
      <c r="F302" s="2"/>
    </row>
    <row r="303" ht="15.75" customHeight="1">
      <c r="A303" s="2"/>
      <c r="B303" s="2"/>
      <c r="C303" s="2"/>
      <c r="D303" s="2"/>
      <c r="E303" s="2"/>
      <c r="F303" s="2"/>
    </row>
    <row r="304" ht="15.75" customHeight="1">
      <c r="A304" s="2"/>
      <c r="B304" s="2"/>
      <c r="C304" s="2"/>
      <c r="D304" s="2"/>
      <c r="E304" s="2"/>
      <c r="F304" s="2"/>
    </row>
    <row r="305" ht="15.75" customHeight="1">
      <c r="A305" s="2"/>
      <c r="B305" s="2"/>
      <c r="C305" s="2"/>
      <c r="D305" s="2"/>
      <c r="E305" s="2"/>
      <c r="F305" s="2"/>
    </row>
    <row r="306" ht="15.75" customHeight="1">
      <c r="A306" s="2"/>
      <c r="B306" s="2"/>
      <c r="C306" s="2"/>
      <c r="D306" s="2"/>
      <c r="E306" s="2"/>
      <c r="F306" s="2"/>
    </row>
    <row r="307" ht="15.75" customHeight="1">
      <c r="A307" s="2"/>
      <c r="B307" s="2"/>
      <c r="C307" s="2"/>
      <c r="D307" s="2"/>
      <c r="E307" s="2"/>
      <c r="F307" s="2"/>
    </row>
    <row r="308" ht="15.75" customHeight="1">
      <c r="A308" s="2"/>
      <c r="B308" s="2"/>
      <c r="C308" s="2"/>
      <c r="D308" s="2"/>
      <c r="E308" s="2"/>
      <c r="F308" s="2"/>
    </row>
    <row r="309" ht="15.75" customHeight="1">
      <c r="A309" s="2"/>
      <c r="B309" s="2"/>
      <c r="C309" s="2"/>
      <c r="D309" s="2"/>
      <c r="E309" s="2"/>
      <c r="F309" s="2"/>
    </row>
    <row r="310" ht="15.75" customHeight="1">
      <c r="A310" s="2"/>
      <c r="B310" s="2"/>
      <c r="C310" s="2"/>
      <c r="D310" s="2"/>
      <c r="E310" s="2"/>
      <c r="F310" s="2"/>
    </row>
    <row r="311" ht="15.75" customHeight="1">
      <c r="A311" s="2"/>
      <c r="B311" s="2"/>
      <c r="C311" s="2"/>
      <c r="D311" s="2"/>
      <c r="E311" s="2"/>
      <c r="F311" s="2"/>
    </row>
    <row r="312" ht="15.75" customHeight="1">
      <c r="A312" s="2"/>
      <c r="B312" s="2"/>
      <c r="C312" s="2"/>
      <c r="D312" s="2"/>
      <c r="E312" s="2"/>
      <c r="F312" s="2"/>
    </row>
    <row r="313" ht="15.75" customHeight="1">
      <c r="A313" s="2"/>
      <c r="B313" s="2"/>
      <c r="C313" s="2"/>
      <c r="D313" s="2"/>
      <c r="E313" s="2"/>
      <c r="F313" s="2"/>
    </row>
    <row r="314" ht="15.75" customHeight="1">
      <c r="A314" s="2"/>
      <c r="B314" s="2"/>
      <c r="C314" s="2"/>
      <c r="D314" s="2"/>
      <c r="E314" s="2"/>
      <c r="F314" s="2"/>
    </row>
    <row r="315" ht="15.75" customHeight="1">
      <c r="A315" s="2"/>
      <c r="B315" s="2"/>
      <c r="C315" s="2"/>
      <c r="D315" s="2"/>
      <c r="E315" s="2"/>
      <c r="F315" s="2"/>
    </row>
    <row r="316" ht="15.75" customHeight="1">
      <c r="A316" s="2"/>
      <c r="B316" s="2"/>
      <c r="C316" s="2"/>
      <c r="D316" s="2"/>
      <c r="E316" s="2"/>
      <c r="F316" s="2"/>
    </row>
    <row r="317" ht="15.75" customHeight="1">
      <c r="A317" s="2"/>
      <c r="B317" s="2"/>
      <c r="C317" s="2"/>
      <c r="D317" s="2"/>
      <c r="E317" s="2"/>
      <c r="F317" s="2"/>
    </row>
    <row r="318" ht="15.75" customHeight="1">
      <c r="A318" s="2"/>
      <c r="B318" s="2"/>
      <c r="C318" s="2"/>
      <c r="D318" s="2"/>
      <c r="E318" s="2"/>
      <c r="F318" s="2"/>
    </row>
    <row r="319" ht="15.75" customHeight="1">
      <c r="A319" s="2"/>
      <c r="B319" s="2"/>
      <c r="C319" s="2"/>
      <c r="D319" s="2"/>
      <c r="E319" s="2"/>
      <c r="F319" s="2"/>
    </row>
    <row r="320" ht="15.75" customHeight="1">
      <c r="A320" s="2"/>
      <c r="B320" s="2"/>
      <c r="C320" s="2"/>
      <c r="D320" s="2"/>
      <c r="E320" s="2"/>
      <c r="F320" s="2"/>
    </row>
    <row r="321" ht="15.75" customHeight="1">
      <c r="A321" s="2"/>
      <c r="B321" s="2"/>
      <c r="C321" s="2"/>
      <c r="D321" s="2"/>
      <c r="E321" s="2"/>
      <c r="F321" s="2"/>
    </row>
    <row r="322" ht="15.75" customHeight="1">
      <c r="A322" s="2"/>
      <c r="B322" s="2"/>
      <c r="C322" s="2"/>
      <c r="D322" s="2"/>
      <c r="E322" s="2"/>
      <c r="F322" s="2"/>
    </row>
    <row r="323" ht="15.75" customHeight="1">
      <c r="A323" s="2"/>
      <c r="B323" s="2"/>
      <c r="C323" s="2"/>
      <c r="D323" s="2"/>
      <c r="E323" s="2"/>
      <c r="F323" s="2"/>
    </row>
    <row r="324" ht="15.75" customHeight="1">
      <c r="A324" s="2"/>
      <c r="B324" s="2"/>
      <c r="C324" s="2"/>
      <c r="D324" s="2"/>
      <c r="E324" s="2"/>
      <c r="F324" s="2"/>
    </row>
    <row r="325" ht="15.75" customHeight="1">
      <c r="A325" s="2"/>
      <c r="B325" s="2"/>
      <c r="C325" s="2"/>
      <c r="D325" s="2"/>
      <c r="E325" s="2"/>
      <c r="F325" s="2"/>
    </row>
    <row r="326" ht="15.75" customHeight="1">
      <c r="A326" s="2"/>
      <c r="B326" s="2"/>
      <c r="C326" s="2"/>
      <c r="D326" s="2"/>
      <c r="E326" s="2"/>
      <c r="F326" s="2"/>
    </row>
    <row r="327" ht="15.75" customHeight="1">
      <c r="A327" s="2"/>
      <c r="B327" s="2"/>
      <c r="C327" s="2"/>
      <c r="D327" s="2"/>
      <c r="E327" s="2"/>
      <c r="F327" s="2"/>
    </row>
    <row r="328" ht="15.75" customHeight="1">
      <c r="A328" s="2"/>
      <c r="B328" s="2"/>
      <c r="C328" s="2"/>
      <c r="D328" s="2"/>
      <c r="E328" s="2"/>
      <c r="F328" s="2"/>
    </row>
    <row r="329" ht="15.75" customHeight="1">
      <c r="A329" s="2"/>
      <c r="B329" s="2"/>
      <c r="C329" s="2"/>
      <c r="D329" s="2"/>
      <c r="E329" s="2"/>
      <c r="F329" s="2"/>
    </row>
    <row r="330" ht="15.75" customHeight="1">
      <c r="A330" s="2"/>
      <c r="B330" s="2"/>
      <c r="C330" s="2"/>
      <c r="D330" s="2"/>
      <c r="E330" s="2"/>
      <c r="F330" s="2"/>
    </row>
    <row r="331" ht="15.75" customHeight="1">
      <c r="A331" s="2"/>
      <c r="B331" s="2"/>
      <c r="C331" s="2"/>
      <c r="D331" s="2"/>
      <c r="E331" s="2"/>
      <c r="F331" s="2"/>
    </row>
    <row r="332" ht="15.75" customHeight="1">
      <c r="A332" s="2"/>
      <c r="B332" s="2"/>
      <c r="C332" s="2"/>
      <c r="D332" s="2"/>
      <c r="E332" s="2"/>
      <c r="F332" s="2"/>
    </row>
    <row r="333" ht="15.75" customHeight="1">
      <c r="A333" s="2"/>
      <c r="B333" s="2"/>
      <c r="C333" s="2"/>
      <c r="D333" s="2"/>
      <c r="E333" s="2"/>
      <c r="F333" s="2"/>
    </row>
    <row r="334" ht="15.75" customHeight="1">
      <c r="A334" s="2"/>
      <c r="B334" s="2"/>
      <c r="C334" s="2"/>
      <c r="D334" s="2"/>
      <c r="E334" s="2"/>
      <c r="F334" s="2"/>
    </row>
    <row r="335" ht="15.75" customHeight="1">
      <c r="A335" s="2"/>
      <c r="B335" s="2"/>
      <c r="C335" s="2"/>
      <c r="D335" s="2"/>
      <c r="E335" s="2"/>
      <c r="F335" s="2"/>
    </row>
    <row r="336" ht="15.75" customHeight="1">
      <c r="A336" s="2"/>
      <c r="B336" s="2"/>
      <c r="C336" s="2"/>
      <c r="D336" s="2"/>
      <c r="E336" s="2"/>
      <c r="F336" s="2"/>
    </row>
    <row r="337" ht="15.75" customHeight="1">
      <c r="A337" s="2"/>
      <c r="B337" s="2"/>
      <c r="C337" s="2"/>
      <c r="D337" s="2"/>
      <c r="E337" s="2"/>
      <c r="F337" s="2"/>
    </row>
    <row r="338" ht="15.75" customHeight="1">
      <c r="A338" s="2"/>
      <c r="B338" s="2"/>
      <c r="C338" s="2"/>
      <c r="D338" s="2"/>
      <c r="E338" s="2"/>
      <c r="F338" s="2"/>
    </row>
    <row r="339" ht="15.75" customHeight="1">
      <c r="A339" s="2"/>
      <c r="B339" s="2"/>
      <c r="C339" s="2"/>
      <c r="D339" s="2"/>
      <c r="E339" s="2"/>
      <c r="F339" s="2"/>
    </row>
    <row r="340" ht="15.75" customHeight="1">
      <c r="A340" s="2"/>
      <c r="B340" s="2"/>
      <c r="C340" s="2"/>
      <c r="D340" s="2"/>
      <c r="E340" s="2"/>
      <c r="F340" s="2"/>
    </row>
    <row r="341" ht="15.75" customHeight="1">
      <c r="A341" s="2"/>
      <c r="B341" s="2"/>
      <c r="C341" s="2"/>
      <c r="D341" s="2"/>
      <c r="E341" s="2"/>
      <c r="F341" s="2"/>
    </row>
    <row r="342" ht="15.75" customHeight="1">
      <c r="A342" s="2"/>
      <c r="B342" s="2"/>
      <c r="C342" s="2"/>
      <c r="D342" s="2"/>
      <c r="E342" s="2"/>
      <c r="F342" s="2"/>
    </row>
    <row r="343" ht="15.75" customHeight="1">
      <c r="A343" s="2"/>
      <c r="B343" s="2"/>
      <c r="C343" s="2"/>
      <c r="D343" s="2"/>
      <c r="E343" s="2"/>
      <c r="F343" s="2"/>
    </row>
    <row r="344" ht="15.75" customHeight="1">
      <c r="A344" s="2"/>
      <c r="B344" s="2"/>
      <c r="C344" s="2"/>
      <c r="D344" s="2"/>
      <c r="E344" s="2"/>
      <c r="F344" s="2"/>
    </row>
    <row r="345" ht="15.75" customHeight="1">
      <c r="A345" s="2"/>
      <c r="B345" s="2"/>
      <c r="C345" s="2"/>
      <c r="D345" s="2"/>
      <c r="E345" s="2"/>
      <c r="F345" s="2"/>
    </row>
    <row r="346" ht="15.75" customHeight="1">
      <c r="A346" s="2"/>
      <c r="B346" s="2"/>
      <c r="C346" s="2"/>
      <c r="D346" s="2"/>
      <c r="E346" s="2"/>
      <c r="F346" s="2"/>
    </row>
    <row r="347" ht="15.75" customHeight="1">
      <c r="A347" s="2"/>
      <c r="B347" s="2"/>
      <c r="C347" s="2"/>
      <c r="D347" s="2"/>
      <c r="E347" s="2"/>
      <c r="F347" s="2"/>
    </row>
    <row r="348" ht="15.75" customHeight="1">
      <c r="A348" s="2"/>
      <c r="B348" s="2"/>
      <c r="C348" s="2"/>
      <c r="D348" s="2"/>
      <c r="E348" s="2"/>
      <c r="F348" s="2"/>
    </row>
    <row r="349" ht="15.75" customHeight="1">
      <c r="A349" s="2"/>
      <c r="B349" s="2"/>
      <c r="C349" s="2"/>
      <c r="D349" s="2"/>
      <c r="E349" s="2"/>
      <c r="F349" s="2"/>
    </row>
    <row r="350" ht="15.75" customHeight="1">
      <c r="A350" s="2"/>
      <c r="B350" s="2"/>
      <c r="C350" s="2"/>
      <c r="D350" s="2"/>
      <c r="E350" s="2"/>
      <c r="F350" s="2"/>
    </row>
    <row r="351" ht="15.75" customHeight="1">
      <c r="A351" s="2"/>
      <c r="B351" s="2"/>
      <c r="C351" s="2"/>
      <c r="D351" s="2"/>
      <c r="E351" s="2"/>
      <c r="F351" s="2"/>
    </row>
    <row r="352" ht="15.75" customHeight="1">
      <c r="A352" s="2"/>
      <c r="B352" s="2"/>
      <c r="C352" s="2"/>
      <c r="D352" s="2"/>
      <c r="E352" s="2"/>
      <c r="F352" s="2"/>
    </row>
    <row r="353" ht="15.75" customHeight="1">
      <c r="A353" s="2"/>
      <c r="B353" s="2"/>
      <c r="C353" s="2"/>
      <c r="D353" s="2"/>
      <c r="E353" s="2"/>
      <c r="F353" s="2"/>
    </row>
    <row r="354" ht="15.75" customHeight="1">
      <c r="A354" s="2"/>
      <c r="B354" s="2"/>
      <c r="C354" s="2"/>
      <c r="D354" s="2"/>
      <c r="E354" s="2"/>
      <c r="F354" s="2"/>
    </row>
    <row r="355" ht="15.75" customHeight="1">
      <c r="A355" s="2"/>
      <c r="B355" s="2"/>
      <c r="C355" s="2"/>
      <c r="D355" s="2"/>
      <c r="E355" s="2"/>
      <c r="F355" s="2"/>
    </row>
    <row r="356" ht="15.75" customHeight="1">
      <c r="A356" s="2"/>
      <c r="B356" s="2"/>
      <c r="C356" s="2"/>
      <c r="D356" s="2"/>
      <c r="E356" s="2"/>
      <c r="F356" s="2"/>
    </row>
    <row r="357" ht="15.75" customHeight="1">
      <c r="A357" s="2"/>
      <c r="B357" s="2"/>
      <c r="C357" s="2"/>
      <c r="D357" s="2"/>
      <c r="E357" s="2"/>
      <c r="F357" s="2"/>
    </row>
    <row r="358" ht="15.75" customHeight="1">
      <c r="A358" s="2"/>
      <c r="B358" s="2"/>
      <c r="C358" s="2"/>
      <c r="D358" s="2"/>
      <c r="E358" s="2"/>
      <c r="F358" s="2"/>
    </row>
    <row r="359" ht="15.75" customHeight="1">
      <c r="A359" s="2"/>
      <c r="B359" s="2"/>
      <c r="C359" s="2"/>
      <c r="D359" s="2"/>
      <c r="E359" s="2"/>
      <c r="F359" s="2"/>
    </row>
    <row r="360" ht="15.75" customHeight="1">
      <c r="A360" s="2"/>
      <c r="B360" s="2"/>
      <c r="C360" s="2"/>
      <c r="D360" s="2"/>
      <c r="E360" s="2"/>
      <c r="F360" s="2"/>
    </row>
    <row r="361" ht="15.75" customHeight="1">
      <c r="A361" s="2"/>
      <c r="B361" s="2"/>
      <c r="C361" s="2"/>
      <c r="D361" s="2"/>
      <c r="E361" s="2"/>
      <c r="F361" s="2"/>
    </row>
    <row r="362" ht="15.75" customHeight="1">
      <c r="A362" s="2"/>
      <c r="B362" s="2"/>
      <c r="C362" s="2"/>
      <c r="D362" s="2"/>
      <c r="E362" s="2"/>
      <c r="F362" s="2"/>
    </row>
    <row r="363" ht="15.75" customHeight="1">
      <c r="A363" s="2"/>
      <c r="B363" s="2"/>
      <c r="C363" s="2"/>
      <c r="D363" s="2"/>
      <c r="E363" s="2"/>
      <c r="F363" s="2"/>
    </row>
    <row r="364" ht="15.75" customHeight="1">
      <c r="A364" s="2"/>
      <c r="B364" s="2"/>
      <c r="C364" s="2"/>
      <c r="D364" s="2"/>
      <c r="E364" s="2"/>
      <c r="F364" s="2"/>
    </row>
    <row r="365" ht="15.75" customHeight="1">
      <c r="A365" s="2"/>
      <c r="B365" s="2"/>
      <c r="C365" s="2"/>
      <c r="D365" s="2"/>
      <c r="E365" s="2"/>
      <c r="F365" s="2"/>
    </row>
    <row r="366" ht="15.75" customHeight="1">
      <c r="A366" s="2"/>
      <c r="B366" s="2"/>
      <c r="C366" s="2"/>
      <c r="D366" s="2"/>
      <c r="E366" s="2"/>
      <c r="F366" s="2"/>
    </row>
    <row r="367" ht="15.75" customHeight="1">
      <c r="A367" s="2"/>
      <c r="B367" s="2"/>
      <c r="C367" s="2"/>
      <c r="D367" s="2"/>
      <c r="E367" s="2"/>
      <c r="F367" s="2"/>
    </row>
    <row r="368" ht="15.75" customHeight="1">
      <c r="A368" s="2"/>
      <c r="B368" s="2"/>
      <c r="C368" s="2"/>
      <c r="D368" s="2"/>
      <c r="E368" s="2"/>
      <c r="F368" s="2"/>
    </row>
    <row r="369" ht="15.75" customHeight="1">
      <c r="A369" s="2"/>
      <c r="B369" s="2"/>
      <c r="C369" s="2"/>
      <c r="D369" s="2"/>
      <c r="E369" s="2"/>
      <c r="F369" s="2"/>
    </row>
    <row r="370" ht="15.75" customHeight="1">
      <c r="A370" s="2"/>
      <c r="B370" s="2"/>
      <c r="C370" s="2"/>
      <c r="D370" s="2"/>
      <c r="E370" s="2"/>
      <c r="F370" s="2"/>
    </row>
    <row r="371" ht="15.75" customHeight="1">
      <c r="A371" s="2"/>
      <c r="B371" s="2"/>
      <c r="C371" s="2"/>
      <c r="D371" s="2"/>
      <c r="E371" s="2"/>
      <c r="F371" s="2"/>
    </row>
    <row r="372" ht="15.75" customHeight="1">
      <c r="A372" s="2"/>
      <c r="B372" s="2"/>
      <c r="C372" s="2"/>
      <c r="D372" s="2"/>
      <c r="E372" s="2"/>
      <c r="F372" s="2"/>
    </row>
    <row r="373" ht="15.75" customHeight="1">
      <c r="A373" s="2"/>
      <c r="B373" s="2"/>
      <c r="C373" s="2"/>
      <c r="D373" s="2"/>
      <c r="E373" s="2"/>
      <c r="F373" s="2"/>
    </row>
    <row r="374" ht="15.75" customHeight="1">
      <c r="A374" s="2"/>
      <c r="B374" s="2"/>
      <c r="C374" s="2"/>
      <c r="D374" s="2"/>
      <c r="E374" s="2"/>
      <c r="F374" s="2"/>
    </row>
    <row r="375" ht="15.75" customHeight="1">
      <c r="A375" s="2"/>
      <c r="B375" s="2"/>
      <c r="C375" s="2"/>
      <c r="D375" s="2"/>
      <c r="E375" s="2"/>
      <c r="F375" s="2"/>
    </row>
    <row r="376" ht="15.75" customHeight="1">
      <c r="A376" s="2"/>
      <c r="B376" s="2"/>
      <c r="C376" s="2"/>
      <c r="D376" s="2"/>
      <c r="E376" s="2"/>
      <c r="F376" s="2"/>
    </row>
    <row r="377" ht="15.75" customHeight="1">
      <c r="A377" s="2"/>
      <c r="B377" s="2"/>
      <c r="C377" s="2"/>
      <c r="D377" s="2"/>
      <c r="E377" s="2"/>
      <c r="F377" s="2"/>
    </row>
    <row r="378" ht="15.75" customHeight="1">
      <c r="A378" s="2"/>
      <c r="B378" s="2"/>
      <c r="C378" s="2"/>
      <c r="D378" s="2"/>
      <c r="E378" s="2"/>
      <c r="F378" s="2"/>
    </row>
    <row r="379" ht="15.75" customHeight="1">
      <c r="A379" s="2"/>
      <c r="B379" s="2"/>
      <c r="C379" s="2"/>
      <c r="D379" s="2"/>
      <c r="E379" s="2"/>
      <c r="F379" s="2"/>
    </row>
    <row r="380" ht="15.75" customHeight="1">
      <c r="A380" s="2"/>
      <c r="B380" s="2"/>
      <c r="C380" s="2"/>
      <c r="D380" s="2"/>
      <c r="E380" s="2"/>
      <c r="F380" s="2"/>
    </row>
    <row r="381" ht="15.75" customHeight="1">
      <c r="A381" s="2"/>
      <c r="B381" s="2"/>
      <c r="C381" s="2"/>
      <c r="D381" s="2"/>
      <c r="E381" s="2"/>
      <c r="F381" s="2"/>
    </row>
    <row r="382" ht="15.75" customHeight="1">
      <c r="A382" s="2"/>
      <c r="B382" s="2"/>
      <c r="C382" s="2"/>
      <c r="D382" s="2"/>
      <c r="E382" s="2"/>
      <c r="F382" s="2"/>
    </row>
    <row r="383" ht="15.75" customHeight="1">
      <c r="A383" s="2"/>
      <c r="B383" s="2"/>
      <c r="C383" s="2"/>
      <c r="D383" s="2"/>
      <c r="E383" s="2"/>
      <c r="F383" s="2"/>
    </row>
    <row r="384" ht="15.75" customHeight="1">
      <c r="A384" s="2"/>
      <c r="B384" s="2"/>
      <c r="C384" s="2"/>
      <c r="D384" s="2"/>
      <c r="E384" s="2"/>
      <c r="F384" s="2"/>
    </row>
    <row r="385" ht="15.75" customHeight="1">
      <c r="A385" s="2"/>
      <c r="B385" s="2"/>
      <c r="C385" s="2"/>
      <c r="D385" s="2"/>
      <c r="E385" s="2"/>
      <c r="F385" s="2"/>
    </row>
    <row r="386" ht="15.75" customHeight="1">
      <c r="A386" s="2"/>
      <c r="B386" s="2"/>
      <c r="C386" s="2"/>
      <c r="D386" s="2"/>
      <c r="E386" s="2"/>
      <c r="F386" s="2"/>
    </row>
    <row r="387" ht="15.75" customHeight="1">
      <c r="A387" s="2"/>
      <c r="B387" s="2"/>
      <c r="C387" s="2"/>
      <c r="D387" s="2"/>
      <c r="E387" s="2"/>
      <c r="F387" s="2"/>
    </row>
    <row r="388" ht="15.75" customHeight="1">
      <c r="A388" s="2"/>
      <c r="B388" s="2"/>
      <c r="C388" s="2"/>
      <c r="D388" s="2"/>
      <c r="E388" s="2"/>
      <c r="F388" s="2"/>
    </row>
    <row r="389" ht="15.75" customHeight="1">
      <c r="A389" s="2"/>
      <c r="B389" s="2"/>
      <c r="C389" s="2"/>
      <c r="D389" s="2"/>
      <c r="E389" s="2"/>
      <c r="F389" s="2"/>
    </row>
    <row r="390" ht="15.75" customHeight="1">
      <c r="A390" s="2"/>
      <c r="B390" s="2"/>
      <c r="C390" s="2"/>
      <c r="D390" s="2"/>
      <c r="E390" s="2"/>
      <c r="F390" s="2"/>
    </row>
    <row r="391" ht="15.75" customHeight="1">
      <c r="A391" s="2"/>
      <c r="B391" s="2"/>
      <c r="C391" s="2"/>
      <c r="D391" s="2"/>
      <c r="E391" s="2"/>
      <c r="F391" s="2"/>
    </row>
    <row r="392" ht="15.75" customHeight="1">
      <c r="A392" s="2"/>
      <c r="B392" s="2"/>
      <c r="C392" s="2"/>
      <c r="D392" s="2"/>
      <c r="E392" s="2"/>
      <c r="F392" s="2"/>
    </row>
    <row r="393" ht="15.75" customHeight="1">
      <c r="A393" s="2"/>
      <c r="B393" s="2"/>
      <c r="C393" s="2"/>
      <c r="D393" s="2"/>
      <c r="E393" s="2"/>
      <c r="F393" s="2"/>
    </row>
    <row r="394" ht="15.75" customHeight="1">
      <c r="A394" s="2"/>
      <c r="B394" s="2"/>
      <c r="C394" s="2"/>
      <c r="D394" s="2"/>
      <c r="E394" s="2"/>
      <c r="F394" s="2"/>
    </row>
    <row r="395" ht="15.75" customHeight="1">
      <c r="A395" s="2"/>
      <c r="B395" s="2"/>
      <c r="C395" s="2"/>
      <c r="D395" s="2"/>
      <c r="E395" s="2"/>
      <c r="F395" s="2"/>
    </row>
    <row r="396" ht="15.75" customHeight="1">
      <c r="A396" s="2"/>
      <c r="B396" s="2"/>
      <c r="C396" s="2"/>
      <c r="D396" s="2"/>
      <c r="E396" s="2"/>
      <c r="F396" s="2"/>
    </row>
    <row r="397" ht="15.75" customHeight="1">
      <c r="A397" s="2"/>
      <c r="B397" s="2"/>
      <c r="C397" s="2"/>
      <c r="D397" s="2"/>
      <c r="E397" s="2"/>
      <c r="F397" s="2"/>
    </row>
    <row r="398" ht="15.75" customHeight="1">
      <c r="A398" s="2"/>
      <c r="B398" s="2"/>
      <c r="C398" s="2"/>
      <c r="D398" s="2"/>
      <c r="E398" s="2"/>
      <c r="F398" s="2"/>
    </row>
    <row r="399" ht="15.75" customHeight="1">
      <c r="A399" s="2"/>
      <c r="B399" s="2"/>
      <c r="C399" s="2"/>
      <c r="D399" s="2"/>
      <c r="E399" s="2"/>
      <c r="F399" s="2"/>
    </row>
    <row r="400" ht="15.75" customHeight="1">
      <c r="A400" s="2"/>
      <c r="B400" s="2"/>
      <c r="C400" s="2"/>
      <c r="D400" s="2"/>
      <c r="E400" s="2"/>
      <c r="F400" s="2"/>
    </row>
    <row r="401" ht="15.75" customHeight="1">
      <c r="A401" s="2"/>
      <c r="B401" s="2"/>
      <c r="C401" s="2"/>
      <c r="D401" s="2"/>
      <c r="E401" s="2"/>
      <c r="F401" s="2"/>
    </row>
    <row r="402" ht="15.75" customHeight="1">
      <c r="A402" s="2"/>
      <c r="B402" s="2"/>
      <c r="C402" s="2"/>
      <c r="D402" s="2"/>
      <c r="E402" s="2"/>
      <c r="F402" s="2"/>
    </row>
    <row r="403" ht="15.75" customHeight="1">
      <c r="A403" s="2"/>
      <c r="B403" s="2"/>
      <c r="C403" s="2"/>
      <c r="D403" s="2"/>
      <c r="E403" s="2"/>
      <c r="F403" s="2"/>
    </row>
    <row r="404" ht="15.75" customHeight="1">
      <c r="A404" s="2"/>
      <c r="B404" s="2"/>
      <c r="C404" s="2"/>
      <c r="D404" s="2"/>
      <c r="E404" s="2"/>
      <c r="F404" s="2"/>
    </row>
    <row r="405" ht="15.75" customHeight="1">
      <c r="A405" s="2"/>
      <c r="B405" s="2"/>
      <c r="C405" s="2"/>
      <c r="D405" s="2"/>
      <c r="E405" s="2"/>
      <c r="F405" s="2"/>
    </row>
    <row r="406" ht="15.75" customHeight="1">
      <c r="A406" s="2"/>
      <c r="B406" s="2"/>
      <c r="C406" s="2"/>
      <c r="D406" s="2"/>
      <c r="E406" s="2"/>
      <c r="F406" s="2"/>
    </row>
    <row r="407" ht="15.75" customHeight="1">
      <c r="A407" s="2"/>
      <c r="B407" s="2"/>
      <c r="C407" s="2"/>
      <c r="D407" s="2"/>
      <c r="E407" s="2"/>
      <c r="F407" s="2"/>
    </row>
    <row r="408" ht="15.75" customHeight="1">
      <c r="A408" s="2"/>
      <c r="B408" s="2"/>
      <c r="C408" s="2"/>
      <c r="D408" s="2"/>
      <c r="E408" s="2"/>
      <c r="F408" s="2"/>
    </row>
    <row r="409" ht="15.75" customHeight="1">
      <c r="A409" s="2"/>
      <c r="B409" s="2"/>
      <c r="C409" s="2"/>
      <c r="D409" s="2"/>
      <c r="E409" s="2"/>
      <c r="F409" s="2"/>
    </row>
    <row r="410" ht="15.75" customHeight="1">
      <c r="A410" s="2"/>
      <c r="B410" s="2"/>
      <c r="C410" s="2"/>
      <c r="D410" s="2"/>
      <c r="E410" s="2"/>
      <c r="F410" s="2"/>
    </row>
    <row r="411" ht="15.75" customHeight="1">
      <c r="A411" s="2"/>
      <c r="B411" s="2"/>
      <c r="C411" s="2"/>
      <c r="D411" s="2"/>
      <c r="E411" s="2"/>
      <c r="F411" s="2"/>
    </row>
    <row r="412" ht="15.75" customHeight="1">
      <c r="A412" s="2"/>
      <c r="B412" s="2"/>
      <c r="C412" s="2"/>
      <c r="D412" s="2"/>
      <c r="E412" s="2"/>
      <c r="F412" s="2"/>
    </row>
    <row r="413" ht="15.75" customHeight="1">
      <c r="A413" s="2"/>
      <c r="B413" s="2"/>
      <c r="C413" s="2"/>
      <c r="D413" s="2"/>
      <c r="E413" s="2"/>
      <c r="F413" s="2"/>
    </row>
    <row r="414" ht="15.75" customHeight="1">
      <c r="A414" s="2"/>
      <c r="B414" s="2"/>
      <c r="C414" s="2"/>
      <c r="D414" s="2"/>
      <c r="E414" s="2"/>
      <c r="F414" s="2"/>
    </row>
    <row r="415" ht="15.75" customHeight="1">
      <c r="A415" s="2"/>
      <c r="B415" s="2"/>
      <c r="C415" s="2"/>
      <c r="D415" s="2"/>
      <c r="E415" s="2"/>
      <c r="F415" s="2"/>
    </row>
    <row r="416" ht="15.75" customHeight="1">
      <c r="A416" s="2"/>
      <c r="B416" s="2"/>
      <c r="C416" s="2"/>
      <c r="D416" s="2"/>
      <c r="E416" s="2"/>
      <c r="F416" s="2"/>
    </row>
    <row r="417" ht="15.75" customHeight="1">
      <c r="A417" s="2"/>
      <c r="B417" s="2"/>
      <c r="C417" s="2"/>
      <c r="D417" s="2"/>
      <c r="E417" s="2"/>
      <c r="F417" s="2"/>
    </row>
    <row r="418" ht="15.75" customHeight="1">
      <c r="A418" s="2"/>
      <c r="B418" s="2"/>
      <c r="C418" s="2"/>
      <c r="D418" s="2"/>
      <c r="E418" s="2"/>
      <c r="F418" s="2"/>
    </row>
    <row r="419" ht="15.75" customHeight="1">
      <c r="A419" s="2"/>
      <c r="B419" s="2"/>
      <c r="C419" s="2"/>
      <c r="D419" s="2"/>
      <c r="E419" s="2"/>
      <c r="F419" s="2"/>
    </row>
    <row r="420" ht="15.75" customHeight="1">
      <c r="A420" s="2"/>
      <c r="B420" s="2"/>
      <c r="C420" s="2"/>
      <c r="D420" s="2"/>
      <c r="E420" s="2"/>
      <c r="F420" s="2"/>
    </row>
    <row r="421" ht="15.75" customHeight="1">
      <c r="A421" s="2"/>
      <c r="B421" s="2"/>
      <c r="C421" s="2"/>
      <c r="D421" s="2"/>
      <c r="E421" s="2"/>
      <c r="F421" s="2"/>
    </row>
    <row r="422" ht="15.75" customHeight="1">
      <c r="A422" s="2"/>
      <c r="B422" s="2"/>
      <c r="C422" s="2"/>
      <c r="D422" s="2"/>
      <c r="E422" s="2"/>
      <c r="F422" s="2"/>
    </row>
    <row r="423" ht="15.75" customHeight="1">
      <c r="A423" s="2"/>
      <c r="B423" s="2"/>
      <c r="C423" s="2"/>
      <c r="D423" s="2"/>
      <c r="E423" s="2"/>
      <c r="F423" s="2"/>
    </row>
    <row r="424" ht="15.75" customHeight="1">
      <c r="A424" s="2"/>
      <c r="B424" s="2"/>
      <c r="C424" s="2"/>
      <c r="D424" s="2"/>
      <c r="E424" s="2"/>
      <c r="F424" s="2"/>
    </row>
    <row r="425" ht="15.75" customHeight="1">
      <c r="A425" s="2"/>
      <c r="B425" s="2"/>
      <c r="C425" s="2"/>
      <c r="D425" s="2"/>
      <c r="E425" s="2"/>
      <c r="F425" s="2"/>
    </row>
    <row r="426" ht="15.75" customHeight="1">
      <c r="A426" s="2"/>
      <c r="B426" s="2"/>
      <c r="C426" s="2"/>
      <c r="D426" s="2"/>
      <c r="E426" s="2"/>
      <c r="F426" s="2"/>
    </row>
    <row r="427" ht="15.75" customHeight="1">
      <c r="A427" s="2"/>
      <c r="B427" s="2"/>
      <c r="C427" s="2"/>
      <c r="D427" s="2"/>
      <c r="E427" s="2"/>
      <c r="F427" s="2"/>
    </row>
    <row r="428" ht="15.75" customHeight="1">
      <c r="A428" s="2"/>
      <c r="B428" s="2"/>
      <c r="C428" s="2"/>
      <c r="D428" s="2"/>
      <c r="E428" s="2"/>
      <c r="F428" s="2"/>
    </row>
    <row r="429" ht="15.75" customHeight="1">
      <c r="A429" s="2"/>
      <c r="B429" s="2"/>
      <c r="C429" s="2"/>
      <c r="D429" s="2"/>
      <c r="E429" s="2"/>
      <c r="F429" s="2"/>
    </row>
    <row r="430" ht="15.75" customHeight="1">
      <c r="A430" s="2"/>
      <c r="B430" s="2"/>
      <c r="C430" s="2"/>
      <c r="D430" s="2"/>
      <c r="E430" s="2"/>
      <c r="F430" s="2"/>
    </row>
    <row r="431" ht="15.75" customHeight="1">
      <c r="A431" s="2"/>
      <c r="B431" s="2"/>
      <c r="C431" s="2"/>
      <c r="D431" s="2"/>
      <c r="E431" s="2"/>
      <c r="F431" s="2"/>
    </row>
    <row r="432" ht="15.75" customHeight="1">
      <c r="A432" s="2"/>
      <c r="B432" s="2"/>
      <c r="C432" s="2"/>
      <c r="D432" s="2"/>
      <c r="E432" s="2"/>
      <c r="F432" s="2"/>
    </row>
    <row r="433" ht="15.75" customHeight="1">
      <c r="A433" s="2"/>
      <c r="B433" s="2"/>
      <c r="C433" s="2"/>
      <c r="D433" s="2"/>
      <c r="E433" s="2"/>
      <c r="F433" s="2"/>
    </row>
    <row r="434" ht="15.75" customHeight="1">
      <c r="A434" s="2"/>
      <c r="B434" s="2"/>
      <c r="C434" s="2"/>
      <c r="D434" s="2"/>
      <c r="E434" s="2"/>
      <c r="F434" s="2"/>
    </row>
    <row r="435" ht="15.75" customHeight="1">
      <c r="A435" s="2"/>
      <c r="B435" s="2"/>
      <c r="C435" s="2"/>
      <c r="D435" s="2"/>
      <c r="E435" s="2"/>
      <c r="F435" s="2"/>
    </row>
    <row r="436" ht="15.75" customHeight="1">
      <c r="A436" s="2"/>
      <c r="B436" s="2"/>
      <c r="C436" s="2"/>
      <c r="D436" s="2"/>
      <c r="E436" s="2"/>
      <c r="F436" s="2"/>
    </row>
    <row r="437" ht="15.75" customHeight="1">
      <c r="A437" s="2"/>
      <c r="B437" s="2"/>
      <c r="C437" s="2"/>
      <c r="D437" s="2"/>
      <c r="E437" s="2"/>
      <c r="F437" s="2"/>
    </row>
    <row r="438" ht="15.75" customHeight="1">
      <c r="A438" s="2"/>
      <c r="B438" s="2"/>
      <c r="C438" s="2"/>
      <c r="D438" s="2"/>
      <c r="E438" s="2"/>
      <c r="F438" s="2"/>
    </row>
    <row r="439" ht="15.75" customHeight="1">
      <c r="A439" s="2"/>
      <c r="B439" s="2"/>
      <c r="C439" s="2"/>
      <c r="D439" s="2"/>
      <c r="E439" s="2"/>
      <c r="F439" s="2"/>
    </row>
    <row r="440" ht="15.75" customHeight="1">
      <c r="A440" s="2"/>
      <c r="B440" s="2"/>
      <c r="C440" s="2"/>
      <c r="D440" s="2"/>
      <c r="E440" s="2"/>
      <c r="F440" s="2"/>
    </row>
    <row r="441" ht="15.75" customHeight="1">
      <c r="A441" s="2"/>
      <c r="B441" s="2"/>
      <c r="C441" s="2"/>
      <c r="D441" s="2"/>
      <c r="E441" s="2"/>
      <c r="F441" s="2"/>
    </row>
    <row r="442" ht="15.75" customHeight="1">
      <c r="A442" s="2"/>
      <c r="B442" s="2"/>
      <c r="C442" s="2"/>
      <c r="D442" s="2"/>
      <c r="E442" s="2"/>
      <c r="F442" s="2"/>
    </row>
    <row r="443" ht="15.75" customHeight="1">
      <c r="A443" s="2"/>
      <c r="B443" s="2"/>
      <c r="C443" s="2"/>
      <c r="D443" s="2"/>
      <c r="E443" s="2"/>
      <c r="F443" s="2"/>
    </row>
    <row r="444" ht="15.75" customHeight="1">
      <c r="A444" s="2"/>
      <c r="B444" s="2"/>
      <c r="C444" s="2"/>
      <c r="D444" s="2"/>
      <c r="E444" s="2"/>
      <c r="F444" s="2"/>
    </row>
    <row r="445" ht="15.75" customHeight="1">
      <c r="A445" s="2"/>
      <c r="B445" s="2"/>
      <c r="C445" s="2"/>
      <c r="D445" s="2"/>
      <c r="E445" s="2"/>
      <c r="F445" s="2"/>
    </row>
    <row r="446" ht="15.75" customHeight="1">
      <c r="A446" s="2"/>
      <c r="B446" s="2"/>
      <c r="C446" s="2"/>
      <c r="D446" s="2"/>
      <c r="E446" s="2"/>
      <c r="F446" s="2"/>
    </row>
    <row r="447" ht="15.75" customHeight="1">
      <c r="A447" s="2"/>
      <c r="B447" s="2"/>
      <c r="C447" s="2"/>
      <c r="D447" s="2"/>
      <c r="E447" s="2"/>
      <c r="F447" s="2"/>
    </row>
    <row r="448" ht="15.75" customHeight="1">
      <c r="A448" s="2"/>
      <c r="B448" s="2"/>
      <c r="C448" s="2"/>
      <c r="D448" s="2"/>
      <c r="E448" s="2"/>
      <c r="F448" s="2"/>
    </row>
    <row r="449" ht="15.75" customHeight="1">
      <c r="A449" s="2"/>
      <c r="B449" s="2"/>
      <c r="C449" s="2"/>
      <c r="D449" s="2"/>
      <c r="E449" s="2"/>
      <c r="F449" s="2"/>
    </row>
    <row r="450" ht="15.75" customHeight="1">
      <c r="A450" s="2"/>
      <c r="B450" s="2"/>
      <c r="C450" s="2"/>
      <c r="D450" s="2"/>
      <c r="E450" s="2"/>
      <c r="F450" s="2"/>
    </row>
    <row r="451" ht="15.75" customHeight="1">
      <c r="A451" s="2"/>
      <c r="B451" s="2"/>
      <c r="C451" s="2"/>
      <c r="D451" s="2"/>
      <c r="E451" s="2"/>
      <c r="F451" s="2"/>
    </row>
    <row r="452" ht="15.75" customHeight="1">
      <c r="A452" s="2"/>
      <c r="B452" s="2"/>
      <c r="C452" s="2"/>
      <c r="D452" s="2"/>
      <c r="E452" s="2"/>
      <c r="F452" s="2"/>
    </row>
    <row r="453" ht="15.75" customHeight="1">
      <c r="A453" s="2"/>
      <c r="B453" s="2"/>
      <c r="C453" s="2"/>
      <c r="D453" s="2"/>
      <c r="E453" s="2"/>
      <c r="F453" s="2"/>
    </row>
    <row r="454" ht="15.75" customHeight="1">
      <c r="A454" s="2"/>
      <c r="B454" s="2"/>
      <c r="C454" s="2"/>
      <c r="D454" s="2"/>
      <c r="E454" s="2"/>
      <c r="F454" s="2"/>
    </row>
    <row r="455" ht="15.75" customHeight="1">
      <c r="A455" s="2"/>
      <c r="B455" s="2"/>
      <c r="C455" s="2"/>
      <c r="D455" s="2"/>
      <c r="E455" s="2"/>
      <c r="F455" s="2"/>
    </row>
    <row r="456" ht="15.75" customHeight="1">
      <c r="A456" s="2"/>
      <c r="B456" s="2"/>
      <c r="C456" s="2"/>
      <c r="D456" s="2"/>
      <c r="E456" s="2"/>
      <c r="F456" s="2"/>
    </row>
    <row r="457" ht="15.75" customHeight="1">
      <c r="A457" s="2"/>
      <c r="B457" s="2"/>
      <c r="C457" s="2"/>
      <c r="D457" s="2"/>
      <c r="E457" s="2"/>
      <c r="F457" s="2"/>
    </row>
    <row r="458" ht="15.75" customHeight="1">
      <c r="A458" s="2"/>
      <c r="B458" s="2"/>
      <c r="C458" s="2"/>
      <c r="D458" s="2"/>
      <c r="E458" s="2"/>
      <c r="F458" s="2"/>
    </row>
    <row r="459" ht="15.75" customHeight="1">
      <c r="A459" s="2"/>
      <c r="B459" s="2"/>
      <c r="C459" s="2"/>
      <c r="D459" s="2"/>
      <c r="E459" s="2"/>
      <c r="F459" s="2"/>
    </row>
    <row r="460" ht="15.75" customHeight="1">
      <c r="A460" s="2"/>
      <c r="B460" s="2"/>
      <c r="C460" s="2"/>
      <c r="D460" s="2"/>
      <c r="E460" s="2"/>
      <c r="F460" s="2"/>
    </row>
    <row r="461" ht="15.75" customHeight="1">
      <c r="A461" s="2"/>
      <c r="B461" s="2"/>
      <c r="C461" s="2"/>
      <c r="D461" s="2"/>
      <c r="E461" s="2"/>
      <c r="F461" s="2"/>
    </row>
    <row r="462" ht="15.75" customHeight="1">
      <c r="A462" s="2"/>
      <c r="B462" s="2"/>
      <c r="C462" s="2"/>
      <c r="D462" s="2"/>
      <c r="E462" s="2"/>
      <c r="F462" s="2"/>
    </row>
    <row r="463" ht="15.75" customHeight="1">
      <c r="A463" s="2"/>
      <c r="B463" s="2"/>
      <c r="C463" s="2"/>
      <c r="D463" s="2"/>
      <c r="E463" s="2"/>
      <c r="F463" s="2"/>
    </row>
    <row r="464" ht="15.75" customHeight="1">
      <c r="A464" s="2"/>
      <c r="B464" s="2"/>
      <c r="C464" s="2"/>
      <c r="D464" s="2"/>
      <c r="E464" s="2"/>
      <c r="F464" s="2"/>
    </row>
    <row r="465" ht="15.75" customHeight="1">
      <c r="A465" s="2"/>
      <c r="B465" s="2"/>
      <c r="C465" s="2"/>
      <c r="D465" s="2"/>
      <c r="E465" s="2"/>
      <c r="F465" s="2"/>
    </row>
    <row r="466" ht="15.75" customHeight="1">
      <c r="A466" s="2"/>
      <c r="B466" s="2"/>
      <c r="C466" s="2"/>
      <c r="D466" s="2"/>
      <c r="E466" s="2"/>
      <c r="F466" s="2"/>
    </row>
    <row r="467" ht="15.75" customHeight="1">
      <c r="A467" s="2"/>
      <c r="B467" s="2"/>
      <c r="C467" s="2"/>
      <c r="D467" s="2"/>
      <c r="E467" s="2"/>
      <c r="F467" s="2"/>
    </row>
    <row r="468" ht="15.75" customHeight="1">
      <c r="A468" s="2"/>
      <c r="B468" s="2"/>
      <c r="C468" s="2"/>
      <c r="D468" s="2"/>
      <c r="E468" s="2"/>
      <c r="F468" s="2"/>
    </row>
    <row r="469" ht="15.75" customHeight="1">
      <c r="A469" s="2"/>
      <c r="B469" s="2"/>
      <c r="C469" s="2"/>
      <c r="D469" s="2"/>
      <c r="E469" s="2"/>
      <c r="F469" s="2"/>
    </row>
    <row r="470" ht="15.75" customHeight="1">
      <c r="A470" s="2"/>
      <c r="B470" s="2"/>
      <c r="C470" s="2"/>
      <c r="D470" s="2"/>
      <c r="E470" s="2"/>
      <c r="F470" s="2"/>
    </row>
    <row r="471" ht="15.75" customHeight="1">
      <c r="A471" s="2"/>
      <c r="B471" s="2"/>
      <c r="C471" s="2"/>
      <c r="D471" s="2"/>
      <c r="E471" s="2"/>
      <c r="F471" s="2"/>
    </row>
    <row r="472" ht="15.75" customHeight="1">
      <c r="A472" s="2"/>
      <c r="B472" s="2"/>
      <c r="C472" s="2"/>
      <c r="D472" s="2"/>
      <c r="E472" s="2"/>
      <c r="F472" s="2"/>
    </row>
    <row r="473" ht="15.75" customHeight="1">
      <c r="A473" s="2"/>
      <c r="B473" s="2"/>
      <c r="C473" s="2"/>
      <c r="D473" s="2"/>
      <c r="E473" s="2"/>
      <c r="F473" s="2"/>
    </row>
    <row r="474" ht="15.75" customHeight="1">
      <c r="A474" s="2"/>
      <c r="B474" s="2"/>
      <c r="C474" s="2"/>
      <c r="D474" s="2"/>
      <c r="E474" s="2"/>
      <c r="F474" s="2"/>
    </row>
    <row r="475" ht="15.75" customHeight="1">
      <c r="A475" s="2"/>
      <c r="B475" s="2"/>
      <c r="C475" s="2"/>
      <c r="D475" s="2"/>
      <c r="E475" s="2"/>
      <c r="F475" s="2"/>
    </row>
    <row r="476" ht="15.75" customHeight="1">
      <c r="A476" s="2"/>
      <c r="B476" s="2"/>
      <c r="C476" s="2"/>
      <c r="D476" s="2"/>
      <c r="E476" s="2"/>
      <c r="F476" s="2"/>
    </row>
    <row r="477" ht="15.75" customHeight="1">
      <c r="A477" s="2"/>
      <c r="B477" s="2"/>
      <c r="C477" s="2"/>
      <c r="D477" s="2"/>
      <c r="E477" s="2"/>
      <c r="F477" s="2"/>
    </row>
    <row r="478" ht="15.75" customHeight="1">
      <c r="A478" s="2"/>
      <c r="B478" s="2"/>
      <c r="C478" s="2"/>
      <c r="D478" s="2"/>
      <c r="E478" s="2"/>
      <c r="F478" s="2"/>
    </row>
    <row r="479" ht="15.75" customHeight="1">
      <c r="A479" s="2"/>
      <c r="B479" s="2"/>
      <c r="C479" s="2"/>
      <c r="D479" s="2"/>
      <c r="E479" s="2"/>
      <c r="F479" s="2"/>
    </row>
    <row r="480" ht="15.75" customHeight="1">
      <c r="A480" s="2"/>
      <c r="B480" s="2"/>
      <c r="C480" s="2"/>
      <c r="D480" s="2"/>
      <c r="E480" s="2"/>
      <c r="F480" s="2"/>
    </row>
    <row r="481" ht="15.75" customHeight="1">
      <c r="A481" s="2"/>
      <c r="B481" s="2"/>
      <c r="C481" s="2"/>
      <c r="D481" s="2"/>
      <c r="E481" s="2"/>
      <c r="F481" s="2"/>
    </row>
    <row r="482" ht="15.75" customHeight="1">
      <c r="A482" s="2"/>
      <c r="B482" s="2"/>
      <c r="C482" s="2"/>
      <c r="D482" s="2"/>
      <c r="E482" s="2"/>
      <c r="F482" s="2"/>
    </row>
    <row r="483" ht="15.75" customHeight="1">
      <c r="A483" s="2"/>
      <c r="B483" s="2"/>
      <c r="C483" s="2"/>
      <c r="D483" s="2"/>
      <c r="E483" s="2"/>
      <c r="F483" s="2"/>
    </row>
    <row r="484" ht="15.75" customHeight="1">
      <c r="A484" s="2"/>
      <c r="B484" s="2"/>
      <c r="C484" s="2"/>
      <c r="D484" s="2"/>
      <c r="E484" s="2"/>
      <c r="F484" s="2"/>
    </row>
    <row r="485" ht="15.75" customHeight="1">
      <c r="A485" s="2"/>
      <c r="B485" s="2"/>
      <c r="C485" s="2"/>
      <c r="D485" s="2"/>
      <c r="E485" s="2"/>
      <c r="F485" s="2"/>
    </row>
    <row r="486" ht="15.75" customHeight="1">
      <c r="A486" s="2"/>
      <c r="B486" s="2"/>
      <c r="C486" s="2"/>
      <c r="D486" s="2"/>
      <c r="E486" s="2"/>
      <c r="F486" s="2"/>
    </row>
    <row r="487" ht="15.75" customHeight="1">
      <c r="A487" s="2"/>
      <c r="B487" s="2"/>
      <c r="C487" s="2"/>
      <c r="D487" s="2"/>
      <c r="E487" s="2"/>
      <c r="F487" s="2"/>
    </row>
    <row r="488" ht="15.75" customHeight="1">
      <c r="A488" s="2"/>
      <c r="B488" s="2"/>
      <c r="C488" s="2"/>
      <c r="D488" s="2"/>
      <c r="E488" s="2"/>
      <c r="F488" s="2"/>
    </row>
    <row r="489" ht="15.75" customHeight="1">
      <c r="A489" s="2"/>
      <c r="B489" s="2"/>
      <c r="C489" s="2"/>
      <c r="D489" s="2"/>
      <c r="E489" s="2"/>
      <c r="F489" s="2"/>
    </row>
    <row r="490" ht="15.75" customHeight="1">
      <c r="A490" s="2"/>
      <c r="B490" s="2"/>
      <c r="C490" s="2"/>
      <c r="D490" s="2"/>
      <c r="E490" s="2"/>
      <c r="F490" s="2"/>
    </row>
    <row r="491" ht="15.75" customHeight="1">
      <c r="A491" s="2"/>
      <c r="B491" s="2"/>
      <c r="C491" s="2"/>
      <c r="D491" s="2"/>
      <c r="E491" s="2"/>
      <c r="F491" s="2"/>
    </row>
    <row r="492" ht="15.75" customHeight="1">
      <c r="A492" s="2"/>
      <c r="B492" s="2"/>
      <c r="C492" s="2"/>
      <c r="D492" s="2"/>
      <c r="E492" s="2"/>
      <c r="F492" s="2"/>
    </row>
    <row r="493" ht="15.75" customHeight="1">
      <c r="A493" s="2"/>
      <c r="B493" s="2"/>
      <c r="C493" s="2"/>
      <c r="D493" s="2"/>
      <c r="E493" s="2"/>
      <c r="F493" s="2"/>
    </row>
    <row r="494" ht="15.75" customHeight="1">
      <c r="A494" s="2"/>
      <c r="B494" s="2"/>
      <c r="C494" s="2"/>
      <c r="D494" s="2"/>
      <c r="E494" s="2"/>
      <c r="F494" s="2"/>
    </row>
    <row r="495" ht="15.75" customHeight="1">
      <c r="A495" s="2"/>
      <c r="B495" s="2"/>
      <c r="C495" s="2"/>
      <c r="D495" s="2"/>
      <c r="E495" s="2"/>
      <c r="F495" s="2"/>
    </row>
    <row r="496" ht="15.75" customHeight="1">
      <c r="A496" s="2"/>
      <c r="B496" s="2"/>
      <c r="C496" s="2"/>
      <c r="D496" s="2"/>
      <c r="E496" s="2"/>
      <c r="F496" s="2"/>
    </row>
    <row r="497" ht="15.75" customHeight="1">
      <c r="A497" s="2"/>
      <c r="B497" s="2"/>
      <c r="C497" s="2"/>
      <c r="D497" s="2"/>
      <c r="E497" s="2"/>
      <c r="F497" s="2"/>
    </row>
    <row r="498" ht="15.75" customHeight="1">
      <c r="A498" s="2"/>
      <c r="B498" s="2"/>
      <c r="C498" s="2"/>
      <c r="D498" s="2"/>
      <c r="E498" s="2"/>
      <c r="F498" s="2"/>
    </row>
    <row r="499" ht="15.75" customHeight="1">
      <c r="A499" s="2"/>
      <c r="B499" s="2"/>
      <c r="C499" s="2"/>
      <c r="D499" s="2"/>
      <c r="E499" s="2"/>
      <c r="F499" s="2"/>
    </row>
    <row r="500" ht="15.75" customHeight="1">
      <c r="A500" s="2"/>
      <c r="B500" s="2"/>
      <c r="C500" s="2"/>
      <c r="D500" s="2"/>
      <c r="E500" s="2"/>
      <c r="F500" s="2"/>
    </row>
    <row r="501" ht="15.75" customHeight="1">
      <c r="A501" s="2"/>
      <c r="B501" s="2"/>
      <c r="C501" s="2"/>
      <c r="D501" s="2"/>
      <c r="E501" s="2"/>
      <c r="F501" s="2"/>
    </row>
    <row r="502" ht="15.75" customHeight="1">
      <c r="A502" s="2"/>
      <c r="B502" s="2"/>
      <c r="C502" s="2"/>
      <c r="D502" s="2"/>
      <c r="E502" s="2"/>
      <c r="F502" s="2"/>
    </row>
    <row r="503" ht="15.75" customHeight="1">
      <c r="A503" s="2"/>
      <c r="B503" s="2"/>
      <c r="C503" s="2"/>
      <c r="D503" s="2"/>
      <c r="E503" s="2"/>
      <c r="F503" s="2"/>
    </row>
    <row r="504" ht="15.75" customHeight="1">
      <c r="A504" s="2"/>
      <c r="B504" s="2"/>
      <c r="C504" s="2"/>
      <c r="D504" s="2"/>
      <c r="E504" s="2"/>
      <c r="F504" s="2"/>
    </row>
    <row r="505" ht="15.75" customHeight="1">
      <c r="A505" s="2"/>
      <c r="B505" s="2"/>
      <c r="C505" s="2"/>
      <c r="D505" s="2"/>
      <c r="E505" s="2"/>
      <c r="F505" s="2"/>
    </row>
    <row r="506" ht="15.75" customHeight="1">
      <c r="A506" s="2"/>
      <c r="B506" s="2"/>
      <c r="C506" s="2"/>
      <c r="D506" s="2"/>
      <c r="E506" s="2"/>
      <c r="F506" s="2"/>
    </row>
    <row r="507" ht="15.75" customHeight="1">
      <c r="A507" s="2"/>
      <c r="B507" s="2"/>
      <c r="C507" s="2"/>
      <c r="D507" s="2"/>
      <c r="E507" s="2"/>
      <c r="F507" s="2"/>
    </row>
    <row r="508" ht="15.75" customHeight="1">
      <c r="A508" s="2"/>
      <c r="B508" s="2"/>
      <c r="C508" s="2"/>
      <c r="D508" s="2"/>
      <c r="E508" s="2"/>
      <c r="F508" s="2"/>
    </row>
    <row r="509" ht="15.75" customHeight="1">
      <c r="A509" s="2"/>
      <c r="B509" s="2"/>
      <c r="C509" s="2"/>
      <c r="D509" s="2"/>
      <c r="E509" s="2"/>
      <c r="F509" s="2"/>
    </row>
    <row r="510" ht="15.75" customHeight="1">
      <c r="A510" s="2"/>
      <c r="B510" s="2"/>
      <c r="C510" s="2"/>
      <c r="D510" s="2"/>
      <c r="E510" s="2"/>
      <c r="F510" s="2"/>
    </row>
    <row r="511" ht="15.75" customHeight="1">
      <c r="A511" s="2"/>
      <c r="B511" s="2"/>
      <c r="C511" s="2"/>
      <c r="D511" s="2"/>
      <c r="E511" s="2"/>
      <c r="F511" s="2"/>
    </row>
    <row r="512" ht="15.75" customHeight="1">
      <c r="A512" s="2"/>
      <c r="B512" s="2"/>
      <c r="C512" s="2"/>
      <c r="D512" s="2"/>
      <c r="E512" s="2"/>
      <c r="F512" s="2"/>
    </row>
    <row r="513" ht="15.75" customHeight="1">
      <c r="A513" s="2"/>
      <c r="B513" s="2"/>
      <c r="C513" s="2"/>
      <c r="D513" s="2"/>
      <c r="E513" s="2"/>
      <c r="F513" s="2"/>
    </row>
    <row r="514" ht="15.75" customHeight="1">
      <c r="A514" s="2"/>
      <c r="B514" s="2"/>
      <c r="C514" s="2"/>
      <c r="D514" s="2"/>
      <c r="E514" s="2"/>
      <c r="F514" s="2"/>
    </row>
    <row r="515" ht="15.75" customHeight="1">
      <c r="A515" s="2"/>
      <c r="B515" s="2"/>
      <c r="C515" s="2"/>
      <c r="D515" s="2"/>
      <c r="E515" s="2"/>
      <c r="F515" s="2"/>
    </row>
    <row r="516" ht="15.75" customHeight="1">
      <c r="A516" s="2"/>
      <c r="B516" s="2"/>
      <c r="C516" s="2"/>
      <c r="D516" s="2"/>
      <c r="E516" s="2"/>
      <c r="F516" s="2"/>
    </row>
    <row r="517" ht="15.75" customHeight="1">
      <c r="A517" s="2"/>
      <c r="B517" s="2"/>
      <c r="C517" s="2"/>
      <c r="D517" s="2"/>
      <c r="E517" s="2"/>
      <c r="F517" s="2"/>
    </row>
    <row r="518" ht="15.75" customHeight="1">
      <c r="A518" s="2"/>
      <c r="B518" s="2"/>
      <c r="C518" s="2"/>
      <c r="D518" s="2"/>
      <c r="E518" s="2"/>
      <c r="F518" s="2"/>
    </row>
    <row r="519" ht="15.75" customHeight="1">
      <c r="A519" s="2"/>
      <c r="B519" s="2"/>
      <c r="C519" s="2"/>
      <c r="D519" s="2"/>
      <c r="E519" s="2"/>
      <c r="F519" s="2"/>
    </row>
    <row r="520" ht="15.75" customHeight="1">
      <c r="A520" s="2"/>
      <c r="B520" s="2"/>
      <c r="C520" s="2"/>
      <c r="D520" s="2"/>
      <c r="E520" s="2"/>
      <c r="F520" s="2"/>
    </row>
    <row r="521" ht="15.75" customHeight="1">
      <c r="A521" s="2"/>
      <c r="B521" s="2"/>
      <c r="C521" s="2"/>
      <c r="D521" s="2"/>
      <c r="E521" s="2"/>
      <c r="F521" s="2"/>
    </row>
    <row r="522" ht="15.75" customHeight="1">
      <c r="A522" s="2"/>
      <c r="B522" s="2"/>
      <c r="C522" s="2"/>
      <c r="D522" s="2"/>
      <c r="E522" s="2"/>
      <c r="F522" s="2"/>
    </row>
    <row r="523" ht="15.75" customHeight="1">
      <c r="A523" s="2"/>
      <c r="B523" s="2"/>
      <c r="C523" s="2"/>
      <c r="D523" s="2"/>
      <c r="E523" s="2"/>
      <c r="F523" s="2"/>
    </row>
    <row r="524" ht="15.75" customHeight="1">
      <c r="A524" s="2"/>
      <c r="B524" s="2"/>
      <c r="C524" s="2"/>
      <c r="D524" s="2"/>
      <c r="E524" s="2"/>
      <c r="F524" s="2"/>
    </row>
    <row r="525" ht="15.75" customHeight="1">
      <c r="A525" s="2"/>
      <c r="B525" s="2"/>
      <c r="C525" s="2"/>
      <c r="D525" s="2"/>
      <c r="E525" s="2"/>
      <c r="F525" s="2"/>
    </row>
    <row r="526" ht="15.75" customHeight="1">
      <c r="A526" s="2"/>
      <c r="B526" s="2"/>
      <c r="C526" s="2"/>
      <c r="D526" s="2"/>
      <c r="E526" s="2"/>
      <c r="F526" s="2"/>
    </row>
    <row r="527" ht="15.75" customHeight="1">
      <c r="A527" s="2"/>
      <c r="B527" s="2"/>
      <c r="C527" s="2"/>
      <c r="D527" s="2"/>
      <c r="E527" s="2"/>
      <c r="F527" s="2"/>
    </row>
    <row r="528" ht="15.75" customHeight="1">
      <c r="A528" s="2"/>
      <c r="B528" s="2"/>
      <c r="C528" s="2"/>
      <c r="D528" s="2"/>
      <c r="E528" s="2"/>
      <c r="F528" s="2"/>
    </row>
    <row r="529" ht="15.75" customHeight="1">
      <c r="A529" s="2"/>
      <c r="B529" s="2"/>
      <c r="C529" s="2"/>
      <c r="D529" s="2"/>
      <c r="E529" s="2"/>
      <c r="F529" s="2"/>
    </row>
    <row r="530" ht="15.75" customHeight="1">
      <c r="A530" s="2"/>
      <c r="B530" s="2"/>
      <c r="C530" s="2"/>
      <c r="D530" s="2"/>
      <c r="E530" s="2"/>
      <c r="F530" s="2"/>
    </row>
    <row r="531" ht="15.75" customHeight="1">
      <c r="A531" s="2"/>
      <c r="B531" s="2"/>
      <c r="C531" s="2"/>
      <c r="D531" s="2"/>
      <c r="E531" s="2"/>
      <c r="F531" s="2"/>
    </row>
    <row r="532" ht="15.75" customHeight="1">
      <c r="A532" s="2"/>
      <c r="B532" s="2"/>
      <c r="C532" s="2"/>
      <c r="D532" s="2"/>
      <c r="E532" s="2"/>
      <c r="F532" s="2"/>
    </row>
    <row r="533" ht="15.75" customHeight="1">
      <c r="A533" s="2"/>
      <c r="B533" s="2"/>
      <c r="C533" s="2"/>
      <c r="D533" s="2"/>
      <c r="E533" s="2"/>
      <c r="F533" s="2"/>
    </row>
    <row r="534" ht="15.75" customHeight="1">
      <c r="A534" s="2"/>
      <c r="B534" s="2"/>
      <c r="C534" s="2"/>
      <c r="D534" s="2"/>
      <c r="E534" s="2"/>
      <c r="F534" s="2"/>
    </row>
    <row r="535" ht="15.75" customHeight="1">
      <c r="A535" s="2"/>
      <c r="B535" s="2"/>
      <c r="C535" s="2"/>
      <c r="D535" s="2"/>
      <c r="E535" s="2"/>
      <c r="F535" s="2"/>
    </row>
    <row r="536" ht="15.75" customHeight="1">
      <c r="A536" s="2"/>
      <c r="B536" s="2"/>
      <c r="C536" s="2"/>
      <c r="D536" s="2"/>
      <c r="E536" s="2"/>
      <c r="F536" s="2"/>
    </row>
    <row r="537" ht="15.75" customHeight="1">
      <c r="A537" s="2"/>
      <c r="B537" s="2"/>
      <c r="C537" s="2"/>
      <c r="D537" s="2"/>
      <c r="E537" s="2"/>
      <c r="F537" s="2"/>
    </row>
    <row r="538" ht="15.75" customHeight="1">
      <c r="A538" s="2"/>
      <c r="B538" s="2"/>
      <c r="C538" s="2"/>
      <c r="D538" s="2"/>
      <c r="E538" s="2"/>
      <c r="F538" s="2"/>
    </row>
    <row r="539" ht="15.75" customHeight="1">
      <c r="A539" s="2"/>
      <c r="B539" s="2"/>
      <c r="C539" s="2"/>
      <c r="D539" s="2"/>
      <c r="E539" s="2"/>
      <c r="F539" s="2"/>
    </row>
    <row r="540" ht="15.75" customHeight="1">
      <c r="A540" s="2"/>
      <c r="B540" s="2"/>
      <c r="C540" s="2"/>
      <c r="D540" s="2"/>
      <c r="E540" s="2"/>
      <c r="F540" s="2"/>
    </row>
    <row r="541" ht="15.75" customHeight="1">
      <c r="A541" s="2"/>
      <c r="B541" s="2"/>
      <c r="C541" s="2"/>
      <c r="D541" s="2"/>
      <c r="E541" s="2"/>
      <c r="F541" s="2"/>
    </row>
    <row r="542" ht="15.75" customHeight="1">
      <c r="A542" s="2"/>
      <c r="B542" s="2"/>
      <c r="C542" s="2"/>
      <c r="D542" s="2"/>
      <c r="E542" s="2"/>
      <c r="F542" s="2"/>
    </row>
    <row r="543" ht="15.75" customHeight="1">
      <c r="A543" s="2"/>
      <c r="B543" s="2"/>
      <c r="C543" s="2"/>
      <c r="D543" s="2"/>
      <c r="E543" s="2"/>
      <c r="F543" s="2"/>
    </row>
    <row r="544" ht="15.75" customHeight="1">
      <c r="A544" s="2"/>
      <c r="B544" s="2"/>
      <c r="C544" s="2"/>
      <c r="D544" s="2"/>
      <c r="E544" s="2"/>
      <c r="F544" s="2"/>
    </row>
    <row r="545" ht="15.75" customHeight="1">
      <c r="A545" s="2"/>
      <c r="B545" s="2"/>
      <c r="C545" s="2"/>
      <c r="D545" s="2"/>
      <c r="E545" s="2"/>
      <c r="F545" s="2"/>
    </row>
    <row r="546" ht="15.75" customHeight="1">
      <c r="A546" s="2"/>
      <c r="B546" s="2"/>
      <c r="C546" s="2"/>
      <c r="D546" s="2"/>
      <c r="E546" s="2"/>
      <c r="F546" s="2"/>
    </row>
    <row r="547" ht="15.75" customHeight="1">
      <c r="A547" s="2"/>
      <c r="B547" s="2"/>
      <c r="C547" s="2"/>
      <c r="D547" s="2"/>
      <c r="E547" s="2"/>
      <c r="F547" s="2"/>
    </row>
    <row r="548" ht="15.75" customHeight="1">
      <c r="A548" s="2"/>
      <c r="B548" s="2"/>
      <c r="C548" s="2"/>
      <c r="D548" s="2"/>
      <c r="E548" s="2"/>
      <c r="F548" s="2"/>
    </row>
    <row r="549" ht="15.75" customHeight="1">
      <c r="A549" s="2"/>
      <c r="B549" s="2"/>
      <c r="C549" s="2"/>
      <c r="D549" s="2"/>
      <c r="E549" s="2"/>
      <c r="F549" s="2"/>
    </row>
    <row r="550" ht="15.75" customHeight="1">
      <c r="A550" s="2"/>
      <c r="B550" s="2"/>
      <c r="C550" s="2"/>
      <c r="D550" s="2"/>
      <c r="E550" s="2"/>
      <c r="F550" s="2"/>
    </row>
    <row r="551" ht="15.75" customHeight="1">
      <c r="A551" s="2"/>
      <c r="B551" s="2"/>
      <c r="C551" s="2"/>
      <c r="D551" s="2"/>
      <c r="E551" s="2"/>
      <c r="F551" s="2"/>
    </row>
    <row r="552" ht="15.75" customHeight="1">
      <c r="A552" s="2"/>
      <c r="B552" s="2"/>
      <c r="C552" s="2"/>
      <c r="D552" s="2"/>
      <c r="E552" s="2"/>
      <c r="F552" s="2"/>
    </row>
    <row r="553" ht="15.75" customHeight="1">
      <c r="A553" s="2"/>
      <c r="B553" s="2"/>
      <c r="C553" s="2"/>
      <c r="D553" s="2"/>
      <c r="E553" s="2"/>
      <c r="F553" s="2"/>
    </row>
    <row r="554" ht="15.75" customHeight="1">
      <c r="A554" s="2"/>
      <c r="B554" s="2"/>
      <c r="C554" s="2"/>
      <c r="D554" s="2"/>
      <c r="E554" s="2"/>
      <c r="F554" s="2"/>
    </row>
    <row r="555" ht="15.75" customHeight="1">
      <c r="A555" s="2"/>
      <c r="B555" s="2"/>
      <c r="C555" s="2"/>
      <c r="D555" s="2"/>
      <c r="E555" s="2"/>
      <c r="F555" s="2"/>
    </row>
    <row r="556" ht="15.75" customHeight="1">
      <c r="A556" s="2"/>
      <c r="B556" s="2"/>
      <c r="C556" s="2"/>
      <c r="D556" s="2"/>
      <c r="E556" s="2"/>
      <c r="F556" s="2"/>
    </row>
    <row r="557" ht="15.75" customHeight="1">
      <c r="A557" s="2"/>
      <c r="B557" s="2"/>
      <c r="C557" s="2"/>
      <c r="D557" s="2"/>
      <c r="E557" s="2"/>
      <c r="F557" s="2"/>
    </row>
    <row r="558" ht="15.75" customHeight="1">
      <c r="A558" s="2"/>
      <c r="B558" s="2"/>
      <c r="C558" s="2"/>
      <c r="D558" s="2"/>
      <c r="E558" s="2"/>
      <c r="F558" s="2"/>
    </row>
    <row r="559" ht="15.75" customHeight="1">
      <c r="A559" s="2"/>
      <c r="B559" s="2"/>
      <c r="C559" s="2"/>
      <c r="D559" s="2"/>
      <c r="E559" s="2"/>
      <c r="F559" s="2"/>
    </row>
    <row r="560" ht="15.75" customHeight="1">
      <c r="A560" s="2"/>
      <c r="B560" s="2"/>
      <c r="C560" s="2"/>
      <c r="D560" s="2"/>
      <c r="E560" s="2"/>
      <c r="F560" s="2"/>
    </row>
    <row r="561" ht="15.75" customHeight="1">
      <c r="A561" s="2"/>
      <c r="B561" s="2"/>
      <c r="C561" s="2"/>
      <c r="D561" s="2"/>
      <c r="E561" s="2"/>
      <c r="F561" s="2"/>
    </row>
    <row r="562" ht="15.75" customHeight="1">
      <c r="A562" s="2"/>
      <c r="B562" s="2"/>
      <c r="C562" s="2"/>
      <c r="D562" s="2"/>
      <c r="E562" s="2"/>
      <c r="F562" s="2"/>
    </row>
    <row r="563" ht="15.75" customHeight="1">
      <c r="A563" s="2"/>
      <c r="B563" s="2"/>
      <c r="C563" s="2"/>
      <c r="D563" s="2"/>
      <c r="E563" s="2"/>
      <c r="F563" s="2"/>
    </row>
    <row r="564" ht="15.75" customHeight="1">
      <c r="A564" s="2"/>
      <c r="B564" s="2"/>
      <c r="C564" s="2"/>
      <c r="D564" s="2"/>
      <c r="E564" s="2"/>
      <c r="F564" s="2"/>
    </row>
    <row r="565" ht="15.75" customHeight="1">
      <c r="A565" s="2"/>
      <c r="B565" s="2"/>
      <c r="C565" s="2"/>
      <c r="D565" s="2"/>
      <c r="E565" s="2"/>
      <c r="F565" s="2"/>
    </row>
    <row r="566" ht="15.75" customHeight="1">
      <c r="A566" s="2"/>
      <c r="B566" s="2"/>
      <c r="C566" s="2"/>
      <c r="D566" s="2"/>
      <c r="E566" s="2"/>
      <c r="F566" s="2"/>
    </row>
    <row r="567" ht="15.75" customHeight="1">
      <c r="A567" s="2"/>
      <c r="B567" s="2"/>
      <c r="C567" s="2"/>
      <c r="D567" s="2"/>
      <c r="E567" s="2"/>
      <c r="F567" s="2"/>
    </row>
    <row r="568" ht="15.75" customHeight="1">
      <c r="A568" s="2"/>
      <c r="B568" s="2"/>
      <c r="C568" s="2"/>
      <c r="D568" s="2"/>
      <c r="E568" s="2"/>
      <c r="F568" s="2"/>
    </row>
    <row r="569" ht="15.75" customHeight="1">
      <c r="A569" s="2"/>
      <c r="B569" s="2"/>
      <c r="C569" s="2"/>
      <c r="D569" s="2"/>
      <c r="E569" s="2"/>
      <c r="F569" s="2"/>
    </row>
    <row r="570" ht="15.75" customHeight="1">
      <c r="A570" s="2"/>
      <c r="B570" s="2"/>
      <c r="C570" s="2"/>
      <c r="D570" s="2"/>
      <c r="E570" s="2"/>
      <c r="F570" s="2"/>
    </row>
    <row r="571" ht="15.75" customHeight="1">
      <c r="A571" s="2"/>
      <c r="B571" s="2"/>
      <c r="C571" s="2"/>
      <c r="D571" s="2"/>
      <c r="E571" s="2"/>
      <c r="F571" s="2"/>
    </row>
    <row r="572" ht="15.75" customHeight="1">
      <c r="A572" s="2"/>
      <c r="B572" s="2"/>
      <c r="C572" s="2"/>
      <c r="D572" s="2"/>
      <c r="E572" s="2"/>
      <c r="F572" s="2"/>
    </row>
    <row r="573" ht="15.75" customHeight="1">
      <c r="A573" s="2"/>
      <c r="B573" s="2"/>
      <c r="C573" s="2"/>
      <c r="D573" s="2"/>
      <c r="E573" s="2"/>
      <c r="F573" s="2"/>
    </row>
    <row r="574" ht="15.75" customHeight="1">
      <c r="A574" s="2"/>
      <c r="B574" s="2"/>
      <c r="C574" s="2"/>
      <c r="D574" s="2"/>
      <c r="E574" s="2"/>
      <c r="F574" s="2"/>
    </row>
    <row r="575" ht="15.75" customHeight="1">
      <c r="A575" s="2"/>
      <c r="B575" s="2"/>
      <c r="C575" s="2"/>
      <c r="D575" s="2"/>
      <c r="E575" s="2"/>
      <c r="F575" s="2"/>
    </row>
    <row r="576" ht="15.75" customHeight="1">
      <c r="A576" s="2"/>
      <c r="B576" s="2"/>
      <c r="C576" s="2"/>
      <c r="D576" s="2"/>
      <c r="E576" s="2"/>
      <c r="F576" s="2"/>
    </row>
    <row r="577" ht="15.75" customHeight="1">
      <c r="A577" s="2"/>
      <c r="B577" s="2"/>
      <c r="C577" s="2"/>
      <c r="D577" s="2"/>
      <c r="E577" s="2"/>
      <c r="F577" s="2"/>
    </row>
    <row r="578" ht="15.75" customHeight="1">
      <c r="A578" s="2"/>
      <c r="B578" s="2"/>
      <c r="C578" s="2"/>
      <c r="D578" s="2"/>
      <c r="E578" s="2"/>
      <c r="F578" s="2"/>
    </row>
    <row r="579" ht="15.75" customHeight="1">
      <c r="A579" s="2"/>
      <c r="B579" s="2"/>
      <c r="C579" s="2"/>
      <c r="D579" s="2"/>
      <c r="E579" s="2"/>
      <c r="F579" s="2"/>
    </row>
    <row r="580" ht="15.75" customHeight="1">
      <c r="A580" s="2"/>
      <c r="B580" s="2"/>
      <c r="C580" s="2"/>
      <c r="D580" s="2"/>
      <c r="E580" s="2"/>
      <c r="F580" s="2"/>
    </row>
    <row r="581" ht="15.75" customHeight="1">
      <c r="A581" s="2"/>
      <c r="B581" s="2"/>
      <c r="C581" s="2"/>
      <c r="D581" s="2"/>
      <c r="E581" s="2"/>
      <c r="F581" s="2"/>
    </row>
    <row r="582" ht="15.75" customHeight="1">
      <c r="A582" s="2"/>
      <c r="B582" s="2"/>
      <c r="C582" s="2"/>
      <c r="D582" s="2"/>
      <c r="E582" s="2"/>
      <c r="F582" s="2"/>
    </row>
    <row r="583" ht="15.75" customHeight="1">
      <c r="A583" s="2"/>
      <c r="B583" s="2"/>
      <c r="C583" s="2"/>
      <c r="D583" s="2"/>
      <c r="E583" s="2"/>
      <c r="F583" s="2"/>
    </row>
    <row r="584" ht="15.75" customHeight="1">
      <c r="A584" s="2"/>
      <c r="B584" s="2"/>
      <c r="C584" s="2"/>
      <c r="D584" s="2"/>
      <c r="E584" s="2"/>
      <c r="F584" s="2"/>
    </row>
    <row r="585" ht="15.75" customHeight="1">
      <c r="A585" s="2"/>
      <c r="B585" s="2"/>
      <c r="C585" s="2"/>
      <c r="D585" s="2"/>
      <c r="E585" s="2"/>
      <c r="F585" s="2"/>
    </row>
    <row r="586" ht="15.75" customHeight="1">
      <c r="A586" s="2"/>
      <c r="B586" s="2"/>
      <c r="C586" s="2"/>
      <c r="D586" s="2"/>
      <c r="E586" s="2"/>
      <c r="F586" s="2"/>
    </row>
    <row r="587" ht="15.75" customHeight="1">
      <c r="A587" s="2"/>
      <c r="B587" s="2"/>
      <c r="C587" s="2"/>
      <c r="D587" s="2"/>
      <c r="E587" s="2"/>
      <c r="F587" s="2"/>
    </row>
    <row r="588" ht="15.75" customHeight="1">
      <c r="A588" s="2"/>
      <c r="B588" s="2"/>
      <c r="C588" s="2"/>
      <c r="D588" s="2"/>
      <c r="E588" s="2"/>
      <c r="F588" s="2"/>
    </row>
    <row r="589" ht="15.75" customHeight="1">
      <c r="A589" s="2"/>
      <c r="B589" s="2"/>
      <c r="C589" s="2"/>
      <c r="D589" s="2"/>
      <c r="E589" s="2"/>
      <c r="F589" s="2"/>
    </row>
    <row r="590" ht="15.75" customHeight="1">
      <c r="A590" s="2"/>
      <c r="B590" s="2"/>
      <c r="C590" s="2"/>
      <c r="D590" s="2"/>
      <c r="E590" s="2"/>
      <c r="F590" s="2"/>
    </row>
    <row r="591" ht="15.75" customHeight="1">
      <c r="A591" s="2"/>
      <c r="B591" s="2"/>
      <c r="C591" s="2"/>
      <c r="D591" s="2"/>
      <c r="E591" s="2"/>
      <c r="F591" s="2"/>
    </row>
    <row r="592" ht="15.75" customHeight="1">
      <c r="A592" s="2"/>
      <c r="B592" s="2"/>
      <c r="C592" s="2"/>
      <c r="D592" s="2"/>
      <c r="E592" s="2"/>
      <c r="F592" s="2"/>
    </row>
    <row r="593" ht="15.75" customHeight="1">
      <c r="A593" s="2"/>
      <c r="B593" s="2"/>
      <c r="C593" s="2"/>
      <c r="D593" s="2"/>
      <c r="E593" s="2"/>
      <c r="F593" s="2"/>
    </row>
    <row r="594" ht="15.75" customHeight="1">
      <c r="A594" s="2"/>
      <c r="B594" s="2"/>
      <c r="C594" s="2"/>
      <c r="D594" s="2"/>
      <c r="E594" s="2"/>
      <c r="F594" s="2"/>
    </row>
    <row r="595" ht="15.75" customHeight="1">
      <c r="A595" s="2"/>
      <c r="B595" s="2"/>
      <c r="C595" s="2"/>
      <c r="D595" s="2"/>
      <c r="E595" s="2"/>
      <c r="F595" s="2"/>
    </row>
    <row r="596" ht="15.75" customHeight="1">
      <c r="A596" s="2"/>
      <c r="B596" s="2"/>
      <c r="C596" s="2"/>
      <c r="D596" s="2"/>
      <c r="E596" s="2"/>
      <c r="F596" s="2"/>
    </row>
    <row r="597" ht="15.75" customHeight="1">
      <c r="A597" s="2"/>
      <c r="B597" s="2"/>
      <c r="C597" s="2"/>
      <c r="D597" s="2"/>
      <c r="E597" s="2"/>
      <c r="F597" s="2"/>
    </row>
    <row r="598" ht="15.75" customHeight="1">
      <c r="A598" s="2"/>
      <c r="B598" s="2"/>
      <c r="C598" s="2"/>
      <c r="D598" s="2"/>
      <c r="E598" s="2"/>
      <c r="F598" s="2"/>
    </row>
    <row r="599" ht="15.75" customHeight="1">
      <c r="A599" s="2"/>
      <c r="B599" s="2"/>
      <c r="C599" s="2"/>
      <c r="D599" s="2"/>
      <c r="E599" s="2"/>
      <c r="F599" s="2"/>
    </row>
    <row r="600" ht="15.75" customHeight="1">
      <c r="A600" s="2"/>
      <c r="B600" s="2"/>
      <c r="C600" s="2"/>
      <c r="D600" s="2"/>
      <c r="E600" s="2"/>
      <c r="F600" s="2"/>
    </row>
    <row r="601" ht="15.75" customHeight="1">
      <c r="A601" s="2"/>
      <c r="B601" s="2"/>
      <c r="C601" s="2"/>
      <c r="D601" s="2"/>
      <c r="E601" s="2"/>
      <c r="F601" s="2"/>
    </row>
    <row r="602" ht="15.75" customHeight="1">
      <c r="A602" s="2"/>
      <c r="B602" s="2"/>
      <c r="C602" s="2"/>
      <c r="D602" s="2"/>
      <c r="E602" s="2"/>
      <c r="F602" s="2"/>
    </row>
    <row r="603" ht="15.75" customHeight="1">
      <c r="A603" s="2"/>
      <c r="B603" s="2"/>
      <c r="C603" s="2"/>
      <c r="D603" s="2"/>
      <c r="E603" s="2"/>
      <c r="F603" s="2"/>
    </row>
    <row r="604" ht="15.75" customHeight="1">
      <c r="A604" s="2"/>
      <c r="B604" s="2"/>
      <c r="C604" s="2"/>
      <c r="D604" s="2"/>
      <c r="E604" s="2"/>
      <c r="F604" s="2"/>
    </row>
    <row r="605" ht="15.75" customHeight="1">
      <c r="A605" s="2"/>
      <c r="B605" s="2"/>
      <c r="C605" s="2"/>
      <c r="D605" s="2"/>
      <c r="E605" s="2"/>
      <c r="F605" s="2"/>
    </row>
    <row r="606" ht="15.75" customHeight="1">
      <c r="A606" s="2"/>
      <c r="B606" s="2"/>
      <c r="C606" s="2"/>
      <c r="D606" s="2"/>
      <c r="E606" s="2"/>
      <c r="F606" s="2"/>
    </row>
    <row r="607" ht="15.75" customHeight="1">
      <c r="A607" s="2"/>
      <c r="B607" s="2"/>
      <c r="C607" s="2"/>
      <c r="D607" s="2"/>
      <c r="E607" s="2"/>
      <c r="F607" s="2"/>
    </row>
    <row r="608" ht="15.75" customHeight="1">
      <c r="A608" s="2"/>
      <c r="B608" s="2"/>
      <c r="C608" s="2"/>
      <c r="D608" s="2"/>
      <c r="E608" s="2"/>
      <c r="F608" s="2"/>
    </row>
    <row r="609" ht="15.75" customHeight="1">
      <c r="A609" s="2"/>
      <c r="B609" s="2"/>
      <c r="C609" s="2"/>
      <c r="D609" s="2"/>
      <c r="E609" s="2"/>
      <c r="F609" s="2"/>
    </row>
    <row r="610" ht="15.75" customHeight="1">
      <c r="A610" s="2"/>
      <c r="B610" s="2"/>
      <c r="C610" s="2"/>
      <c r="D610" s="2"/>
      <c r="E610" s="2"/>
      <c r="F610" s="2"/>
    </row>
    <row r="611" ht="15.75" customHeight="1">
      <c r="A611" s="2"/>
      <c r="B611" s="2"/>
      <c r="C611" s="2"/>
      <c r="D611" s="2"/>
      <c r="E611" s="2"/>
      <c r="F611" s="2"/>
    </row>
    <row r="612" ht="15.75" customHeight="1">
      <c r="A612" s="2"/>
      <c r="B612" s="2"/>
      <c r="C612" s="2"/>
      <c r="D612" s="2"/>
      <c r="E612" s="2"/>
      <c r="F612" s="2"/>
    </row>
    <row r="613" ht="15.75" customHeight="1">
      <c r="A613" s="2"/>
      <c r="B613" s="2"/>
      <c r="C613" s="2"/>
      <c r="D613" s="2"/>
      <c r="E613" s="2"/>
      <c r="F613" s="2"/>
    </row>
    <row r="614" ht="15.75" customHeight="1">
      <c r="A614" s="2"/>
      <c r="B614" s="2"/>
      <c r="C614" s="2"/>
      <c r="D614" s="2"/>
      <c r="E614" s="2"/>
      <c r="F614" s="2"/>
    </row>
    <row r="615" ht="15.75" customHeight="1">
      <c r="A615" s="2"/>
      <c r="B615" s="2"/>
      <c r="C615" s="2"/>
      <c r="D615" s="2"/>
      <c r="E615" s="2"/>
      <c r="F615" s="2"/>
    </row>
    <row r="616" ht="15.75" customHeight="1">
      <c r="A616" s="2"/>
      <c r="B616" s="2"/>
      <c r="C616" s="2"/>
      <c r="D616" s="2"/>
      <c r="E616" s="2"/>
      <c r="F616" s="2"/>
    </row>
    <row r="617" ht="15.75" customHeight="1">
      <c r="A617" s="2"/>
      <c r="B617" s="2"/>
      <c r="C617" s="2"/>
      <c r="D617" s="2"/>
      <c r="E617" s="2"/>
      <c r="F617" s="2"/>
    </row>
    <row r="618" ht="15.75" customHeight="1">
      <c r="A618" s="2"/>
      <c r="B618" s="2"/>
      <c r="C618" s="2"/>
      <c r="D618" s="2"/>
      <c r="E618" s="2"/>
      <c r="F618" s="2"/>
    </row>
    <row r="619" ht="15.75" customHeight="1">
      <c r="A619" s="2"/>
      <c r="B619" s="2"/>
      <c r="C619" s="2"/>
      <c r="D619" s="2"/>
      <c r="E619" s="2"/>
      <c r="F619" s="2"/>
    </row>
    <row r="620" ht="15.75" customHeight="1">
      <c r="A620" s="2"/>
      <c r="B620" s="2"/>
      <c r="C620" s="2"/>
      <c r="D620" s="2"/>
      <c r="E620" s="2"/>
      <c r="F620" s="2"/>
    </row>
    <row r="621" ht="15.75" customHeight="1">
      <c r="A621" s="2"/>
      <c r="B621" s="2"/>
      <c r="C621" s="2"/>
      <c r="D621" s="2"/>
      <c r="E621" s="2"/>
      <c r="F621" s="2"/>
    </row>
    <row r="622" ht="15.75" customHeight="1">
      <c r="A622" s="2"/>
      <c r="B622" s="2"/>
      <c r="C622" s="2"/>
      <c r="D622" s="2"/>
      <c r="E622" s="2"/>
      <c r="F622" s="2"/>
    </row>
    <row r="623" ht="15.75" customHeight="1">
      <c r="A623" s="2"/>
      <c r="B623" s="2"/>
      <c r="C623" s="2"/>
      <c r="D623" s="2"/>
      <c r="E623" s="2"/>
      <c r="F623" s="2"/>
    </row>
    <row r="624" ht="15.75" customHeight="1">
      <c r="A624" s="2"/>
      <c r="B624" s="2"/>
      <c r="C624" s="2"/>
      <c r="D624" s="2"/>
      <c r="E624" s="2"/>
      <c r="F624" s="2"/>
    </row>
    <row r="625" ht="15.75" customHeight="1">
      <c r="A625" s="2"/>
      <c r="B625" s="2"/>
      <c r="C625" s="2"/>
      <c r="D625" s="2"/>
      <c r="E625" s="2"/>
      <c r="F625" s="2"/>
    </row>
    <row r="626" ht="15.75" customHeight="1">
      <c r="A626" s="2"/>
      <c r="B626" s="2"/>
      <c r="C626" s="2"/>
      <c r="D626" s="2"/>
      <c r="E626" s="2"/>
      <c r="F626" s="2"/>
    </row>
    <row r="627" ht="15.75" customHeight="1">
      <c r="A627" s="2"/>
      <c r="B627" s="2"/>
      <c r="C627" s="2"/>
      <c r="D627" s="2"/>
      <c r="E627" s="2"/>
      <c r="F627" s="2"/>
    </row>
    <row r="628" ht="15.75" customHeight="1">
      <c r="A628" s="2"/>
      <c r="B628" s="2"/>
      <c r="C628" s="2"/>
      <c r="D628" s="2"/>
      <c r="E628" s="2"/>
      <c r="F628" s="2"/>
    </row>
    <row r="629" ht="15.75" customHeight="1">
      <c r="A629" s="2"/>
      <c r="B629" s="2"/>
      <c r="C629" s="2"/>
      <c r="D629" s="2"/>
      <c r="E629" s="2"/>
      <c r="F629" s="2"/>
    </row>
    <row r="630" ht="15.75" customHeight="1">
      <c r="A630" s="2"/>
      <c r="B630" s="2"/>
      <c r="C630" s="2"/>
      <c r="D630" s="2"/>
      <c r="E630" s="2"/>
      <c r="F630" s="2"/>
    </row>
    <row r="631" ht="15.75" customHeight="1">
      <c r="A631" s="2"/>
      <c r="B631" s="2"/>
      <c r="C631" s="2"/>
      <c r="D631" s="2"/>
      <c r="E631" s="2"/>
      <c r="F631" s="2"/>
    </row>
    <row r="632" ht="15.75" customHeight="1">
      <c r="A632" s="2"/>
      <c r="B632" s="2"/>
      <c r="C632" s="2"/>
      <c r="D632" s="2"/>
      <c r="E632" s="2"/>
      <c r="F632" s="2"/>
    </row>
    <row r="633" ht="15.75" customHeight="1">
      <c r="A633" s="2"/>
      <c r="B633" s="2"/>
      <c r="C633" s="2"/>
      <c r="D633" s="2"/>
      <c r="E633" s="2"/>
      <c r="F633" s="2"/>
    </row>
    <row r="634" ht="15.75" customHeight="1">
      <c r="A634" s="2"/>
      <c r="B634" s="2"/>
      <c r="C634" s="2"/>
      <c r="D634" s="2"/>
      <c r="E634" s="2"/>
      <c r="F634" s="2"/>
    </row>
    <row r="635" ht="15.75" customHeight="1">
      <c r="A635" s="2"/>
      <c r="B635" s="2"/>
      <c r="C635" s="2"/>
      <c r="D635" s="2"/>
      <c r="E635" s="2"/>
      <c r="F635" s="2"/>
    </row>
    <row r="636" ht="15.75" customHeight="1">
      <c r="A636" s="2"/>
      <c r="B636" s="2"/>
      <c r="C636" s="2"/>
      <c r="D636" s="2"/>
      <c r="E636" s="2"/>
      <c r="F636" s="2"/>
    </row>
    <row r="637" ht="15.75" customHeight="1">
      <c r="A637" s="2"/>
      <c r="B637" s="2"/>
      <c r="C637" s="2"/>
      <c r="D637" s="2"/>
      <c r="E637" s="2"/>
      <c r="F637" s="2"/>
    </row>
    <row r="638" ht="15.75" customHeight="1">
      <c r="A638" s="2"/>
      <c r="B638" s="2"/>
      <c r="C638" s="2"/>
      <c r="D638" s="2"/>
      <c r="E638" s="2"/>
      <c r="F638" s="2"/>
    </row>
    <row r="639" ht="15.75" customHeight="1">
      <c r="A639" s="2"/>
      <c r="B639" s="2"/>
      <c r="C639" s="2"/>
      <c r="D639" s="2"/>
      <c r="E639" s="2"/>
      <c r="F639" s="2"/>
    </row>
    <row r="640" ht="15.75" customHeight="1">
      <c r="A640" s="2"/>
      <c r="B640" s="2"/>
      <c r="C640" s="2"/>
      <c r="D640" s="2"/>
      <c r="E640" s="2"/>
      <c r="F640" s="2"/>
    </row>
    <row r="641" ht="15.75" customHeight="1">
      <c r="A641" s="2"/>
      <c r="B641" s="2"/>
      <c r="C641" s="2"/>
      <c r="D641" s="2"/>
      <c r="E641" s="2"/>
      <c r="F641" s="2"/>
    </row>
    <row r="642" ht="15.75" customHeight="1">
      <c r="A642" s="2"/>
      <c r="B642" s="2"/>
      <c r="C642" s="2"/>
      <c r="D642" s="2"/>
      <c r="E642" s="2"/>
      <c r="F642" s="2"/>
    </row>
    <row r="643" ht="15.75" customHeight="1">
      <c r="A643" s="2"/>
      <c r="B643" s="2"/>
      <c r="C643" s="2"/>
      <c r="D643" s="2"/>
      <c r="E643" s="2"/>
      <c r="F643" s="2"/>
    </row>
    <row r="644" ht="15.75" customHeight="1">
      <c r="A644" s="2"/>
      <c r="B644" s="2"/>
      <c r="C644" s="2"/>
      <c r="D644" s="2"/>
      <c r="E644" s="2"/>
      <c r="F644" s="2"/>
    </row>
    <row r="645" ht="15.75" customHeight="1">
      <c r="A645" s="2"/>
      <c r="B645" s="2"/>
      <c r="C645" s="2"/>
      <c r="D645" s="2"/>
      <c r="E645" s="2"/>
      <c r="F645" s="2"/>
    </row>
    <row r="646" ht="15.75" customHeight="1">
      <c r="A646" s="2"/>
      <c r="B646" s="2"/>
      <c r="C646" s="2"/>
      <c r="D646" s="2"/>
      <c r="E646" s="2"/>
      <c r="F646" s="2"/>
    </row>
    <row r="647" ht="15.75" customHeight="1">
      <c r="A647" s="2"/>
      <c r="B647" s="2"/>
      <c r="C647" s="2"/>
      <c r="D647" s="2"/>
      <c r="E647" s="2"/>
      <c r="F647" s="2"/>
    </row>
    <row r="648" ht="15.75" customHeight="1">
      <c r="A648" s="2"/>
      <c r="B648" s="2"/>
      <c r="C648" s="2"/>
      <c r="D648" s="2"/>
      <c r="E648" s="2"/>
      <c r="F648" s="2"/>
    </row>
    <row r="649" ht="15.75" customHeight="1">
      <c r="A649" s="2"/>
      <c r="B649" s="2"/>
      <c r="C649" s="2"/>
      <c r="D649" s="2"/>
      <c r="E649" s="2"/>
      <c r="F649" s="2"/>
    </row>
    <row r="650" ht="15.75" customHeight="1">
      <c r="A650" s="2"/>
      <c r="B650" s="2"/>
      <c r="C650" s="2"/>
      <c r="D650" s="2"/>
      <c r="E650" s="2"/>
      <c r="F650" s="2"/>
    </row>
    <row r="651" ht="15.75" customHeight="1">
      <c r="A651" s="2"/>
      <c r="B651" s="2"/>
      <c r="C651" s="2"/>
      <c r="D651" s="2"/>
      <c r="E651" s="2"/>
      <c r="F651" s="2"/>
    </row>
    <row r="652" ht="15.75" customHeight="1">
      <c r="A652" s="2"/>
      <c r="B652" s="2"/>
      <c r="C652" s="2"/>
      <c r="D652" s="2"/>
      <c r="E652" s="2"/>
      <c r="F652" s="2"/>
    </row>
    <row r="653" ht="15.75" customHeight="1">
      <c r="A653" s="2"/>
      <c r="B653" s="2"/>
      <c r="C653" s="2"/>
      <c r="D653" s="2"/>
      <c r="E653" s="2"/>
      <c r="F653" s="2"/>
    </row>
    <row r="654" ht="15.75" customHeight="1">
      <c r="A654" s="2"/>
      <c r="B654" s="2"/>
      <c r="C654" s="2"/>
      <c r="D654" s="2"/>
      <c r="E654" s="2"/>
      <c r="F654" s="2"/>
    </row>
    <row r="655" ht="15.75" customHeight="1">
      <c r="A655" s="2"/>
      <c r="B655" s="2"/>
      <c r="C655" s="2"/>
      <c r="D655" s="2"/>
      <c r="E655" s="2"/>
      <c r="F655" s="2"/>
    </row>
    <row r="656" ht="15.75" customHeight="1">
      <c r="A656" s="2"/>
      <c r="B656" s="2"/>
      <c r="C656" s="2"/>
      <c r="D656" s="2"/>
      <c r="E656" s="2"/>
      <c r="F656" s="2"/>
    </row>
    <row r="657" ht="15.75" customHeight="1">
      <c r="A657" s="2"/>
      <c r="B657" s="2"/>
      <c r="C657" s="2"/>
      <c r="D657" s="2"/>
      <c r="E657" s="2"/>
      <c r="F657" s="2"/>
    </row>
    <row r="658" ht="15.75" customHeight="1">
      <c r="A658" s="2"/>
      <c r="B658" s="2"/>
      <c r="C658" s="2"/>
      <c r="D658" s="2"/>
      <c r="E658" s="2"/>
      <c r="F658" s="2"/>
    </row>
    <row r="659" ht="15.75" customHeight="1">
      <c r="A659" s="2"/>
      <c r="B659" s="2"/>
      <c r="C659" s="2"/>
      <c r="D659" s="2"/>
      <c r="E659" s="2"/>
      <c r="F659" s="2"/>
    </row>
    <row r="660" ht="15.75" customHeight="1">
      <c r="A660" s="2"/>
      <c r="B660" s="2"/>
      <c r="C660" s="2"/>
      <c r="D660" s="2"/>
      <c r="E660" s="2"/>
      <c r="F660" s="2"/>
    </row>
    <row r="661" ht="15.75" customHeight="1">
      <c r="A661" s="2"/>
      <c r="B661" s="2"/>
      <c r="C661" s="2"/>
      <c r="D661" s="2"/>
      <c r="E661" s="2"/>
      <c r="F661" s="2"/>
    </row>
    <row r="662" ht="15.75" customHeight="1">
      <c r="A662" s="2"/>
      <c r="B662" s="2"/>
      <c r="C662" s="2"/>
      <c r="D662" s="2"/>
      <c r="E662" s="2"/>
      <c r="F662" s="2"/>
    </row>
    <row r="663" ht="15.75" customHeight="1">
      <c r="A663" s="2"/>
      <c r="B663" s="2"/>
      <c r="C663" s="2"/>
      <c r="D663" s="2"/>
      <c r="E663" s="2"/>
      <c r="F663" s="2"/>
    </row>
    <row r="664" ht="15.75" customHeight="1">
      <c r="A664" s="2"/>
      <c r="B664" s="2"/>
      <c r="C664" s="2"/>
      <c r="D664" s="2"/>
      <c r="E664" s="2"/>
      <c r="F664" s="2"/>
    </row>
    <row r="665" ht="15.75" customHeight="1">
      <c r="A665" s="2"/>
      <c r="B665" s="2"/>
      <c r="C665" s="2"/>
      <c r="D665" s="2"/>
      <c r="E665" s="2"/>
      <c r="F665" s="2"/>
    </row>
    <row r="666" ht="15.75" customHeight="1">
      <c r="A666" s="2"/>
      <c r="B666" s="2"/>
      <c r="C666" s="2"/>
      <c r="D666" s="2"/>
      <c r="E666" s="2"/>
      <c r="F666" s="2"/>
    </row>
    <row r="667" ht="15.75" customHeight="1">
      <c r="A667" s="2"/>
      <c r="B667" s="2"/>
      <c r="C667" s="2"/>
      <c r="D667" s="2"/>
      <c r="E667" s="2"/>
      <c r="F667" s="2"/>
    </row>
    <row r="668" ht="15.75" customHeight="1">
      <c r="A668" s="2"/>
      <c r="B668" s="2"/>
      <c r="C668" s="2"/>
      <c r="D668" s="2"/>
      <c r="E668" s="2"/>
      <c r="F668" s="2"/>
    </row>
    <row r="669" ht="15.75" customHeight="1">
      <c r="A669" s="2"/>
      <c r="B669" s="2"/>
      <c r="C669" s="2"/>
      <c r="D669" s="2"/>
      <c r="E669" s="2"/>
      <c r="F669" s="2"/>
    </row>
    <row r="670" ht="15.75" customHeight="1">
      <c r="A670" s="2"/>
      <c r="B670" s="2"/>
      <c r="C670" s="2"/>
      <c r="D670" s="2"/>
      <c r="E670" s="2"/>
      <c r="F670" s="2"/>
    </row>
    <row r="671" ht="15.75" customHeight="1">
      <c r="A671" s="2"/>
      <c r="B671" s="2"/>
      <c r="C671" s="2"/>
      <c r="D671" s="2"/>
      <c r="E671" s="2"/>
      <c r="F671" s="2"/>
    </row>
    <row r="672" ht="15.75" customHeight="1">
      <c r="A672" s="2"/>
      <c r="B672" s="2"/>
      <c r="C672" s="2"/>
      <c r="D672" s="2"/>
      <c r="E672" s="2"/>
      <c r="F672" s="2"/>
    </row>
    <row r="673" ht="15.75" customHeight="1">
      <c r="A673" s="2"/>
      <c r="B673" s="2"/>
      <c r="C673" s="2"/>
      <c r="D673" s="2"/>
      <c r="E673" s="2"/>
      <c r="F673" s="2"/>
    </row>
    <row r="674" ht="15.75" customHeight="1">
      <c r="A674" s="2"/>
      <c r="B674" s="2"/>
      <c r="C674" s="2"/>
      <c r="D674" s="2"/>
      <c r="E674" s="2"/>
      <c r="F674" s="2"/>
    </row>
    <row r="675" ht="15.75" customHeight="1">
      <c r="A675" s="2"/>
      <c r="B675" s="2"/>
      <c r="C675" s="2"/>
      <c r="D675" s="2"/>
      <c r="E675" s="2"/>
      <c r="F675" s="2"/>
    </row>
    <row r="676" ht="15.75" customHeight="1">
      <c r="A676" s="2"/>
      <c r="B676" s="2"/>
      <c r="C676" s="2"/>
      <c r="D676" s="2"/>
      <c r="E676" s="2"/>
      <c r="F676" s="2"/>
    </row>
    <row r="677" ht="15.75" customHeight="1">
      <c r="A677" s="2"/>
      <c r="B677" s="2"/>
      <c r="C677" s="2"/>
      <c r="D677" s="2"/>
      <c r="E677" s="2"/>
      <c r="F677" s="2"/>
    </row>
    <row r="678" ht="15.75" customHeight="1">
      <c r="A678" s="2"/>
      <c r="B678" s="2"/>
      <c r="C678" s="2"/>
      <c r="D678" s="2"/>
      <c r="E678" s="2"/>
      <c r="F678" s="2"/>
    </row>
    <row r="679" ht="15.75" customHeight="1">
      <c r="A679" s="2"/>
      <c r="B679" s="2"/>
      <c r="C679" s="2"/>
      <c r="D679" s="2"/>
      <c r="E679" s="2"/>
      <c r="F679" s="2"/>
    </row>
    <row r="680" ht="15.75" customHeight="1">
      <c r="A680" s="2"/>
      <c r="B680" s="2"/>
      <c r="C680" s="2"/>
      <c r="D680" s="2"/>
      <c r="E680" s="2"/>
      <c r="F680" s="2"/>
    </row>
    <row r="681" ht="15.75" customHeight="1">
      <c r="A681" s="2"/>
      <c r="B681" s="2"/>
      <c r="C681" s="2"/>
      <c r="D681" s="2"/>
      <c r="E681" s="2"/>
      <c r="F681" s="2"/>
    </row>
    <row r="682" ht="15.75" customHeight="1">
      <c r="A682" s="2"/>
      <c r="B682" s="2"/>
      <c r="C682" s="2"/>
      <c r="D682" s="2"/>
      <c r="E682" s="2"/>
      <c r="F682" s="2"/>
    </row>
    <row r="683" ht="15.75" customHeight="1">
      <c r="A683" s="2"/>
      <c r="B683" s="2"/>
      <c r="C683" s="2"/>
      <c r="D683" s="2"/>
      <c r="E683" s="2"/>
      <c r="F683" s="2"/>
    </row>
    <row r="684" ht="15.75" customHeight="1">
      <c r="A684" s="2"/>
      <c r="B684" s="2"/>
      <c r="C684" s="2"/>
      <c r="D684" s="2"/>
      <c r="E684" s="2"/>
      <c r="F684" s="2"/>
    </row>
    <row r="685" ht="15.75" customHeight="1">
      <c r="A685" s="2"/>
      <c r="B685" s="2"/>
      <c r="C685" s="2"/>
      <c r="D685" s="2"/>
      <c r="E685" s="2"/>
      <c r="F685" s="2"/>
    </row>
    <row r="686" ht="15.75" customHeight="1">
      <c r="A686" s="2"/>
      <c r="B686" s="2"/>
      <c r="C686" s="2"/>
      <c r="D686" s="2"/>
      <c r="E686" s="2"/>
      <c r="F686" s="2"/>
    </row>
    <row r="687" ht="15.75" customHeight="1">
      <c r="A687" s="2"/>
      <c r="B687" s="2"/>
      <c r="C687" s="2"/>
      <c r="D687" s="2"/>
      <c r="E687" s="2"/>
      <c r="F687" s="2"/>
    </row>
    <row r="688" ht="15.75" customHeight="1">
      <c r="A688" s="2"/>
      <c r="B688" s="2"/>
      <c r="C688" s="2"/>
      <c r="D688" s="2"/>
      <c r="E688" s="2"/>
      <c r="F688" s="2"/>
    </row>
    <row r="689" ht="15.75" customHeight="1">
      <c r="A689" s="2"/>
      <c r="B689" s="2"/>
      <c r="C689" s="2"/>
      <c r="D689" s="2"/>
      <c r="E689" s="2"/>
      <c r="F689" s="2"/>
    </row>
    <row r="690" ht="15.75" customHeight="1">
      <c r="A690" s="2"/>
      <c r="B690" s="2"/>
      <c r="C690" s="2"/>
      <c r="D690" s="2"/>
      <c r="E690" s="2"/>
      <c r="F690" s="2"/>
    </row>
    <row r="691" ht="15.75" customHeight="1">
      <c r="A691" s="2"/>
      <c r="B691" s="2"/>
      <c r="C691" s="2"/>
      <c r="D691" s="2"/>
      <c r="E691" s="2"/>
      <c r="F691" s="2"/>
    </row>
    <row r="692" ht="15.75" customHeight="1">
      <c r="A692" s="2"/>
      <c r="B692" s="2"/>
      <c r="C692" s="2"/>
      <c r="D692" s="2"/>
      <c r="E692" s="2"/>
      <c r="F692" s="2"/>
    </row>
    <row r="693" ht="15.75" customHeight="1">
      <c r="A693" s="2"/>
      <c r="B693" s="2"/>
      <c r="C693" s="2"/>
      <c r="D693" s="2"/>
      <c r="E693" s="2"/>
      <c r="F693" s="2"/>
    </row>
    <row r="694" ht="15.75" customHeight="1">
      <c r="A694" s="2"/>
      <c r="B694" s="2"/>
      <c r="C694" s="2"/>
      <c r="D694" s="2"/>
      <c r="E694" s="2"/>
      <c r="F694" s="2"/>
    </row>
    <row r="695" ht="15.75" customHeight="1">
      <c r="A695" s="2"/>
      <c r="B695" s="2"/>
      <c r="C695" s="2"/>
      <c r="D695" s="2"/>
      <c r="E695" s="2"/>
      <c r="F695" s="2"/>
    </row>
    <row r="696" ht="15.75" customHeight="1">
      <c r="A696" s="2"/>
      <c r="B696" s="2"/>
      <c r="C696" s="2"/>
      <c r="D696" s="2"/>
      <c r="E696" s="2"/>
      <c r="F696" s="2"/>
    </row>
    <row r="697" ht="15.75" customHeight="1">
      <c r="A697" s="2"/>
      <c r="B697" s="2"/>
      <c r="C697" s="2"/>
      <c r="D697" s="2"/>
      <c r="E697" s="2"/>
      <c r="F697" s="2"/>
    </row>
    <row r="698" ht="15.75" customHeight="1">
      <c r="A698" s="2"/>
      <c r="B698" s="2"/>
      <c r="C698" s="2"/>
      <c r="D698" s="2"/>
      <c r="E698" s="2"/>
      <c r="F698" s="2"/>
    </row>
    <row r="699" ht="15.75" customHeight="1">
      <c r="A699" s="2"/>
      <c r="B699" s="2"/>
      <c r="C699" s="2"/>
      <c r="D699" s="2"/>
      <c r="E699" s="2"/>
      <c r="F699" s="2"/>
    </row>
    <row r="700" ht="15.75" customHeight="1">
      <c r="A700" s="2"/>
      <c r="B700" s="2"/>
      <c r="C700" s="2"/>
      <c r="D700" s="2"/>
      <c r="E700" s="2"/>
      <c r="F700" s="2"/>
    </row>
    <row r="701" ht="15.75" customHeight="1">
      <c r="A701" s="2"/>
      <c r="B701" s="2"/>
      <c r="C701" s="2"/>
      <c r="D701" s="2"/>
      <c r="E701" s="2"/>
      <c r="F701" s="2"/>
    </row>
    <row r="702" ht="15.75" customHeight="1">
      <c r="A702" s="2"/>
      <c r="B702" s="2"/>
      <c r="C702" s="2"/>
      <c r="D702" s="2"/>
      <c r="E702" s="2"/>
      <c r="F702" s="2"/>
    </row>
    <row r="703" ht="15.75" customHeight="1">
      <c r="A703" s="2"/>
      <c r="B703" s="2"/>
      <c r="C703" s="2"/>
      <c r="D703" s="2"/>
      <c r="E703" s="2"/>
      <c r="F703" s="2"/>
    </row>
    <row r="704" ht="15.75" customHeight="1">
      <c r="A704" s="2"/>
      <c r="B704" s="2"/>
      <c r="C704" s="2"/>
      <c r="D704" s="2"/>
      <c r="E704" s="2"/>
      <c r="F704" s="2"/>
    </row>
    <row r="705" ht="15.75" customHeight="1">
      <c r="A705" s="2"/>
      <c r="B705" s="2"/>
      <c r="C705" s="2"/>
      <c r="D705" s="2"/>
      <c r="E705" s="2"/>
      <c r="F705" s="2"/>
    </row>
    <row r="706" ht="15.75" customHeight="1">
      <c r="A706" s="2"/>
      <c r="B706" s="2"/>
      <c r="C706" s="2"/>
      <c r="D706" s="2"/>
      <c r="E706" s="2"/>
      <c r="F706" s="2"/>
    </row>
    <row r="707" ht="15.75" customHeight="1">
      <c r="A707" s="2"/>
      <c r="B707" s="2"/>
      <c r="C707" s="2"/>
      <c r="D707" s="2"/>
      <c r="E707" s="2"/>
      <c r="F707" s="2"/>
    </row>
    <row r="708" ht="15.75" customHeight="1">
      <c r="A708" s="2"/>
      <c r="B708" s="2"/>
      <c r="C708" s="2"/>
      <c r="D708" s="2"/>
      <c r="E708" s="2"/>
      <c r="F708" s="2"/>
    </row>
    <row r="709" ht="15.75" customHeight="1">
      <c r="A709" s="2"/>
      <c r="B709" s="2"/>
      <c r="C709" s="2"/>
      <c r="D709" s="2"/>
      <c r="E709" s="2"/>
      <c r="F709" s="2"/>
    </row>
    <row r="710" ht="15.75" customHeight="1">
      <c r="A710" s="2"/>
      <c r="B710" s="2"/>
      <c r="C710" s="2"/>
      <c r="D710" s="2"/>
      <c r="E710" s="2"/>
      <c r="F710" s="2"/>
    </row>
    <row r="711" ht="15.75" customHeight="1">
      <c r="A711" s="2"/>
      <c r="B711" s="2"/>
      <c r="C711" s="2"/>
      <c r="D711" s="2"/>
      <c r="E711" s="2"/>
      <c r="F711" s="2"/>
    </row>
    <row r="712" ht="15.75" customHeight="1">
      <c r="A712" s="2"/>
      <c r="B712" s="2"/>
      <c r="C712" s="2"/>
      <c r="D712" s="2"/>
      <c r="E712" s="2"/>
      <c r="F712" s="2"/>
    </row>
    <row r="713" ht="15.75" customHeight="1">
      <c r="A713" s="2"/>
      <c r="B713" s="2"/>
      <c r="C713" s="2"/>
      <c r="D713" s="2"/>
      <c r="E713" s="2"/>
      <c r="F713" s="2"/>
    </row>
    <row r="714" ht="15.75" customHeight="1">
      <c r="A714" s="2"/>
      <c r="B714" s="2"/>
      <c r="C714" s="2"/>
      <c r="D714" s="2"/>
      <c r="E714" s="2"/>
      <c r="F714" s="2"/>
    </row>
    <row r="715" ht="15.75" customHeight="1">
      <c r="A715" s="2"/>
      <c r="B715" s="2"/>
      <c r="C715" s="2"/>
      <c r="D715" s="2"/>
      <c r="E715" s="2"/>
      <c r="F715" s="2"/>
    </row>
    <row r="716" ht="15.75" customHeight="1">
      <c r="A716" s="2"/>
      <c r="B716" s="2"/>
      <c r="C716" s="2"/>
      <c r="D716" s="2"/>
      <c r="E716" s="2"/>
      <c r="F716" s="2"/>
    </row>
    <row r="717" ht="15.75" customHeight="1">
      <c r="A717" s="2"/>
      <c r="B717" s="2"/>
      <c r="C717" s="2"/>
      <c r="D717" s="2"/>
      <c r="E717" s="2"/>
      <c r="F717" s="2"/>
    </row>
    <row r="718" ht="15.75" customHeight="1">
      <c r="A718" s="2"/>
      <c r="B718" s="2"/>
      <c r="C718" s="2"/>
      <c r="D718" s="2"/>
      <c r="E718" s="2"/>
      <c r="F718" s="2"/>
    </row>
    <row r="719" ht="15.75" customHeight="1">
      <c r="A719" s="2"/>
      <c r="B719" s="2"/>
      <c r="C719" s="2"/>
      <c r="D719" s="2"/>
      <c r="E719" s="2"/>
      <c r="F719" s="2"/>
    </row>
    <row r="720" ht="15.75" customHeight="1">
      <c r="A720" s="2"/>
      <c r="B720" s="2"/>
      <c r="C720" s="2"/>
      <c r="D720" s="2"/>
      <c r="E720" s="2"/>
      <c r="F720" s="2"/>
    </row>
    <row r="721" ht="15.75" customHeight="1">
      <c r="A721" s="2"/>
      <c r="B721" s="2"/>
      <c r="C721" s="2"/>
      <c r="D721" s="2"/>
      <c r="E721" s="2"/>
      <c r="F721" s="2"/>
    </row>
    <row r="722" ht="15.75" customHeight="1">
      <c r="A722" s="2"/>
      <c r="B722" s="2"/>
      <c r="C722" s="2"/>
      <c r="D722" s="2"/>
      <c r="E722" s="2"/>
      <c r="F722" s="2"/>
    </row>
    <row r="723" ht="15.75" customHeight="1">
      <c r="A723" s="2"/>
      <c r="B723" s="2"/>
      <c r="C723" s="2"/>
      <c r="D723" s="2"/>
      <c r="E723" s="2"/>
      <c r="F723" s="2"/>
    </row>
    <row r="724" ht="15.75" customHeight="1">
      <c r="A724" s="2"/>
      <c r="B724" s="2"/>
      <c r="C724" s="2"/>
      <c r="D724" s="2"/>
      <c r="E724" s="2"/>
      <c r="F724" s="2"/>
    </row>
    <row r="725" ht="15.75" customHeight="1">
      <c r="A725" s="2"/>
      <c r="B725" s="2"/>
      <c r="C725" s="2"/>
      <c r="D725" s="2"/>
      <c r="E725" s="2"/>
      <c r="F725" s="2"/>
    </row>
    <row r="726" ht="15.75" customHeight="1">
      <c r="A726" s="2"/>
      <c r="B726" s="2"/>
      <c r="C726" s="2"/>
      <c r="D726" s="2"/>
      <c r="E726" s="2"/>
      <c r="F726" s="2"/>
    </row>
    <row r="727" ht="15.75" customHeight="1">
      <c r="A727" s="2"/>
      <c r="B727" s="2"/>
      <c r="C727" s="2"/>
      <c r="D727" s="2"/>
      <c r="E727" s="2"/>
      <c r="F727" s="2"/>
    </row>
    <row r="728" ht="15.75" customHeight="1">
      <c r="A728" s="2"/>
      <c r="B728" s="2"/>
      <c r="C728" s="2"/>
      <c r="D728" s="2"/>
      <c r="E728" s="2"/>
      <c r="F728" s="2"/>
    </row>
    <row r="729" ht="15.75" customHeight="1">
      <c r="A729" s="2"/>
      <c r="B729" s="2"/>
      <c r="C729" s="2"/>
      <c r="D729" s="2"/>
      <c r="E729" s="2"/>
      <c r="F729" s="2"/>
    </row>
    <row r="730" ht="15.75" customHeight="1">
      <c r="A730" s="2"/>
      <c r="B730" s="2"/>
      <c r="C730" s="2"/>
      <c r="D730" s="2"/>
      <c r="E730" s="2"/>
      <c r="F730" s="2"/>
    </row>
    <row r="731" ht="15.75" customHeight="1">
      <c r="A731" s="2"/>
      <c r="B731" s="2"/>
      <c r="C731" s="2"/>
      <c r="D731" s="2"/>
      <c r="E731" s="2"/>
      <c r="F731" s="2"/>
    </row>
    <row r="732" ht="15.75" customHeight="1">
      <c r="A732" s="2"/>
      <c r="B732" s="2"/>
      <c r="C732" s="2"/>
      <c r="D732" s="2"/>
      <c r="E732" s="2"/>
      <c r="F732" s="2"/>
    </row>
    <row r="733" ht="15.75" customHeight="1">
      <c r="A733" s="2"/>
      <c r="B733" s="2"/>
      <c r="C733" s="2"/>
      <c r="D733" s="2"/>
      <c r="E733" s="2"/>
      <c r="F733" s="2"/>
    </row>
    <row r="734" ht="15.75" customHeight="1">
      <c r="A734" s="2"/>
      <c r="B734" s="2"/>
      <c r="C734" s="2"/>
      <c r="D734" s="2"/>
      <c r="E734" s="2"/>
      <c r="F734" s="2"/>
    </row>
    <row r="735" ht="15.75" customHeight="1">
      <c r="A735" s="2"/>
      <c r="B735" s="2"/>
      <c r="C735" s="2"/>
      <c r="D735" s="2"/>
      <c r="E735" s="2"/>
      <c r="F735" s="2"/>
    </row>
    <row r="736" ht="15.75" customHeight="1">
      <c r="A736" s="2"/>
      <c r="B736" s="2"/>
      <c r="C736" s="2"/>
      <c r="D736" s="2"/>
      <c r="E736" s="2"/>
      <c r="F736" s="2"/>
    </row>
    <row r="737" ht="15.75" customHeight="1">
      <c r="A737" s="2"/>
      <c r="B737" s="2"/>
      <c r="C737" s="2"/>
      <c r="D737" s="2"/>
      <c r="E737" s="2"/>
      <c r="F737" s="2"/>
    </row>
    <row r="738" ht="15.75" customHeight="1">
      <c r="A738" s="2"/>
      <c r="B738" s="2"/>
      <c r="C738" s="2"/>
      <c r="D738" s="2"/>
      <c r="E738" s="2"/>
      <c r="F738" s="2"/>
    </row>
    <row r="739" ht="15.75" customHeight="1">
      <c r="A739" s="2"/>
      <c r="B739" s="2"/>
      <c r="C739" s="2"/>
      <c r="D739" s="2"/>
      <c r="E739" s="2"/>
      <c r="F739" s="2"/>
    </row>
    <row r="740" ht="15.75" customHeight="1">
      <c r="A740" s="2"/>
      <c r="B740" s="2"/>
      <c r="C740" s="2"/>
      <c r="D740" s="2"/>
      <c r="E740" s="2"/>
      <c r="F740" s="2"/>
    </row>
    <row r="741" ht="15.75" customHeight="1">
      <c r="A741" s="2"/>
      <c r="B741" s="2"/>
      <c r="C741" s="2"/>
      <c r="D741" s="2"/>
      <c r="E741" s="2"/>
      <c r="F741" s="2"/>
    </row>
    <row r="742" ht="15.75" customHeight="1">
      <c r="A742" s="2"/>
      <c r="B742" s="2"/>
      <c r="C742" s="2"/>
      <c r="D742" s="2"/>
      <c r="E742" s="2"/>
      <c r="F742" s="2"/>
    </row>
    <row r="743" ht="15.75" customHeight="1">
      <c r="A743" s="2"/>
      <c r="B743" s="2"/>
      <c r="C743" s="2"/>
      <c r="D743" s="2"/>
      <c r="E743" s="2"/>
      <c r="F743" s="2"/>
    </row>
    <row r="744" ht="15.75" customHeight="1">
      <c r="A744" s="2"/>
      <c r="B744" s="2"/>
      <c r="C744" s="2"/>
      <c r="D744" s="2"/>
      <c r="E744" s="2"/>
      <c r="F744" s="2"/>
    </row>
    <row r="745" ht="15.75" customHeight="1">
      <c r="A745" s="2"/>
      <c r="B745" s="2"/>
      <c r="C745" s="2"/>
      <c r="D745" s="2"/>
      <c r="E745" s="2"/>
      <c r="F745" s="2"/>
    </row>
    <row r="746" ht="15.75" customHeight="1">
      <c r="A746" s="2"/>
      <c r="B746" s="2"/>
      <c r="C746" s="2"/>
      <c r="D746" s="2"/>
      <c r="E746" s="2"/>
      <c r="F746" s="2"/>
    </row>
    <row r="747" ht="15.75" customHeight="1">
      <c r="A747" s="2"/>
      <c r="B747" s="2"/>
      <c r="C747" s="2"/>
      <c r="D747" s="2"/>
      <c r="E747" s="2"/>
      <c r="F747" s="2"/>
    </row>
    <row r="748" ht="15.75" customHeight="1">
      <c r="A748" s="2"/>
      <c r="B748" s="2"/>
      <c r="C748" s="2"/>
      <c r="D748" s="2"/>
      <c r="E748" s="2"/>
      <c r="F748" s="2"/>
    </row>
    <row r="749" ht="15.75" customHeight="1">
      <c r="A749" s="2"/>
      <c r="B749" s="2"/>
      <c r="C749" s="2"/>
      <c r="D749" s="2"/>
      <c r="E749" s="2"/>
      <c r="F749" s="2"/>
    </row>
    <row r="750" ht="15.75" customHeight="1">
      <c r="A750" s="2"/>
      <c r="B750" s="2"/>
      <c r="C750" s="2"/>
      <c r="D750" s="2"/>
      <c r="E750" s="2"/>
      <c r="F750" s="2"/>
    </row>
    <row r="751" ht="15.75" customHeight="1">
      <c r="A751" s="2"/>
      <c r="B751" s="2"/>
      <c r="C751" s="2"/>
      <c r="D751" s="2"/>
      <c r="E751" s="2"/>
      <c r="F751" s="2"/>
    </row>
    <row r="752" ht="15.75" customHeight="1">
      <c r="A752" s="2"/>
      <c r="B752" s="2"/>
      <c r="C752" s="2"/>
      <c r="D752" s="2"/>
      <c r="E752" s="2"/>
      <c r="F752" s="2"/>
    </row>
    <row r="753" ht="15.75" customHeight="1">
      <c r="A753" s="2"/>
      <c r="B753" s="2"/>
      <c r="C753" s="2"/>
      <c r="D753" s="2"/>
      <c r="E753" s="2"/>
      <c r="F753" s="2"/>
    </row>
    <row r="754" ht="15.75" customHeight="1">
      <c r="A754" s="2"/>
      <c r="B754" s="2"/>
      <c r="C754" s="2"/>
      <c r="D754" s="2"/>
      <c r="E754" s="2"/>
      <c r="F754" s="2"/>
    </row>
    <row r="755" ht="15.75" customHeight="1">
      <c r="A755" s="2"/>
      <c r="B755" s="2"/>
      <c r="C755" s="2"/>
      <c r="D755" s="2"/>
      <c r="E755" s="2"/>
      <c r="F755" s="2"/>
    </row>
    <row r="756" ht="15.75" customHeight="1">
      <c r="A756" s="2"/>
      <c r="B756" s="2"/>
      <c r="C756" s="2"/>
      <c r="D756" s="2"/>
      <c r="E756" s="2"/>
      <c r="F756" s="2"/>
    </row>
    <row r="757" ht="15.75" customHeight="1">
      <c r="A757" s="2"/>
      <c r="B757" s="2"/>
      <c r="C757" s="2"/>
      <c r="D757" s="2"/>
      <c r="E757" s="2"/>
      <c r="F757" s="2"/>
    </row>
    <row r="758" ht="15.75" customHeight="1">
      <c r="A758" s="2"/>
      <c r="B758" s="2"/>
      <c r="C758" s="2"/>
      <c r="D758" s="2"/>
      <c r="E758" s="2"/>
      <c r="F758" s="2"/>
    </row>
    <row r="759" ht="15.75" customHeight="1">
      <c r="A759" s="2"/>
      <c r="B759" s="2"/>
      <c r="C759" s="2"/>
      <c r="D759" s="2"/>
      <c r="E759" s="2"/>
      <c r="F759" s="2"/>
    </row>
    <row r="760" ht="15.75" customHeight="1">
      <c r="A760" s="2"/>
      <c r="B760" s="2"/>
      <c r="C760" s="2"/>
      <c r="D760" s="2"/>
      <c r="E760" s="2"/>
      <c r="F760" s="2"/>
    </row>
    <row r="761" ht="15.75" customHeight="1">
      <c r="A761" s="2"/>
      <c r="B761" s="2"/>
      <c r="C761" s="2"/>
      <c r="D761" s="2"/>
      <c r="E761" s="2"/>
      <c r="F761" s="2"/>
    </row>
    <row r="762" ht="15.75" customHeight="1">
      <c r="A762" s="2"/>
      <c r="B762" s="2"/>
      <c r="C762" s="2"/>
      <c r="D762" s="2"/>
      <c r="E762" s="2"/>
      <c r="F762" s="2"/>
    </row>
    <row r="763" ht="15.75" customHeight="1">
      <c r="A763" s="2"/>
      <c r="B763" s="2"/>
      <c r="C763" s="2"/>
      <c r="D763" s="2"/>
      <c r="E763" s="2"/>
      <c r="F763" s="2"/>
    </row>
    <row r="764" ht="15.75" customHeight="1">
      <c r="A764" s="2"/>
      <c r="B764" s="2"/>
      <c r="C764" s="2"/>
      <c r="D764" s="2"/>
      <c r="E764" s="2"/>
      <c r="F764" s="2"/>
    </row>
    <row r="765" ht="15.75" customHeight="1">
      <c r="A765" s="2"/>
      <c r="B765" s="2"/>
      <c r="C765" s="2"/>
      <c r="D765" s="2"/>
      <c r="E765" s="2"/>
      <c r="F765" s="2"/>
    </row>
    <row r="766" ht="15.75" customHeight="1">
      <c r="A766" s="2"/>
      <c r="B766" s="2"/>
      <c r="C766" s="2"/>
      <c r="D766" s="2"/>
      <c r="E766" s="2"/>
      <c r="F766" s="2"/>
    </row>
    <row r="767" ht="15.75" customHeight="1">
      <c r="A767" s="2"/>
      <c r="B767" s="2"/>
      <c r="C767" s="2"/>
      <c r="D767" s="2"/>
      <c r="E767" s="2"/>
      <c r="F767" s="2"/>
    </row>
    <row r="768" ht="15.75" customHeight="1">
      <c r="A768" s="2"/>
      <c r="B768" s="2"/>
      <c r="C768" s="2"/>
      <c r="D768" s="2"/>
      <c r="E768" s="2"/>
      <c r="F768" s="2"/>
    </row>
    <row r="769" ht="15.75" customHeight="1">
      <c r="A769" s="2"/>
      <c r="B769" s="2"/>
      <c r="C769" s="2"/>
      <c r="D769" s="2"/>
      <c r="E769" s="2"/>
      <c r="F769" s="2"/>
    </row>
    <row r="770" ht="15.75" customHeight="1">
      <c r="A770" s="2"/>
      <c r="B770" s="2"/>
      <c r="C770" s="2"/>
      <c r="D770" s="2"/>
      <c r="E770" s="2"/>
      <c r="F770" s="2"/>
    </row>
    <row r="771" ht="15.75" customHeight="1">
      <c r="A771" s="2"/>
      <c r="B771" s="2"/>
      <c r="C771" s="2"/>
      <c r="D771" s="2"/>
      <c r="E771" s="2"/>
      <c r="F771" s="2"/>
    </row>
    <row r="772" ht="15.75" customHeight="1">
      <c r="A772" s="2"/>
      <c r="B772" s="2"/>
      <c r="C772" s="2"/>
      <c r="D772" s="2"/>
      <c r="E772" s="2"/>
      <c r="F772" s="2"/>
    </row>
    <row r="773" ht="15.75" customHeight="1">
      <c r="A773" s="2"/>
      <c r="B773" s="2"/>
      <c r="C773" s="2"/>
      <c r="D773" s="2"/>
      <c r="E773" s="2"/>
      <c r="F773" s="2"/>
    </row>
    <row r="774" ht="15.75" customHeight="1">
      <c r="A774" s="2"/>
      <c r="B774" s="2"/>
      <c r="C774" s="2"/>
      <c r="D774" s="2"/>
      <c r="E774" s="2"/>
      <c r="F774" s="2"/>
    </row>
    <row r="775" ht="15.75" customHeight="1">
      <c r="A775" s="2"/>
      <c r="B775" s="2"/>
      <c r="C775" s="2"/>
      <c r="D775" s="2"/>
      <c r="E775" s="2"/>
      <c r="F775" s="2"/>
    </row>
    <row r="776" ht="15.75" customHeight="1">
      <c r="A776" s="2"/>
      <c r="B776" s="2"/>
      <c r="C776" s="2"/>
      <c r="D776" s="2"/>
      <c r="E776" s="2"/>
      <c r="F776" s="2"/>
    </row>
    <row r="777" ht="15.75" customHeight="1">
      <c r="A777" s="2"/>
      <c r="B777" s="2"/>
      <c r="C777" s="2"/>
      <c r="D777" s="2"/>
      <c r="E777" s="2"/>
      <c r="F777" s="2"/>
    </row>
    <row r="778" ht="15.75" customHeight="1">
      <c r="A778" s="2"/>
      <c r="B778" s="2"/>
      <c r="C778" s="2"/>
      <c r="D778" s="2"/>
      <c r="E778" s="2"/>
      <c r="F778" s="2"/>
    </row>
    <row r="779" ht="15.75" customHeight="1">
      <c r="A779" s="2"/>
      <c r="B779" s="2"/>
      <c r="C779" s="2"/>
      <c r="D779" s="2"/>
      <c r="E779" s="2"/>
      <c r="F779" s="2"/>
    </row>
    <row r="780" ht="15.75" customHeight="1">
      <c r="A780" s="2"/>
      <c r="B780" s="2"/>
      <c r="C780" s="2"/>
      <c r="D780" s="2"/>
      <c r="E780" s="2"/>
      <c r="F780" s="2"/>
    </row>
    <row r="781" ht="15.75" customHeight="1">
      <c r="A781" s="2"/>
      <c r="B781" s="2"/>
      <c r="C781" s="2"/>
      <c r="D781" s="2"/>
      <c r="E781" s="2"/>
      <c r="F781" s="2"/>
    </row>
    <row r="782" ht="15.75" customHeight="1">
      <c r="A782" s="2"/>
      <c r="B782" s="2"/>
      <c r="C782" s="2"/>
      <c r="D782" s="2"/>
      <c r="E782" s="2"/>
      <c r="F782" s="2"/>
    </row>
    <row r="783" ht="15.75" customHeight="1">
      <c r="A783" s="2"/>
      <c r="B783" s="2"/>
      <c r="C783" s="2"/>
      <c r="D783" s="2"/>
      <c r="E783" s="2"/>
      <c r="F783" s="2"/>
    </row>
    <row r="784" ht="15.75" customHeight="1">
      <c r="A784" s="2"/>
      <c r="B784" s="2"/>
      <c r="C784" s="2"/>
      <c r="D784" s="2"/>
      <c r="E784" s="2"/>
      <c r="F784" s="2"/>
    </row>
    <row r="785" ht="15.75" customHeight="1">
      <c r="A785" s="2"/>
      <c r="B785" s="2"/>
      <c r="C785" s="2"/>
      <c r="D785" s="2"/>
      <c r="E785" s="2"/>
      <c r="F785" s="2"/>
    </row>
    <row r="786" ht="15.75" customHeight="1">
      <c r="A786" s="2"/>
      <c r="B786" s="2"/>
      <c r="C786" s="2"/>
      <c r="D786" s="2"/>
      <c r="E786" s="2"/>
      <c r="F786" s="2"/>
    </row>
    <row r="787" ht="15.75" customHeight="1">
      <c r="A787" s="2"/>
      <c r="B787" s="2"/>
      <c r="C787" s="2"/>
      <c r="D787" s="2"/>
      <c r="E787" s="2"/>
      <c r="F787" s="2"/>
    </row>
    <row r="788" ht="15.75" customHeight="1">
      <c r="A788" s="2"/>
      <c r="B788" s="2"/>
      <c r="C788" s="2"/>
      <c r="D788" s="2"/>
      <c r="E788" s="2"/>
      <c r="F788" s="2"/>
    </row>
    <row r="789" ht="15.75" customHeight="1">
      <c r="A789" s="2"/>
      <c r="B789" s="2"/>
      <c r="C789" s="2"/>
      <c r="D789" s="2"/>
      <c r="E789" s="2"/>
      <c r="F789" s="2"/>
    </row>
    <row r="790" ht="15.75" customHeight="1">
      <c r="A790" s="2"/>
      <c r="B790" s="2"/>
      <c r="C790" s="2"/>
      <c r="D790" s="2"/>
      <c r="E790" s="2"/>
      <c r="F790" s="2"/>
    </row>
    <row r="791" ht="15.75" customHeight="1">
      <c r="A791" s="2"/>
      <c r="B791" s="2"/>
      <c r="C791" s="2"/>
      <c r="D791" s="2"/>
      <c r="E791" s="2"/>
      <c r="F791" s="2"/>
    </row>
    <row r="792" ht="15.75" customHeight="1">
      <c r="A792" s="2"/>
      <c r="B792" s="2"/>
      <c r="C792" s="2"/>
      <c r="D792" s="2"/>
      <c r="E792" s="2"/>
      <c r="F792" s="2"/>
    </row>
    <row r="793" ht="15.75" customHeight="1">
      <c r="A793" s="2"/>
      <c r="B793" s="2"/>
      <c r="C793" s="2"/>
      <c r="D793" s="2"/>
      <c r="E793" s="2"/>
      <c r="F793" s="2"/>
    </row>
    <row r="794" ht="15.75" customHeight="1">
      <c r="A794" s="2"/>
      <c r="B794" s="2"/>
      <c r="C794" s="2"/>
      <c r="D794" s="2"/>
      <c r="E794" s="2"/>
      <c r="F794" s="2"/>
    </row>
    <row r="795" ht="15.75" customHeight="1">
      <c r="A795" s="2"/>
      <c r="B795" s="2"/>
      <c r="C795" s="2"/>
      <c r="D795" s="2"/>
      <c r="E795" s="2"/>
      <c r="F795" s="2"/>
    </row>
    <row r="796" ht="15.75" customHeight="1">
      <c r="A796" s="2"/>
      <c r="B796" s="2"/>
      <c r="C796" s="2"/>
      <c r="D796" s="2"/>
      <c r="E796" s="2"/>
      <c r="F796" s="2"/>
    </row>
    <row r="797" ht="15.75" customHeight="1">
      <c r="A797" s="2"/>
      <c r="B797" s="2"/>
      <c r="C797" s="2"/>
      <c r="D797" s="2"/>
      <c r="E797" s="2"/>
      <c r="F797" s="2"/>
    </row>
    <row r="798" ht="15.75" customHeight="1">
      <c r="A798" s="2"/>
      <c r="B798" s="2"/>
      <c r="C798" s="2"/>
      <c r="D798" s="2"/>
      <c r="E798" s="2"/>
      <c r="F798" s="2"/>
    </row>
    <row r="799" ht="15.75" customHeight="1">
      <c r="A799" s="2"/>
      <c r="B799" s="2"/>
      <c r="C799" s="2"/>
      <c r="D799" s="2"/>
      <c r="E799" s="2"/>
      <c r="F799" s="2"/>
    </row>
    <row r="800" ht="15.75" customHeight="1">
      <c r="A800" s="2"/>
      <c r="B800" s="2"/>
      <c r="C800" s="2"/>
      <c r="D800" s="2"/>
      <c r="E800" s="2"/>
      <c r="F800" s="2"/>
    </row>
    <row r="801" ht="15.75" customHeight="1">
      <c r="A801" s="2"/>
      <c r="B801" s="2"/>
      <c r="C801" s="2"/>
      <c r="D801" s="2"/>
      <c r="E801" s="2"/>
      <c r="F801" s="2"/>
    </row>
    <row r="802" ht="15.75" customHeight="1">
      <c r="A802" s="2"/>
      <c r="B802" s="2"/>
      <c r="C802" s="2"/>
      <c r="D802" s="2"/>
      <c r="E802" s="2"/>
      <c r="F802" s="2"/>
    </row>
    <row r="803" ht="15.75" customHeight="1">
      <c r="A803" s="2"/>
      <c r="B803" s="2"/>
      <c r="C803" s="2"/>
      <c r="D803" s="2"/>
      <c r="E803" s="2"/>
      <c r="F803" s="2"/>
    </row>
    <row r="804" ht="15.75" customHeight="1">
      <c r="A804" s="2"/>
      <c r="B804" s="2"/>
      <c r="C804" s="2"/>
      <c r="D804" s="2"/>
      <c r="E804" s="2"/>
      <c r="F804" s="2"/>
    </row>
    <row r="805" ht="15.75" customHeight="1">
      <c r="A805" s="2"/>
      <c r="B805" s="2"/>
      <c r="C805" s="2"/>
      <c r="D805" s="2"/>
      <c r="E805" s="2"/>
      <c r="F805" s="2"/>
    </row>
    <row r="806" ht="15.75" customHeight="1">
      <c r="A806" s="2"/>
      <c r="B806" s="2"/>
      <c r="C806" s="2"/>
      <c r="D806" s="2"/>
      <c r="E806" s="2"/>
      <c r="F806" s="2"/>
    </row>
    <row r="807" ht="15.75" customHeight="1">
      <c r="A807" s="2"/>
      <c r="B807" s="2"/>
      <c r="C807" s="2"/>
      <c r="D807" s="2"/>
      <c r="E807" s="2"/>
      <c r="F807" s="2"/>
    </row>
    <row r="808" ht="15.75" customHeight="1">
      <c r="A808" s="2"/>
      <c r="B808" s="2"/>
      <c r="C808" s="2"/>
      <c r="D808" s="2"/>
      <c r="E808" s="2"/>
      <c r="F808" s="2"/>
    </row>
    <row r="809" ht="15.75" customHeight="1">
      <c r="A809" s="2"/>
      <c r="B809" s="2"/>
      <c r="C809" s="2"/>
      <c r="D809" s="2"/>
      <c r="E809" s="2"/>
      <c r="F809" s="2"/>
    </row>
    <row r="810" ht="15.75" customHeight="1">
      <c r="A810" s="2"/>
      <c r="B810" s="2"/>
      <c r="C810" s="2"/>
      <c r="D810" s="2"/>
      <c r="E810" s="2"/>
      <c r="F810" s="2"/>
    </row>
    <row r="811" ht="15.75" customHeight="1">
      <c r="A811" s="2"/>
      <c r="B811" s="2"/>
      <c r="C811" s="2"/>
      <c r="D811" s="2"/>
      <c r="E811" s="2"/>
      <c r="F811" s="2"/>
    </row>
    <row r="812" ht="15.75" customHeight="1">
      <c r="A812" s="2"/>
      <c r="B812" s="2"/>
      <c r="C812" s="2"/>
      <c r="D812" s="2"/>
      <c r="E812" s="2"/>
      <c r="F812" s="2"/>
    </row>
    <row r="813" ht="15.75" customHeight="1">
      <c r="A813" s="2"/>
      <c r="B813" s="2"/>
      <c r="C813" s="2"/>
      <c r="D813" s="2"/>
      <c r="E813" s="2"/>
      <c r="F813" s="2"/>
    </row>
    <row r="814" ht="15.75" customHeight="1">
      <c r="A814" s="2"/>
      <c r="B814" s="2"/>
      <c r="C814" s="2"/>
      <c r="D814" s="2"/>
      <c r="E814" s="2"/>
      <c r="F814" s="2"/>
    </row>
    <row r="815" ht="15.75" customHeight="1">
      <c r="A815" s="2"/>
      <c r="B815" s="2"/>
      <c r="C815" s="2"/>
      <c r="D815" s="2"/>
      <c r="E815" s="2"/>
      <c r="F815" s="2"/>
    </row>
    <row r="816" ht="15.75" customHeight="1">
      <c r="A816" s="2"/>
      <c r="B816" s="2"/>
      <c r="C816" s="2"/>
      <c r="D816" s="2"/>
      <c r="E816" s="2"/>
      <c r="F816" s="2"/>
    </row>
    <row r="817" ht="15.75" customHeight="1">
      <c r="A817" s="2"/>
      <c r="B817" s="2"/>
      <c r="C817" s="2"/>
      <c r="D817" s="2"/>
      <c r="E817" s="2"/>
      <c r="F817" s="2"/>
    </row>
    <row r="818" ht="15.75" customHeight="1">
      <c r="A818" s="2"/>
      <c r="B818" s="2"/>
      <c r="C818" s="2"/>
      <c r="D818" s="2"/>
      <c r="E818" s="2"/>
      <c r="F818" s="2"/>
    </row>
    <row r="819" ht="15.75" customHeight="1">
      <c r="A819" s="2"/>
      <c r="B819" s="2"/>
      <c r="C819" s="2"/>
      <c r="D819" s="2"/>
      <c r="E819" s="2"/>
      <c r="F819" s="2"/>
    </row>
    <row r="820" ht="15.75" customHeight="1">
      <c r="A820" s="2"/>
      <c r="B820" s="2"/>
      <c r="C820" s="2"/>
      <c r="D820" s="2"/>
      <c r="E820" s="2"/>
      <c r="F820" s="2"/>
    </row>
    <row r="821" ht="15.75" customHeight="1">
      <c r="A821" s="2"/>
      <c r="B821" s="2"/>
      <c r="C821" s="2"/>
      <c r="D821" s="2"/>
      <c r="E821" s="2"/>
      <c r="F821" s="2"/>
    </row>
    <row r="822" ht="15.75" customHeight="1">
      <c r="A822" s="2"/>
      <c r="B822" s="2"/>
      <c r="C822" s="2"/>
      <c r="D822" s="2"/>
      <c r="E822" s="2"/>
      <c r="F822" s="2"/>
    </row>
    <row r="823" ht="15.75" customHeight="1">
      <c r="A823" s="2"/>
      <c r="B823" s="2"/>
      <c r="C823" s="2"/>
      <c r="D823" s="2"/>
      <c r="E823" s="2"/>
      <c r="F823" s="2"/>
    </row>
    <row r="824" ht="15.75" customHeight="1">
      <c r="A824" s="2"/>
      <c r="B824" s="2"/>
      <c r="C824" s="2"/>
      <c r="D824" s="2"/>
      <c r="E824" s="2"/>
      <c r="F824" s="2"/>
    </row>
    <row r="825" ht="15.75" customHeight="1">
      <c r="A825" s="2"/>
      <c r="B825" s="2"/>
      <c r="C825" s="2"/>
      <c r="D825" s="2"/>
      <c r="E825" s="2"/>
      <c r="F825" s="2"/>
    </row>
    <row r="826" ht="15.75" customHeight="1">
      <c r="A826" s="2"/>
      <c r="B826" s="2"/>
      <c r="C826" s="2"/>
      <c r="D826" s="2"/>
      <c r="E826" s="2"/>
      <c r="F826" s="2"/>
    </row>
    <row r="827" ht="15.75" customHeight="1">
      <c r="A827" s="2"/>
      <c r="B827" s="2"/>
      <c r="C827" s="2"/>
      <c r="D827" s="2"/>
      <c r="E827" s="2"/>
      <c r="F827" s="2"/>
    </row>
    <row r="828" ht="15.75" customHeight="1">
      <c r="A828" s="2"/>
      <c r="B828" s="2"/>
      <c r="C828" s="2"/>
      <c r="D828" s="2"/>
      <c r="E828" s="2"/>
      <c r="F828" s="2"/>
    </row>
    <row r="829" ht="15.75" customHeight="1">
      <c r="A829" s="2"/>
      <c r="B829" s="2"/>
      <c r="C829" s="2"/>
      <c r="D829" s="2"/>
      <c r="E829" s="2"/>
      <c r="F829" s="2"/>
    </row>
    <row r="830" ht="15.75" customHeight="1">
      <c r="A830" s="2"/>
      <c r="B830" s="2"/>
      <c r="C830" s="2"/>
      <c r="D830" s="2"/>
      <c r="E830" s="2"/>
      <c r="F830" s="2"/>
    </row>
    <row r="831" ht="15.75" customHeight="1">
      <c r="A831" s="2"/>
      <c r="B831" s="2"/>
      <c r="C831" s="2"/>
      <c r="D831" s="2"/>
      <c r="E831" s="2"/>
      <c r="F831" s="2"/>
    </row>
    <row r="832" ht="15.75" customHeight="1">
      <c r="A832" s="2"/>
      <c r="B832" s="2"/>
      <c r="C832" s="2"/>
      <c r="D832" s="2"/>
      <c r="E832" s="2"/>
      <c r="F832" s="2"/>
    </row>
    <row r="833" ht="15.75" customHeight="1">
      <c r="A833" s="2"/>
      <c r="B833" s="2"/>
      <c r="C833" s="2"/>
      <c r="D833" s="2"/>
      <c r="E833" s="2"/>
      <c r="F833" s="2"/>
    </row>
    <row r="834" ht="15.75" customHeight="1">
      <c r="A834" s="2"/>
      <c r="B834" s="2"/>
      <c r="C834" s="2"/>
      <c r="D834" s="2"/>
      <c r="E834" s="2"/>
      <c r="F834" s="2"/>
    </row>
    <row r="835" ht="15.75" customHeight="1">
      <c r="A835" s="2"/>
      <c r="B835" s="2"/>
      <c r="C835" s="2"/>
      <c r="D835" s="2"/>
      <c r="E835" s="2"/>
      <c r="F835" s="2"/>
    </row>
    <row r="836" ht="15.75" customHeight="1">
      <c r="A836" s="2"/>
      <c r="B836" s="2"/>
      <c r="C836" s="2"/>
      <c r="D836" s="2"/>
      <c r="E836" s="2"/>
      <c r="F836" s="2"/>
    </row>
    <row r="837" ht="15.75" customHeight="1">
      <c r="A837" s="2"/>
      <c r="B837" s="2"/>
      <c r="C837" s="2"/>
      <c r="D837" s="2"/>
      <c r="E837" s="2"/>
      <c r="F837" s="2"/>
    </row>
    <row r="838" ht="15.75" customHeight="1">
      <c r="A838" s="2"/>
      <c r="B838" s="2"/>
      <c r="C838" s="2"/>
      <c r="D838" s="2"/>
      <c r="E838" s="2"/>
      <c r="F838" s="2"/>
    </row>
    <row r="839" ht="15.75" customHeight="1">
      <c r="A839" s="2"/>
      <c r="B839" s="2"/>
      <c r="C839" s="2"/>
      <c r="D839" s="2"/>
      <c r="E839" s="2"/>
      <c r="F839" s="2"/>
    </row>
    <row r="840" ht="15.75" customHeight="1">
      <c r="A840" s="2"/>
      <c r="B840" s="2"/>
      <c r="C840" s="2"/>
      <c r="D840" s="2"/>
      <c r="E840" s="2"/>
      <c r="F840" s="2"/>
    </row>
    <row r="841" ht="15.75" customHeight="1">
      <c r="A841" s="2"/>
      <c r="B841" s="2"/>
      <c r="C841" s="2"/>
      <c r="D841" s="2"/>
      <c r="E841" s="2"/>
      <c r="F841" s="2"/>
    </row>
    <row r="842" ht="15.75" customHeight="1">
      <c r="A842" s="2"/>
      <c r="B842" s="2"/>
      <c r="C842" s="2"/>
      <c r="D842" s="2"/>
      <c r="E842" s="2"/>
      <c r="F842" s="2"/>
    </row>
    <row r="843" ht="15.75" customHeight="1">
      <c r="A843" s="2"/>
      <c r="B843" s="2"/>
      <c r="C843" s="2"/>
      <c r="D843" s="2"/>
      <c r="E843" s="2"/>
      <c r="F843" s="2"/>
    </row>
    <row r="844" ht="15.75" customHeight="1">
      <c r="A844" s="2"/>
      <c r="B844" s="2"/>
      <c r="C844" s="2"/>
      <c r="D844" s="2"/>
      <c r="E844" s="2"/>
      <c r="F844" s="2"/>
    </row>
    <row r="845" ht="15.75" customHeight="1">
      <c r="A845" s="2"/>
      <c r="B845" s="2"/>
      <c r="C845" s="2"/>
      <c r="D845" s="2"/>
      <c r="E845" s="2"/>
      <c r="F845" s="2"/>
    </row>
    <row r="846" ht="15.75" customHeight="1">
      <c r="A846" s="2"/>
      <c r="B846" s="2"/>
      <c r="C846" s="2"/>
      <c r="D846" s="2"/>
      <c r="E846" s="2"/>
      <c r="F846" s="2"/>
    </row>
    <row r="847" ht="15.75" customHeight="1">
      <c r="A847" s="2"/>
      <c r="B847" s="2"/>
      <c r="C847" s="2"/>
      <c r="D847" s="2"/>
      <c r="E847" s="2"/>
      <c r="F847" s="2"/>
    </row>
    <row r="848" ht="15.75" customHeight="1">
      <c r="A848" s="2"/>
      <c r="B848" s="2"/>
      <c r="C848" s="2"/>
      <c r="D848" s="2"/>
      <c r="E848" s="2"/>
      <c r="F848" s="2"/>
    </row>
    <row r="849" ht="15.75" customHeight="1">
      <c r="A849" s="2"/>
      <c r="B849" s="2"/>
      <c r="C849" s="2"/>
      <c r="D849" s="2"/>
      <c r="E849" s="2"/>
      <c r="F849" s="2"/>
    </row>
    <row r="850" ht="15.75" customHeight="1">
      <c r="A850" s="2"/>
      <c r="B850" s="2"/>
      <c r="C850" s="2"/>
      <c r="D850" s="2"/>
      <c r="E850" s="2"/>
      <c r="F850" s="2"/>
    </row>
    <row r="851" ht="15.75" customHeight="1">
      <c r="A851" s="2"/>
      <c r="B851" s="2"/>
      <c r="C851" s="2"/>
      <c r="D851" s="2"/>
      <c r="E851" s="2"/>
      <c r="F851" s="2"/>
    </row>
    <row r="852" ht="15.75" customHeight="1">
      <c r="A852" s="2"/>
      <c r="B852" s="2"/>
      <c r="C852" s="2"/>
      <c r="D852" s="2"/>
      <c r="E852" s="2"/>
      <c r="F852" s="2"/>
    </row>
    <row r="853" ht="15.75" customHeight="1">
      <c r="A853" s="2"/>
      <c r="B853" s="2"/>
      <c r="C853" s="2"/>
      <c r="D853" s="2"/>
      <c r="E853" s="2"/>
      <c r="F853" s="2"/>
    </row>
    <row r="854" ht="15.75" customHeight="1">
      <c r="A854" s="2"/>
      <c r="B854" s="2"/>
      <c r="C854" s="2"/>
      <c r="D854" s="2"/>
      <c r="E854" s="2"/>
      <c r="F854" s="2"/>
    </row>
    <row r="855" ht="15.75" customHeight="1">
      <c r="A855" s="2"/>
      <c r="B855" s="2"/>
      <c r="C855" s="2"/>
      <c r="D855" s="2"/>
      <c r="E855" s="2"/>
      <c r="F855" s="2"/>
    </row>
    <row r="856" ht="15.75" customHeight="1">
      <c r="A856" s="2"/>
      <c r="B856" s="2"/>
      <c r="C856" s="2"/>
      <c r="D856" s="2"/>
      <c r="E856" s="2"/>
      <c r="F856" s="2"/>
    </row>
    <row r="857" ht="15.75" customHeight="1">
      <c r="A857" s="2"/>
      <c r="B857" s="2"/>
      <c r="C857" s="2"/>
      <c r="D857" s="2"/>
      <c r="E857" s="2"/>
      <c r="F857" s="2"/>
    </row>
    <row r="858" ht="15.75" customHeight="1">
      <c r="A858" s="2"/>
      <c r="B858" s="2"/>
      <c r="C858" s="2"/>
      <c r="D858" s="2"/>
      <c r="E858" s="2"/>
      <c r="F858" s="2"/>
    </row>
    <row r="859" ht="15.75" customHeight="1">
      <c r="A859" s="2"/>
      <c r="B859" s="2"/>
      <c r="C859" s="2"/>
      <c r="D859" s="2"/>
      <c r="E859" s="2"/>
      <c r="F859" s="2"/>
    </row>
    <row r="860" ht="15.75" customHeight="1">
      <c r="A860" s="2"/>
      <c r="B860" s="2"/>
      <c r="C860" s="2"/>
      <c r="D860" s="2"/>
      <c r="E860" s="2"/>
      <c r="F860" s="2"/>
    </row>
    <row r="861" ht="15.75" customHeight="1">
      <c r="A861" s="2"/>
      <c r="B861" s="2"/>
      <c r="C861" s="2"/>
      <c r="D861" s="2"/>
      <c r="E861" s="2"/>
      <c r="F861" s="2"/>
    </row>
    <row r="862" ht="15.75" customHeight="1">
      <c r="A862" s="2"/>
      <c r="B862" s="2"/>
      <c r="C862" s="2"/>
      <c r="D862" s="2"/>
      <c r="E862" s="2"/>
      <c r="F862" s="2"/>
    </row>
    <row r="863" ht="15.75" customHeight="1">
      <c r="A863" s="2"/>
      <c r="B863" s="2"/>
      <c r="C863" s="2"/>
      <c r="D863" s="2"/>
      <c r="E863" s="2"/>
      <c r="F863" s="2"/>
    </row>
    <row r="864" ht="15.75" customHeight="1">
      <c r="A864" s="2"/>
      <c r="B864" s="2"/>
      <c r="C864" s="2"/>
      <c r="D864" s="2"/>
      <c r="E864" s="2"/>
      <c r="F864" s="2"/>
    </row>
    <row r="865" ht="15.75" customHeight="1">
      <c r="A865" s="2"/>
      <c r="B865" s="2"/>
      <c r="C865" s="2"/>
      <c r="D865" s="2"/>
      <c r="E865" s="2"/>
      <c r="F865" s="2"/>
    </row>
    <row r="866" ht="15.75" customHeight="1">
      <c r="A866" s="2"/>
      <c r="B866" s="2"/>
      <c r="C866" s="2"/>
      <c r="D866" s="2"/>
      <c r="E866" s="2"/>
      <c r="F866" s="2"/>
    </row>
    <row r="867" ht="15.75" customHeight="1">
      <c r="A867" s="2"/>
      <c r="B867" s="2"/>
      <c r="C867" s="2"/>
      <c r="D867" s="2"/>
      <c r="E867" s="2"/>
      <c r="F867" s="2"/>
    </row>
    <row r="868" ht="15.75" customHeight="1">
      <c r="A868" s="2"/>
      <c r="B868" s="2"/>
      <c r="C868" s="2"/>
      <c r="D868" s="2"/>
      <c r="E868" s="2"/>
      <c r="F868" s="2"/>
    </row>
    <row r="869" ht="15.75" customHeight="1">
      <c r="A869" s="2"/>
      <c r="B869" s="2"/>
      <c r="C869" s="2"/>
      <c r="D869" s="2"/>
      <c r="E869" s="2"/>
      <c r="F869" s="2"/>
    </row>
    <row r="870" ht="15.75" customHeight="1">
      <c r="A870" s="2"/>
      <c r="B870" s="2"/>
      <c r="C870" s="2"/>
      <c r="D870" s="2"/>
      <c r="E870" s="2"/>
      <c r="F870" s="2"/>
    </row>
    <row r="871" ht="15.75" customHeight="1">
      <c r="A871" s="2"/>
      <c r="B871" s="2"/>
      <c r="C871" s="2"/>
      <c r="D871" s="2"/>
      <c r="E871" s="2"/>
      <c r="F871" s="2"/>
    </row>
    <row r="872" ht="15.75" customHeight="1">
      <c r="A872" s="2"/>
      <c r="B872" s="2"/>
      <c r="C872" s="2"/>
      <c r="D872" s="2"/>
      <c r="E872" s="2"/>
      <c r="F872" s="2"/>
    </row>
    <row r="873" ht="15.75" customHeight="1">
      <c r="A873" s="2"/>
      <c r="B873" s="2"/>
      <c r="C873" s="2"/>
      <c r="D873" s="2"/>
      <c r="E873" s="2"/>
      <c r="F873" s="2"/>
    </row>
    <row r="874" ht="15.75" customHeight="1">
      <c r="A874" s="2"/>
      <c r="B874" s="2"/>
      <c r="C874" s="2"/>
      <c r="D874" s="2"/>
      <c r="E874" s="2"/>
      <c r="F874" s="2"/>
    </row>
    <row r="875" ht="15.75" customHeight="1">
      <c r="A875" s="2"/>
      <c r="B875" s="2"/>
      <c r="C875" s="2"/>
      <c r="D875" s="2"/>
      <c r="E875" s="2"/>
      <c r="F875" s="2"/>
    </row>
    <row r="876" ht="15.75" customHeight="1">
      <c r="A876" s="2"/>
      <c r="B876" s="2"/>
      <c r="C876" s="2"/>
      <c r="D876" s="2"/>
      <c r="E876" s="2"/>
      <c r="F876" s="2"/>
    </row>
    <row r="877" ht="15.75" customHeight="1">
      <c r="A877" s="2"/>
      <c r="B877" s="2"/>
      <c r="C877" s="2"/>
      <c r="D877" s="2"/>
      <c r="E877" s="2"/>
      <c r="F877" s="2"/>
    </row>
    <row r="878" ht="15.75" customHeight="1">
      <c r="A878" s="2"/>
      <c r="B878" s="2"/>
      <c r="C878" s="2"/>
      <c r="D878" s="2"/>
      <c r="E878" s="2"/>
      <c r="F878" s="2"/>
    </row>
    <row r="879" ht="15.75" customHeight="1">
      <c r="A879" s="2"/>
      <c r="B879" s="2"/>
      <c r="C879" s="2"/>
      <c r="D879" s="2"/>
      <c r="E879" s="2"/>
      <c r="F879" s="2"/>
    </row>
    <row r="880" ht="15.75" customHeight="1">
      <c r="A880" s="2"/>
      <c r="B880" s="2"/>
      <c r="C880" s="2"/>
      <c r="D880" s="2"/>
      <c r="E880" s="2"/>
      <c r="F880" s="2"/>
    </row>
    <row r="881" ht="15.75" customHeight="1">
      <c r="A881" s="2"/>
      <c r="B881" s="2"/>
      <c r="C881" s="2"/>
      <c r="D881" s="2"/>
      <c r="E881" s="2"/>
      <c r="F881" s="2"/>
    </row>
    <row r="882" ht="15.75" customHeight="1">
      <c r="A882" s="2"/>
      <c r="B882" s="2"/>
      <c r="C882" s="2"/>
      <c r="D882" s="2"/>
      <c r="E882" s="2"/>
      <c r="F882" s="2"/>
    </row>
    <row r="883" ht="15.75" customHeight="1">
      <c r="A883" s="2"/>
      <c r="B883" s="2"/>
      <c r="C883" s="2"/>
      <c r="D883" s="2"/>
      <c r="E883" s="2"/>
      <c r="F883" s="2"/>
    </row>
    <row r="884" ht="15.75" customHeight="1">
      <c r="A884" s="2"/>
      <c r="B884" s="2"/>
      <c r="C884" s="2"/>
      <c r="D884" s="2"/>
      <c r="E884" s="2"/>
      <c r="F884" s="2"/>
    </row>
    <row r="885" ht="15.75" customHeight="1">
      <c r="A885" s="2"/>
      <c r="B885" s="2"/>
      <c r="C885" s="2"/>
      <c r="D885" s="2"/>
      <c r="E885" s="2"/>
      <c r="F885" s="2"/>
    </row>
    <row r="886" ht="15.75" customHeight="1">
      <c r="A886" s="2"/>
      <c r="B886" s="2"/>
      <c r="C886" s="2"/>
      <c r="D886" s="2"/>
      <c r="E886" s="2"/>
      <c r="F886" s="2"/>
    </row>
    <row r="887" ht="15.75" customHeight="1">
      <c r="A887" s="2"/>
      <c r="B887" s="2"/>
      <c r="C887" s="2"/>
      <c r="D887" s="2"/>
      <c r="E887" s="2"/>
      <c r="F887" s="2"/>
    </row>
    <row r="888" ht="15.75" customHeight="1">
      <c r="A888" s="2"/>
      <c r="B888" s="2"/>
      <c r="C888" s="2"/>
      <c r="D888" s="2"/>
      <c r="E888" s="2"/>
      <c r="F888" s="2"/>
    </row>
    <row r="889" ht="15.75" customHeight="1">
      <c r="A889" s="2"/>
      <c r="B889" s="2"/>
      <c r="C889" s="2"/>
      <c r="D889" s="2"/>
      <c r="E889" s="2"/>
      <c r="F889" s="2"/>
    </row>
    <row r="890" ht="15.75" customHeight="1">
      <c r="A890" s="2"/>
      <c r="B890" s="2"/>
      <c r="C890" s="2"/>
      <c r="D890" s="2"/>
      <c r="E890" s="2"/>
      <c r="F890" s="2"/>
    </row>
    <row r="891" ht="15.75" customHeight="1">
      <c r="A891" s="2"/>
      <c r="B891" s="2"/>
      <c r="C891" s="2"/>
      <c r="D891" s="2"/>
      <c r="E891" s="2"/>
      <c r="F891" s="2"/>
    </row>
    <row r="892" ht="15.75" customHeight="1">
      <c r="A892" s="2"/>
      <c r="B892" s="2"/>
      <c r="C892" s="2"/>
      <c r="D892" s="2"/>
      <c r="E892" s="2"/>
      <c r="F892" s="2"/>
    </row>
    <row r="893" ht="15.75" customHeight="1">
      <c r="A893" s="2"/>
      <c r="B893" s="2"/>
      <c r="C893" s="2"/>
      <c r="D893" s="2"/>
      <c r="E893" s="2"/>
      <c r="F893" s="2"/>
    </row>
    <row r="894" ht="15.75" customHeight="1">
      <c r="A894" s="2"/>
      <c r="B894" s="2"/>
      <c r="C894" s="2"/>
      <c r="D894" s="2"/>
      <c r="E894" s="2"/>
      <c r="F894" s="2"/>
    </row>
    <row r="895" ht="15.75" customHeight="1">
      <c r="A895" s="2"/>
      <c r="B895" s="2"/>
      <c r="C895" s="2"/>
      <c r="D895" s="2"/>
      <c r="E895" s="2"/>
      <c r="F895" s="2"/>
    </row>
    <row r="896" ht="15.75" customHeight="1">
      <c r="A896" s="2"/>
      <c r="B896" s="2"/>
      <c r="C896" s="2"/>
      <c r="D896" s="2"/>
      <c r="E896" s="2"/>
      <c r="F896" s="2"/>
    </row>
    <row r="897" ht="15.75" customHeight="1">
      <c r="A897" s="2"/>
      <c r="B897" s="2"/>
      <c r="C897" s="2"/>
      <c r="D897" s="2"/>
      <c r="E897" s="2"/>
      <c r="F897" s="2"/>
    </row>
    <row r="898" ht="15.75" customHeight="1">
      <c r="A898" s="2"/>
      <c r="B898" s="2"/>
      <c r="C898" s="2"/>
      <c r="D898" s="2"/>
      <c r="E898" s="2"/>
      <c r="F898" s="2"/>
    </row>
    <row r="899" ht="15.75" customHeight="1">
      <c r="A899" s="2"/>
      <c r="B899" s="2"/>
      <c r="C899" s="2"/>
      <c r="D899" s="2"/>
      <c r="E899" s="2"/>
      <c r="F899" s="2"/>
    </row>
    <row r="900" ht="15.75" customHeight="1">
      <c r="A900" s="2"/>
      <c r="B900" s="2"/>
      <c r="C900" s="2"/>
      <c r="D900" s="2"/>
      <c r="E900" s="2"/>
      <c r="F900" s="2"/>
    </row>
    <row r="901" ht="15.75" customHeight="1">
      <c r="A901" s="2"/>
      <c r="B901" s="2"/>
      <c r="C901" s="2"/>
      <c r="D901" s="2"/>
      <c r="E901" s="2"/>
      <c r="F901" s="2"/>
    </row>
    <row r="902" ht="15.75" customHeight="1">
      <c r="A902" s="2"/>
      <c r="B902" s="2"/>
      <c r="C902" s="2"/>
      <c r="D902" s="2"/>
      <c r="E902" s="2"/>
      <c r="F902" s="2"/>
    </row>
    <row r="903" ht="15.75" customHeight="1">
      <c r="A903" s="2"/>
      <c r="B903" s="2"/>
      <c r="C903" s="2"/>
      <c r="D903" s="2"/>
      <c r="E903" s="2"/>
      <c r="F903" s="2"/>
    </row>
    <row r="904" ht="15.75" customHeight="1">
      <c r="A904" s="2"/>
      <c r="B904" s="2"/>
      <c r="C904" s="2"/>
      <c r="D904" s="2"/>
      <c r="E904" s="2"/>
      <c r="F904" s="2"/>
    </row>
    <row r="905" ht="15.75" customHeight="1">
      <c r="A905" s="2"/>
      <c r="B905" s="2"/>
      <c r="C905" s="2"/>
      <c r="D905" s="2"/>
      <c r="E905" s="2"/>
      <c r="F905" s="2"/>
    </row>
    <row r="906" ht="15.75" customHeight="1">
      <c r="A906" s="2"/>
      <c r="B906" s="2"/>
      <c r="C906" s="2"/>
      <c r="D906" s="2"/>
      <c r="E906" s="2"/>
      <c r="F906" s="2"/>
    </row>
    <row r="907" ht="15.75" customHeight="1">
      <c r="A907" s="2"/>
      <c r="B907" s="2"/>
      <c r="C907" s="2"/>
      <c r="D907" s="2"/>
      <c r="E907" s="2"/>
      <c r="F907" s="2"/>
    </row>
    <row r="908" ht="15.75" customHeight="1">
      <c r="A908" s="2"/>
      <c r="B908" s="2"/>
      <c r="C908" s="2"/>
      <c r="D908" s="2"/>
      <c r="E908" s="2"/>
      <c r="F908" s="2"/>
    </row>
    <row r="909" ht="15.75" customHeight="1">
      <c r="A909" s="2"/>
      <c r="B909" s="2"/>
      <c r="C909" s="2"/>
      <c r="D909" s="2"/>
      <c r="E909" s="2"/>
      <c r="F909" s="2"/>
    </row>
    <row r="910" ht="15.75" customHeight="1">
      <c r="A910" s="2"/>
      <c r="B910" s="2"/>
      <c r="C910" s="2"/>
      <c r="D910" s="2"/>
      <c r="E910" s="2"/>
      <c r="F910" s="2"/>
    </row>
    <row r="911" ht="15.75" customHeight="1">
      <c r="A911" s="2"/>
      <c r="B911" s="2"/>
      <c r="C911" s="2"/>
      <c r="D911" s="2"/>
      <c r="E911" s="2"/>
      <c r="F911" s="2"/>
    </row>
    <row r="912" ht="15.75" customHeight="1">
      <c r="A912" s="2"/>
      <c r="B912" s="2"/>
      <c r="C912" s="2"/>
      <c r="D912" s="2"/>
      <c r="E912" s="2"/>
      <c r="F912" s="2"/>
    </row>
    <row r="913" ht="15.75" customHeight="1">
      <c r="A913" s="2"/>
      <c r="B913" s="2"/>
      <c r="C913" s="2"/>
      <c r="D913" s="2"/>
      <c r="E913" s="2"/>
      <c r="F913" s="2"/>
    </row>
    <row r="914" ht="15.75" customHeight="1">
      <c r="A914" s="2"/>
      <c r="B914" s="2"/>
      <c r="C914" s="2"/>
      <c r="D914" s="2"/>
      <c r="E914" s="2"/>
      <c r="F914" s="2"/>
    </row>
    <row r="915" ht="15.75" customHeight="1">
      <c r="A915" s="2"/>
      <c r="B915" s="2"/>
      <c r="C915" s="2"/>
      <c r="D915" s="2"/>
      <c r="E915" s="2"/>
      <c r="F915" s="2"/>
    </row>
    <row r="916" ht="15.75" customHeight="1">
      <c r="A916" s="2"/>
      <c r="B916" s="2"/>
      <c r="C916" s="2"/>
      <c r="D916" s="2"/>
      <c r="E916" s="2"/>
      <c r="F916" s="2"/>
    </row>
    <row r="917" ht="15.75" customHeight="1">
      <c r="A917" s="2"/>
      <c r="B917" s="2"/>
      <c r="C917" s="2"/>
      <c r="D917" s="2"/>
      <c r="E917" s="2"/>
      <c r="F917" s="2"/>
    </row>
    <row r="918" ht="15.75" customHeight="1">
      <c r="A918" s="2"/>
      <c r="B918" s="2"/>
      <c r="C918" s="2"/>
      <c r="D918" s="2"/>
      <c r="E918" s="2"/>
      <c r="F918" s="2"/>
    </row>
    <row r="919" ht="15.75" customHeight="1">
      <c r="A919" s="2"/>
      <c r="B919" s="2"/>
      <c r="C919" s="2"/>
      <c r="D919" s="2"/>
      <c r="E919" s="2"/>
      <c r="F919" s="2"/>
    </row>
    <row r="920" ht="15.75" customHeight="1">
      <c r="A920" s="2"/>
      <c r="B920" s="2"/>
      <c r="C920" s="2"/>
      <c r="D920" s="2"/>
      <c r="E920" s="2"/>
      <c r="F920" s="2"/>
    </row>
    <row r="921" ht="15.75" customHeight="1">
      <c r="A921" s="2"/>
      <c r="B921" s="2"/>
      <c r="C921" s="2"/>
      <c r="D921" s="2"/>
      <c r="E921" s="2"/>
      <c r="F921" s="2"/>
    </row>
    <row r="922" ht="15.75" customHeight="1">
      <c r="A922" s="2"/>
      <c r="B922" s="2"/>
      <c r="C922" s="2"/>
      <c r="D922" s="2"/>
      <c r="E922" s="2"/>
      <c r="F922" s="2"/>
    </row>
    <row r="923" ht="15.75" customHeight="1">
      <c r="A923" s="2"/>
      <c r="B923" s="2"/>
      <c r="C923" s="2"/>
      <c r="D923" s="2"/>
      <c r="E923" s="2"/>
      <c r="F923" s="2"/>
    </row>
    <row r="924" ht="15.75" customHeight="1">
      <c r="A924" s="2"/>
      <c r="B924" s="2"/>
      <c r="C924" s="2"/>
      <c r="D924" s="2"/>
      <c r="E924" s="2"/>
      <c r="F924" s="2"/>
    </row>
    <row r="925" ht="15.75" customHeight="1">
      <c r="A925" s="2"/>
      <c r="B925" s="2"/>
      <c r="C925" s="2"/>
      <c r="D925" s="2"/>
      <c r="E925" s="2"/>
      <c r="F925" s="2"/>
    </row>
    <row r="926" ht="15.75" customHeight="1">
      <c r="A926" s="2"/>
      <c r="B926" s="2"/>
      <c r="C926" s="2"/>
      <c r="D926" s="2"/>
      <c r="E926" s="2"/>
      <c r="F926" s="2"/>
    </row>
    <row r="927" ht="15.75" customHeight="1">
      <c r="A927" s="2"/>
      <c r="B927" s="2"/>
      <c r="C927" s="2"/>
      <c r="D927" s="2"/>
      <c r="E927" s="2"/>
      <c r="F927" s="2"/>
    </row>
    <row r="928" ht="15.75" customHeight="1">
      <c r="A928" s="2"/>
      <c r="B928" s="2"/>
      <c r="C928" s="2"/>
      <c r="D928" s="2"/>
      <c r="E928" s="2"/>
      <c r="F928" s="2"/>
    </row>
    <row r="929" ht="15.75" customHeight="1">
      <c r="A929" s="2"/>
      <c r="B929" s="2"/>
      <c r="C929" s="2"/>
      <c r="D929" s="2"/>
      <c r="E929" s="2"/>
      <c r="F929" s="2"/>
    </row>
    <row r="930" ht="15.75" customHeight="1">
      <c r="A930" s="2"/>
      <c r="B930" s="2"/>
      <c r="C930" s="2"/>
      <c r="D930" s="2"/>
      <c r="E930" s="2"/>
      <c r="F930" s="2"/>
    </row>
    <row r="931" ht="15.75" customHeight="1">
      <c r="A931" s="2"/>
      <c r="B931" s="2"/>
      <c r="C931" s="2"/>
      <c r="D931" s="2"/>
      <c r="E931" s="2"/>
      <c r="F931" s="2"/>
    </row>
    <row r="932" ht="15.75" customHeight="1">
      <c r="A932" s="2"/>
      <c r="B932" s="2"/>
      <c r="C932" s="2"/>
      <c r="D932" s="2"/>
      <c r="E932" s="2"/>
      <c r="F932" s="2"/>
    </row>
    <row r="933" ht="15.75" customHeight="1">
      <c r="A933" s="2"/>
      <c r="B933" s="2"/>
      <c r="C933" s="2"/>
      <c r="D933" s="2"/>
      <c r="E933" s="2"/>
      <c r="F933" s="2"/>
    </row>
    <row r="934" ht="15.75" customHeight="1">
      <c r="A934" s="2"/>
      <c r="B934" s="2"/>
      <c r="C934" s="2"/>
      <c r="D934" s="2"/>
      <c r="E934" s="2"/>
      <c r="F934" s="2"/>
    </row>
    <row r="935" ht="15.75" customHeight="1">
      <c r="A935" s="2"/>
      <c r="B935" s="2"/>
      <c r="C935" s="2"/>
      <c r="D935" s="2"/>
      <c r="E935" s="2"/>
      <c r="F935" s="2"/>
    </row>
    <row r="936" ht="15.75" customHeight="1">
      <c r="A936" s="2"/>
      <c r="B936" s="2"/>
      <c r="C936" s="2"/>
      <c r="D936" s="2"/>
      <c r="E936" s="2"/>
      <c r="F936" s="2"/>
    </row>
    <row r="937" ht="15.75" customHeight="1">
      <c r="A937" s="2"/>
      <c r="B937" s="2"/>
      <c r="C937" s="2"/>
      <c r="D937" s="2"/>
      <c r="E937" s="2"/>
      <c r="F937" s="2"/>
    </row>
    <row r="938" ht="15.75" customHeight="1">
      <c r="A938" s="2"/>
      <c r="B938" s="2"/>
      <c r="C938" s="2"/>
      <c r="D938" s="2"/>
      <c r="E938" s="2"/>
      <c r="F938" s="2"/>
    </row>
    <row r="939" ht="15.75" customHeight="1">
      <c r="A939" s="2"/>
      <c r="B939" s="2"/>
      <c r="C939" s="2"/>
      <c r="D939" s="2"/>
      <c r="E939" s="2"/>
      <c r="F939" s="2"/>
    </row>
    <row r="940" ht="15.75" customHeight="1">
      <c r="A940" s="2"/>
      <c r="B940" s="2"/>
      <c r="C940" s="2"/>
      <c r="D940" s="2"/>
      <c r="E940" s="2"/>
      <c r="F940" s="2"/>
    </row>
    <row r="941" ht="15.75" customHeight="1">
      <c r="A941" s="2"/>
      <c r="B941" s="2"/>
      <c r="C941" s="2"/>
      <c r="D941" s="2"/>
      <c r="E941" s="2"/>
      <c r="F941" s="2"/>
    </row>
    <row r="942" ht="15.75" customHeight="1">
      <c r="A942" s="2"/>
      <c r="B942" s="2"/>
      <c r="C942" s="2"/>
      <c r="D942" s="2"/>
      <c r="E942" s="2"/>
      <c r="F942" s="2"/>
    </row>
    <row r="943" ht="15.75" customHeight="1">
      <c r="A943" s="2"/>
      <c r="B943" s="2"/>
      <c r="C943" s="2"/>
      <c r="D943" s="2"/>
      <c r="E943" s="2"/>
      <c r="F943" s="2"/>
    </row>
    <row r="944" ht="15.75" customHeight="1">
      <c r="A944" s="2"/>
      <c r="B944" s="2"/>
      <c r="C944" s="2"/>
      <c r="D944" s="2"/>
      <c r="E944" s="2"/>
      <c r="F944" s="2"/>
    </row>
    <row r="945" ht="15.75" customHeight="1">
      <c r="A945" s="2"/>
      <c r="B945" s="2"/>
      <c r="C945" s="2"/>
      <c r="D945" s="2"/>
      <c r="E945" s="2"/>
      <c r="F945" s="2"/>
    </row>
    <row r="946" ht="15.75" customHeight="1">
      <c r="A946" s="2"/>
      <c r="B946" s="2"/>
      <c r="C946" s="2"/>
      <c r="D946" s="2"/>
      <c r="E946" s="2"/>
      <c r="F946" s="2"/>
    </row>
    <row r="947" ht="15.75" customHeight="1">
      <c r="A947" s="2"/>
      <c r="B947" s="2"/>
      <c r="C947" s="2"/>
      <c r="D947" s="2"/>
      <c r="E947" s="2"/>
      <c r="F947" s="2"/>
    </row>
    <row r="948" ht="15.75" customHeight="1">
      <c r="A948" s="2"/>
      <c r="B948" s="2"/>
      <c r="C948" s="2"/>
      <c r="D948" s="2"/>
      <c r="E948" s="2"/>
      <c r="F948" s="2"/>
    </row>
    <row r="949" ht="15.75" customHeight="1">
      <c r="A949" s="2"/>
      <c r="B949" s="2"/>
      <c r="C949" s="2"/>
      <c r="D949" s="2"/>
      <c r="E949" s="2"/>
      <c r="F949" s="2"/>
    </row>
    <row r="950" ht="15.75" customHeight="1">
      <c r="A950" s="2"/>
      <c r="B950" s="2"/>
      <c r="C950" s="2"/>
      <c r="D950" s="2"/>
      <c r="E950" s="2"/>
      <c r="F950" s="2"/>
    </row>
    <row r="951" ht="15.75" customHeight="1">
      <c r="A951" s="2"/>
      <c r="B951" s="2"/>
      <c r="C951" s="2"/>
      <c r="D951" s="2"/>
      <c r="E951" s="2"/>
      <c r="F951" s="2"/>
    </row>
    <row r="952" ht="15.75" customHeight="1">
      <c r="A952" s="2"/>
      <c r="B952" s="2"/>
      <c r="C952" s="2"/>
      <c r="D952" s="2"/>
      <c r="E952" s="2"/>
      <c r="F952" s="2"/>
    </row>
    <row r="953" ht="15.75" customHeight="1">
      <c r="A953" s="2"/>
      <c r="B953" s="2"/>
      <c r="C953" s="2"/>
      <c r="D953" s="2"/>
      <c r="E953" s="2"/>
      <c r="F953" s="2"/>
    </row>
    <row r="954" ht="15.75" customHeight="1">
      <c r="A954" s="2"/>
      <c r="B954" s="2"/>
      <c r="C954" s="2"/>
      <c r="D954" s="2"/>
      <c r="E954" s="2"/>
      <c r="F954" s="2"/>
    </row>
    <row r="955" ht="15.75" customHeight="1">
      <c r="A955" s="2"/>
      <c r="B955" s="2"/>
      <c r="C955" s="2"/>
      <c r="D955" s="2"/>
      <c r="E955" s="2"/>
      <c r="F955" s="2"/>
    </row>
    <row r="956" ht="15.75" customHeight="1">
      <c r="A956" s="2"/>
      <c r="B956" s="2"/>
      <c r="C956" s="2"/>
      <c r="D956" s="2"/>
      <c r="E956" s="2"/>
      <c r="F956" s="2"/>
    </row>
    <row r="957" ht="15.75" customHeight="1">
      <c r="A957" s="2"/>
      <c r="B957" s="2"/>
      <c r="C957" s="2"/>
      <c r="D957" s="2"/>
      <c r="E957" s="2"/>
      <c r="F957" s="2"/>
    </row>
    <row r="958" ht="15.75" customHeight="1">
      <c r="A958" s="2"/>
      <c r="B958" s="2"/>
      <c r="C958" s="2"/>
      <c r="D958" s="2"/>
      <c r="E958" s="2"/>
      <c r="F958" s="2"/>
    </row>
    <row r="959" ht="15.75" customHeight="1">
      <c r="A959" s="2"/>
      <c r="B959" s="2"/>
      <c r="C959" s="2"/>
      <c r="D959" s="2"/>
      <c r="E959" s="2"/>
      <c r="F959" s="2"/>
    </row>
    <row r="960" ht="15.75" customHeight="1">
      <c r="A960" s="2"/>
      <c r="B960" s="2"/>
      <c r="C960" s="2"/>
      <c r="D960" s="2"/>
      <c r="E960" s="2"/>
      <c r="F960" s="2"/>
    </row>
    <row r="961" ht="15.75" customHeight="1">
      <c r="A961" s="2"/>
      <c r="B961" s="2"/>
      <c r="C961" s="2"/>
      <c r="D961" s="2"/>
      <c r="E961" s="2"/>
      <c r="F961" s="2"/>
    </row>
    <row r="962" ht="15.75" customHeight="1">
      <c r="A962" s="2"/>
      <c r="B962" s="2"/>
      <c r="C962" s="2"/>
      <c r="D962" s="2"/>
      <c r="E962" s="2"/>
      <c r="F962" s="2"/>
    </row>
    <row r="963" ht="15.75" customHeight="1">
      <c r="A963" s="2"/>
      <c r="B963" s="2"/>
      <c r="C963" s="2"/>
      <c r="D963" s="2"/>
      <c r="E963" s="2"/>
      <c r="F963" s="2"/>
    </row>
    <row r="964" ht="15.75" customHeight="1">
      <c r="A964" s="2"/>
      <c r="B964" s="2"/>
      <c r="C964" s="2"/>
      <c r="D964" s="2"/>
      <c r="E964" s="2"/>
      <c r="F964" s="2"/>
    </row>
    <row r="965" ht="15.75" customHeight="1">
      <c r="A965" s="2"/>
      <c r="B965" s="2"/>
      <c r="C965" s="2"/>
      <c r="D965" s="2"/>
      <c r="E965" s="2"/>
      <c r="F965" s="2"/>
    </row>
    <row r="966" ht="15.75" customHeight="1">
      <c r="A966" s="2"/>
      <c r="B966" s="2"/>
      <c r="C966" s="2"/>
      <c r="D966" s="2"/>
      <c r="E966" s="2"/>
      <c r="F966" s="2"/>
    </row>
    <row r="967" ht="15.75" customHeight="1">
      <c r="A967" s="2"/>
      <c r="B967" s="2"/>
      <c r="C967" s="2"/>
      <c r="D967" s="2"/>
      <c r="E967" s="2"/>
      <c r="F967" s="2"/>
    </row>
    <row r="968" ht="15.75" customHeight="1">
      <c r="A968" s="2"/>
      <c r="B968" s="2"/>
      <c r="C968" s="2"/>
      <c r="D968" s="2"/>
      <c r="E968" s="2"/>
      <c r="F968" s="2"/>
    </row>
    <row r="969" ht="15.75" customHeight="1">
      <c r="A969" s="2"/>
      <c r="B969" s="2"/>
      <c r="C969" s="2"/>
      <c r="D969" s="2"/>
      <c r="E969" s="2"/>
      <c r="F969" s="2"/>
    </row>
    <row r="970" ht="15.75" customHeight="1">
      <c r="A970" s="2"/>
      <c r="B970" s="2"/>
      <c r="C970" s="2"/>
      <c r="D970" s="2"/>
      <c r="E970" s="2"/>
      <c r="F970" s="2"/>
    </row>
    <row r="971" ht="15.75" customHeight="1">
      <c r="A971" s="2"/>
      <c r="B971" s="2"/>
      <c r="C971" s="2"/>
      <c r="D971" s="2"/>
      <c r="E971" s="2"/>
      <c r="F971" s="2"/>
    </row>
    <row r="972" ht="15.75" customHeight="1">
      <c r="A972" s="2"/>
      <c r="B972" s="2"/>
      <c r="C972" s="2"/>
      <c r="D972" s="2"/>
      <c r="E972" s="2"/>
      <c r="F972" s="2"/>
    </row>
    <row r="973" ht="15.75" customHeight="1">
      <c r="A973" s="2"/>
      <c r="B973" s="2"/>
      <c r="C973" s="2"/>
      <c r="D973" s="2"/>
      <c r="E973" s="2"/>
      <c r="F973" s="2"/>
    </row>
    <row r="974" ht="15.75" customHeight="1">
      <c r="A974" s="2"/>
      <c r="B974" s="2"/>
      <c r="C974" s="2"/>
      <c r="D974" s="2"/>
      <c r="E974" s="2"/>
      <c r="F974" s="2"/>
    </row>
    <row r="975" ht="15.75" customHeight="1">
      <c r="A975" s="2"/>
      <c r="B975" s="2"/>
      <c r="C975" s="2"/>
      <c r="D975" s="2"/>
      <c r="E975" s="2"/>
      <c r="F975" s="2"/>
    </row>
    <row r="976" ht="15.75" customHeight="1">
      <c r="A976" s="2"/>
      <c r="B976" s="2"/>
      <c r="C976" s="2"/>
      <c r="D976" s="2"/>
      <c r="E976" s="2"/>
      <c r="F976" s="2"/>
    </row>
    <row r="977" ht="15.75" customHeight="1">
      <c r="A977" s="2"/>
      <c r="B977" s="2"/>
      <c r="C977" s="2"/>
      <c r="D977" s="2"/>
      <c r="E977" s="2"/>
      <c r="F977" s="2"/>
    </row>
    <row r="978" ht="15.75" customHeight="1">
      <c r="A978" s="2"/>
      <c r="B978" s="2"/>
      <c r="C978" s="2"/>
      <c r="D978" s="2"/>
      <c r="E978" s="2"/>
      <c r="F978" s="2"/>
    </row>
    <row r="979" ht="15.75" customHeight="1">
      <c r="A979" s="2"/>
      <c r="B979" s="2"/>
      <c r="C979" s="2"/>
      <c r="D979" s="2"/>
      <c r="E979" s="2"/>
      <c r="F979" s="2"/>
    </row>
    <row r="980" ht="15.75" customHeight="1">
      <c r="A980" s="2"/>
      <c r="B980" s="2"/>
      <c r="C980" s="2"/>
      <c r="D980" s="2"/>
      <c r="E980" s="2"/>
      <c r="F980" s="2"/>
    </row>
    <row r="981" ht="15.75" customHeight="1">
      <c r="A981" s="2"/>
      <c r="B981" s="2"/>
      <c r="C981" s="2"/>
      <c r="D981" s="2"/>
      <c r="E981" s="2"/>
      <c r="F981" s="2"/>
    </row>
    <row r="982" ht="15.75" customHeight="1">
      <c r="A982" s="2"/>
      <c r="B982" s="2"/>
      <c r="C982" s="2"/>
      <c r="D982" s="2"/>
      <c r="E982" s="2"/>
      <c r="F982" s="2"/>
    </row>
    <row r="983" ht="15.75" customHeight="1">
      <c r="A983" s="2"/>
      <c r="B983" s="2"/>
      <c r="C983" s="2"/>
      <c r="D983" s="2"/>
      <c r="E983" s="2"/>
      <c r="F983" s="2"/>
    </row>
    <row r="984" ht="15.75" customHeight="1">
      <c r="A984" s="2"/>
      <c r="B984" s="2"/>
      <c r="C984" s="2"/>
      <c r="D984" s="2"/>
      <c r="E984" s="2"/>
      <c r="F984" s="2"/>
    </row>
    <row r="985" ht="15.75" customHeight="1">
      <c r="A985" s="2"/>
      <c r="B985" s="2"/>
      <c r="C985" s="2"/>
      <c r="D985" s="2"/>
      <c r="E985" s="2"/>
      <c r="F985" s="2"/>
    </row>
    <row r="986" ht="15.75" customHeight="1">
      <c r="A986" s="2"/>
      <c r="B986" s="2"/>
      <c r="C986" s="2"/>
      <c r="D986" s="2"/>
      <c r="E986" s="2"/>
      <c r="F986" s="2"/>
    </row>
    <row r="987" ht="15.75" customHeight="1">
      <c r="A987" s="2"/>
      <c r="B987" s="2"/>
      <c r="C987" s="2"/>
      <c r="D987" s="2"/>
      <c r="E987" s="2"/>
      <c r="F987" s="2"/>
    </row>
    <row r="988" ht="15.75" customHeight="1">
      <c r="A988" s="2"/>
      <c r="B988" s="2"/>
      <c r="C988" s="2"/>
      <c r="D988" s="2"/>
      <c r="E988" s="2"/>
      <c r="F988" s="2"/>
    </row>
    <row r="989" ht="15.75" customHeight="1">
      <c r="A989" s="2"/>
      <c r="B989" s="2"/>
      <c r="C989" s="2"/>
      <c r="D989" s="2"/>
      <c r="E989" s="2"/>
      <c r="F989" s="2"/>
    </row>
    <row r="990" ht="15.75" customHeight="1">
      <c r="A990" s="2"/>
      <c r="B990" s="2"/>
      <c r="C990" s="2"/>
      <c r="D990" s="2"/>
      <c r="E990" s="2"/>
      <c r="F990" s="2"/>
    </row>
    <row r="991" ht="15.75" customHeight="1">
      <c r="A991" s="2"/>
      <c r="B991" s="2"/>
      <c r="C991" s="2"/>
      <c r="D991" s="2"/>
      <c r="E991" s="2"/>
      <c r="F991" s="2"/>
    </row>
    <row r="992" ht="15.75" customHeight="1">
      <c r="A992" s="2"/>
      <c r="B992" s="2"/>
      <c r="C992" s="2"/>
      <c r="D992" s="2"/>
      <c r="E992" s="2"/>
      <c r="F992" s="2"/>
    </row>
    <row r="993" ht="15.75" customHeight="1">
      <c r="A993" s="2"/>
      <c r="B993" s="2"/>
      <c r="C993" s="2"/>
      <c r="D993" s="2"/>
      <c r="E993" s="2"/>
      <c r="F993" s="2"/>
    </row>
    <row r="994" ht="15.75" customHeight="1">
      <c r="A994" s="2"/>
      <c r="B994" s="2"/>
      <c r="C994" s="2"/>
      <c r="D994" s="2"/>
      <c r="E994" s="2"/>
      <c r="F994" s="2"/>
    </row>
    <row r="995" ht="15.75" customHeight="1">
      <c r="A995" s="2"/>
      <c r="B995" s="2"/>
      <c r="C995" s="2"/>
      <c r="D995" s="2"/>
      <c r="E995" s="2"/>
      <c r="F995" s="2"/>
    </row>
    <row r="996" ht="15.75" customHeight="1">
      <c r="A996" s="2"/>
      <c r="B996" s="2"/>
      <c r="C996" s="2"/>
      <c r="D996" s="2"/>
      <c r="E996" s="2"/>
      <c r="F996" s="2"/>
    </row>
    <row r="997" ht="15.75" customHeight="1">
      <c r="A997" s="2"/>
      <c r="B997" s="2"/>
      <c r="C997" s="2"/>
      <c r="D997" s="2"/>
      <c r="E997" s="2"/>
      <c r="F997" s="2"/>
    </row>
    <row r="998" ht="15.75" customHeight="1">
      <c r="A998" s="2"/>
      <c r="B998" s="2"/>
      <c r="C998" s="2"/>
      <c r="D998" s="2"/>
      <c r="E998" s="2"/>
      <c r="F998" s="2"/>
    </row>
    <row r="999" ht="15.75" customHeight="1">
      <c r="A999" s="2"/>
      <c r="B999" s="2"/>
      <c r="C999" s="2"/>
      <c r="D999" s="2"/>
      <c r="E999" s="2"/>
      <c r="F999" s="2"/>
    </row>
    <row r="1000" ht="15.75" customHeight="1">
      <c r="A1000" s="2"/>
      <c r="B1000" s="2"/>
      <c r="C1000" s="2"/>
      <c r="D1000" s="2"/>
      <c r="E1000" s="2"/>
      <c r="F1000" s="2"/>
    </row>
  </sheetData>
  <dataValidations>
    <dataValidation type="list" allowBlank="1" showErrorMessage="1" sqref="C2:C1000">
      <formula1>"Ações Listadas na B3,Ações Americanas,Futuros,Moedas,Títulos,Ações Europeias"</formula1>
    </dataValidation>
  </dataValidations>
  <hyperlinks>
    <hyperlink r:id="rId1" ref="A22"/>
  </hyperlinks>
  <printOptions/>
  <pageMargins bottom="1.0" footer="0.0" header="0.0" left="0.75" right="0.75" top="1.0"/>
  <pageSetup orientation="landscape"/>
  <drawing r:id="rId2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10.38"/>
    <col customWidth="1" min="2" max="2" width="14.0"/>
    <col customWidth="1" min="3" max="3" width="22.0"/>
    <col customWidth="1" min="4" max="4" width="16.63"/>
    <col customWidth="1" min="5" max="5" width="11.13"/>
    <col customWidth="1" min="6" max="9" width="15.0"/>
    <col customWidth="1" min="10" max="10" width="12.38"/>
    <col customWidth="1" min="11" max="11" width="13.5"/>
    <col customWidth="1" min="12" max="12" width="12.38"/>
    <col customWidth="1" min="13" max="13" width="18.75"/>
    <col customWidth="1" min="14" max="14" width="19.0"/>
    <col customWidth="1" min="15" max="16" width="14.38"/>
    <col customWidth="1" min="17" max="19" width="18.13"/>
    <col customWidth="1" min="20" max="21" width="14.38"/>
    <col customWidth="1" min="22" max="22" width="17.63"/>
    <col customWidth="1" min="23" max="23" width="22.88"/>
    <col customWidth="1" min="24" max="24" width="10.38"/>
    <col customWidth="1" min="25" max="25" width="11.75"/>
    <col customWidth="1" min="26" max="26" width="19.0"/>
    <col customWidth="1" min="27" max="27" width="11.38"/>
    <col customWidth="1" min="28" max="29" width="14.38"/>
  </cols>
  <sheetData>
    <row r="1" ht="15.75" customHeight="1">
      <c r="A1" s="27"/>
      <c r="B1" s="28"/>
      <c r="C1" s="28"/>
      <c r="D1" s="28"/>
      <c r="E1" s="28"/>
      <c r="F1" s="29"/>
      <c r="G1" s="29"/>
      <c r="H1" s="29"/>
      <c r="I1" s="30"/>
      <c r="J1" s="30"/>
      <c r="K1" s="30"/>
      <c r="L1" s="30"/>
      <c r="M1" s="31"/>
      <c r="N1" s="31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</row>
    <row r="2" ht="15.75" customHeight="1">
      <c r="A2" s="28"/>
      <c r="B2" s="32" t="s">
        <v>182</v>
      </c>
      <c r="C2" s="33" t="s">
        <v>183</v>
      </c>
      <c r="D2" s="33" t="s">
        <v>2</v>
      </c>
      <c r="E2" s="33" t="s">
        <v>184</v>
      </c>
      <c r="F2" s="33" t="s">
        <v>185</v>
      </c>
      <c r="G2" s="34" t="s">
        <v>186</v>
      </c>
      <c r="H2" s="34" t="s">
        <v>187</v>
      </c>
      <c r="I2" s="33" t="s">
        <v>3</v>
      </c>
      <c r="J2" s="33" t="s">
        <v>188</v>
      </c>
      <c r="K2" s="35" t="s">
        <v>189</v>
      </c>
      <c r="L2" s="35" t="s">
        <v>190</v>
      </c>
      <c r="M2" s="35" t="s">
        <v>191</v>
      </c>
      <c r="N2" s="36" t="s">
        <v>192</v>
      </c>
      <c r="O2" s="37" t="s">
        <v>193</v>
      </c>
      <c r="P2" s="38" t="s">
        <v>194</v>
      </c>
      <c r="Q2" s="39" t="str">
        <f>"Qtde Dia Controle"</f>
        <v>Qtde Dia Controle</v>
      </c>
      <c r="R2" s="39" t="s">
        <v>195</v>
      </c>
      <c r="S2" s="39" t="s">
        <v>196</v>
      </c>
      <c r="T2" s="40"/>
      <c r="U2" s="41" t="s">
        <v>197</v>
      </c>
      <c r="V2" s="42"/>
      <c r="W2" s="43">
        <f>W4-W5</f>
        <v>105601626.7</v>
      </c>
      <c r="X2" s="40"/>
      <c r="Y2" s="40"/>
      <c r="Z2" s="40"/>
      <c r="AA2" s="40"/>
      <c r="AB2" s="40"/>
      <c r="AC2" s="40"/>
    </row>
    <row r="3" ht="15.75" customHeight="1">
      <c r="A3" s="28"/>
      <c r="B3" s="44">
        <v>45006.0</v>
      </c>
      <c r="C3" s="45" t="s">
        <v>15</v>
      </c>
      <c r="D3" s="45" t="str">
        <f>IF(ISTEXT(C3),VLOOKUP(C3,'Cadastro dos Ativos'!$A$2:$C$1000,3,0),"")</f>
        <v>Ações Listadas na B3</v>
      </c>
      <c r="E3" s="45" t="s">
        <v>198</v>
      </c>
      <c r="F3" s="45" t="s">
        <v>199</v>
      </c>
      <c r="G3" s="46">
        <v>12.8</v>
      </c>
      <c r="H3" s="46" t="str">
        <f>if($D3="Ações Americanas", HLOOKUP("PTAX",'Histórico'!$A$1:$EL$983,MATCH(B3,'Histórico'!A:A)-1,""),"")</f>
        <v/>
      </c>
      <c r="I3" s="46" t="str">
        <f t="array" ref="I3">IF(ISTEXT(C3),xlookup(C3,'Cadastro dos Ativos'!$A$2:$A$1000,'Cadastro dos Ativos'!$D$2:$D$1000),"")</f>
        <v/>
      </c>
      <c r="J3" s="45">
        <v>1.0</v>
      </c>
      <c r="K3" s="47">
        <f t="array" ref="K3">if(and(J3&lt;&gt;"",D3&lt;&gt;"Futuros"),
if(F3=Controle!$C$2, M3/xlookup(workday(B3,-1,Feriados!A:A),Controle!$B$10:$B$1000,Controle!$C$10:$C$1000),
if(F3=Controle!$F$2, M3/xlookup(workday(B3,-1,Feriados!A:A),Controle!$B$10:$B$1000,Controle!$F$10:$F$1000),
if(F3=Controle!$I$2, M3/xlookup(workday(B3,-1,Feriados!A:A),Controle!$B$10:$B$1000,Controle!$I$10:$I$1000),
if(F3=Controle!$L$2, M3/xlookup(workday(B3,-1,Feriados!A:A),Controle!$B$10:$B$1000,Controle!$L$10:$L$1000),
)))),
if(and(J3&lt;&gt;"",D3="Futuros"),
if(F3=Controle!$C$2, N3/xlookup(workday(B3,-1,Feriados!A:A),Controle!$B$10:$B$1000,Controle!$C$10:$C$1000),
if(F3=Controle!$F$2, N3/xlookup(workday(B3,-1,Feriados!A:A),Controle!$B$10:$B$1000,Controle!$F$10:$F$1000),
if(F3=Controle!$I$2, N3/xlookup(workday(B3,-1,Feriados!A:A),Controle!$B$10:$B$1000,Controle!$I$10:$I$1000),
if(F3=Controle!$L$2, N3/xlookup(workday(B3,-1,Feriados!A:A),Controle!$B$10:$B$1000,Controle!$L$10:$L$1000),
)))),""))</f>
        <v>0.000000128</v>
      </c>
      <c r="L3" s="47">
        <f t="array" ref="L3">IF($J3&lt;&gt;"", IF($D3 = "Futuros" , $N3/xlookup(WORKDAY(B3,-1,Feriados!A:A),Controle!$B$10:$B$1000,Controle!$T$10:$T$1000) , $M3/xlookup(WORKDAY(B3,-1,Feriados!A:A),Controle!$B$10:$B$1000,Controle!$T$10:$T$1000)),"")</f>
        <v>0.000000032</v>
      </c>
      <c r="M3" s="48">
        <f t="shared" ref="M3:M49" si="1">IF($G3&lt;&gt;"",IF($D3="Ações Americanas",-$O3*$G3*$H3,-$O3*$G3),"")</f>
        <v>12.8</v>
      </c>
      <c r="N3" s="48" t="str">
        <f>IFERROR(IF(D3="Futuros",
IF(LEFT(C3,3)="DI1",G3*O3,
IF(LEFT(C3,3)="ISP",G3*O3*HLOOKUP("PTAX",'Histórico'!$A$1:$EL$983,MATCH(B3,'Histórico'!A:A),FALSE)*50,
IF(LEFT(C3,3)="WDO",10*G3*O3*HLOOKUP("PTAX",'Histórico'!$A$1:$EL$983,MATCH(B3,'Histórico'!A:A),FALSE),
IF(LEFT(C3,3)="DOL",50*G3*O3,
IF(LEFT(C3,3)="EUR",G3*O3*50,
IF(LEFT(C3,3)="WEU",G3*O3*10,
IF(LEFT(C3,3)="IND",G3*O3,
IF(LEFT(C3,3)="WIN",G3*O3*0.2,
IF(LEFT(C3,3)="T10",G3*O3*1000*HLOOKUP("PTAX",'Histórico'!$A$1:$EL$983,MATCH(B3,'Histórico'!A:A),FALSE),
IF(LEFT(C3,3)="CCM",G3*O3*450,
IF(LEFT(C3,3)="SJC",G3*O3*HLOOKUP("PTAX",'Histórico'!$A$1:$EL$983,MATCH(B3,'Histórico'!A:A),FALSE)*450,
IF(LEFT(C3,3)="BGI",G3*O3*330,
IF(LEFT(C3,3)="OZ1",G3*O3*250,
IF(LEFT(C3,3)="CLP",G3*O3*25,
IF(LEFT(C3,3)="EUP", O3*10000*HLOOKUP("EUR/BRL",'Histórico'!$A$1:$EL$983,MATCH(B3,'Histórico'!A:A),FALSE),
IF(LEFT(C3,3)="JSE", G3*O3*0.4,
IF(LEFT(C3,3)="GBP", O3*10000*HLOOKUP("GBP/BRL",'Histórico'!$A$1:$FG$983,MATCH(B3,'Histórico'!A:A),FALSE),
IF(LEFT(C3,3)="JAP",O3*10000*HLOOKUP("PTAX",'Histórico'!$A$1:$FG$983,MATCH(B3,'Histórico'!A:A),FALSE),
IF(LEFT(C3,3)="CNH",O3*10000*HLOOKUP("PTAX",'Histórico'!$A$1:$FG$983,MATCH(B3,'Histórico'!A:A),FALSE),
IF(LEFT(C3,3)="AUS",O3*10000*HLOOKUP("PTAX",'Histórico'!$A$1:$FG$983,MATCH(B3,'Histórico'!A:A),FALSE),
IF(LEFT(C3,3)="CAN",O3*10000*HLOOKUP("PTAX",'Histórico'!$A$1:$FG$983,MATCH(B3,'Histórico'!A:A),FALSE),
IF(LEFT(C3,3)="GBR",O3*10000*HLOOKUP("GBP/BRL",'Histórico'!$A$1:$FG$983,MATCH(B3,'Histórico'!A:A),FALSE),
IF(LEFT(C3,3)="MEX",O3*10000*HLOOKUP("PTAX",'Histórico'!$A$1:$FG$983,MATCH(B3,'Histórico'!A:A),FALSE),
IF(LEFT(C3,3)="CHL",O3*10000*HLOOKUP("PTAX",'Histórico'!$A$1:$FG$983,MATCH(B3,'Histórico'!A:A),FALSE)
)))))))))))))))))))))))),""))</f>
        <v/>
      </c>
      <c r="O3" s="49">
        <f t="shared" ref="O3:O401" si="2">IF($E3="C",$J3,IF($E3="V",-$J3,""))</f>
        <v>-1</v>
      </c>
      <c r="P3" s="50">
        <f>IF($C3&lt;&gt;"", SUMIFS($O$3:$O$1001, $C$3:$C$1001, $C3), "")</f>
        <v>-4</v>
      </c>
      <c r="Q3" s="51">
        <f>IF($C3&lt;&gt;"",SUMIFS($O$3:$O$401, $C$3:$C$401 ,$C3,$B$3:$B$401,"&lt;="&amp;Controle!$B$6),"")</f>
        <v>-4</v>
      </c>
      <c r="R3" s="51">
        <f>IF($D3&lt;&gt;"",SUMIFS($O$3:$O$401, $C$3:$C$401 ,$C3,$B$3:$B$401,"&lt;="&amp;Controle!$B$6,$F$3:$F$401,$F3),"")</f>
        <v>-1</v>
      </c>
      <c r="S3" s="51">
        <f>IF($D3&lt;&gt;"",SUMIFS($O$3:$O$401, $C$3:$C$401 ,$C3,$B$3:$B$401,"&lt;="&amp;'Controle D-1'!$B$6,$F$3:$F$401,$F3),"")</f>
        <v>-1</v>
      </c>
      <c r="T3" s="40"/>
      <c r="U3" s="52"/>
      <c r="V3" s="2"/>
      <c r="W3" s="53"/>
      <c r="X3" s="40"/>
      <c r="Y3" s="40"/>
      <c r="Z3" s="40"/>
      <c r="AA3" s="40"/>
      <c r="AB3" s="40"/>
      <c r="AC3" s="40"/>
    </row>
    <row r="4" ht="15.75" customHeight="1">
      <c r="A4" s="28"/>
      <c r="B4" s="54">
        <v>45006.0</v>
      </c>
      <c r="C4" s="45" t="s">
        <v>15</v>
      </c>
      <c r="D4" s="45" t="str">
        <f>IF(ISTEXT(C4),VLOOKUP(C4,'Cadastro dos Ativos'!$A$2:$C$1000,3,0),"")</f>
        <v>Ações Listadas na B3</v>
      </c>
      <c r="E4" s="45" t="s">
        <v>198</v>
      </c>
      <c r="F4" s="45" t="s">
        <v>200</v>
      </c>
      <c r="G4" s="46">
        <v>12.8</v>
      </c>
      <c r="H4" s="46" t="str">
        <f>if($D4="Ações Americanas", HLOOKUP("PTAX",'Histórico'!$A$1:$EL$983,MATCH(B4,'Histórico'!A:A)-1,""),"")</f>
        <v/>
      </c>
      <c r="I4" s="45" t="str">
        <f t="array" ref="I4">IF(ISTEXT(C4),xlookup(C4,'Cadastro dos Ativos'!$A$2:$A$1000,'Cadastro dos Ativos'!$D$2:$D$1000),"")</f>
        <v/>
      </c>
      <c r="J4" s="45">
        <v>1.0</v>
      </c>
      <c r="K4" s="47">
        <f t="array" ref="K4">if(and(J4&lt;&gt;"",D4&lt;&gt;"Futuros"),
if(F4=Controle!$C$2, M4/xlookup(workday(B4,-1,Feriados!A:A),Controle!$B$10:$B$1000,Controle!$C$10:$C$1000),
if(F4=Controle!$F$2, M4/xlookup(workday(B4,-1,Feriados!A:A),Controle!$B$10:$B$1000,Controle!$F$10:$F$1000),
if(F4=Controle!$I$2, M4/xlookup(workday(B4,-1,Feriados!A:A),Controle!$B$10:$B$1000,Controle!$I$10:$I$1000),
if(F4=Controle!$L$2, M4/xlookup(workday(B4,-1,Feriados!A:A),Controle!$B$10:$B$1000,Controle!$L$10:$L$1000),
)))),
if(and(J4&lt;&gt;"",D4="Futuros"),
if(F4=Controle!$C$2, N4/xlookup(workday(B4,-1,Feriados!A:A),Controle!$B$10:$B$1000,Controle!$C$10:$C$1000),
if(F4=Controle!$F$2, N4/xlookup(workday(B4,-1,Feriados!A:A),Controle!$B$10:$B$1000,Controle!$F$10:$F$1000),
if(F4=Controle!$I$2, N4/xlookup(workday(B4,-1,Feriados!A:A),Controle!$B$10:$B$1000,Controle!$I$10:$I$1000),
if(F4=Controle!$L$2, N4/xlookup(workday(B4,-1,Feriados!A:A),Controle!$B$10:$B$1000,Controle!$L$10:$L$1000),
)))),""))</f>
        <v>0.000000128</v>
      </c>
      <c r="L4" s="47">
        <f t="array" ref="L4">IF($J4&lt;&gt;"", IF($D4 = "Futuros" , $N4/xlookup(WORKDAY(B4,-1,Feriados!A:A),Controle!$B$10:$B$1000,Controle!$T$10:$T$1000) , $M4/xlookup(WORKDAY(B4,-1,Feriados!A:A),Controle!$B$10:$B$1000,Controle!$T$10:$T$1000)),"")</f>
        <v>0.000000032</v>
      </c>
      <c r="M4" s="48">
        <f t="shared" si="1"/>
        <v>12.8</v>
      </c>
      <c r="N4" s="48" t="str">
        <f>IFERROR(IF(D4="Futuros",
IF(LEFT(C4,3)="DI1",G4*O4,
IF(LEFT(C4,3)="ISP",G4*O4*HLOOKUP("PTAX",'Histórico'!$A$1:$EL$983,MATCH(B4,'Histórico'!A:A),FALSE)*50,
IF(LEFT(C4,3)="WDO",10*G4*O4*HLOOKUP("PTAX",'Histórico'!$A$1:$EL$983,MATCH(B4,'Histórico'!A:A),FALSE),
IF(LEFT(C4,3)="DOL",50*G4*O4,
IF(LEFT(C4,3)="EUR",G4*O4*50,
IF(LEFT(C4,3)="WEU",G4*O4*10,
IF(LEFT(C4,3)="IND",G4*O4,
IF(LEFT(C4,3)="WIN",G4*O4*0.2,
IF(LEFT(C4,3)="T10",G4*O4*1000*HLOOKUP("PTAX",'Histórico'!$A$1:$EL$983,MATCH(B4,'Histórico'!A:A),FALSE),
IF(LEFT(C4,3)="CCM",G4*O4*450,
IF(LEFT(C4,3)="SJC",G4*O4*HLOOKUP("PTAX",'Histórico'!$A$1:$EL$983,MATCH(B4,'Histórico'!A:A),FALSE)*450,
IF(LEFT(C4,3)="BGI",G4*O4*330,
IF(LEFT(C4,3)="OZ1",G4*O4*250,
IF(LEFT(C4,3)="CLP",G4*O4*25,
IF(LEFT(C4,3)="EUP", O4*10000*HLOOKUP("EUR/BRL",'Histórico'!$A$1:$EL$983,MATCH(B4,'Histórico'!A:A),FALSE),
IF(LEFT(C4,3)="JSE", G4*O4*0.4,
IF(LEFT(C4,3)="GBP", O4*10000*HLOOKUP("GBP/BRL",'Histórico'!$A$1:$FG$983,MATCH(B4,'Histórico'!A:A),FALSE),
IF(LEFT(C4,3)="JAP",O4*10000*HLOOKUP("PTAX",'Histórico'!$A$1:$FG$983,MATCH(B4,'Histórico'!A:A),FALSE),
IF(LEFT(C4,3)="CNH",O4*10000*HLOOKUP("PTAX",'Histórico'!$A$1:$FG$983,MATCH(B4,'Histórico'!A:A),FALSE),
IF(LEFT(C4,3)="AUS",O4*10000*HLOOKUP("PTAX",'Histórico'!$A$1:$FG$983,MATCH(B4,'Histórico'!A:A),FALSE),
IF(LEFT(C4,3)="CAN",O4*10000*HLOOKUP("PTAX",'Histórico'!$A$1:$FG$983,MATCH(B4,'Histórico'!A:A),FALSE),
IF(LEFT(C4,3)="GBR",O4*10000*HLOOKUP("GBP/BRL",'Histórico'!$A$1:$FG$983,MATCH(B4,'Histórico'!A:A),FALSE),
IF(LEFT(C4,3)="MEX",O4*10000*HLOOKUP("PTAX",'Histórico'!$A$1:$FG$983,MATCH(B4,'Histórico'!A:A),FALSE),
IF(LEFT(C4,3)="CHL",O4*10000*HLOOKUP("PTAX",'Histórico'!$A$1:$FG$983,MATCH(B4,'Histórico'!A:A),FALSE)
)))))))))))))))))))))))),""))</f>
        <v/>
      </c>
      <c r="O4" s="49">
        <f t="shared" si="2"/>
        <v>-1</v>
      </c>
      <c r="P4" s="50">
        <f t="shared" ref="P4:P116" si="3">IF($C4&lt;&gt;"", SUMIFS($O$3:$O$1001, $C$3:$C$1001, $C4,$F$3:$F$1001,F4), "")</f>
        <v>-1</v>
      </c>
      <c r="Q4" s="51">
        <f>IF($C4&lt;&gt;"",SUMIFS($O$3:$O$401, $C$3:$C$401 ,$C4,$B$3:$B$401,"&lt;="&amp;Controle!$B$6),"")</f>
        <v>-4</v>
      </c>
      <c r="R4" s="51">
        <f>IF($D4&lt;&gt;"",SUMIFS($O$3:$O$401, $C$3:$C$401 ,$C4,$B$3:$B$401,"&lt;="&amp;Controle!$B$6,$F$3:$F$401,$F4),"")</f>
        <v>-1</v>
      </c>
      <c r="S4" s="51">
        <f>IF($D4&lt;&gt;"",SUMIFS($O$3:$O$401, $C$3:$C$401 ,$C4,$B$3:$B$401,"&lt;="&amp;'Controle D-1'!$B$6,$F$3:$F$401,$F4),"")</f>
        <v>-1</v>
      </c>
      <c r="T4" s="40"/>
      <c r="U4" s="55" t="str">
        <f>"Caixa Dia "&amp;DAY(MAX('Histórico'!$A:$A))&amp;"/"&amp;MONTH(MAX('Histórico'!$A:$A))&amp;" :"</f>
        <v>Caixa Dia 1/9 :</v>
      </c>
      <c r="V4" s="56"/>
      <c r="W4" s="57">
        <f>VLOOKUP(MAX('Histórico'!$A:$A), Controle!$B$8:$I1000, 6, FALSE)</f>
        <v>104364886.6</v>
      </c>
      <c r="X4" s="40"/>
      <c r="Y4" s="40"/>
      <c r="Z4" s="40"/>
      <c r="AA4" s="40"/>
      <c r="AB4" s="40"/>
      <c r="AC4" s="40"/>
    </row>
    <row r="5" ht="15.75" customHeight="1">
      <c r="A5" s="28"/>
      <c r="B5" s="58">
        <v>45006.0</v>
      </c>
      <c r="C5" s="45" t="s">
        <v>15</v>
      </c>
      <c r="D5" s="45" t="str">
        <f>IF(ISTEXT(C5),VLOOKUP(C5,'Cadastro dos Ativos'!$A$2:$C$1000,3,0),"")</f>
        <v>Ações Listadas na B3</v>
      </c>
      <c r="E5" s="45" t="s">
        <v>198</v>
      </c>
      <c r="F5" s="45" t="s">
        <v>201</v>
      </c>
      <c r="G5" s="46">
        <v>12.8</v>
      </c>
      <c r="H5" s="46" t="str">
        <f>if($D5="Ações Americanas", HLOOKUP("PTAX",'Histórico'!$A$1:$EL$983,MATCH(B5,'Histórico'!A:A)-1,""),"")</f>
        <v/>
      </c>
      <c r="I5" s="46" t="str">
        <f t="array" ref="I5">IF(ISTEXT(C5),xlookup(C5,'Cadastro dos Ativos'!$A$2:$A$1000,'Cadastro dos Ativos'!$D$2:$D$1000),"")</f>
        <v/>
      </c>
      <c r="J5" s="45">
        <v>1.0</v>
      </c>
      <c r="K5" s="47">
        <f t="array" ref="K5">if(and(J5&lt;&gt;"",D5&lt;&gt;"Futuros"),
if(F5=Controle!$C$2, M5/xlookup(workday(B5,-1,Feriados!A:A),Controle!$B$10:$B$1000,Controle!$C$10:$C$1000),
if(F5=Controle!$F$2, M5/xlookup(workday(B5,-1,Feriados!A:A),Controle!$B$10:$B$1000,Controle!$F$10:$F$1000),
if(F5=Controle!$I$2, M5/xlookup(workday(B5,-1,Feriados!A:A),Controle!$B$10:$B$1000,Controle!$I$10:$I$1000),
if(F5=Controle!$L$2, M5/xlookup(workday(B5,-1,Feriados!A:A),Controle!$B$10:$B$1000,Controle!$L$10:$L$1000),
)))),
if(and(J5&lt;&gt;"",D5="Futuros"),
if(F5=Controle!$C$2, N5/xlookup(workday(B5,-1,Feriados!A:A),Controle!$B$10:$B$1000,Controle!$C$10:$C$1000),
if(F5=Controle!$F$2, N5/xlookup(workday(B5,-1,Feriados!A:A),Controle!$B$10:$B$1000,Controle!$F$10:$F$1000),
if(F5=Controle!$I$2, N5/xlookup(workday(B5,-1,Feriados!A:A),Controle!$B$10:$B$1000,Controle!$I$10:$I$1000),
if(F5=Controle!$L$2, N5/xlookup(workday(B5,-1,Feriados!A:A),Controle!$B$10:$B$1000,Controle!$L$10:$L$1000),
)))),""))</f>
        <v>0.000000128</v>
      </c>
      <c r="L5" s="47">
        <f t="array" ref="L5">IF($J5&lt;&gt;"", IF($D5 = "Futuros" , $N5/xlookup(WORKDAY(B5,-1,Feriados!A:A),Controle!$B$10:$B$1000,Controle!$T$10:$T$1000) , $M5/xlookup(WORKDAY(B5,-1,Feriados!A:A),Controle!$B$10:$B$1000,Controle!$T$10:$T$1000)),"")</f>
        <v>0.000000032</v>
      </c>
      <c r="M5" s="48">
        <f t="shared" si="1"/>
        <v>12.8</v>
      </c>
      <c r="N5" s="48" t="str">
        <f>IFERROR(IF(D5="Futuros",
IF(LEFT(C5,3)="DI1",G5*O5,
IF(LEFT(C5,3)="ISP",G5*O5*HLOOKUP("PTAX",'Histórico'!$A$1:$EL$983,MATCH(B5,'Histórico'!A:A),FALSE)*50,
IF(LEFT(C5,3)="WDO",10*G5*O5*HLOOKUP("PTAX",'Histórico'!$A$1:$EL$983,MATCH(B5,'Histórico'!A:A),FALSE),
IF(LEFT(C5,3)="DOL",50*G5*O5,
IF(LEFT(C5,3)="EUR",G5*O5*50,
IF(LEFT(C5,3)="WEU",G5*O5*10,
IF(LEFT(C5,3)="IND",G5*O5,
IF(LEFT(C5,3)="WIN",G5*O5*0.2,
IF(LEFT(C5,3)="T10",G5*O5*1000*HLOOKUP("PTAX",'Histórico'!$A$1:$EL$983,MATCH(B5,'Histórico'!A:A),FALSE),
IF(LEFT(C5,3)="CCM",G5*O5*450,
IF(LEFT(C5,3)="SJC",G5*O5*HLOOKUP("PTAX",'Histórico'!$A$1:$EL$983,MATCH(B5,'Histórico'!A:A),FALSE)*450,
IF(LEFT(C5,3)="BGI",G5*O5*330,
IF(LEFT(C5,3)="OZ1",G5*O5*250,
IF(LEFT(C5,3)="CLP",G5*O5*25,
IF(LEFT(C5,3)="EUP", O5*10000*HLOOKUP("EUR/BRL",'Histórico'!$A$1:$EL$983,MATCH(B5,'Histórico'!A:A),FALSE),
IF(LEFT(C5,3)="JSE", G5*O5*0.4,
IF(LEFT(C5,3)="GBP", O5*10000*HLOOKUP("GBP/BRL",'Histórico'!$A$1:$FG$983,MATCH(B5,'Histórico'!A:A),FALSE),
IF(LEFT(C5,3)="JAP",O5*10000*HLOOKUP("PTAX",'Histórico'!$A$1:$FG$983,MATCH(B5,'Histórico'!A:A),FALSE),
IF(LEFT(C5,3)="CNH",O5*10000*HLOOKUP("PTAX",'Histórico'!$A$1:$FG$983,MATCH(B5,'Histórico'!A:A),FALSE),
IF(LEFT(C5,3)="AUS",O5*10000*HLOOKUP("PTAX",'Histórico'!$A$1:$FG$983,MATCH(B5,'Histórico'!A:A),FALSE),
IF(LEFT(C5,3)="CAN",O5*10000*HLOOKUP("PTAX",'Histórico'!$A$1:$FG$983,MATCH(B5,'Histórico'!A:A),FALSE),
IF(LEFT(C5,3)="GBR",O5*10000*HLOOKUP("GBP/BRL",'Histórico'!$A$1:$FG$983,MATCH(B5,'Histórico'!A:A),FALSE),
IF(LEFT(C5,3)="MEX",O5*10000*HLOOKUP("PTAX",'Histórico'!$A$1:$FG$983,MATCH(B5,'Histórico'!A:A),FALSE),
IF(LEFT(C5,3)="CHL",O5*10000*HLOOKUP("PTAX",'Histórico'!$A$1:$FG$983,MATCH(B5,'Histórico'!A:A),FALSE)
)))))))))))))))))))))))),""))</f>
        <v/>
      </c>
      <c r="O5" s="49">
        <f t="shared" si="2"/>
        <v>-1</v>
      </c>
      <c r="P5" s="50">
        <f t="shared" si="3"/>
        <v>-1</v>
      </c>
      <c r="Q5" s="51">
        <f>IF($C5&lt;&gt;"",SUMIFS($O$3:$O$401, $C$3:$C$401 ,$C5,$B$3:$B$401,"&lt;="&amp;Controle!$B$6),"")</f>
        <v>-4</v>
      </c>
      <c r="R5" s="51">
        <f>IF($D5&lt;&gt;"",SUMIFS($O$3:$O$401, $C$3:$C$401 ,$C5,$B$3:$B$401,"&lt;="&amp;Controle!$B$6,$F$3:$F$401,$F5),"")</f>
        <v>-1</v>
      </c>
      <c r="S5" s="51">
        <f>IF($D5&lt;&gt;"",SUMIFS($O$3:$O$401, $C$3:$C$401 ,$C5,$B$3:$B$401,"&lt;="&amp;'Controle D-1'!$B$6,$F$3:$F$401,$F5),"")</f>
        <v>-1</v>
      </c>
      <c r="T5" s="40"/>
      <c r="U5" s="59" t="s">
        <v>202</v>
      </c>
      <c r="V5" s="60"/>
      <c r="W5" s="61">
        <f>SUMIFS($M:$M, $B:$B, Controle!$B$6)</f>
        <v>-1236740.175</v>
      </c>
      <c r="X5" s="40"/>
      <c r="Y5" s="40"/>
      <c r="Z5" s="40"/>
      <c r="AA5" s="40"/>
      <c r="AB5" s="40"/>
      <c r="AC5" s="40"/>
    </row>
    <row r="6" ht="15.75" customHeight="1">
      <c r="A6" s="28"/>
      <c r="B6" s="54">
        <v>45016.0</v>
      </c>
      <c r="C6" s="45" t="s">
        <v>19</v>
      </c>
      <c r="D6" s="45" t="s">
        <v>9</v>
      </c>
      <c r="E6" s="45" t="s">
        <v>198</v>
      </c>
      <c r="F6" s="45" t="s">
        <v>200</v>
      </c>
      <c r="G6" s="46">
        <v>31.799999</v>
      </c>
      <c r="H6" s="46">
        <f>if($D6="Ações Americanas", HLOOKUP("PTAX",'Histórico'!$A$1:$EL$983,MATCH(B6,'Histórico'!A:A)-1,""),"")</f>
        <v>5.134200096</v>
      </c>
      <c r="I6" s="45"/>
      <c r="J6" s="45">
        <v>100000.0</v>
      </c>
      <c r="K6" s="47">
        <f t="array" ref="K6">if(and(J6&lt;&gt;"",D6&lt;&gt;"Futuros"),
if(F6=Controle!$C$2, M6/xlookup(workday(B6,-1,Feriados!A:A),Controle!$B$10:$B$1000,Controle!$C$10:$C$1000),
if(F6=Controle!$F$2, M6/xlookup(workday(B6,-1,Feriados!A:A),Controle!$B$10:$B$1000,Controle!$F$10:$F$1000),
if(F6=Controle!$I$2, M6/xlookup(workday(B6,-1,Feriados!A:A),Controle!$B$10:$B$1000,Controle!$I$10:$I$1000),
if(F6=Controle!$L$2, M6/xlookup(workday(B6,-1,Feriados!A:A),Controle!$B$10:$B$1000,Controle!$L$10:$L$1000),
)))),
if(and(J6&lt;&gt;"",D6="Futuros"),
if(F6=Controle!$C$2, N6/xlookup(workday(B6,-1,Feriados!A:A),Controle!$B$10:$B$1000,Controle!$C$10:$C$1000),
if(F6=Controle!$F$2, N6/xlookup(workday(B6,-1,Feriados!A:A),Controle!$B$10:$B$1000,Controle!$F$10:$F$1000),
if(F6=Controle!$I$2, N6/xlookup(workday(B6,-1,Feriados!A:A),Controle!$B$10:$B$1000,Controle!$I$10:$I$1000),
if(F6=Controle!$L$2, N6/xlookup(workday(B6,-1,Feriados!A:A),Controle!$B$10:$B$1000,Controle!$L$10:$L$1000),
)))),""))</f>
        <v>0.1626561198</v>
      </c>
      <c r="L6" s="47">
        <f t="array" ref="L6">IF($J6&lt;&gt;"", IF($D6 = "Futuros" , $N6/xlookup(WORKDAY(B6,-1,Feriados!A:A),Controle!$B$10:$B$1000,Controle!$T$10:$T$1000) , $M6/xlookup(WORKDAY(B6,-1,Feriados!A:A),Controle!$B$10:$B$1000,Controle!$T$10:$T$1000)),"")</f>
        <v>0.04067040853</v>
      </c>
      <c r="M6" s="48">
        <f t="shared" si="1"/>
        <v>16326755.79</v>
      </c>
      <c r="N6" s="48" t="str">
        <f>IFERROR(IF(D6="Futuros",
IF(LEFT(C6,3)="DI1",G6*O6,
IF(LEFT(C6,3)="ISP",G6*O6*HLOOKUP("PTAX",'Histórico'!$A$1:$EL$983,MATCH(B6,'Histórico'!A:A),FALSE)*50,
IF(LEFT(C6,3)="WDO",10*G6*O6*HLOOKUP("PTAX",'Histórico'!$A$1:$EL$983,MATCH(B6,'Histórico'!A:A),FALSE),
IF(LEFT(C6,3)="DOL",50*G6*O6,
IF(LEFT(C6,3)="EUR",G6*O6*50,
IF(LEFT(C6,3)="WEU",G6*O6*10,
IF(LEFT(C6,3)="IND",G6*O6,
IF(LEFT(C6,3)="WIN",G6*O6*0.2,
IF(LEFT(C6,3)="T10",G6*O6*1000*HLOOKUP("PTAX",'Histórico'!$A$1:$EL$983,MATCH(B6,'Histórico'!A:A),FALSE),
IF(LEFT(C6,3)="CCM",G6*O6*450,
IF(LEFT(C6,3)="SJC",G6*O6*HLOOKUP("PTAX",'Histórico'!$A$1:$EL$983,MATCH(B6,'Histórico'!A:A),FALSE)*450,
IF(LEFT(C6,3)="BGI",G6*O6*330,
IF(LEFT(C6,3)="OZ1",G6*O6*250,
IF(LEFT(C6,3)="CLP",G6*O6*25,
IF(LEFT(C6,3)="EUP", O6*10000*HLOOKUP("EUR/BRL",'Histórico'!$A$1:$EL$983,MATCH(B6,'Histórico'!A:A),FALSE),
IF(LEFT(C6,3)="JSE", G6*O6*0.4,
IF(LEFT(C6,3)="GBP", O6*10000*HLOOKUP("GBP/BRL",'Histórico'!$A$1:$FG$983,MATCH(B6,'Histórico'!A:A),FALSE),
IF(LEFT(C6,3)="JAP",O6*10000*HLOOKUP("PTAX",'Histórico'!$A$1:$FG$983,MATCH(B6,'Histórico'!A:A),FALSE),
IF(LEFT(C6,3)="CNH",O6*10000*HLOOKUP("PTAX",'Histórico'!$A$1:$FG$983,MATCH(B6,'Histórico'!A:A),FALSE),
IF(LEFT(C6,3)="AUS",O6*10000*HLOOKUP("PTAX",'Histórico'!$A$1:$FG$983,MATCH(B6,'Histórico'!A:A),FALSE),
IF(LEFT(C6,3)="CAN",O6*10000*HLOOKUP("PTAX",'Histórico'!$A$1:$FG$983,MATCH(B6,'Histórico'!A:A),FALSE),
IF(LEFT(C6,3)="GBR",O6*10000*HLOOKUP("GBP/BRL",'Histórico'!$A$1:$FG$983,MATCH(B6,'Histórico'!A:A),FALSE),
IF(LEFT(C6,3)="MEX",O6*10000*HLOOKUP("PTAX",'Histórico'!$A$1:$FG$983,MATCH(B6,'Histórico'!A:A),FALSE),
IF(LEFT(C6,3)="CHL",O6*10000*HLOOKUP("PTAX",'Histórico'!$A$1:$FG$983,MATCH(B6,'Histórico'!A:A),FALSE)
)))))))))))))))))))))))),""))</f>
        <v/>
      </c>
      <c r="O6" s="49">
        <f t="shared" si="2"/>
        <v>-100000</v>
      </c>
      <c r="P6" s="50">
        <f t="shared" si="3"/>
        <v>0</v>
      </c>
      <c r="Q6" s="51">
        <f>IF($C6&lt;&gt;"",SUMIFS($O$3:$O$401, $C$3:$C$401 ,$C6,$B$3:$B$401,"&lt;="&amp;Controle!$B$6),"")</f>
        <v>0</v>
      </c>
      <c r="R6" s="51">
        <f>IF($D6&lt;&gt;"",SUMIFS($O$3:$O$401, $C$3:$C$401 ,$C6,$B$3:$B$401,"&lt;="&amp;Controle!$B$6,$F$3:$F$401,$F6),"")</f>
        <v>0</v>
      </c>
      <c r="S6" s="51">
        <f>IF($D6&lt;&gt;"",SUMIFS($O$3:$O$401, $C$3:$C$401 ,$C6,$B$3:$B$401,"&lt;="&amp;'Controle D-1'!$B$6,$F$3:$F$401,$F6),"")</f>
        <v>0</v>
      </c>
      <c r="T6" s="40"/>
      <c r="U6" s="40"/>
      <c r="V6" s="40"/>
      <c r="W6" s="40"/>
      <c r="X6" s="40"/>
      <c r="Y6" s="2"/>
      <c r="Z6" s="2"/>
      <c r="AA6" s="40"/>
      <c r="AB6" s="40"/>
      <c r="AC6" s="40"/>
    </row>
    <row r="7" ht="15.75" customHeight="1">
      <c r="A7" s="28"/>
      <c r="B7" s="54">
        <v>45016.0</v>
      </c>
      <c r="C7" s="45" t="s">
        <v>23</v>
      </c>
      <c r="D7" s="45" t="s">
        <v>12</v>
      </c>
      <c r="E7" s="45" t="s">
        <v>198</v>
      </c>
      <c r="F7" s="45" t="s">
        <v>200</v>
      </c>
      <c r="G7" s="46"/>
      <c r="H7" s="46" t="str">
        <f>if($D7="Ações Americanas", HLOOKUP("PTAX",'Histórico'!$A$1:$EL$983,MATCH(B7,'Histórico'!A:A),""),"")</f>
        <v/>
      </c>
      <c r="I7" s="62">
        <f t="array" ref="I7">IF(ISTEXT(C7),xlookup(C7,'Cadastro dos Ativos'!$A$2:$A$1000,'Cadastro dos Ativos'!$D$2:$D$1000),"")</f>
        <v>45048</v>
      </c>
      <c r="J7" s="45">
        <v>1080.0</v>
      </c>
      <c r="K7" s="47">
        <f t="array" ref="K7">if(and(J7&lt;&gt;"",D7&lt;&gt;"Futuros"),
if(F7=Controle!$C$2, M7/xlookup(workday(B7,-1,Feriados!A:A),Controle!$B$10:$B$1000,Controle!$C$10:$C$1000),
if(F7=Controle!$F$2, M7/xlookup(workday(B7,-1,Feriados!A:A),Controle!$B$10:$B$1000,Controle!$F$10:$F$1000),
if(F7=Controle!$I$2, M7/xlookup(workday(B7,-1,Feriados!A:A),Controle!$B$10:$B$1000,Controle!$I$10:$I$1000),
if(F7=Controle!$L$2, M7/xlookup(workday(B7,-1,Feriados!A:A),Controle!$B$10:$B$1000,Controle!$L$10:$L$1000),
)))),
if(and(J7&lt;&gt;"",D7="Futuros"),
if(F7=Controle!$C$2, N7/xlookup(workday(B7,-1,Feriados!A:A),Controle!$B$10:$B$1000,Controle!$C$10:$C$1000),
if(F7=Controle!$F$2, N7/xlookup(workday(B7,-1,Feriados!A:A),Controle!$B$10:$B$1000,Controle!$F$10:$F$1000),
if(F7=Controle!$I$2, N7/xlookup(workday(B7,-1,Feriados!A:A),Controle!$B$10:$B$1000,Controle!$I$10:$I$1000),
if(F7=Controle!$L$2, N7/xlookup(workday(B7,-1,Feriados!A:A),Controle!$B$10:$B$1000,Controle!$L$10:$L$1000),
)))),""))</f>
        <v>-0.5479518033</v>
      </c>
      <c r="L7" s="47">
        <f t="array" ref="L7">IF($J7&lt;&gt;"", IF($D7 = "Futuros" , $N7/xlookup(WORKDAY(B7,-1,Feriados!A:A),Controle!$B$10:$B$1000,Controle!$T$10:$T$1000) , $M7/xlookup(WORKDAY(B7,-1,Feriados!A:A),Controle!$B$10:$B$1000,Controle!$T$10:$T$1000)),"")</f>
        <v>-0.1370094388</v>
      </c>
      <c r="M7" s="48" t="str">
        <f t="shared" si="1"/>
        <v/>
      </c>
      <c r="N7" s="48">
        <f>IFERROR(IF(D7="Futuros",
IF(LEFT(C7,3)="DI1",G7*O7,
IF(LEFT(C7,3)="ISP",G7*O7*HLOOKUP("PTAX",'Histórico'!$A$1:$EL$983,MATCH(B7,'Histórico'!A:A),FALSE)*50,
IF(LEFT(C7,3)="WDO",10*G7*O7*HLOOKUP("PTAX",'Histórico'!$A$1:$EL$983,MATCH(B7,'Histórico'!A:A),FALSE),
IF(LEFT(C7,3)="DOL",50*G7*O7,
IF(LEFT(C7,3)="EUR",G7*O7*50,
IF(LEFT(C7,3)="WEU",G7*O7*10,
IF(LEFT(C7,3)="IND",G7*O7,
IF(LEFT(C7,3)="WIN",G7*O7*0.2,
IF(LEFT(C7,3)="T10",G7*O7*1000*HLOOKUP("PTAX",'Histórico'!$A$1:$EL$983,MATCH(B7,'Histórico'!A:A),FALSE),
IF(LEFT(C7,3)="CCM",G7*O7*450,
IF(LEFT(C7,3)="SJC",G7*O7*HLOOKUP("PTAX",'Histórico'!$A$1:$EL$983,MATCH(B7,'Histórico'!A:A),FALSE)*450,
IF(LEFT(C7,3)="BGI",G7*O7*330,
IF(LEFT(C7,3)="OZ1",G7*O7*250,
IF(LEFT(C7,3)="CLP",G7*O7*25,
IF(LEFT(C7,3)="EUP", O7*10000*HLOOKUP("EUR/BRL",'Histórico'!$A$1:$EL$983,MATCH(B7,'Histórico'!A:A),FALSE),
IF(LEFT(C7,3)="JSE", G7*O7*0.4,
IF(LEFT(C7,3)="GBP", O7*10000*HLOOKUP("GBP/BRL",'Histórico'!$A$1:$FG$983,MATCH(B7,'Histórico'!A:A),FALSE),
IF(LEFT(C7,3)="JAP",O7*10000*HLOOKUP("PTAX",'Histórico'!$A$1:$FG$983,MATCH(B7,'Histórico'!A:A),FALSE),
IF(LEFT(C7,3)="CNH",O7*10000*HLOOKUP("PTAX",'Histórico'!$A$1:$FG$983,MATCH(B7,'Histórico'!A:A),FALSE),
IF(LEFT(C7,3)="AUS",O7*10000*HLOOKUP("PTAX",'Histórico'!$A$1:$FG$983,MATCH(B7,'Histórico'!A:A),FALSE),
IF(LEFT(C7,3)="CAN",O7*10000*HLOOKUP("PTAX",'Histórico'!$A$1:$FG$983,MATCH(B7,'Histórico'!A:A),FALSE),
IF(LEFT(C7,3)="GBR",O7*10000*HLOOKUP("GBP/BRL",'Histórico'!$A$1:$FG$983,MATCH(B7,'Histórico'!A:A),FALSE),
IF(LEFT(C7,3)="MEX",O7*10000*HLOOKUP("PTAX",'Histórico'!$A$1:$FG$983,MATCH(B7,'Histórico'!A:A),FALSE),
IF(LEFT(C7,3)="CHL",O7*10000*HLOOKUP("PTAX",'Histórico'!$A$1:$FG$983,MATCH(B7,'Histórico'!A:A),FALSE)
)))))))))))))))))))))))),""))</f>
        <v>-55001160.05</v>
      </c>
      <c r="O7" s="49">
        <f t="shared" si="2"/>
        <v>-1080</v>
      </c>
      <c r="P7" s="50">
        <f t="shared" si="3"/>
        <v>0</v>
      </c>
      <c r="Q7" s="51">
        <f>IF($C7&lt;&gt;"",SUMIFS($O$3:$O$401, $C$3:$C$401 ,$C7,$B$3:$B$401,"&lt;="&amp;Controle!$B$6),"")</f>
        <v>0</v>
      </c>
      <c r="R7" s="51">
        <f>IF($D7&lt;&gt;"",SUMIFS($O$3:$O$401, $C$3:$C$401 ,$C7,$B$3:$B$401,"&lt;="&amp;Controle!$B$6,$F$3:$F$401,$F7),"")</f>
        <v>0</v>
      </c>
      <c r="S7" s="51">
        <f>IF($D7&lt;&gt;"",SUMIFS($O$3:$O$401, $C$3:$C$401 ,$C7,$B$3:$B$401,"&lt;="&amp;'Controle D-1'!$B$6,$F$3:$F$401,$F7),"")</f>
        <v>0</v>
      </c>
      <c r="T7" s="40"/>
      <c r="U7" s="63" t="s">
        <v>203</v>
      </c>
      <c r="V7" s="42"/>
      <c r="W7" s="42"/>
      <c r="X7" s="40"/>
      <c r="Y7" s="2"/>
      <c r="Z7" s="2"/>
      <c r="AA7" s="40"/>
      <c r="AB7" s="40"/>
      <c r="AC7" s="40"/>
    </row>
    <row r="8" ht="15.75" customHeight="1">
      <c r="A8" s="28"/>
      <c r="B8" s="44">
        <v>45016.0</v>
      </c>
      <c r="C8" s="45" t="s">
        <v>21</v>
      </c>
      <c r="D8" s="45" t="s">
        <v>12</v>
      </c>
      <c r="E8" s="45" t="s">
        <v>198</v>
      </c>
      <c r="F8" s="45" t="s">
        <v>200</v>
      </c>
      <c r="G8" s="46"/>
      <c r="H8" s="46" t="str">
        <f>if($D8="Ações Americanas", HLOOKUP("PTAX",'Histórico'!$A$1:$EL$983,MATCH(B8,'Histórico'!A:A),""),"")</f>
        <v/>
      </c>
      <c r="I8" s="62">
        <f t="array" ref="I8">IF(ISTEXT(C8),xlookup(C8,'Cadastro dos Ativos'!$A$2:$A$1000,'Cadastro dos Ativos'!$D$2:$D$1000),"")</f>
        <v>45048</v>
      </c>
      <c r="J8" s="45">
        <v>490.0</v>
      </c>
      <c r="K8" s="47">
        <f t="array" ref="K8">if(and(J8&lt;&gt;"",D8&lt;&gt;"Futuros"),
if(F8=Controle!$C$2, M8/xlookup(workday(B8,-1,Feriados!A:A),Controle!$B$10:$B$1000,Controle!$C$10:$C$1000),
if(F8=Controle!$F$2, M8/xlookup(workday(B8,-1,Feriados!A:A),Controle!$B$10:$B$1000,Controle!$F$10:$F$1000),
if(F8=Controle!$I$2, M8/xlookup(workday(B8,-1,Feriados!A:A),Controle!$B$10:$B$1000,Controle!$I$10:$I$1000),
if(F8=Controle!$L$2, M8/xlookup(workday(B8,-1,Feriados!A:A),Controle!$B$10:$B$1000,Controle!$L$10:$L$1000),
)))),
if(and(J8&lt;&gt;"",D8="Futuros"),
if(F8=Controle!$C$2, N8/xlookup(workday(B8,-1,Feriados!A:A),Controle!$B$10:$B$1000,Controle!$C$10:$C$1000),
if(F8=Controle!$F$2, N8/xlookup(workday(B8,-1,Feriados!A:A),Controle!$B$10:$B$1000,Controle!$F$10:$F$1000),
if(F8=Controle!$I$2, N8/xlookup(workday(B8,-1,Feriados!A:A),Controle!$B$10:$B$1000,Controle!$I$10:$I$1000),
if(F8=Controle!$L$2, N8/xlookup(workday(B8,-1,Feriados!A:A),Controle!$B$10:$B$1000,Controle!$L$10:$L$1000),
)))),""))</f>
        <v>-0.2486077626</v>
      </c>
      <c r="L8" s="47">
        <f t="array" ref="L8">IF($J8&lt;&gt;"", IF($D8 = "Futuros" , $N8/xlookup(WORKDAY(B8,-1,Feriados!A:A),Controle!$B$10:$B$1000,Controle!$T$10:$T$1000) , $M8/xlookup(WORKDAY(B8,-1,Feriados!A:A),Controle!$B$10:$B$1000,Controle!$T$10:$T$1000)),"")</f>
        <v>-0.06216168984</v>
      </c>
      <c r="M8" s="48" t="str">
        <f t="shared" si="1"/>
        <v/>
      </c>
      <c r="N8" s="48">
        <f>IFERROR(IF(D8="Futuros",
IF(LEFT(C8,3)="DI1",G8*O8,
IF(LEFT(C8,3)="ISP",G8*O8*HLOOKUP("PTAX",'Histórico'!$A$1:$EL$983,MATCH(B8,'Histórico'!A:A),FALSE)*50,
IF(LEFT(C8,3)="WDO",10*G8*O8*HLOOKUP("PTAX",'Histórico'!$A$1:$EL$983,MATCH(B8,'Histórico'!A:A),FALSE),
IF(LEFT(C8,3)="DOL",50*G8*O8,
IF(LEFT(C8,3)="EUR",G8*O8*50,
IF(LEFT(C8,3)="WEU",G8*O8*10,
IF(LEFT(C8,3)="IND",G8*O8,
IF(LEFT(C8,3)="WIN",G8*O8*0.2,
IF(LEFT(C8,3)="T10",G8*O8*1000*HLOOKUP("PTAX",'Histórico'!$A$1:$EL$983,MATCH(B8,'Histórico'!A:A),FALSE),
IF(LEFT(C8,3)="CCM",G8*O8*450,
IF(LEFT(C8,3)="SJC",G8*O8*HLOOKUP("PTAX",'Histórico'!$A$1:$EL$983,MATCH(B8,'Histórico'!A:A),FALSE)*450,
IF(LEFT(C8,3)="BGI",G8*O8*330,
IF(LEFT(C8,3)="OZ1",G8*O8*250,
IF(LEFT(C8,3)="CLP",G8*O8*25,
IF(LEFT(C8,3)="EUP", O8*10000*HLOOKUP("EUR/BRL",'Histórico'!$A$1:$EL$983,MATCH(B8,'Histórico'!A:A),FALSE),
IF(LEFT(C8,3)="JSE", G8*O8*0.4,
IF(LEFT(C8,3)="GBP", O8*10000*HLOOKUP("GBP/BRL",'Histórico'!$A$1:$FG$983,MATCH(B8,'Histórico'!A:A),FALSE),
IF(LEFT(C8,3)="JAP",O8*10000*HLOOKUP("PTAX",'Histórico'!$A$1:$FG$983,MATCH(B8,'Histórico'!A:A),FALSE),
IF(LEFT(C8,3)="CNH",O8*10000*HLOOKUP("PTAX",'Histórico'!$A$1:$FG$983,MATCH(B8,'Histórico'!A:A),FALSE),
IF(LEFT(C8,3)="AUS",O8*10000*HLOOKUP("PTAX",'Histórico'!$A$1:$FG$983,MATCH(B8,'Histórico'!A:A),FALSE),
IF(LEFT(C8,3)="CAN",O8*10000*HLOOKUP("PTAX",'Histórico'!$A$1:$FG$983,MATCH(B8,'Histórico'!A:A),FALSE),
IF(LEFT(C8,3)="GBR",O8*10000*HLOOKUP("GBP/BRL",'Histórico'!$A$1:$FG$983,MATCH(B8,'Histórico'!A:A),FALSE),
IF(LEFT(C8,3)="MEX",O8*10000*HLOOKUP("PTAX",'Histórico'!$A$1:$FG$983,MATCH(B8,'Histórico'!A:A),FALSE),
IF(LEFT(C8,3)="CHL",O8*10000*HLOOKUP("PTAX",'Histórico'!$A$1:$FG$983,MATCH(B8,'Histórico'!A:A),FALSE)
)))))))))))))))))))))))),""))</f>
        <v>-24954230.02</v>
      </c>
      <c r="O8" s="49">
        <f t="shared" si="2"/>
        <v>-490</v>
      </c>
      <c r="P8" s="50">
        <f t="shared" si="3"/>
        <v>0</v>
      </c>
      <c r="Q8" s="51">
        <f>IF($C8&lt;&gt;"",SUMIFS($O$3:$O$401, $C$3:$C$401 ,$C8,$B$3:$B$401,"&lt;="&amp;Controle!$B$6),"")</f>
        <v>0</v>
      </c>
      <c r="R8" s="51">
        <f>IF($D8&lt;&gt;"",SUMIFS($O$3:$O$401, $C$3:$C$401 ,$C8,$B$3:$B$401,"&lt;="&amp;Controle!$B$6,$F$3:$F$401,$F8),"")</f>
        <v>0</v>
      </c>
      <c r="S8" s="51">
        <f>IF($D8&lt;&gt;"",SUMIFS($O$3:$O$401, $C$3:$C$401 ,$C8,$B$3:$B$401,"&lt;="&amp;'Controle D-1'!$B$6,$F$3:$F$401,$F8),"")</f>
        <v>0</v>
      </c>
      <c r="T8" s="40"/>
      <c r="U8" s="64" t="s">
        <v>204</v>
      </c>
      <c r="V8" s="65" t="s">
        <v>3</v>
      </c>
      <c r="W8" s="65" t="s">
        <v>205</v>
      </c>
      <c r="X8" s="40"/>
      <c r="Y8" s="66" t="s">
        <v>206</v>
      </c>
      <c r="Z8" s="67" t="s">
        <v>207</v>
      </c>
      <c r="AA8" s="40"/>
      <c r="AB8" s="40"/>
      <c r="AC8" s="40"/>
    </row>
    <row r="9" ht="15.75" customHeight="1">
      <c r="A9" s="28"/>
      <c r="B9" s="68">
        <v>45016.0</v>
      </c>
      <c r="C9" s="45" t="s">
        <v>25</v>
      </c>
      <c r="D9" s="45" t="s">
        <v>12</v>
      </c>
      <c r="E9" s="45" t="s">
        <v>208</v>
      </c>
      <c r="F9" s="45" t="s">
        <v>200</v>
      </c>
      <c r="G9" s="46"/>
      <c r="H9" s="46" t="str">
        <f>if($D9="Ações Americanas", HLOOKUP("PTAX",'Histórico'!$A$1:$EL$983,MATCH(B9,'Histórico'!A:A),""),"")</f>
        <v/>
      </c>
      <c r="I9" s="44">
        <f t="array" ref="I9">IF(ISTEXT(C9),xlookup(C9,'Cadastro dos Ativos'!$A$2:$A$1000,'Cadastro dos Ativos'!$D$2:$D$1000),"")</f>
        <v>45048</v>
      </c>
      <c r="J9" s="45">
        <v>370.0</v>
      </c>
      <c r="K9" s="47">
        <f t="array" ref="K9">if(and(J9&lt;&gt;"",D9&lt;&gt;"Futuros"),
if(F9=Controle!$C$2, M9/xlookup(workday(B9,-1,Feriados!A:A),Controle!$B$10:$B$1000,Controle!$C$10:$C$1000),
if(F9=Controle!$F$2, M9/xlookup(workday(B9,-1,Feriados!A:A),Controle!$B$10:$B$1000,Controle!$F$10:$F$1000),
if(F9=Controle!$I$2, M9/xlookup(workday(B9,-1,Feriados!A:A),Controle!$B$10:$B$1000,Controle!$I$10:$I$1000),
if(F9=Controle!$L$2, M9/xlookup(workday(B9,-1,Feriados!A:A),Controle!$B$10:$B$1000,Controle!$L$10:$L$1000),
)))),
if(and(J9&lt;&gt;"",D9="Futuros"),
if(F9=Controle!$C$2, N9/xlookup(workday(B9,-1,Feriados!A:A),Controle!$B$10:$B$1000,Controle!$C$10:$C$1000),
if(F9=Controle!$F$2, N9/xlookup(workday(B9,-1,Feriados!A:A),Controle!$B$10:$B$1000,Controle!$F$10:$F$1000),
if(F9=Controle!$I$2, N9/xlookup(workday(B9,-1,Feriados!A:A),Controle!$B$10:$B$1000,Controle!$I$10:$I$1000),
if(F9=Controle!$L$2, N9/xlookup(workday(B9,-1,Feriados!A:A),Controle!$B$10:$B$1000,Controle!$L$10:$L$1000),
)))),""))</f>
        <v>0.2324176147</v>
      </c>
      <c r="L9" s="47">
        <f t="array" ref="L9">IF($J9&lt;&gt;"", IF($D9 = "Futuros" , $N9/xlookup(WORKDAY(B9,-1,Feriados!A:A),Controle!$B$10:$B$1000,Controle!$T$10:$T$1000) , $M9/xlookup(WORKDAY(B9,-1,Feriados!A:A),Controle!$B$10:$B$1000,Controle!$T$10:$T$1000)),"")</f>
        <v>0.05811351797</v>
      </c>
      <c r="M9" s="48" t="str">
        <f t="shared" si="1"/>
        <v/>
      </c>
      <c r="N9" s="48">
        <f>IFERROR(IF(D9="Futuros",
IF(LEFT(C9,3)="DI1",G9*O9,
IF(LEFT(C9,3)="ISP",G9*O9*HLOOKUP("PTAX",'Histórico'!$A$1:$EL$983,MATCH(B9,'Histórico'!A:A),FALSE)*50,
IF(LEFT(C9,3)="WDO",10*G9*O9*HLOOKUP("PTAX",'Histórico'!$A$1:$EL$983,MATCH(B9,'Histórico'!A:A),FALSE),
IF(LEFT(C9,3)="DOL",50*G9*O9,
IF(LEFT(C9,3)="EUR",G9*O9*50,
IF(LEFT(C9,3)="WEU",G9*O9*10,
IF(LEFT(C9,3)="IND",G9*O9,
IF(LEFT(C9,3)="WIN",G9*O9*0.2,
IF(LEFT(C9,3)="T10",G9*O9*1000*HLOOKUP("PTAX",'Histórico'!$A$1:$EL$983,MATCH(B9,'Histórico'!A:A),FALSE),
IF(LEFT(C9,3)="CCM",G9*O9*450,
IF(LEFT(C9,3)="SJC",G9*O9*HLOOKUP("PTAX",'Histórico'!$A$1:$EL$983,MATCH(B9,'Histórico'!A:A),FALSE)*450,
IF(LEFT(C9,3)="BGI",G9*O9*330,
IF(LEFT(C9,3)="OZ1",G9*O9*250,
IF(LEFT(C9,3)="CLP",G9*O9*25,
IF(LEFT(C9,3)="EUP", O9*10000*HLOOKUP("EUR/BRL",'Histórico'!$A$1:$EL$983,MATCH(B9,'Histórico'!A:A),FALSE),
IF(LEFT(C9,3)="JSE", G9*O9*0.4,
IF(LEFT(C9,3)="GBP", O9*10000*HLOOKUP("GBP/BRL",'Histórico'!$A$1:$FG$983,MATCH(B9,'Histórico'!A:A),FALSE),
IF(LEFT(C9,3)="JAP",O9*10000*HLOOKUP("PTAX",'Histórico'!$A$1:$FG$983,MATCH(B9,'Histórico'!A:A),FALSE),
IF(LEFT(C9,3)="CNH",O9*10000*HLOOKUP("PTAX",'Histórico'!$A$1:$FG$983,MATCH(B9,'Histórico'!A:A),FALSE),
IF(LEFT(C9,3)="AUS",O9*10000*HLOOKUP("PTAX",'Histórico'!$A$1:$FG$983,MATCH(B9,'Histórico'!A:A),FALSE),
IF(LEFT(C9,3)="CAN",O9*10000*HLOOKUP("PTAX",'Histórico'!$A$1:$FG$983,MATCH(B9,'Histórico'!A:A),FALSE),
IF(LEFT(C9,3)="GBR",O9*10000*HLOOKUP("GBP/BRL",'Histórico'!$A$1:$FG$983,MATCH(B9,'Histórico'!A:A),FALSE),
IF(LEFT(C9,3)="MEX",O9*10000*HLOOKUP("PTAX",'Histórico'!$A$1:$FG$983,MATCH(B9,'Histórico'!A:A),FALSE),
IF(LEFT(C9,3)="CHL",O9*10000*HLOOKUP("PTAX",'Histórico'!$A$1:$FG$983,MATCH(B9,'Histórico'!A:A),FALSE)
)))))))))))))))))))))))),""))</f>
        <v>23329129.22</v>
      </c>
      <c r="O9" s="49">
        <f t="shared" si="2"/>
        <v>370</v>
      </c>
      <c r="P9" s="50">
        <f t="shared" si="3"/>
        <v>0</v>
      </c>
      <c r="Q9" s="51">
        <f>IF($C9&lt;&gt;"",SUMIFS($O$3:$O$401, $C$3:$C$401 ,$C9,$B$3:$B$401,"&lt;="&amp;Controle!$B$6),"")</f>
        <v>0</v>
      </c>
      <c r="R9" s="51">
        <f>IF($D9&lt;&gt;"",SUMIFS($O$3:$O$401, $C$3:$C$401 ,$C9,$B$3:$B$401,"&lt;="&amp;Controle!$B$6,$F$3:$F$401,$F9),"")</f>
        <v>0</v>
      </c>
      <c r="S9" s="51">
        <f>IF($D9&lt;&gt;"",SUMIFS($O$3:$O$401, $C$3:$C$401 ,$C9,$B$3:$B$401,"&lt;="&amp;'Controle D-1'!$B$6,$F$3:$F$401,$F9),"")</f>
        <v>0</v>
      </c>
      <c r="T9" s="40"/>
      <c r="U9" s="69" t="str">
        <f>IFERROR(__xludf.DUMMYFUNCTION("IFERROR(SORT(UNIQUE(FILTER('Alocação'!$C$3:$C1002, 'Alocação'!$Q$3:$Q1002&lt;&gt;0, (('Alocação'!$D$3:$D1002=""Futuros"")+('Alocação'!$D$3:$D1002=""Títulos""))))),"""")"),"CNH-V23")</f>
        <v>CNH-V23</v>
      </c>
      <c r="V9" s="70">
        <f>IF(U9&lt;&gt;"", VLOOKUP(U9,'Alocação'!$C$3:$I$1001,7,FALSE()), "")</f>
        <v>45201</v>
      </c>
      <c r="W9" s="71">
        <f>IF(U9&lt;&gt;"", NETWORKDAYS(TODAY()+1,V9,Feriados!$A$1:$A$306),"")</f>
        <v>19</v>
      </c>
      <c r="X9" s="40"/>
      <c r="Y9" s="70" t="s">
        <v>209</v>
      </c>
      <c r="Z9" s="71" t="s">
        <v>210</v>
      </c>
      <c r="AA9" s="40"/>
      <c r="AB9" s="40"/>
      <c r="AC9" s="40"/>
    </row>
    <row r="10" ht="15.75" customHeight="1">
      <c r="A10" s="28"/>
      <c r="B10" s="68">
        <v>45016.0</v>
      </c>
      <c r="C10" s="45" t="s">
        <v>27</v>
      </c>
      <c r="D10" s="45" t="s">
        <v>29</v>
      </c>
      <c r="E10" s="45" t="s">
        <v>208</v>
      </c>
      <c r="F10" s="45" t="s">
        <v>200</v>
      </c>
      <c r="G10" s="46">
        <v>350.815002</v>
      </c>
      <c r="H10" s="46" t="str">
        <f>if($D10="Ações Americanas", HLOOKUP("PTAX",'Histórico'!$A$1:$EL$983,MATCH(B10,'Histórico'!A:A),""),"")</f>
        <v/>
      </c>
      <c r="I10" s="46" t="str">
        <f t="array" ref="I10">IF(ISTEXT(C10),xlookup(C10,'Cadastro dos Ativos'!$A$2:$A$1000,'Cadastro dos Ativos'!$D$2:$D$1000),"")</f>
        <v/>
      </c>
      <c r="J10" s="45">
        <v>90000.0</v>
      </c>
      <c r="K10" s="47">
        <f t="array" ref="K10">if(and(J10&lt;&gt;"",D10&lt;&gt;"Futuros"),
if(F10=Controle!$C$2, M10/xlookup(workday(B10,-1,Feriados!A:A),Controle!$B$10:$B$1000,Controle!$C$10:$C$1000),
if(F10=Controle!$F$2, M10/xlookup(workday(B10,-1,Feriados!A:A),Controle!$B$10:$B$1000,Controle!$F$10:$F$1000),
if(F10=Controle!$I$2, M10/xlookup(workday(B10,-1,Feriados!A:A),Controle!$B$10:$B$1000,Controle!$I$10:$I$1000),
if(F10=Controle!$L$2, M10/xlookup(workday(B10,-1,Feriados!A:A),Controle!$B$10:$B$1000,Controle!$L$10:$L$1000),
)))),
if(and(J10&lt;&gt;"",D10="Futuros"),
if(F10=Controle!$C$2, N10/xlookup(workday(B10,-1,Feriados!A:A),Controle!$B$10:$B$1000,Controle!$C$10:$C$1000),
if(F10=Controle!$F$2, N10/xlookup(workday(B10,-1,Feriados!A:A),Controle!$B$10:$B$1000,Controle!$F$10:$F$1000),
if(F10=Controle!$I$2, N10/xlookup(workday(B10,-1,Feriados!A:A),Controle!$B$10:$B$1000,Controle!$I$10:$I$1000),
if(F10=Controle!$L$2, N10/xlookup(workday(B10,-1,Feriados!A:A),Controle!$B$10:$B$1000,Controle!$L$10:$L$1000),
)))),""))</f>
        <v>-0.3145510777</v>
      </c>
      <c r="L10" s="47">
        <f t="array" ref="L10">IF($J10&lt;&gt;"", IF($D10 = "Futuros" , $N10/xlookup(WORKDAY(B10,-1,Feriados!A:A),Controle!$B$10:$B$1000,Controle!$T$10:$T$1000) , $M10/xlookup(WORKDAY(B10,-1,Feriados!A:A),Controle!$B$10:$B$1000,Controle!$T$10:$T$1000)),"")</f>
        <v>-0.07865010459</v>
      </c>
      <c r="M10" s="48">
        <f t="shared" si="1"/>
        <v>-31573350.18</v>
      </c>
      <c r="N10" s="48" t="str">
        <f>IFERROR(IF(D10="Futuros",
IF(LEFT(C10,3)="DI1",G10*O10,
IF(LEFT(C10,3)="ISP",G10*O10*HLOOKUP("PTAX",'Histórico'!$A$1:$EL$983,MATCH(B10,'Histórico'!A:A),FALSE)*50,
IF(LEFT(C10,3)="WDO",10*G10*O10*HLOOKUP("PTAX",'Histórico'!$A$1:$EL$983,MATCH(B10,'Histórico'!A:A),FALSE),
IF(LEFT(C10,3)="DOL",50*G10*O10,
IF(LEFT(C10,3)="EUR",G10*O10*50,
IF(LEFT(C10,3)="WEU",G10*O10*10,
IF(LEFT(C10,3)="IND",G10*O10,
IF(LEFT(C10,3)="WIN",G10*O10*0.2,
IF(LEFT(C10,3)="T10",G10*O10*1000*HLOOKUP("PTAX",'Histórico'!$A$1:$EL$983,MATCH(B10,'Histórico'!A:A),FALSE),
IF(LEFT(C10,3)="CCM",G10*O10*450,
IF(LEFT(C10,3)="SJC",G10*O10*HLOOKUP("PTAX",'Histórico'!$A$1:$EL$983,MATCH(B10,'Histórico'!A:A),FALSE)*450,
IF(LEFT(C10,3)="BGI",G10*O10*330,
IF(LEFT(C10,3)="OZ1",G10*O10*250,
IF(LEFT(C10,3)="CLP",G10*O10*25,
IF(LEFT(C10,3)="EUP", O10*10000*HLOOKUP("EUR/BRL",'Histórico'!$A$1:$EL$983,MATCH(B10,'Histórico'!A:A),FALSE),
IF(LEFT(C10,3)="JSE", G10*O10*0.4,
IF(LEFT(C10,3)="GBP", O10*10000*HLOOKUP("GBP/BRL",'Histórico'!$A$1:$FG$983,MATCH(B10,'Histórico'!A:A),FALSE),
IF(LEFT(C10,3)="JAP",O10*10000*HLOOKUP("PTAX",'Histórico'!$A$1:$FG$983,MATCH(B10,'Histórico'!A:A),FALSE),
IF(LEFT(C10,3)="CNH",O10*10000*HLOOKUP("PTAX",'Histórico'!$A$1:$FG$983,MATCH(B10,'Histórico'!A:A),FALSE),
IF(LEFT(C10,3)="AUS",O10*10000*HLOOKUP("PTAX",'Histórico'!$A$1:$FG$983,MATCH(B10,'Histórico'!A:A),FALSE),
IF(LEFT(C10,3)="CAN",O10*10000*HLOOKUP("PTAX",'Histórico'!$A$1:$FG$983,MATCH(B10,'Histórico'!A:A),FALSE),
IF(LEFT(C10,3)="GBR",O10*10000*HLOOKUP("GBP/BRL",'Histórico'!$A$1:$FG$983,MATCH(B10,'Histórico'!A:A),FALSE),
IF(LEFT(C10,3)="MEX",O10*10000*HLOOKUP("PTAX",'Histórico'!$A$1:$FG$983,MATCH(B10,'Histórico'!A:A),FALSE),
IF(LEFT(C10,3)="CHL",O10*10000*HLOOKUP("PTAX",'Histórico'!$A$1:$FG$983,MATCH(B10,'Histórico'!A:A),FALSE)
)))))))))))))))))))))))),""))</f>
        <v/>
      </c>
      <c r="O10" s="49">
        <f t="shared" si="2"/>
        <v>90000</v>
      </c>
      <c r="P10" s="50">
        <f t="shared" si="3"/>
        <v>0</v>
      </c>
      <c r="Q10" s="51">
        <f>IF($C10&lt;&gt;"",SUMIFS($O$3:$O$401, $C$3:$C$401 ,$C10,$B$3:$B$401,"&lt;="&amp;Controle!$B$6),"")</f>
        <v>0</v>
      </c>
      <c r="R10" s="51">
        <f>IF($D10&lt;&gt;"",SUMIFS($O$3:$O$401, $C$3:$C$401 ,$C10,$B$3:$B$401,"&lt;="&amp;Controle!$B$6,$F$3:$F$401,$F10),"")</f>
        <v>0</v>
      </c>
      <c r="S10" s="51">
        <f>IF($D10&lt;&gt;"",SUMIFS($O$3:$O$401, $C$3:$C$401 ,$C10,$B$3:$B$401,"&lt;="&amp;'Controle D-1'!$B$6,$F$3:$F$401,$F10),"")</f>
        <v>0</v>
      </c>
      <c r="T10" s="40"/>
      <c r="U10" s="72" t="str">
        <f>IFERROR(__xludf.DUMMYFUNCTION("""COMPUTED_VALUE"""),"DI1-F24")</f>
        <v>DI1-F24</v>
      </c>
      <c r="V10" s="70">
        <f>IF(U10&lt;&gt;"", VLOOKUP(U10,'Alocação'!$C$3:$I$1001,7,FALSE()), "")</f>
        <v>45293</v>
      </c>
      <c r="W10" s="73">
        <f>IF(U10&lt;&gt;"", NETWORKDAYS(TODAY()+1,V10,Feriados!$A$1:$A$306),"")</f>
        <v>80</v>
      </c>
      <c r="X10" s="40"/>
      <c r="Y10" s="74" t="s">
        <v>211</v>
      </c>
      <c r="Z10" s="73" t="s">
        <v>212</v>
      </c>
      <c r="AA10" s="40"/>
      <c r="AB10" s="40"/>
      <c r="AC10" s="40"/>
    </row>
    <row r="11" ht="15.75" customHeight="1">
      <c r="A11" s="28"/>
      <c r="B11" s="68">
        <v>45016.0</v>
      </c>
      <c r="C11" s="45" t="s">
        <v>30</v>
      </c>
      <c r="D11" s="45" t="str">
        <f>IF(ISTEXT(C11),VLOOKUP(C11,'Cadastro dos Ativos'!$A$2:$C$1000,3,0),"")</f>
        <v>Futuros</v>
      </c>
      <c r="E11" s="45" t="s">
        <v>198</v>
      </c>
      <c r="F11" s="45" t="s">
        <v>200</v>
      </c>
      <c r="G11" s="46"/>
      <c r="H11" s="46" t="str">
        <f>if($D11="Ações Americanas", HLOOKUP("PTAX",'Histórico'!$A$1:$EL$983,MATCH(B11,'Histórico'!A:A),""),"")</f>
        <v/>
      </c>
      <c r="I11" s="44">
        <f t="array" ref="I11">IF(ISTEXT(C11),xlookup(C11,'Cadastro dos Ativos'!$A$2:$A$1000,'Cadastro dos Ativos'!$D$2:$D$1000),"")</f>
        <v>45048</v>
      </c>
      <c r="J11" s="45">
        <v>490.0</v>
      </c>
      <c r="K11" s="47">
        <f t="array" ref="K11">if(and(J11&lt;&gt;"",D11&lt;&gt;"Futuros"),
if(F11=Controle!$C$2, M11/xlookup(workday(B11,-1,Feriados!A:A),Controle!$B$10:$B$1000,Controle!$C$10:$C$1000),
if(F11=Controle!$F$2, M11/xlookup(workday(B11,-1,Feriados!A:A),Controle!$B$10:$B$1000,Controle!$F$10:$F$1000),
if(F11=Controle!$I$2, M11/xlookup(workday(B11,-1,Feriados!A:A),Controle!$B$10:$B$1000,Controle!$I$10:$I$1000),
if(F11=Controle!$L$2, M11/xlookup(workday(B11,-1,Feriados!A:A),Controle!$B$10:$B$1000,Controle!$L$10:$L$1000),
)))),
if(and(J11&lt;&gt;"",D11="Futuros"),
if(F11=Controle!$C$2, N11/xlookup(workday(B11,-1,Feriados!A:A),Controle!$B$10:$B$1000,Controle!$C$10:$C$1000),
if(F11=Controle!$F$2, N11/xlookup(workday(B11,-1,Feriados!A:A),Controle!$B$10:$B$1000,Controle!$F$10:$F$1000),
if(F11=Controle!$I$2, N11/xlookup(workday(B11,-1,Feriados!A:A),Controle!$B$10:$B$1000,Controle!$I$10:$I$1000),
if(F11=Controle!$L$2, N11/xlookup(workday(B11,-1,Feriados!A:A),Controle!$B$10:$B$1000,Controle!$L$10:$L$1000),
)))),""))</f>
        <v>-0.2486077626</v>
      </c>
      <c r="L11" s="47">
        <f t="array" ref="L11">IF($J11&lt;&gt;"", IF($D11 = "Futuros" , $N11/xlookup(WORKDAY(B11,-1,Feriados!A:A),Controle!$B$10:$B$1000,Controle!$T$10:$T$1000) , $M11/xlookup(WORKDAY(B11,-1,Feriados!A:A),Controle!$B$10:$B$1000,Controle!$T$10:$T$1000)),"")</f>
        <v>-0.06216168984</v>
      </c>
      <c r="M11" s="48" t="str">
        <f t="shared" si="1"/>
        <v/>
      </c>
      <c r="N11" s="48">
        <f>IFERROR(IF(D11="Futuros",
IF(LEFT(C11,3)="DI1",G11*O11,
IF(LEFT(C11,3)="ISP",G11*O11*HLOOKUP("PTAX",'Histórico'!$A$1:$EL$983,MATCH(B11,'Histórico'!A:A),FALSE)*50,
IF(LEFT(C11,3)="WDO",10*G11*O11*HLOOKUP("PTAX",'Histórico'!$A$1:$EL$983,MATCH(B11,'Histórico'!A:A),FALSE),
IF(LEFT(C11,3)="DOL",50*G11*O11,
IF(LEFT(C11,3)="EUR",G11*O11*50,
IF(LEFT(C11,3)="WEU",G11*O11*10,
IF(LEFT(C11,3)="IND",G11*O11,
IF(LEFT(C11,3)="WIN",G11*O11*0.2,
IF(LEFT(C11,3)="T10",G11*O11*1000*HLOOKUP("PTAX",'Histórico'!$A$1:$EL$983,MATCH(B11,'Histórico'!A:A),FALSE),
IF(LEFT(C11,3)="CCM",G11*O11*450,
IF(LEFT(C11,3)="SJC",G11*O11*HLOOKUP("PTAX",'Histórico'!$A$1:$EL$983,MATCH(B11,'Histórico'!A:A),FALSE)*450,
IF(LEFT(C11,3)="BGI",G11*O11*330,
IF(LEFT(C11,3)="OZ1",G11*O11*250,
IF(LEFT(C11,3)="CLP",G11*O11*25,
IF(LEFT(C11,3)="EUP", O11*10000*HLOOKUP("EUR/BRL",'Histórico'!$A$1:$EL$983,MATCH(B11,'Histórico'!A:A),FALSE),
IF(LEFT(C11,3)="JSE", G11*O11*0.4,
IF(LEFT(C11,3)="GBP", O11*10000*HLOOKUP("GBP/BRL",'Histórico'!$A$1:$FG$983,MATCH(B11,'Histórico'!A:A),FALSE),
IF(LEFT(C11,3)="JAP",O11*10000*HLOOKUP("PTAX",'Histórico'!$A$1:$FG$983,MATCH(B11,'Histórico'!A:A),FALSE),
IF(LEFT(C11,3)="CNH",O11*10000*HLOOKUP("PTAX",'Histórico'!$A$1:$FG$983,MATCH(B11,'Histórico'!A:A),FALSE),
IF(LEFT(C11,3)="AUS",O11*10000*HLOOKUP("PTAX",'Histórico'!$A$1:$FG$983,MATCH(B11,'Histórico'!A:A),FALSE),
IF(LEFT(C11,3)="CAN",O11*10000*HLOOKUP("PTAX",'Histórico'!$A$1:$FG$983,MATCH(B11,'Histórico'!A:A),FALSE),
IF(LEFT(C11,3)="GBR",O11*10000*HLOOKUP("GBP/BRL",'Histórico'!$A$1:$FG$983,MATCH(B11,'Histórico'!A:A),FALSE),
IF(LEFT(C11,3)="MEX",O11*10000*HLOOKUP("PTAX",'Histórico'!$A$1:$FG$983,MATCH(B11,'Histórico'!A:A),FALSE),
IF(LEFT(C11,3)="CHL",O11*10000*HLOOKUP("PTAX",'Histórico'!$A$1:$FG$983,MATCH(B11,'Histórico'!A:A),FALSE)
)))))))))))))))))))))))),""))</f>
        <v>-24954230.02</v>
      </c>
      <c r="O11" s="49">
        <f t="shared" si="2"/>
        <v>-490</v>
      </c>
      <c r="P11" s="50">
        <f t="shared" si="3"/>
        <v>0</v>
      </c>
      <c r="Q11" s="51">
        <f>IF($C11&lt;&gt;"",SUMIFS($O$3:$O$401, $C$3:$C$401 ,$C11,$B$3:$B$401,"&lt;="&amp;Controle!$B$6),"")</f>
        <v>0</v>
      </c>
      <c r="R11" s="51">
        <f>IF($D11&lt;&gt;"",SUMIFS($O$3:$O$401, $C$3:$C$401 ,$C11,$B$3:$B$401,"&lt;="&amp;Controle!$B$6,$F$3:$F$401,$F11),"")</f>
        <v>0</v>
      </c>
      <c r="S11" s="51">
        <f>IF($D11&lt;&gt;"",SUMIFS($O$3:$O$401, $C$3:$C$401 ,$C11,$B$3:$B$401,"&lt;="&amp;'Controle D-1'!$B$6,$F$3:$F$401,$F11),"")</f>
        <v>0</v>
      </c>
      <c r="T11" s="40"/>
      <c r="U11" s="75" t="str">
        <f>IFERROR(__xludf.DUMMYFUNCTION("""COMPUTED_VALUE"""),"DI1-F25")</f>
        <v>DI1-F25</v>
      </c>
      <c r="V11" s="70">
        <f>IF(U11&lt;&gt;"", VLOOKUP(U11,'Alocação'!$C$3:$I$1001,7,FALSE()), "")</f>
        <v>45659</v>
      </c>
      <c r="W11" s="71">
        <f>IF(U11&lt;&gt;"", NETWORKDAYS(TODAY()+1,V11,Feriados!$A$1:$A$306),"")</f>
        <v>334</v>
      </c>
      <c r="X11" s="40"/>
      <c r="Y11" s="70" t="s">
        <v>213</v>
      </c>
      <c r="Z11" s="71" t="s">
        <v>214</v>
      </c>
      <c r="AA11" s="40"/>
      <c r="AB11" s="40"/>
      <c r="AC11" s="40"/>
    </row>
    <row r="12" ht="15.75" customHeight="1">
      <c r="A12" s="76"/>
      <c r="B12" s="77">
        <v>45016.0</v>
      </c>
      <c r="C12" s="45" t="s">
        <v>32</v>
      </c>
      <c r="D12" s="45" t="str">
        <f>IF(ISTEXT(C12),VLOOKUP(C12,'Cadastro dos Ativos'!$A$2:$C$1000,3,0),"")</f>
        <v>Ações Americanas</v>
      </c>
      <c r="E12" s="45" t="s">
        <v>208</v>
      </c>
      <c r="F12" s="45" t="s">
        <v>200</v>
      </c>
      <c r="G12" s="46">
        <v>38.81</v>
      </c>
      <c r="H12" s="46">
        <f>if($D12="Ações Americanas", HLOOKUP("PTAX",'Histórico'!$A$1:$EL$983,MATCH(B12,'Histórico'!A:A),""),"")</f>
        <v>5.092700005</v>
      </c>
      <c r="I12" s="45" t="str">
        <f t="array" ref="I12">IF(ISTEXT(C12),xlookup(C12,'Cadastro dos Ativos'!$A$2:$A$1000,'Cadastro dos Ativos'!$D$2:$D$1000),"")</f>
        <v/>
      </c>
      <c r="J12" s="45">
        <v>75000.0</v>
      </c>
      <c r="K12" s="47">
        <f t="array" ref="K12">if(and(J12&lt;&gt;"",D12&lt;&gt;"Futuros"),
if(F12=Controle!$C$2, M12/xlookup(workday(B12,-1,Feriados!A:A),Controle!$B$10:$B$1000,Controle!$C$10:$C$1000),
if(F12=Controle!$F$2, M12/xlookup(workday(B12,-1,Feriados!A:A),Controle!$B$10:$B$1000,Controle!$F$10:$F$1000),
if(F12=Controle!$I$2, M12/xlookup(workday(B12,-1,Feriados!A:A),Controle!$B$10:$B$1000,Controle!$I$10:$I$1000),
if(F12=Controle!$L$2, M12/xlookup(workday(B12,-1,Feriados!A:A),Controle!$B$10:$B$1000,Controle!$L$10:$L$1000),
)))),
if(and(J12&lt;&gt;"",D12="Futuros"),
if(F12=Controle!$C$2, N12/xlookup(workday(B12,-1,Feriados!A:A),Controle!$B$10:$B$1000,Controle!$C$10:$C$1000),
if(F12=Controle!$F$2, N12/xlookup(workday(B12,-1,Feriados!A:A),Controle!$B$10:$B$1000,Controle!$F$10:$F$1000),
if(F12=Controle!$I$2, N12/xlookup(workday(B12,-1,Feriados!A:A),Controle!$B$10:$B$1000,Controle!$I$10:$I$1000),
if(F12=Controle!$L$2, N12/xlookup(workday(B12,-1,Feriados!A:A),Controle!$B$10:$B$1000,Controle!$L$10:$L$1000),
)))),""))</f>
        <v>-0.1476806214</v>
      </c>
      <c r="L12" s="47">
        <f t="array" ref="L12">IF($J12&lt;&gt;"", IF($D12 = "Futuros" , $N12/xlookup(WORKDAY(B12,-1,Feriados!A:A),Controle!$B$10:$B$1000,Controle!$T$10:$T$1000) , $M12/xlookup(WORKDAY(B12,-1,Feriados!A:A),Controle!$B$10:$B$1000,Controle!$T$10:$T$1000)),"")</f>
        <v>-0.03692594668</v>
      </c>
      <c r="M12" s="48">
        <f t="shared" si="1"/>
        <v>-14823576.54</v>
      </c>
      <c r="N12" s="48" t="str">
        <f>IFERROR(IF(D12="Futuros",
IF(LEFT(C12,3)="DI1",G12*O12,
IF(LEFT(C12,3)="ISP",G12*O12*HLOOKUP("PTAX",'Histórico'!$A$1:$EL$983,MATCH(B12,'Histórico'!A:A),FALSE)*50,
IF(LEFT(C12,3)="WDO",10*G12*O12*HLOOKUP("PTAX",'Histórico'!$A$1:$EL$983,MATCH(B12,'Histórico'!A:A),FALSE),
IF(LEFT(C12,3)="DOL",50*G12*O12,
IF(LEFT(C12,3)="EUR",G12*O12*50,
IF(LEFT(C12,3)="WEU",G12*O12*10,
IF(LEFT(C12,3)="IND",G12*O12,
IF(LEFT(C12,3)="WIN",G12*O12*0.2,
IF(LEFT(C12,3)="T10",G12*O12*1000*HLOOKUP("PTAX",'Histórico'!$A$1:$EL$983,MATCH(B12,'Histórico'!A:A),FALSE),
IF(LEFT(C12,3)="CCM",G12*O12*450,
IF(LEFT(C12,3)="SJC",G12*O12*HLOOKUP("PTAX",'Histórico'!$A$1:$EL$983,MATCH(B12,'Histórico'!A:A),FALSE)*450,
IF(LEFT(C12,3)="BGI",G12*O12*330,
IF(LEFT(C12,3)="OZ1",G12*O12*250,
IF(LEFT(C12,3)="CLP",G12*O12*25,
IF(LEFT(C12,3)="EUP", O12*10000*HLOOKUP("EUR/BRL",'Histórico'!$A$1:$EL$983,MATCH(B12,'Histórico'!A:A),FALSE),
IF(LEFT(C12,3)="JSE", G12*O12*0.4,
IF(LEFT(C12,3)="GBP", O12*10000*HLOOKUP("GBP/BRL",'Histórico'!$A$1:$FG$983,MATCH(B12,'Histórico'!A:A),FALSE),
IF(LEFT(C12,3)="JAP",O12*10000*HLOOKUP("PTAX",'Histórico'!$A$1:$FG$983,MATCH(B12,'Histórico'!A:A),FALSE),
IF(LEFT(C12,3)="CNH",O12*10000*HLOOKUP("PTAX",'Histórico'!$A$1:$FG$983,MATCH(B12,'Histórico'!A:A),FALSE),
IF(LEFT(C12,3)="AUS",O12*10000*HLOOKUP("PTAX",'Histórico'!$A$1:$FG$983,MATCH(B12,'Histórico'!A:A),FALSE),
IF(LEFT(C12,3)="CAN",O12*10000*HLOOKUP("PTAX",'Histórico'!$A$1:$FG$983,MATCH(B12,'Histórico'!A:A),FALSE),
IF(LEFT(C12,3)="GBR",O12*10000*HLOOKUP("GBP/BRL",'Histórico'!$A$1:$FG$983,MATCH(B12,'Histórico'!A:A),FALSE),
IF(LEFT(C12,3)="MEX",O12*10000*HLOOKUP("PTAX",'Histórico'!$A$1:$FG$983,MATCH(B12,'Histórico'!A:A),FALSE),
IF(LEFT(C12,3)="CHL",O12*10000*HLOOKUP("PTAX",'Histórico'!$A$1:$FG$983,MATCH(B12,'Histórico'!A:A),FALSE)
)))))))))))))))))))))))),""))</f>
        <v/>
      </c>
      <c r="O12" s="49">
        <f t="shared" si="2"/>
        <v>75000</v>
      </c>
      <c r="P12" s="50">
        <f t="shared" si="3"/>
        <v>0</v>
      </c>
      <c r="Q12" s="51">
        <f>IF($C12&lt;&gt;"",SUMIFS($O$3:$O$401, $C$3:$C$401 ,$C12,$B$3:$B$401,"&lt;="&amp;Controle!$B$6),"")</f>
        <v>0</v>
      </c>
      <c r="R12" s="51">
        <f>IF($D12&lt;&gt;"",SUMIFS($O$3:$O$401, $C$3:$C$401 ,$C12,$B$3:$B$401,"&lt;="&amp;Controle!$B$6,$F$3:$F$401,$F12),"")</f>
        <v>0</v>
      </c>
      <c r="S12" s="51">
        <f>IF($D12&lt;&gt;"",SUMIFS($O$3:$O$401, $C$3:$C$401 ,$C12,$B$3:$B$401,"&lt;="&amp;'Controle D-1'!$B$6,$F$3:$F$401,$F12),"")</f>
        <v>0</v>
      </c>
      <c r="T12" s="40"/>
      <c r="U12" s="78" t="str">
        <f>IFERROR(__xludf.DUMMYFUNCTION("""COMPUTED_VALUE"""),"DI1-F27")</f>
        <v>DI1-F27</v>
      </c>
      <c r="V12" s="70">
        <f>IF(U12&lt;&gt;"", VLOOKUP(U12,'Alocação'!$C$3:$I$1001,7,FALSE()), "")</f>
        <v>46389</v>
      </c>
      <c r="W12" s="73">
        <f>IF(U12&lt;&gt;"", NETWORKDAYS(TODAY()+1,V12,Feriados!$A$1:$A$306),"")</f>
        <v>836</v>
      </c>
      <c r="X12" s="40"/>
      <c r="Y12" s="74" t="s">
        <v>215</v>
      </c>
      <c r="Z12" s="73" t="s">
        <v>216</v>
      </c>
      <c r="AA12" s="40"/>
      <c r="AB12" s="40"/>
      <c r="AC12" s="40"/>
    </row>
    <row r="13" ht="15.75" customHeight="1">
      <c r="A13" s="28"/>
      <c r="B13" s="77">
        <v>45016.0</v>
      </c>
      <c r="C13" s="45" t="s">
        <v>34</v>
      </c>
      <c r="D13" s="45" t="str">
        <f>IF(ISTEXT(C13),VLOOKUP(C13,'Cadastro dos Ativos'!$A$2:$C$1000,3,0),"")</f>
        <v>Ações Americanas</v>
      </c>
      <c r="E13" s="45" t="s">
        <v>208</v>
      </c>
      <c r="F13" s="45" t="s">
        <v>200</v>
      </c>
      <c r="G13" s="46">
        <v>49.575</v>
      </c>
      <c r="H13" s="46">
        <f>if($D13="Ações Americanas", HLOOKUP("PTAX",'Histórico'!$A$1:$EL$983,MATCH(B13,'Histórico'!A:A),""),"")</f>
        <v>5.092700005</v>
      </c>
      <c r="I13" s="45" t="str">
        <f t="array" ref="I13">IF(ISTEXT(C13),xlookup(C13,'Cadastro dos Ativos'!$A$2:$A$1000,'Cadastro dos Ativos'!$D$2:$D$1000),"")</f>
        <v/>
      </c>
      <c r="J13" s="45">
        <v>60000.0</v>
      </c>
      <c r="K13" s="47">
        <f t="array" ref="K13">if(and(J13&lt;&gt;"",D13&lt;&gt;"Futuros"),
if(F13=Controle!$C$2, M13/xlookup(workday(B13,-1,Feriados!A:A),Controle!$B$10:$B$1000,Controle!$C$10:$C$1000),
if(F13=Controle!$F$2, M13/xlookup(workday(B13,-1,Feriados!A:A),Controle!$B$10:$B$1000,Controle!$F$10:$F$1000),
if(F13=Controle!$I$2, M13/xlookup(workday(B13,-1,Feriados!A:A),Controle!$B$10:$B$1000,Controle!$I$10:$I$1000),
if(F13=Controle!$L$2, M13/xlookup(workday(B13,-1,Feriados!A:A),Controle!$B$10:$B$1000,Controle!$L$10:$L$1000),
)))),
if(and(J13&lt;&gt;"",D13="Futuros"),
if(F13=Controle!$C$2, N13/xlookup(workday(B13,-1,Feriados!A:A),Controle!$B$10:$B$1000,Controle!$C$10:$C$1000),
if(F13=Controle!$F$2, N13/xlookup(workday(B13,-1,Feriados!A:A),Controle!$B$10:$B$1000,Controle!$F$10:$F$1000),
if(F13=Controle!$I$2, N13/xlookup(workday(B13,-1,Feriados!A:A),Controle!$B$10:$B$1000,Controle!$I$10:$I$1000),
if(F13=Controle!$L$2, N13/xlookup(workday(B13,-1,Feriados!A:A),Controle!$B$10:$B$1000,Controle!$L$10:$L$1000),
)))),""))</f>
        <v>-0.1509150592</v>
      </c>
      <c r="L13" s="47">
        <f t="array" ref="L13">IF($J13&lt;&gt;"", IF($D13 = "Futuros" , $N13/xlookup(WORKDAY(B13,-1,Feriados!A:A),Controle!$B$10:$B$1000,Controle!$T$10:$T$1000) , $M13/xlookup(WORKDAY(B13,-1,Feriados!A:A),Controle!$B$10:$B$1000,Controle!$T$10:$T$1000)),"")</f>
        <v>-0.03773468295</v>
      </c>
      <c r="M13" s="48">
        <f t="shared" si="1"/>
        <v>-15148236.16</v>
      </c>
      <c r="N13" s="48" t="str">
        <f>IFERROR(IF(D13="Futuros",
IF(LEFT(C13,3)="DI1",G13*O13,
IF(LEFT(C13,3)="ISP",G13*O13*HLOOKUP("PTAX",'Histórico'!$A$1:$EL$983,MATCH(B13,'Histórico'!A:A),FALSE)*50,
IF(LEFT(C13,3)="WDO",10*G13*O13*HLOOKUP("PTAX",'Histórico'!$A$1:$EL$983,MATCH(B13,'Histórico'!A:A),FALSE),
IF(LEFT(C13,3)="DOL",50*G13*O13,
IF(LEFT(C13,3)="EUR",G13*O13*50,
IF(LEFT(C13,3)="WEU",G13*O13*10,
IF(LEFT(C13,3)="IND",G13*O13,
IF(LEFT(C13,3)="WIN",G13*O13*0.2,
IF(LEFT(C13,3)="T10",G13*O13*1000*HLOOKUP("PTAX",'Histórico'!$A$1:$EL$983,MATCH(B13,'Histórico'!A:A),FALSE),
IF(LEFT(C13,3)="CCM",G13*O13*450,
IF(LEFT(C13,3)="SJC",G13*O13*HLOOKUP("PTAX",'Histórico'!$A$1:$EL$983,MATCH(B13,'Histórico'!A:A),FALSE)*450,
IF(LEFT(C13,3)="BGI",G13*O13*330,
IF(LEFT(C13,3)="OZ1",G13*O13*250,
IF(LEFT(C13,3)="CLP",G13*O13*25,
IF(LEFT(C13,3)="EUP", O13*10000*HLOOKUP("EUR/BRL",'Histórico'!$A$1:$EL$983,MATCH(B13,'Histórico'!A:A),FALSE),
IF(LEFT(C13,3)="JSE", G13*O13*0.4,
IF(LEFT(C13,3)="GBP", O13*10000*HLOOKUP("GBP/BRL",'Histórico'!$A$1:$FG$983,MATCH(B13,'Histórico'!A:A),FALSE),
IF(LEFT(C13,3)="JAP",O13*10000*HLOOKUP("PTAX",'Histórico'!$A$1:$FG$983,MATCH(B13,'Histórico'!A:A),FALSE),
IF(LEFT(C13,3)="CNH",O13*10000*HLOOKUP("PTAX",'Histórico'!$A$1:$FG$983,MATCH(B13,'Histórico'!A:A),FALSE),
IF(LEFT(C13,3)="AUS",O13*10000*HLOOKUP("PTAX",'Histórico'!$A$1:$FG$983,MATCH(B13,'Histórico'!A:A),FALSE),
IF(LEFT(C13,3)="CAN",O13*10000*HLOOKUP("PTAX",'Histórico'!$A$1:$FG$983,MATCH(B13,'Histórico'!A:A),FALSE),
IF(LEFT(C13,3)="GBR",O13*10000*HLOOKUP("GBP/BRL",'Histórico'!$A$1:$FG$983,MATCH(B13,'Histórico'!A:A),FALSE),
IF(LEFT(C13,3)="MEX",O13*10000*HLOOKUP("PTAX",'Histórico'!$A$1:$FG$983,MATCH(B13,'Histórico'!A:A),FALSE),
IF(LEFT(C13,3)="CHL",O13*10000*HLOOKUP("PTAX",'Histórico'!$A$1:$FG$983,MATCH(B13,'Histórico'!A:A),FALSE)
)))))))))))))))))))))))),""))</f>
        <v/>
      </c>
      <c r="O13" s="49">
        <f t="shared" si="2"/>
        <v>60000</v>
      </c>
      <c r="P13" s="50">
        <f t="shared" si="3"/>
        <v>0</v>
      </c>
      <c r="Q13" s="51">
        <f>IF($C13&lt;&gt;"",SUMIFS($O$3:$O$401, $C$3:$C$401 ,$C13,$B$3:$B$401,"&lt;="&amp;Controle!$B$6),"")</f>
        <v>0</v>
      </c>
      <c r="R13" s="51">
        <f>IF($D13&lt;&gt;"",SUMIFS($O$3:$O$401, $C$3:$C$401 ,$C13,$B$3:$B$401,"&lt;="&amp;Controle!$B$6,$F$3:$F$401,$F13),"")</f>
        <v>0</v>
      </c>
      <c r="S13" s="51">
        <f>IF($D13&lt;&gt;"",SUMIFS($O$3:$O$401, $C$3:$C$401 ,$C13,$B$3:$B$401,"&lt;="&amp;'Controle D-1'!$B$6,$F$3:$F$401,$F13),"")</f>
        <v>0</v>
      </c>
      <c r="T13" s="40"/>
      <c r="U13" s="79" t="str">
        <f>IFERROR(__xludf.DUMMYFUNCTION("""COMPUTED_VALUE"""),"DI1-F29")</f>
        <v>DI1-F29</v>
      </c>
      <c r="V13" s="70">
        <f>IF(U13&lt;&gt;"", VLOOKUP(U13,'Alocação'!$C$3:$I$1001,7,FALSE()), "")</f>
        <v>47120</v>
      </c>
      <c r="W13" s="71">
        <f>IF(U13&lt;&gt;"", NETWORKDAYS(TODAY()+1,V13,Feriados!$A$1:$A$306),"")</f>
        <v>1337</v>
      </c>
      <c r="X13" s="40"/>
      <c r="Y13" s="70" t="s">
        <v>217</v>
      </c>
      <c r="Z13" s="71" t="s">
        <v>218</v>
      </c>
      <c r="AA13" s="40"/>
      <c r="AB13" s="40"/>
      <c r="AC13" s="40"/>
    </row>
    <row r="14" ht="15.75" customHeight="1">
      <c r="A14" s="28"/>
      <c r="B14" s="77">
        <v>45016.0</v>
      </c>
      <c r="C14" s="45" t="s">
        <v>36</v>
      </c>
      <c r="D14" s="45" t="str">
        <f>IF(ISTEXT(C14),VLOOKUP(C14,'Cadastro dos Ativos'!$A$2:$C$1000,3,0),"")</f>
        <v>Ações Americanas</v>
      </c>
      <c r="E14" s="45" t="s">
        <v>208</v>
      </c>
      <c r="F14" s="45" t="s">
        <v>200</v>
      </c>
      <c r="G14" s="46">
        <v>26.16</v>
      </c>
      <c r="H14" s="46">
        <f>if($D14="Ações Americanas", HLOOKUP("PTAX",'Histórico'!$A$1:$EL$983,MATCH(B14,'Histórico'!A:A),""),"")</f>
        <v>5.092700005</v>
      </c>
      <c r="I14" s="45" t="str">
        <f t="array" ref="I14">IF(ISTEXT(C14),xlookup(C14,'Cadastro dos Ativos'!$A$2:$A$1000,'Cadastro dos Ativos'!$D$2:$D$1000),"")</f>
        <v/>
      </c>
      <c r="J14" s="45">
        <v>230000.0</v>
      </c>
      <c r="K14" s="47">
        <f t="array" ref="K14">if(and(J14&lt;&gt;"",D14&lt;&gt;"Futuros"),
if(F14=Controle!$C$2, M14/xlookup(workday(B14,-1,Feriados!A:A),Controle!$B$10:$B$1000,Controle!$C$10:$C$1000),
if(F14=Controle!$F$2, M14/xlookup(workday(B14,-1,Feriados!A:A),Controle!$B$10:$B$1000,Controle!$F$10:$F$1000),
if(F14=Controle!$I$2, M14/xlookup(workday(B14,-1,Feriados!A:A),Controle!$B$10:$B$1000,Controle!$I$10:$I$1000),
if(F14=Controle!$L$2, M14/xlookup(workday(B14,-1,Feriados!A:A),Controle!$B$10:$B$1000,Controle!$L$10:$L$1000),
)))),
if(and(J14&lt;&gt;"",D14="Futuros"),
if(F14=Controle!$C$2, N14/xlookup(workday(B14,-1,Feriados!A:A),Controle!$B$10:$B$1000,Controle!$C$10:$C$1000),
if(F14=Controle!$F$2, N14/xlookup(workday(B14,-1,Feriados!A:A),Controle!$B$10:$B$1000,Controle!$F$10:$F$1000),
if(F14=Controle!$I$2, N14/xlookup(workday(B14,-1,Feriados!A:A),Controle!$B$10:$B$1000,Controle!$I$10:$I$1000),
if(F14=Controle!$L$2, N14/xlookup(workday(B14,-1,Feriados!A:A),Controle!$B$10:$B$1000,Controle!$L$10:$L$1000),
)))),""))</f>
        <v>-0.305270038</v>
      </c>
      <c r="L14" s="47">
        <f t="array" ref="L14">IF($J14&lt;&gt;"", IF($D14 = "Futuros" , $N14/xlookup(WORKDAY(B14,-1,Feriados!A:A),Controle!$B$10:$B$1000,Controle!$T$10:$T$1000) , $M14/xlookup(WORKDAY(B14,-1,Feriados!A:A),Controle!$B$10:$B$1000,Controle!$T$10:$T$1000)),"")</f>
        <v>-0.0763294807</v>
      </c>
      <c r="M14" s="48">
        <f t="shared" si="1"/>
        <v>-30641757.39</v>
      </c>
      <c r="N14" s="48" t="str">
        <f>IFERROR(IF(D14="Futuros",
IF(LEFT(C14,3)="DI1",G14*O14,
IF(LEFT(C14,3)="ISP",G14*O14*HLOOKUP("PTAX",'Histórico'!$A$1:$EL$983,MATCH(B14,'Histórico'!A:A),FALSE)*50,
IF(LEFT(C14,3)="WDO",10*G14*O14*HLOOKUP("PTAX",'Histórico'!$A$1:$EL$983,MATCH(B14,'Histórico'!A:A),FALSE),
IF(LEFT(C14,3)="DOL",50*G14*O14,
IF(LEFT(C14,3)="EUR",G14*O14*50,
IF(LEFT(C14,3)="WEU",G14*O14*10,
IF(LEFT(C14,3)="IND",G14*O14,
IF(LEFT(C14,3)="WIN",G14*O14*0.2,
IF(LEFT(C14,3)="T10",G14*O14*1000*HLOOKUP("PTAX",'Histórico'!$A$1:$EL$983,MATCH(B14,'Histórico'!A:A),FALSE),
IF(LEFT(C14,3)="CCM",G14*O14*450,
IF(LEFT(C14,3)="SJC",G14*O14*HLOOKUP("PTAX",'Histórico'!$A$1:$EL$983,MATCH(B14,'Histórico'!A:A),FALSE)*450,
IF(LEFT(C14,3)="BGI",G14*O14*330,
IF(LEFT(C14,3)="OZ1",G14*O14*250,
IF(LEFT(C14,3)="CLP",G14*O14*25,
IF(LEFT(C14,3)="EUP", O14*10000*HLOOKUP("EUR/BRL",'Histórico'!$A$1:$EL$983,MATCH(B14,'Histórico'!A:A),FALSE),
IF(LEFT(C14,3)="JSE", G14*O14*0.4,
IF(LEFT(C14,3)="GBP", O14*10000*HLOOKUP("GBP/BRL",'Histórico'!$A$1:$FG$983,MATCH(B14,'Histórico'!A:A),FALSE),
IF(LEFT(C14,3)="JAP",O14*10000*HLOOKUP("PTAX",'Histórico'!$A$1:$FG$983,MATCH(B14,'Histórico'!A:A),FALSE),
IF(LEFT(C14,3)="CNH",O14*10000*HLOOKUP("PTAX",'Histórico'!$A$1:$FG$983,MATCH(B14,'Histórico'!A:A),FALSE),
IF(LEFT(C14,3)="AUS",O14*10000*HLOOKUP("PTAX",'Histórico'!$A$1:$FG$983,MATCH(B14,'Histórico'!A:A),FALSE),
IF(LEFT(C14,3)="CAN",O14*10000*HLOOKUP("PTAX",'Histórico'!$A$1:$FG$983,MATCH(B14,'Histórico'!A:A),FALSE),
IF(LEFT(C14,3)="GBR",O14*10000*HLOOKUP("GBP/BRL",'Histórico'!$A$1:$FG$983,MATCH(B14,'Histórico'!A:A),FALSE),
IF(LEFT(C14,3)="MEX",O14*10000*HLOOKUP("PTAX",'Histórico'!$A$1:$FG$983,MATCH(B14,'Histórico'!A:A),FALSE),
IF(LEFT(C14,3)="CHL",O14*10000*HLOOKUP("PTAX",'Histórico'!$A$1:$FG$983,MATCH(B14,'Histórico'!A:A),FALSE)
)))))))))))))))))))))))),""))</f>
        <v/>
      </c>
      <c r="O14" s="49">
        <f t="shared" si="2"/>
        <v>230000</v>
      </c>
      <c r="P14" s="50">
        <f t="shared" si="3"/>
        <v>0</v>
      </c>
      <c r="Q14" s="51">
        <f>IF($C14&lt;&gt;"",SUMIFS($O$3:$O$401, $C$3:$C$401 ,$C14,$B$3:$B$401,"&lt;="&amp;Controle!$B$6),"")</f>
        <v>0</v>
      </c>
      <c r="R14" s="51">
        <f>IF($D14&lt;&gt;"",SUMIFS($O$3:$O$401, $C$3:$C$401 ,$C14,$B$3:$B$401,"&lt;="&amp;Controle!$B$6,$F$3:$F$401,$F14),"")</f>
        <v>0</v>
      </c>
      <c r="S14" s="51">
        <f>IF($D14&lt;&gt;"",SUMIFS($O$3:$O$401, $C$3:$C$401 ,$C14,$B$3:$B$401,"&lt;="&amp;'Controle D-1'!$B$6,$F$3:$F$401,$F14),"")</f>
        <v>0</v>
      </c>
      <c r="T14" s="40"/>
      <c r="U14" s="78" t="str">
        <f>IFERROR(__xludf.DUMMYFUNCTION("""COMPUTED_VALUE"""),"DI1-J24")</f>
        <v>DI1-J24</v>
      </c>
      <c r="V14" s="70">
        <f>IF(U14&lt;&gt;"", VLOOKUP(U14,'Alocação'!$C$3:$I$1001,7,FALSE()), "")</f>
        <v>45383</v>
      </c>
      <c r="W14" s="73">
        <f>IF(U14&lt;&gt;"", NETWORKDAYS(TODAY()+1,V14,Feriados!$A$1:$A$306),"")</f>
        <v>141</v>
      </c>
      <c r="X14" s="40"/>
      <c r="Y14" s="74" t="s">
        <v>219</v>
      </c>
      <c r="Z14" s="73" t="s">
        <v>220</v>
      </c>
      <c r="AA14" s="40"/>
      <c r="AB14" s="40"/>
      <c r="AC14" s="40"/>
    </row>
    <row r="15" ht="15.75" customHeight="1">
      <c r="A15" s="28"/>
      <c r="B15" s="77">
        <v>45020.0</v>
      </c>
      <c r="C15" s="45" t="s">
        <v>38</v>
      </c>
      <c r="D15" s="45" t="str">
        <f>IF(ISTEXT(C15),VLOOKUP(C15,'Cadastro dos Ativos'!$A$2:$C$1000,3,0),"")</f>
        <v>Futuros</v>
      </c>
      <c r="E15" s="45" t="s">
        <v>208</v>
      </c>
      <c r="F15" s="45" t="s">
        <v>199</v>
      </c>
      <c r="G15" s="46">
        <v>1090.463</v>
      </c>
      <c r="H15" s="46" t="str">
        <f>if($D15="Ações Americanas", HLOOKUP("PTAX",'Histórico'!$A$1:$EL$983,MATCH(B15,'Histórico'!A:A),""),"")</f>
        <v/>
      </c>
      <c r="I15" s="80">
        <f t="array" ref="I15">IF(ISTEXT(C15),xlookup(C15,'Cadastro dos Ativos'!$A$2:$A$1000,'Cadastro dos Ativos'!$D$2:$D$1000),"")</f>
        <v>45048</v>
      </c>
      <c r="J15" s="45">
        <v>1190.0</v>
      </c>
      <c r="K15" s="47">
        <f t="array" ref="K15">if(and(J15&lt;&gt;"",D15&lt;&gt;"Futuros"),
if(F15=Controle!$C$2, M15/xlookup(workday(B15,-1,Feriados!A:A),Controle!$B$10:$B$1000,Controle!$C$10:$C$1000),
if(F15=Controle!$F$2, M15/xlookup(workday(B15,-1,Feriados!A:A),Controle!$B$10:$B$1000,Controle!$F$10:$F$1000),
if(F15=Controle!$I$2, M15/xlookup(workday(B15,-1,Feriados!A:A),Controle!$B$10:$B$1000,Controle!$I$10:$I$1000),
if(F15=Controle!$L$2, M15/xlookup(workday(B15,-1,Feriados!A:A),Controle!$B$10:$B$1000,Controle!$L$10:$L$1000),
)))),
if(and(J15&lt;&gt;"",D15="Futuros"),
if(F15=Controle!$C$2, N15/xlookup(workday(B15,-1,Feriados!A:A),Controle!$B$10:$B$1000,Controle!$C$10:$C$1000),
if(F15=Controle!$F$2, N15/xlookup(workday(B15,-1,Feriados!A:A),Controle!$B$10:$B$1000,Controle!$F$10:$F$1000),
if(F15=Controle!$I$2, N15/xlookup(workday(B15,-1,Feriados!A:A),Controle!$B$10:$B$1000,Controle!$I$10:$I$1000),
if(F15=Controle!$L$2, N15/xlookup(workday(B15,-1,Feriados!A:A),Controle!$B$10:$B$1000,Controle!$L$10:$L$1000),
)))),""))</f>
        <v>0.6539510616</v>
      </c>
      <c r="L15" s="47">
        <f t="array" ref="L15">IF($J15&lt;&gt;"", IF($D15 = "Futuros" , $N15/xlookup(WORKDAY(B15,-1,Feriados!A:A),Controle!$B$10:$B$1000,Controle!$T$10:$T$1000) , $M15/xlookup(WORKDAY(B15,-1,Feriados!A:A),Controle!$B$10:$B$1000,Controle!$T$10:$T$1000)),"")</f>
        <v>0.1624891426</v>
      </c>
      <c r="M15" s="48">
        <f t="shared" si="1"/>
        <v>-1297650.97</v>
      </c>
      <c r="N15" s="48">
        <f>IFERROR(IF(D15="Futuros",
IF(LEFT(C15,3)="DI1",G15*O15,
IF(LEFT(C15,3)="ISP",G15*O15*HLOOKUP("PTAX",'Histórico'!$A$1:$EL$983,MATCH(B15,'Histórico'!A:A),FALSE)*50,
IF(LEFT(C15,3)="WDO",10*G15*O15*HLOOKUP("PTAX",'Histórico'!$A$1:$EL$983,MATCH(B15,'Histórico'!A:A),FALSE),
IF(LEFT(C15,3)="DOL",50*G15*O15,
IF(LEFT(C15,3)="EUR",G15*O15*50,
IF(LEFT(C15,3)="WEU",G15*O15*10,
IF(LEFT(C15,3)="IND",G15*O15,
IF(LEFT(C15,3)="WIN",G15*O15*0.2,
IF(LEFT(C15,3)="T10",G15*O15*1000*HLOOKUP("PTAX",'Histórico'!$A$1:$EL$983,MATCH(B15,'Histórico'!A:A),FALSE),
IF(LEFT(C15,3)="CCM",G15*O15*450,
IF(LEFT(C15,3)="SJC",G15*O15*HLOOKUP("PTAX",'Histórico'!$A$1:$EL$983,MATCH(B15,'Histórico'!A:A),FALSE)*450,
IF(LEFT(C15,3)="BGI",G15*O15*330,
IF(LEFT(C15,3)="OZ1",G15*O15*250,
IF(LEFT(C15,3)="CLP",G15*O15*25,
IF(LEFT(C15,3)="EUP", O15*10000*HLOOKUP("EUR/BRL",'Histórico'!$A$1:$EL$983,MATCH(B15,'Histórico'!A:A),FALSE),
IF(LEFT(C15,3)="JSE", G15*O15*0.4,
IF(LEFT(C15,3)="GBP", O15*10000*HLOOKUP("GBP/BRL",'Histórico'!$A$1:$FG$983,MATCH(B15,'Histórico'!A:A),FALSE),
IF(LEFT(C15,3)="JAP",O15*10000*HLOOKUP("PTAX",'Histórico'!$A$1:$FG$983,MATCH(B15,'Histórico'!A:A),FALSE),
IF(LEFT(C15,3)="CNH",O15*10000*HLOOKUP("PTAX",'Histórico'!$A$1:$FG$983,MATCH(B15,'Histórico'!A:A),FALSE),
IF(LEFT(C15,3)="AUS",O15*10000*HLOOKUP("PTAX",'Histórico'!$A$1:$FG$983,MATCH(B15,'Histórico'!A:A),FALSE),
IF(LEFT(C15,3)="CAN",O15*10000*HLOOKUP("PTAX",'Histórico'!$A$1:$FG$983,MATCH(B15,'Histórico'!A:A),FALSE),
IF(LEFT(C15,3)="GBR",O15*10000*HLOOKUP("GBP/BRL",'Histórico'!$A$1:$FG$983,MATCH(B15,'Histórico'!A:A),FALSE),
IF(LEFT(C15,3)="MEX",O15*10000*HLOOKUP("PTAX",'Histórico'!$A$1:$FG$983,MATCH(B15,'Histórico'!A:A),FALSE),
IF(LEFT(C15,3)="CHL",O15*10000*HLOOKUP("PTAX",'Histórico'!$A$1:$FG$983,MATCH(B15,'Histórico'!A:A),FALSE)
)))))))))))))))))))))))),""))</f>
        <v>65689191.39</v>
      </c>
      <c r="O15" s="49">
        <f t="shared" si="2"/>
        <v>1190</v>
      </c>
      <c r="P15" s="50">
        <f t="shared" si="3"/>
        <v>0</v>
      </c>
      <c r="Q15" s="51">
        <f>IF($C15&lt;&gt;"",SUMIFS($O$3:$O$401, $C$3:$C$401 ,$C15,$B$3:$B$401,"&lt;="&amp;Controle!$B$6),"")</f>
        <v>0</v>
      </c>
      <c r="R15" s="51">
        <f>IF($D15&lt;&gt;"",SUMIFS($O$3:$O$401, $C$3:$C$401 ,$C15,$B$3:$B$401,"&lt;="&amp;Controle!$B$6,$F$3:$F$401,$F15),"")</f>
        <v>0</v>
      </c>
      <c r="S15" s="51">
        <f>IF($D15&lt;&gt;"",SUMIFS($O$3:$O$401, $C$3:$C$401 ,$C15,$B$3:$B$401,"&lt;="&amp;'Controle D-1'!$B$6,$F$3:$F$401,$F15),"")</f>
        <v>0</v>
      </c>
      <c r="T15" s="81"/>
      <c r="U15" s="79" t="str">
        <f>IFERROR(__xludf.DUMMYFUNCTION("""COMPUTED_VALUE"""),"DOL-V23")</f>
        <v>DOL-V23</v>
      </c>
      <c r="V15" s="70">
        <f>IF(U15&lt;&gt;"", VLOOKUP(U15,'Alocação'!$C$3:$I$1001,7,FALSE()), "")</f>
        <v>45201</v>
      </c>
      <c r="W15" s="82">
        <f>IF(U15&lt;&gt;"", NETWORKDAYS(TODAY()+1,V15,Feriados!$A$1:$A$306),"")</f>
        <v>19</v>
      </c>
      <c r="X15" s="40"/>
      <c r="Y15" s="70" t="s">
        <v>221</v>
      </c>
      <c r="Z15" s="82" t="s">
        <v>222</v>
      </c>
      <c r="AA15" s="40"/>
      <c r="AB15" s="40"/>
      <c r="AC15" s="40"/>
    </row>
    <row r="16" ht="15.75" customHeight="1">
      <c r="A16" s="28"/>
      <c r="B16" s="77">
        <v>45020.0</v>
      </c>
      <c r="C16" s="45" t="s">
        <v>25</v>
      </c>
      <c r="D16" s="45" t="str">
        <f>IF(ISTEXT(C16),VLOOKUP(C16,'Cadastro dos Ativos'!$A$2:$C$1000,3,0),"")</f>
        <v>Futuros</v>
      </c>
      <c r="E16" s="45" t="s">
        <v>208</v>
      </c>
      <c r="F16" s="45" t="s">
        <v>199</v>
      </c>
      <c r="G16" s="46">
        <v>1240.22</v>
      </c>
      <c r="H16" s="46" t="str">
        <f>if($D16="Ações Americanas", HLOOKUP("PTAX",'Histórico'!$A$1:$EL$983,MATCH(B16,'Histórico'!A:A),""),"")</f>
        <v/>
      </c>
      <c r="I16" s="44">
        <f t="array" ref="I16">IF(ISTEXT(C16),xlookup(C16,'Cadastro dos Ativos'!$A$2:$A$1000,'Cadastro dos Ativos'!$D$2:$D$1000),"")</f>
        <v>45048</v>
      </c>
      <c r="J16" s="45">
        <v>796.0</v>
      </c>
      <c r="K16" s="47">
        <f t="array" ref="K16">if(and(J16&lt;&gt;"",D16&lt;&gt;"Futuros"),
if(F16=Controle!$C$2, M16/xlookup(workday(B16,-1,Feriados!A:A),Controle!$B$10:$B$1000,Controle!$C$10:$C$1000),
if(F16=Controle!$F$2, M16/xlookup(workday(B16,-1,Feriados!A:A),Controle!$B$10:$B$1000,Controle!$F$10:$F$1000),
if(F16=Controle!$I$2, M16/xlookup(workday(B16,-1,Feriados!A:A),Controle!$B$10:$B$1000,Controle!$I$10:$I$1000),
if(F16=Controle!$L$2, M16/xlookup(workday(B16,-1,Feriados!A:A),Controle!$B$10:$B$1000,Controle!$L$10:$L$1000),
)))),
if(and(J16&lt;&gt;"",D16="Futuros"),
if(F16=Controle!$C$2, N16/xlookup(workday(B16,-1,Feriados!A:A),Controle!$B$10:$B$1000,Controle!$C$10:$C$1000),
if(F16=Controle!$F$2, N16/xlookup(workday(B16,-1,Feriados!A:A),Controle!$B$10:$B$1000,Controle!$F$10:$F$1000),
if(F16=Controle!$I$2, N16/xlookup(workday(B16,-1,Feriados!A:A),Controle!$B$10:$B$1000,Controle!$I$10:$I$1000),
if(F16=Controle!$L$2, N16/xlookup(workday(B16,-1,Feriados!A:A),Controle!$B$10:$B$1000,Controle!$L$10:$L$1000),
)))),""))</f>
        <v>0.4980743985</v>
      </c>
      <c r="L16" s="47">
        <f t="array" ref="L16">IF($J16&lt;&gt;"", IF($D16 = "Futuros" , $N16/xlookup(WORKDAY(B16,-1,Feriados!A:A),Controle!$B$10:$B$1000,Controle!$T$10:$T$1000) , $M16/xlookup(WORKDAY(B16,-1,Feriados!A:A),Controle!$B$10:$B$1000,Controle!$T$10:$T$1000)),"")</f>
        <v>0.1237580099</v>
      </c>
      <c r="M16" s="48">
        <f t="shared" si="1"/>
        <v>-987215.12</v>
      </c>
      <c r="N16" s="48">
        <f>IFERROR(IF(D16="Futuros",
IF(LEFT(C16,3)="DI1",G16*O16,
IF(LEFT(C16,3)="ISP",G16*O16*HLOOKUP("PTAX",'Histórico'!$A$1:$EL$983,MATCH(B16,'Histórico'!A:A),FALSE)*50,
IF(LEFT(C16,3)="WDO",10*G16*O16*HLOOKUP("PTAX",'Histórico'!$A$1:$EL$983,MATCH(B16,'Histórico'!A:A),FALSE),
IF(LEFT(C16,3)="DOL",50*G16*O16,
IF(LEFT(C16,3)="EUR",G16*O16*50,
IF(LEFT(C16,3)="WEU",G16*O16*10,
IF(LEFT(C16,3)="IND",G16*O16,
IF(LEFT(C16,3)="WIN",G16*O16*0.2,
IF(LEFT(C16,3)="T10",G16*O16*1000*HLOOKUP("PTAX",'Histórico'!$A$1:$EL$983,MATCH(B16,'Histórico'!A:A),FALSE),
IF(LEFT(C16,3)="CCM",G16*O16*450,
IF(LEFT(C16,3)="SJC",G16*O16*HLOOKUP("PTAX",'Histórico'!$A$1:$EL$983,MATCH(B16,'Histórico'!A:A),FALSE)*450,
IF(LEFT(C16,3)="BGI",G16*O16*330,
IF(LEFT(C16,3)="OZ1",G16*O16*250,
IF(LEFT(C16,3)="CLP",G16*O16*25,
IF(LEFT(C16,3)="EUP", O16*10000*HLOOKUP("EUR/BRL",'Histórico'!$A$1:$EL$983,MATCH(B16,'Histórico'!A:A),FALSE),
IF(LEFT(C16,3)="JSE", G16*O16*0.4,
IF(LEFT(C16,3)="GBP", O16*10000*HLOOKUP("GBP/BRL",'Histórico'!$A$1:$FG$983,MATCH(B16,'Histórico'!A:A),FALSE),
IF(LEFT(C16,3)="JAP",O16*10000*HLOOKUP("PTAX",'Histórico'!$A$1:$FG$983,MATCH(B16,'Histórico'!A:A),FALSE),
IF(LEFT(C16,3)="CNH",O16*10000*HLOOKUP("PTAX",'Histórico'!$A$1:$FG$983,MATCH(B16,'Histórico'!A:A),FALSE),
IF(LEFT(C16,3)="AUS",O16*10000*HLOOKUP("PTAX",'Histórico'!$A$1:$FG$983,MATCH(B16,'Histórico'!A:A),FALSE),
IF(LEFT(C16,3)="CAN",O16*10000*HLOOKUP("PTAX",'Histórico'!$A$1:$FG$983,MATCH(B16,'Histórico'!A:A),FALSE),
IF(LEFT(C16,3)="GBR",O16*10000*HLOOKUP("GBP/BRL",'Histórico'!$A$1:$FG$983,MATCH(B16,'Histórico'!A:A),FALSE),
IF(LEFT(C16,3)="MEX",O16*10000*HLOOKUP("PTAX",'Histórico'!$A$1:$FG$983,MATCH(B16,'Histórico'!A:A),FALSE),
IF(LEFT(C16,3)="CHL",O16*10000*HLOOKUP("PTAX",'Histórico'!$A$1:$FG$983,MATCH(B16,'Histórico'!A:A),FALSE)
)))))))))))))))))))))))),""))</f>
        <v>50031426.53</v>
      </c>
      <c r="O16" s="49">
        <f t="shared" si="2"/>
        <v>796</v>
      </c>
      <c r="P16" s="50">
        <f t="shared" si="3"/>
        <v>0</v>
      </c>
      <c r="Q16" s="51">
        <f>IF($C16&lt;&gt;"",SUMIFS($O$3:$O$401, $C$3:$C$401 ,$C16,$B$3:$B$401,"&lt;="&amp;Controle!$B$6),"")</f>
        <v>0</v>
      </c>
      <c r="R16" s="51">
        <f>IF($D16&lt;&gt;"",SUMIFS($O$3:$O$401, $C$3:$C$401 ,$C16,$B$3:$B$401,"&lt;="&amp;Controle!$B$6,$F$3:$F$401,$F16),"")</f>
        <v>0</v>
      </c>
      <c r="S16" s="51">
        <f>IF($D16&lt;&gt;"",SUMIFS($O$3:$O$401, $C$3:$C$401 ,$C16,$B$3:$B$401,"&lt;="&amp;'Controle D-1'!$B$6,$F$3:$F$401,$F16),"")</f>
        <v>0</v>
      </c>
      <c r="T16" s="40"/>
      <c r="U16" s="78" t="str">
        <f>IFERROR(__xludf.DUMMYFUNCTION("""COMPUTED_VALUE"""),"DOL-Z23")</f>
        <v>DOL-Z23</v>
      </c>
      <c r="V16" s="70">
        <f>IF(U16&lt;&gt;"", VLOOKUP(U16,'Alocação'!$C$3:$I$1001,7,FALSE()), "")</f>
        <v>45261</v>
      </c>
      <c r="W16" s="82">
        <f>IF(U16&lt;&gt;"", NETWORKDAYS(TODAY()+1,V16,Feriados!$A$1:$A$306),"")</f>
        <v>60</v>
      </c>
      <c r="X16" s="40"/>
      <c r="Y16" s="74" t="s">
        <v>223</v>
      </c>
      <c r="Z16" s="82" t="s">
        <v>224</v>
      </c>
      <c r="AA16" s="40"/>
      <c r="AB16" s="40"/>
      <c r="AC16" s="40"/>
    </row>
    <row r="17" ht="15.75" customHeight="1">
      <c r="A17" s="28"/>
      <c r="B17" s="77">
        <v>45020.0</v>
      </c>
      <c r="C17" s="45" t="s">
        <v>40</v>
      </c>
      <c r="D17" s="45" t="str">
        <f>IF(ISTEXT(C17),VLOOKUP(C17,'Cadastro dos Ativos'!$A$2:$C$1000,3,0),"")</f>
        <v>Ações Americanas</v>
      </c>
      <c r="E17" s="45" t="s">
        <v>198</v>
      </c>
      <c r="F17" s="45" t="s">
        <v>199</v>
      </c>
      <c r="G17" s="46">
        <v>28.39</v>
      </c>
      <c r="H17" s="46">
        <f>if($D17="Ações Americanas", HLOOKUP("PTAX",'Histórico'!$A$1:$EL$983,MATCH(B17,'Histórico'!A:A),""),"")</f>
        <v>5.07310009</v>
      </c>
      <c r="I17" s="45" t="str">
        <f t="array" ref="I17">IF(ISTEXT(C17),xlookup(C17,'Cadastro dos Ativos'!$A$2:$A$1000,'Cadastro dos Ativos'!$D$2:$D$1000),"")</f>
        <v/>
      </c>
      <c r="J17" s="45">
        <v>59769.0</v>
      </c>
      <c r="K17" s="47">
        <f t="array" ref="K17">if(and(J17&lt;&gt;"",D17&lt;&gt;"Futuros"),
if(F17=Controle!$C$2, M17/xlookup(workday(B17,-1,Feriados!A:A),Controle!$B$10:$B$1000,Controle!$C$10:$C$1000),
if(F17=Controle!$F$2, M17/xlookup(workday(B17,-1,Feriados!A:A),Controle!$B$10:$B$1000,Controle!$F$10:$F$1000),
if(F17=Controle!$I$2, M17/xlookup(workday(B17,-1,Feriados!A:A),Controle!$B$10:$B$1000,Controle!$I$10:$I$1000),
if(F17=Controle!$L$2, M17/xlookup(workday(B17,-1,Feriados!A:A),Controle!$B$10:$B$1000,Controle!$L$10:$L$1000),
)))),
if(and(J17&lt;&gt;"",D17="Futuros"),
if(F17=Controle!$C$2, N17/xlookup(workday(B17,-1,Feriados!A:A),Controle!$B$10:$B$1000,Controle!$C$10:$C$1000),
if(F17=Controle!$F$2, N17/xlookup(workday(B17,-1,Feriados!A:A),Controle!$B$10:$B$1000,Controle!$F$10:$F$1000),
if(F17=Controle!$I$2, N17/xlookup(workday(B17,-1,Feriados!A:A),Controle!$B$10:$B$1000,Controle!$I$10:$I$1000),
if(F17=Controle!$L$2, N17/xlookup(workday(B17,-1,Feriados!A:A),Controle!$B$10:$B$1000,Controle!$L$10:$L$1000),
)))),""))</f>
        <v>0.08569710409</v>
      </c>
      <c r="L17" s="47">
        <f t="array" ref="L17">IF($J17&lt;&gt;"", IF($D17 = "Futuros" , $N17/xlookup(WORKDAY(B17,-1,Feriados!A:A),Controle!$B$10:$B$1000,Controle!$T$10:$T$1000) , $M17/xlookup(WORKDAY(B17,-1,Feriados!A:A),Controle!$B$10:$B$1000,Controle!$T$10:$T$1000)),"")</f>
        <v>0.02129341136</v>
      </c>
      <c r="M17" s="48">
        <f t="shared" si="1"/>
        <v>8608248.846</v>
      </c>
      <c r="N17" s="48" t="str">
        <f>IFERROR(IF(D17="Futuros",
IF(LEFT(C17,3)="DI1",G17*O17,
IF(LEFT(C17,3)="ISP",G17*O17*HLOOKUP("PTAX",'Histórico'!$A$1:$EL$983,MATCH(B17,'Histórico'!A:A),FALSE)*50,
IF(LEFT(C17,3)="WDO",10*G17*O17*HLOOKUP("PTAX",'Histórico'!$A$1:$EL$983,MATCH(B17,'Histórico'!A:A),FALSE),
IF(LEFT(C17,3)="DOL",50*G17*O17,
IF(LEFT(C17,3)="EUR",G17*O17*50,
IF(LEFT(C17,3)="WEU",G17*O17*10,
IF(LEFT(C17,3)="IND",G17*O17,
IF(LEFT(C17,3)="WIN",G17*O17*0.2,
IF(LEFT(C17,3)="T10",G17*O17*1000*HLOOKUP("PTAX",'Histórico'!$A$1:$EL$983,MATCH(B17,'Histórico'!A:A),FALSE),
IF(LEFT(C17,3)="CCM",G17*O17*450,
IF(LEFT(C17,3)="SJC",G17*O17*HLOOKUP("PTAX",'Histórico'!$A$1:$EL$983,MATCH(B17,'Histórico'!A:A),FALSE)*450,
IF(LEFT(C17,3)="BGI",G17*O17*330,
IF(LEFT(C17,3)="OZ1",G17*O17*250,
IF(LEFT(C17,3)="CLP",G17*O17*25,
IF(LEFT(C17,3)="EUP", O17*10000*HLOOKUP("EUR/BRL",'Histórico'!$A$1:$EL$983,MATCH(B17,'Histórico'!A:A),FALSE),
IF(LEFT(C17,3)="JSE", G17*O17*0.4,
IF(LEFT(C17,3)="GBP", O17*10000*HLOOKUP("GBP/BRL",'Histórico'!$A$1:$FG$983,MATCH(B17,'Histórico'!A:A),FALSE),
IF(LEFT(C17,3)="JAP",O17*10000*HLOOKUP("PTAX",'Histórico'!$A$1:$FG$983,MATCH(B17,'Histórico'!A:A),FALSE),
IF(LEFT(C17,3)="CNH",O17*10000*HLOOKUP("PTAX",'Histórico'!$A$1:$FG$983,MATCH(B17,'Histórico'!A:A),FALSE),
IF(LEFT(C17,3)="AUS",O17*10000*HLOOKUP("PTAX",'Histórico'!$A$1:$FG$983,MATCH(B17,'Histórico'!A:A),FALSE),
IF(LEFT(C17,3)="CAN",O17*10000*HLOOKUP("PTAX",'Histórico'!$A$1:$FG$983,MATCH(B17,'Histórico'!A:A),FALSE),
IF(LEFT(C17,3)="GBR",O17*10000*HLOOKUP("GBP/BRL",'Histórico'!$A$1:$FG$983,MATCH(B17,'Histórico'!A:A),FALSE),
IF(LEFT(C17,3)="MEX",O17*10000*HLOOKUP("PTAX",'Histórico'!$A$1:$FG$983,MATCH(B17,'Histórico'!A:A),FALSE),
IF(LEFT(C17,3)="CHL",O17*10000*HLOOKUP("PTAX",'Histórico'!$A$1:$FG$983,MATCH(B17,'Histórico'!A:A),FALSE)
)))))))))))))))))))))))),""))</f>
        <v/>
      </c>
      <c r="O17" s="49">
        <f t="shared" si="2"/>
        <v>-59769</v>
      </c>
      <c r="P17" s="50">
        <f t="shared" si="3"/>
        <v>0</v>
      </c>
      <c r="Q17" s="51">
        <f>IF($C17&lt;&gt;"",SUMIFS($O$3:$O$401, $C$3:$C$401 ,$C17,$B$3:$B$401,"&lt;="&amp;Controle!$B$6),"")</f>
        <v>0</v>
      </c>
      <c r="R17" s="51">
        <f>IF($D17&lt;&gt;"",SUMIFS($O$3:$O$401, $C$3:$C$401 ,$C17,$B$3:$B$401,"&lt;="&amp;Controle!$B$6,$F$3:$F$401,$F17),"")</f>
        <v>0</v>
      </c>
      <c r="S17" s="51">
        <f>IF($D17&lt;&gt;"",SUMIFS($O$3:$O$401, $C$3:$C$401 ,$C17,$B$3:$B$401,"&lt;="&amp;'Controle D-1'!$B$6,$F$3:$F$401,$F17),"")</f>
        <v>0</v>
      </c>
      <c r="T17" s="40"/>
      <c r="U17" s="79" t="str">
        <f>IFERROR(__xludf.DUMMYFUNCTION("""COMPUTED_VALUE"""),"IND-V23")</f>
        <v>IND-V23</v>
      </c>
      <c r="V17" s="70">
        <f>IF(U17&lt;&gt;"", VLOOKUP(U17,'Alocação'!$C$3:$I$1001,7,FALSE()), "")</f>
        <v>45217</v>
      </c>
      <c r="W17" s="71"/>
      <c r="X17" s="40"/>
      <c r="Y17" s="70" t="s">
        <v>225</v>
      </c>
      <c r="Z17" s="71" t="s">
        <v>226</v>
      </c>
      <c r="AA17" s="40"/>
      <c r="AB17" s="40"/>
      <c r="AC17" s="40"/>
    </row>
    <row r="18" ht="15.75" customHeight="1">
      <c r="A18" s="28"/>
      <c r="B18" s="77">
        <v>45020.0</v>
      </c>
      <c r="C18" s="45" t="s">
        <v>42</v>
      </c>
      <c r="D18" s="45" t="str">
        <f>IF(ISTEXT(C18),VLOOKUP(C18,'Cadastro dos Ativos'!$A$2:$C$1000,3,0),"")</f>
        <v>Ações Americanas</v>
      </c>
      <c r="E18" s="45" t="s">
        <v>198</v>
      </c>
      <c r="F18" s="45" t="s">
        <v>199</v>
      </c>
      <c r="G18" s="46">
        <v>28.08</v>
      </c>
      <c r="H18" s="46">
        <f>if($D18="Ações Americanas", HLOOKUP("PTAX",'Histórico'!$A$1:$EL$983,MATCH(B18,'Histórico'!A:A),""),"")</f>
        <v>5.07310009</v>
      </c>
      <c r="I18" s="45" t="str">
        <f t="array" ref="I18">IF(ISTEXT(C18),xlookup(C18,'Cadastro dos Ativos'!$A$2:$A$1000,'Cadastro dos Ativos'!$D$2:$D$1000),"")</f>
        <v/>
      </c>
      <c r="J18" s="45">
        <v>58970.0</v>
      </c>
      <c r="K18" s="47">
        <f t="array" ref="K18">if(and(J18&lt;&gt;"",D18&lt;&gt;"Futuros"),
if(F18=Controle!$C$2, M18/xlookup(workday(B18,-1,Feriados!A:A),Controle!$B$10:$B$1000,Controle!$C$10:$C$1000),
if(F18=Controle!$F$2, M18/xlookup(workday(B18,-1,Feriados!A:A),Controle!$B$10:$B$1000,Controle!$F$10:$F$1000),
if(F18=Controle!$I$2, M18/xlookup(workday(B18,-1,Feriados!A:A),Controle!$B$10:$B$1000,Controle!$I$10:$I$1000),
if(F18=Controle!$L$2, M18/xlookup(workday(B18,-1,Feriados!A:A),Controle!$B$10:$B$1000,Controle!$L$10:$L$1000),
)))),
if(and(J18&lt;&gt;"",D18="Futuros"),
if(F18=Controle!$C$2, N18/xlookup(workday(B18,-1,Feriados!A:A),Controle!$B$10:$B$1000,Controle!$C$10:$C$1000),
if(F18=Controle!$F$2, N18/xlookup(workday(B18,-1,Feriados!A:A),Controle!$B$10:$B$1000,Controle!$F$10:$F$1000),
if(F18=Controle!$I$2, N18/xlookup(workday(B18,-1,Feriados!A:A),Controle!$B$10:$B$1000,Controle!$I$10:$I$1000),
if(F18=Controle!$L$2, N18/xlookup(workday(B18,-1,Feriados!A:A),Controle!$B$10:$B$1000,Controle!$L$10:$L$1000),
)))),""))</f>
        <v>0.0836282474</v>
      </c>
      <c r="L18" s="47">
        <f t="array" ref="L18">IF($J18&lt;&gt;"", IF($D18 = "Futuros" , $N18/xlookup(WORKDAY(B18,-1,Feriados!A:A),Controle!$B$10:$B$1000,Controle!$T$10:$T$1000) , $M18/xlookup(WORKDAY(B18,-1,Feriados!A:A),Controle!$B$10:$B$1000,Controle!$T$10:$T$1000)),"")</f>
        <v>0.02077935646</v>
      </c>
      <c r="M18" s="48">
        <f t="shared" si="1"/>
        <v>8400432.802</v>
      </c>
      <c r="N18" s="48" t="str">
        <f>IFERROR(IF(D18="Futuros",
IF(LEFT(C18,3)="DI1",G18*O18,
IF(LEFT(C18,3)="ISP",G18*O18*HLOOKUP("PTAX",'Histórico'!$A$1:$EL$983,MATCH(B18,'Histórico'!A:A),FALSE)*50,
IF(LEFT(C18,3)="WDO",10*G18*O18*HLOOKUP("PTAX",'Histórico'!$A$1:$EL$983,MATCH(B18,'Histórico'!A:A),FALSE),
IF(LEFT(C18,3)="DOL",50*G18*O18,
IF(LEFT(C18,3)="EUR",G18*O18*50,
IF(LEFT(C18,3)="WEU",G18*O18*10,
IF(LEFT(C18,3)="IND",G18*O18,
IF(LEFT(C18,3)="WIN",G18*O18*0.2,
IF(LEFT(C18,3)="T10",G18*O18*1000*HLOOKUP("PTAX",'Histórico'!$A$1:$EL$983,MATCH(B18,'Histórico'!A:A),FALSE),
IF(LEFT(C18,3)="CCM",G18*O18*450,
IF(LEFT(C18,3)="SJC",G18*O18*HLOOKUP("PTAX",'Histórico'!$A$1:$EL$983,MATCH(B18,'Histórico'!A:A),FALSE)*450,
IF(LEFT(C18,3)="BGI",G18*O18*330,
IF(LEFT(C18,3)="OZ1",G18*O18*250,
IF(LEFT(C18,3)="CLP",G18*O18*25,
IF(LEFT(C18,3)="EUP", O18*10000*HLOOKUP("EUR/BRL",'Histórico'!$A$1:$EL$983,MATCH(B18,'Histórico'!A:A),FALSE),
IF(LEFT(C18,3)="JSE", G18*O18*0.4,
IF(LEFT(C18,3)="GBP", O18*10000*HLOOKUP("GBP/BRL",'Histórico'!$A$1:$FG$983,MATCH(B18,'Histórico'!A:A),FALSE),
IF(LEFT(C18,3)="JAP",O18*10000*HLOOKUP("PTAX",'Histórico'!$A$1:$FG$983,MATCH(B18,'Histórico'!A:A),FALSE),
IF(LEFT(C18,3)="CNH",O18*10000*HLOOKUP("PTAX",'Histórico'!$A$1:$FG$983,MATCH(B18,'Histórico'!A:A),FALSE),
IF(LEFT(C18,3)="AUS",O18*10000*HLOOKUP("PTAX",'Histórico'!$A$1:$FG$983,MATCH(B18,'Histórico'!A:A),FALSE),
IF(LEFT(C18,3)="CAN",O18*10000*HLOOKUP("PTAX",'Histórico'!$A$1:$FG$983,MATCH(B18,'Histórico'!A:A),FALSE),
IF(LEFT(C18,3)="GBR",O18*10000*HLOOKUP("GBP/BRL",'Histórico'!$A$1:$FG$983,MATCH(B18,'Histórico'!A:A),FALSE),
IF(LEFT(C18,3)="MEX",O18*10000*HLOOKUP("PTAX",'Histórico'!$A$1:$FG$983,MATCH(B18,'Histórico'!A:A),FALSE),
IF(LEFT(C18,3)="CHL",O18*10000*HLOOKUP("PTAX",'Histórico'!$A$1:$FG$983,MATCH(B18,'Histórico'!A:A),FALSE)
)))))))))))))))))))))))),""))</f>
        <v/>
      </c>
      <c r="O18" s="49">
        <f t="shared" si="2"/>
        <v>-58970</v>
      </c>
      <c r="P18" s="50">
        <f t="shared" si="3"/>
        <v>0</v>
      </c>
      <c r="Q18" s="51">
        <f>IF($C18&lt;&gt;"",SUMIFS($O$3:$O$401, $C$3:$C$401 ,$C18,$B$3:$B$401,"&lt;="&amp;Controle!$B$6),"")</f>
        <v>0</v>
      </c>
      <c r="R18" s="51">
        <f>IF($D18&lt;&gt;"",SUMIFS($O$3:$O$401, $C$3:$C$401 ,$C18,$B$3:$B$401,"&lt;="&amp;Controle!$B$6,$F$3:$F$401,$F18),"")</f>
        <v>0</v>
      </c>
      <c r="S18" s="51">
        <f>IF($D18&lt;&gt;"",SUMIFS($O$3:$O$401, $C$3:$C$401 ,$C18,$B$3:$B$401,"&lt;="&amp;'Controle D-1'!$B$6,$F$3:$F$401,$F18),"")</f>
        <v>0</v>
      </c>
      <c r="T18" s="40"/>
      <c r="U18" s="78" t="str">
        <f>IFERROR(__xludf.DUMMYFUNCTION("""COMPUTED_VALUE"""),"SJC-F24")</f>
        <v>SJC-F24</v>
      </c>
      <c r="V18" s="70">
        <f>IF(U18&lt;&gt;"", VLOOKUP(U18,'Alocação'!$C$3:$I$1001,7,FALSE()), "")</f>
        <v>45287</v>
      </c>
      <c r="W18" s="73"/>
      <c r="X18" s="40"/>
      <c r="Y18" s="74" t="s">
        <v>198</v>
      </c>
      <c r="Z18" s="73" t="s">
        <v>227</v>
      </c>
      <c r="AA18" s="40"/>
      <c r="AB18" s="40"/>
      <c r="AC18" s="40"/>
    </row>
    <row r="19" ht="15.75" customHeight="1">
      <c r="A19" s="28"/>
      <c r="B19" s="77">
        <v>45020.0</v>
      </c>
      <c r="C19" s="45" t="s">
        <v>44</v>
      </c>
      <c r="D19" s="45" t="str">
        <f>IF(ISTEXT(C19),VLOOKUP(C19,'Cadastro dos Ativos'!$A$2:$C$1000,3,0),"")</f>
        <v>Ações Americanas</v>
      </c>
      <c r="E19" s="45" t="s">
        <v>198</v>
      </c>
      <c r="F19" s="45" t="s">
        <v>199</v>
      </c>
      <c r="G19" s="46">
        <v>30.58</v>
      </c>
      <c r="H19" s="46">
        <f>if($D19="Ações Americanas", HLOOKUP("PTAX",'Histórico'!$A$1:$EL$983,MATCH(B19,'Histórico'!A:A),""),"")</f>
        <v>5.07310009</v>
      </c>
      <c r="I19" s="45" t="str">
        <f t="array" ref="I19">IF(ISTEXT(C19),xlookup(C19,'Cadastro dos Ativos'!$A$2:$A$1000,'Cadastro dos Ativos'!$D$2:$D$1000),"")</f>
        <v/>
      </c>
      <c r="J19" s="45">
        <v>52152.0</v>
      </c>
      <c r="K19" s="47">
        <f t="array" ref="K19">if(and(J19&lt;&gt;"",D19&lt;&gt;"Futuros"),
if(F19=Controle!$C$2, M19/xlookup(workday(B19,-1,Feriados!A:A),Controle!$B$10:$B$1000,Controle!$C$10:$C$1000),
if(F19=Controle!$F$2, M19/xlookup(workday(B19,-1,Feriados!A:A),Controle!$B$10:$B$1000,Controle!$F$10:$F$1000),
if(F19=Controle!$I$2, M19/xlookup(workday(B19,-1,Feriados!A:A),Controle!$B$10:$B$1000,Controle!$I$10:$I$1000),
if(F19=Controle!$L$2, M19/xlookup(workday(B19,-1,Feriados!A:A),Controle!$B$10:$B$1000,Controle!$L$10:$L$1000),
)))),
if(and(J19&lt;&gt;"",D19="Futuros"),
if(F19=Controle!$C$2, N19/xlookup(workday(B19,-1,Feriados!A:A),Controle!$B$10:$B$1000,Controle!$C$10:$C$1000),
if(F19=Controle!$F$2, N19/xlookup(workday(B19,-1,Feriados!A:A),Controle!$B$10:$B$1000,Controle!$F$10:$F$1000),
if(F19=Controle!$I$2, N19/xlookup(workday(B19,-1,Feriados!A:A),Controle!$B$10:$B$1000,Controle!$I$10:$I$1000),
if(F19=Controle!$L$2, N19/xlookup(workday(B19,-1,Feriados!A:A),Controle!$B$10:$B$1000,Controle!$L$10:$L$1000),
)))),""))</f>
        <v>0.08054400359</v>
      </c>
      <c r="L19" s="47">
        <f t="array" ref="L19">IF($J19&lt;&gt;"", IF($D19 = "Futuros" , $N19/xlookup(WORKDAY(B19,-1,Feriados!A:A),Controle!$B$10:$B$1000,Controle!$T$10:$T$1000) , $M19/xlookup(WORKDAY(B19,-1,Feriados!A:A),Controle!$B$10:$B$1000,Controle!$T$10:$T$1000)),"")</f>
        <v>0.02001300533</v>
      </c>
      <c r="M19" s="48">
        <f t="shared" si="1"/>
        <v>8090621.42</v>
      </c>
      <c r="N19" s="48" t="str">
        <f>IFERROR(IF(D19="Futuros",
IF(LEFT(C19,3)="DI1",G19*O19,
IF(LEFT(C19,3)="ISP",G19*O19*HLOOKUP("PTAX",'Histórico'!$A$1:$EL$983,MATCH(B19,'Histórico'!A:A),FALSE)*50,
IF(LEFT(C19,3)="WDO",10*G19*O19*HLOOKUP("PTAX",'Histórico'!$A$1:$EL$983,MATCH(B19,'Histórico'!A:A),FALSE),
IF(LEFT(C19,3)="DOL",50*G19*O19,
IF(LEFT(C19,3)="EUR",G19*O19*50,
IF(LEFT(C19,3)="WEU",G19*O19*10,
IF(LEFT(C19,3)="IND",G19*O19,
IF(LEFT(C19,3)="WIN",G19*O19*0.2,
IF(LEFT(C19,3)="T10",G19*O19*1000*HLOOKUP("PTAX",'Histórico'!$A$1:$EL$983,MATCH(B19,'Histórico'!A:A),FALSE),
IF(LEFT(C19,3)="CCM",G19*O19*450,
IF(LEFT(C19,3)="SJC",G19*O19*HLOOKUP("PTAX",'Histórico'!$A$1:$EL$983,MATCH(B19,'Histórico'!A:A),FALSE)*450,
IF(LEFT(C19,3)="BGI",G19*O19*330,
IF(LEFT(C19,3)="OZ1",G19*O19*250,
IF(LEFT(C19,3)="CLP",G19*O19*25,
IF(LEFT(C19,3)="EUP", O19*10000*HLOOKUP("EUR/BRL",'Histórico'!$A$1:$EL$983,MATCH(B19,'Histórico'!A:A),FALSE),
IF(LEFT(C19,3)="JSE", G19*O19*0.4,
IF(LEFT(C19,3)="GBP", O19*10000*HLOOKUP("GBP/BRL",'Histórico'!$A$1:$FG$983,MATCH(B19,'Histórico'!A:A),FALSE),
IF(LEFT(C19,3)="JAP",O19*10000*HLOOKUP("PTAX",'Histórico'!$A$1:$FG$983,MATCH(B19,'Histórico'!A:A),FALSE),
IF(LEFT(C19,3)="CNH",O19*10000*HLOOKUP("PTAX",'Histórico'!$A$1:$FG$983,MATCH(B19,'Histórico'!A:A),FALSE),
IF(LEFT(C19,3)="AUS",O19*10000*HLOOKUP("PTAX",'Histórico'!$A$1:$FG$983,MATCH(B19,'Histórico'!A:A),FALSE),
IF(LEFT(C19,3)="CAN",O19*10000*HLOOKUP("PTAX",'Histórico'!$A$1:$FG$983,MATCH(B19,'Histórico'!A:A),FALSE),
IF(LEFT(C19,3)="GBR",O19*10000*HLOOKUP("GBP/BRL",'Histórico'!$A$1:$FG$983,MATCH(B19,'Histórico'!A:A),FALSE),
IF(LEFT(C19,3)="MEX",O19*10000*HLOOKUP("PTAX",'Histórico'!$A$1:$FG$983,MATCH(B19,'Histórico'!A:A),FALSE),
IF(LEFT(C19,3)="CHL",O19*10000*HLOOKUP("PTAX",'Histórico'!$A$1:$FG$983,MATCH(B19,'Histórico'!A:A),FALSE)
)))))))))))))))))))))))),""))</f>
        <v/>
      </c>
      <c r="O19" s="49">
        <f t="shared" si="2"/>
        <v>-52152</v>
      </c>
      <c r="P19" s="50">
        <f t="shared" si="3"/>
        <v>0</v>
      </c>
      <c r="Q19" s="51">
        <f>IF($C19&lt;&gt;"",SUMIFS($O$3:$O$401, $C$3:$C$401 ,$C19,$B$3:$B$401,"&lt;="&amp;Controle!$B$6),"")</f>
        <v>0</v>
      </c>
      <c r="R19" s="51">
        <f>IF($D19&lt;&gt;"",SUMIFS($O$3:$O$401, $C$3:$C$401 ,$C19,$B$3:$B$401,"&lt;="&amp;Controle!$B$6,$F$3:$F$401,$F19),"")</f>
        <v>0</v>
      </c>
      <c r="S19" s="51">
        <f>IF($D19&lt;&gt;"",SUMIFS($O$3:$O$401, $C$3:$C$401 ,$C19,$B$3:$B$401,"&lt;="&amp;'Controle D-1'!$B$6,$F$3:$F$401,$F19),"")</f>
        <v>0</v>
      </c>
      <c r="T19" s="40"/>
      <c r="U19" s="83" t="str">
        <f>IFERROR(__xludf.DUMMYFUNCTION("""COMPUTED_VALUE"""),"T10-Z23")</f>
        <v>T10-Z23</v>
      </c>
      <c r="V19" s="70">
        <f>IF(U19&lt;&gt;"", VLOOKUP(U19,'Alocação'!$C$3:$I$1001,7,FALSE()), "")</f>
        <v>45260</v>
      </c>
      <c r="W19" s="84"/>
      <c r="X19" s="40"/>
      <c r="Y19" s="70" t="s">
        <v>228</v>
      </c>
      <c r="Z19" s="84" t="s">
        <v>229</v>
      </c>
      <c r="AA19" s="40"/>
      <c r="AB19" s="40"/>
      <c r="AC19" s="40"/>
    </row>
    <row r="20" ht="15.75" customHeight="1">
      <c r="A20" s="28"/>
      <c r="B20" s="77">
        <v>45020.0</v>
      </c>
      <c r="C20" s="45" t="s">
        <v>46</v>
      </c>
      <c r="D20" s="45" t="str">
        <f>IF(ISTEXT(C20),VLOOKUP(C20,'Cadastro dos Ativos'!$A$2:$C$1000,3,0),"")</f>
        <v>Ações Americanas</v>
      </c>
      <c r="E20" s="45" t="s">
        <v>208</v>
      </c>
      <c r="F20" s="45" t="s">
        <v>199</v>
      </c>
      <c r="G20" s="46">
        <v>27.39</v>
      </c>
      <c r="H20" s="46">
        <f>if($D20="Ações Americanas", HLOOKUP("PTAX",'Histórico'!$A$1:$EL$983,MATCH(B20,'Histórico'!A:A),""),"")</f>
        <v>5.07310009</v>
      </c>
      <c r="I20" s="45" t="str">
        <f t="array" ref="I20">IF(ISTEXT(C20),xlookup(C20,'Cadastro dos Ativos'!$A$2:$A$1000,'Cadastro dos Ativos'!$D$2:$D$1000),"")</f>
        <v/>
      </c>
      <c r="J20" s="45">
        <v>76616.0</v>
      </c>
      <c r="K20" s="47">
        <f t="array" ref="K20">if(and(J20&lt;&gt;"",D20&lt;&gt;"Futuros"),
if(F20=Controle!$C$2, M20/xlookup(workday(B20,-1,Feriados!A:A),Controle!$B$10:$B$1000,Controle!$C$10:$C$1000),
if(F20=Controle!$F$2, M20/xlookup(workday(B20,-1,Feriados!A:A),Controle!$B$10:$B$1000,Controle!$F$10:$F$1000),
if(F20=Controle!$I$2, M20/xlookup(workday(B20,-1,Feriados!A:A),Controle!$B$10:$B$1000,Controle!$I$10:$I$1000),
if(F20=Controle!$L$2, M20/xlookup(workday(B20,-1,Feriados!A:A),Controle!$B$10:$B$1000,Controle!$L$10:$L$1000),
)))),
if(and(J20&lt;&gt;"",D20="Futuros"),
if(F20=Controle!$C$2, N20/xlookup(workday(B20,-1,Feriados!A:A),Controle!$B$10:$B$1000,Controle!$C$10:$C$1000),
if(F20=Controle!$F$2, N20/xlookup(workday(B20,-1,Feriados!A:A),Controle!$B$10:$B$1000,Controle!$F$10:$F$1000),
if(F20=Controle!$I$2, N20/xlookup(workday(B20,-1,Feriados!A:A),Controle!$B$10:$B$1000,Controle!$I$10:$I$1000),
if(F20=Controle!$L$2, N20/xlookup(workday(B20,-1,Feriados!A:A),Controle!$B$10:$B$1000,Controle!$L$10:$L$1000),
)))),""))</f>
        <v>-0.1059830152</v>
      </c>
      <c r="L20" s="47">
        <f t="array" ref="L20">IF($J20&lt;&gt;"", IF($D20 = "Futuros" , $N20/xlookup(WORKDAY(B20,-1,Feriados!A:A),Controle!$B$10:$B$1000,Controle!$T$10:$T$1000) , $M20/xlookup(WORKDAY(B20,-1,Feriados!A:A),Controle!$B$10:$B$1000,Controle!$T$10:$T$1000)),"")</f>
        <v>-0.02633391132</v>
      </c>
      <c r="M20" s="48">
        <f t="shared" si="1"/>
        <v>-10645962.63</v>
      </c>
      <c r="N20" s="48" t="str">
        <f>IFERROR(IF(D20="Futuros",
IF(LEFT(C20,3)="DI1",G20*O20,
IF(LEFT(C20,3)="ISP",G20*O20*HLOOKUP("PTAX",'Histórico'!$A$1:$EL$983,MATCH(B20,'Histórico'!A:A),FALSE)*50,
IF(LEFT(C20,3)="WDO",10*G20*O20*HLOOKUP("PTAX",'Histórico'!$A$1:$EL$983,MATCH(B20,'Histórico'!A:A),FALSE),
IF(LEFT(C20,3)="DOL",50*G20*O20,
IF(LEFT(C20,3)="EUR",G20*O20*50,
IF(LEFT(C20,3)="WEU",G20*O20*10,
IF(LEFT(C20,3)="IND",G20*O20,
IF(LEFT(C20,3)="WIN",G20*O20*0.2,
IF(LEFT(C20,3)="T10",G20*O20*1000*HLOOKUP("PTAX",'Histórico'!$A$1:$EL$983,MATCH(B20,'Histórico'!A:A),FALSE),
IF(LEFT(C20,3)="CCM",G20*O20*450,
IF(LEFT(C20,3)="SJC",G20*O20*HLOOKUP("PTAX",'Histórico'!$A$1:$EL$983,MATCH(B20,'Histórico'!A:A),FALSE)*450,
IF(LEFT(C20,3)="BGI",G20*O20*330,
IF(LEFT(C20,3)="OZ1",G20*O20*250,
IF(LEFT(C20,3)="CLP",G20*O20*25,
IF(LEFT(C20,3)="EUP", O20*10000*HLOOKUP("EUR/BRL",'Histórico'!$A$1:$EL$983,MATCH(B20,'Histórico'!A:A),FALSE),
IF(LEFT(C20,3)="JSE", G20*O20*0.4,
IF(LEFT(C20,3)="GBP", O20*10000*HLOOKUP("GBP/BRL",'Histórico'!$A$1:$FG$983,MATCH(B20,'Histórico'!A:A),FALSE),
IF(LEFT(C20,3)="JAP",O20*10000*HLOOKUP("PTAX",'Histórico'!$A$1:$FG$983,MATCH(B20,'Histórico'!A:A),FALSE),
IF(LEFT(C20,3)="CNH",O20*10000*HLOOKUP("PTAX",'Histórico'!$A$1:$FG$983,MATCH(B20,'Histórico'!A:A),FALSE),
IF(LEFT(C20,3)="AUS",O20*10000*HLOOKUP("PTAX",'Histórico'!$A$1:$FG$983,MATCH(B20,'Histórico'!A:A),FALSE),
IF(LEFT(C20,3)="CAN",O20*10000*HLOOKUP("PTAX",'Histórico'!$A$1:$FG$983,MATCH(B20,'Histórico'!A:A),FALSE),
IF(LEFT(C20,3)="GBR",O20*10000*HLOOKUP("GBP/BRL",'Histórico'!$A$1:$FG$983,MATCH(B20,'Histórico'!A:A),FALSE),
IF(LEFT(C20,3)="MEX",O20*10000*HLOOKUP("PTAX",'Histórico'!$A$1:$FG$983,MATCH(B20,'Histórico'!A:A),FALSE),
IF(LEFT(C20,3)="CHL",O20*10000*HLOOKUP("PTAX",'Histórico'!$A$1:$FG$983,MATCH(B20,'Histórico'!A:A),FALSE)
)))))))))))))))))))))))),""))</f>
        <v/>
      </c>
      <c r="O20" s="49">
        <f t="shared" si="2"/>
        <v>76616</v>
      </c>
      <c r="P20" s="50">
        <f t="shared" si="3"/>
        <v>0</v>
      </c>
      <c r="Q20" s="51">
        <f>IF($C20&lt;&gt;"",SUMIFS($O$3:$O$401, $C$3:$C$401 ,$C20,$B$3:$B$401,"&lt;="&amp;Controle!$B$6),"")</f>
        <v>0</v>
      </c>
      <c r="R20" s="51">
        <f>IF($D20&lt;&gt;"",SUMIFS($O$3:$O$401, $C$3:$C$401 ,$C20,$B$3:$B$401,"&lt;="&amp;Controle!$B$6,$F$3:$F$401,$F20),"")</f>
        <v>0</v>
      </c>
      <c r="S20" s="51">
        <f>IF($D20&lt;&gt;"",SUMIFS($O$3:$O$401, $C$3:$C$401 ,$C20,$B$3:$B$401,"&lt;="&amp;'Controle D-1'!$B$6,$F$3:$F$401,$F20),"")</f>
        <v>0</v>
      </c>
      <c r="T20" s="40"/>
      <c r="U20" s="85"/>
      <c r="V20" s="70" t="str">
        <f>IF(U20&lt;&gt;"", VLOOKUP(U20,'Alocação'!$C$3:$I$1001,7,FALSE()), "")</f>
        <v/>
      </c>
      <c r="W20" s="86"/>
      <c r="X20" s="40"/>
      <c r="Y20" s="87" t="s">
        <v>230</v>
      </c>
      <c r="Z20" s="86" t="s">
        <v>231</v>
      </c>
      <c r="AA20" s="2"/>
      <c r="AB20" s="2"/>
      <c r="AC20" s="40"/>
    </row>
    <row r="21" ht="15.75" customHeight="1">
      <c r="A21" s="28"/>
      <c r="B21" s="77">
        <v>45020.0</v>
      </c>
      <c r="C21" s="45" t="s">
        <v>36</v>
      </c>
      <c r="D21" s="45" t="str">
        <f>IF(ISTEXT(C21),VLOOKUP(C21,'Cadastro dos Ativos'!$A$2:$C$1000,3,0),"")</f>
        <v>Ações Americanas</v>
      </c>
      <c r="E21" s="45" t="s">
        <v>198</v>
      </c>
      <c r="F21" s="45" t="s">
        <v>200</v>
      </c>
      <c r="G21" s="46">
        <v>28.05</v>
      </c>
      <c r="H21" s="46">
        <f>if($D21="Ações Americanas", HLOOKUP("PTAX",'Histórico'!$A$1:$EL$983,MATCH(B21,'Histórico'!A:A),""),"")</f>
        <v>5.07310009</v>
      </c>
      <c r="I21" s="45" t="str">
        <f t="array" ref="I21">IF(ISTEXT(C21),xlookup(C21,'Cadastro dos Ativos'!$A$2:$A$1000,'Cadastro dos Ativos'!$D$2:$D$1000),"")</f>
        <v/>
      </c>
      <c r="J21" s="45">
        <v>165000.0</v>
      </c>
      <c r="K21" s="47">
        <f t="array" ref="K21">if(and(J21&lt;&gt;"",D21&lt;&gt;"Futuros"),
if(F21=Controle!$C$2, M21/xlookup(workday(B21,-1,Feriados!A:A),Controle!$B$10:$B$1000,Controle!$C$10:$C$1000),
if(F21=Controle!$F$2, M21/xlookup(workday(B21,-1,Feriados!A:A),Controle!$B$10:$B$1000,Controle!$F$10:$F$1000),
if(F21=Controle!$I$2, M21/xlookup(workday(B21,-1,Feriados!A:A),Controle!$B$10:$B$1000,Controle!$I$10:$I$1000),
if(F21=Controle!$L$2, M21/xlookup(workday(B21,-1,Feriados!A:A),Controle!$B$10:$B$1000,Controle!$L$10:$L$1000),
)))),
if(and(J21&lt;&gt;"",D21="Futuros"),
if(F21=Controle!$C$2, N21/xlookup(workday(B21,-1,Feriados!A:A),Controle!$B$10:$B$1000,Controle!$C$10:$C$1000),
if(F21=Controle!$F$2, N21/xlookup(workday(B21,-1,Feriados!A:A),Controle!$B$10:$B$1000,Controle!$F$10:$F$1000),
if(F21=Controle!$I$2, N21/xlookup(workday(B21,-1,Feriados!A:A),Controle!$B$10:$B$1000,Controle!$I$10:$I$1000),
if(F21=Controle!$L$2, N21/xlookup(workday(B21,-1,Feriados!A:A),Controle!$B$10:$B$1000,Controle!$L$10:$L$1000),
)))),""))</f>
        <v>0.2280973259</v>
      </c>
      <c r="L21" s="47">
        <f t="array" ref="L21">IF($J21&lt;&gt;"", IF($D21 = "Futuros" , $N21/xlookup(WORKDAY(B21,-1,Feriados!A:A),Controle!$B$10:$B$1000,Controle!$T$10:$T$1000) , $M21/xlookup(WORKDAY(B21,-1,Feriados!A:A),Controle!$B$10:$B$1000,Controle!$T$10:$T$1000)),"")</f>
        <v>0.05807920617</v>
      </c>
      <c r="M21" s="48">
        <f t="shared" si="1"/>
        <v>23479575.49</v>
      </c>
      <c r="N21" s="48" t="str">
        <f>IFERROR(IF(D21="Futuros",
IF(LEFT(C21,3)="DI1",G21*O21,
IF(LEFT(C21,3)="ISP",G21*O21*HLOOKUP("PTAX",'Histórico'!$A$1:$EL$983,MATCH(B21,'Histórico'!A:A),FALSE)*50,
IF(LEFT(C21,3)="WDO",10*G21*O21*HLOOKUP("PTAX",'Histórico'!$A$1:$EL$983,MATCH(B21,'Histórico'!A:A),FALSE),
IF(LEFT(C21,3)="DOL",50*G21*O21,
IF(LEFT(C21,3)="EUR",G21*O21*50,
IF(LEFT(C21,3)="WEU",G21*O21*10,
IF(LEFT(C21,3)="IND",G21*O21,
IF(LEFT(C21,3)="WIN",G21*O21*0.2,
IF(LEFT(C21,3)="T10",G21*O21*1000*HLOOKUP("PTAX",'Histórico'!$A$1:$EL$983,MATCH(B21,'Histórico'!A:A),FALSE),
IF(LEFT(C21,3)="CCM",G21*O21*450,
IF(LEFT(C21,3)="SJC",G21*O21*HLOOKUP("PTAX",'Histórico'!$A$1:$EL$983,MATCH(B21,'Histórico'!A:A),FALSE)*450,
IF(LEFT(C21,3)="BGI",G21*O21*330,
IF(LEFT(C21,3)="OZ1",G21*O21*250,
IF(LEFT(C21,3)="CLP",G21*O21*25,
IF(LEFT(C21,3)="EUP", O21*10000*HLOOKUP("EUR/BRL",'Histórico'!$A$1:$EL$983,MATCH(B21,'Histórico'!A:A),FALSE),
IF(LEFT(C21,3)="JSE", G21*O21*0.4,
IF(LEFT(C21,3)="GBP", O21*10000*HLOOKUP("GBP/BRL",'Histórico'!$A$1:$FG$983,MATCH(B21,'Histórico'!A:A),FALSE),
IF(LEFT(C21,3)="JAP",O21*10000*HLOOKUP("PTAX",'Histórico'!$A$1:$FG$983,MATCH(B21,'Histórico'!A:A),FALSE),
IF(LEFT(C21,3)="CNH",O21*10000*HLOOKUP("PTAX",'Histórico'!$A$1:$FG$983,MATCH(B21,'Histórico'!A:A),FALSE),
IF(LEFT(C21,3)="AUS",O21*10000*HLOOKUP("PTAX",'Histórico'!$A$1:$FG$983,MATCH(B21,'Histórico'!A:A),FALSE),
IF(LEFT(C21,3)="CAN",O21*10000*HLOOKUP("PTAX",'Histórico'!$A$1:$FG$983,MATCH(B21,'Histórico'!A:A),FALSE),
IF(LEFT(C21,3)="GBR",O21*10000*HLOOKUP("GBP/BRL",'Histórico'!$A$1:$FG$983,MATCH(B21,'Histórico'!A:A),FALSE),
IF(LEFT(C21,3)="MEX",O21*10000*HLOOKUP("PTAX",'Histórico'!$A$1:$FG$983,MATCH(B21,'Histórico'!A:A),FALSE),
IF(LEFT(C21,3)="CHL",O21*10000*HLOOKUP("PTAX",'Histórico'!$A$1:$FG$983,MATCH(B21,'Histórico'!A:A),FALSE)
)))))))))))))))))))))))),""))</f>
        <v/>
      </c>
      <c r="O21" s="49">
        <f t="shared" si="2"/>
        <v>-165000</v>
      </c>
      <c r="P21" s="50">
        <f t="shared" si="3"/>
        <v>0</v>
      </c>
      <c r="Q21" s="51">
        <f>IF($C21&lt;&gt;"",SUMIFS($O$3:$O$401, $C$3:$C$401 ,$C21,$B$3:$B$401,"&lt;="&amp;Controle!$B$6),"")</f>
        <v>0</v>
      </c>
      <c r="R21" s="51">
        <f>IF($D21&lt;&gt;"",SUMIFS($O$3:$O$401, $C$3:$C$401 ,$C21,$B$3:$B$401,"&lt;="&amp;Controle!$B$6,$F$3:$F$401,$F21),"")</f>
        <v>0</v>
      </c>
      <c r="S21" s="51">
        <f>IF($D21&lt;&gt;"",SUMIFS($O$3:$O$401, $C$3:$C$401 ,$C21,$B$3:$B$401,"&lt;="&amp;'Controle D-1'!$B$6,$F$3:$F$401,$F21),"")</f>
        <v>0</v>
      </c>
      <c r="T21" s="40"/>
      <c r="U21" s="2"/>
      <c r="V21" s="2"/>
      <c r="W21" s="2"/>
      <c r="X21" s="40"/>
      <c r="Y21" s="2"/>
      <c r="Z21" s="2"/>
      <c r="AA21" s="2"/>
      <c r="AB21" s="2"/>
      <c r="AC21" s="40"/>
    </row>
    <row r="22" ht="15.75" customHeight="1">
      <c r="A22" s="28"/>
      <c r="B22" s="77">
        <v>45022.0</v>
      </c>
      <c r="C22" s="88" t="s">
        <v>36</v>
      </c>
      <c r="D22" s="45" t="str">
        <f>IF(ISTEXT(C22),VLOOKUP(C22,'Cadastro dos Ativos'!$A$2:$C$1000,3,0),"")</f>
        <v>Ações Americanas</v>
      </c>
      <c r="E22" s="45" t="s">
        <v>198</v>
      </c>
      <c r="F22" s="45" t="s">
        <v>200</v>
      </c>
      <c r="G22" s="46">
        <v>28.28</v>
      </c>
      <c r="H22" s="46">
        <f>if($D22="Ações Americanas", HLOOKUP("PTAX",'Histórico'!$A$1:$EL$983,MATCH(B22,'Histórico'!A:A),""),"")</f>
        <v>5.033199787</v>
      </c>
      <c r="I22" s="45" t="str">
        <f t="array" ref="I22">IF(ISTEXT(C22),xlookup(C22,'Cadastro dos Ativos'!$A$2:$A$1000,'Cadastro dos Ativos'!$D$2:$D$1000),"")</f>
        <v/>
      </c>
      <c r="J22" s="45">
        <v>65000.0</v>
      </c>
      <c r="K22" s="47">
        <f t="array" ref="K22">if(and(J22&lt;&gt;"",D22&lt;&gt;"Futuros"),
if(F22=Controle!$C$2, M22/xlookup(workday(B22,-1,Feriados!A:A),Controle!$B$10:$B$1000,Controle!$C$10:$C$1000),
if(F22=Controle!$F$2, M22/xlookup(workday(B22,-1,Feriados!A:A),Controle!$B$10:$B$1000,Controle!$F$10:$F$1000),
if(F22=Controle!$I$2, M22/xlookup(workday(B22,-1,Feriados!A:A),Controle!$B$10:$B$1000,Controle!$I$10:$I$1000),
if(F22=Controle!$L$2, M22/xlookup(workday(B22,-1,Feriados!A:A),Controle!$B$10:$B$1000,Controle!$L$10:$L$1000),
)))),
if(and(J22&lt;&gt;"",D22="Futuros"),
if(F22=Controle!$C$2, N22/xlookup(workday(B22,-1,Feriados!A:A),Controle!$B$10:$B$1000,Controle!$C$10:$C$1000),
if(F22=Controle!$F$2, N22/xlookup(workday(B22,-1,Feriados!A:A),Controle!$B$10:$B$1000,Controle!$F$10:$F$1000),
if(F22=Controle!$I$2, N22/xlookup(workday(B22,-1,Feriados!A:A),Controle!$B$10:$B$1000,Controle!$I$10:$I$1000),
if(F22=Controle!$L$2, N22/xlookup(workday(B22,-1,Feriados!A:A),Controle!$B$10:$B$1000,Controle!$L$10:$L$1000),
)))),""))</f>
        <v>0.09110843961</v>
      </c>
      <c r="L22" s="47">
        <f t="array" ref="L22">IF($J22&lt;&gt;"", IF($D22 = "Futuros" , $N22/xlookup(WORKDAY(B22,-1,Feriados!A:A),Controle!$B$10:$B$1000,Controle!$T$10:$T$1000) , $M22/xlookup(WORKDAY(B22,-1,Feriados!A:A),Controle!$B$10:$B$1000,Controle!$T$10:$T$1000)),"")</f>
        <v>0.0229340017</v>
      </c>
      <c r="M22" s="48">
        <f t="shared" si="1"/>
        <v>9252027.849</v>
      </c>
      <c r="N22" s="48" t="str">
        <f>IFERROR(IF(D22="Futuros",
IF(LEFT(C22,3)="DI1",G22*O22,
IF(LEFT(C22,3)="ISP",G22*O22*HLOOKUP("PTAX",'Histórico'!$A$1:$EL$983,MATCH(B22,'Histórico'!A:A),FALSE)*50,
IF(LEFT(C22,3)="WDO",10*G22*O22*HLOOKUP("PTAX",'Histórico'!$A$1:$EL$983,MATCH(B22,'Histórico'!A:A),FALSE),
IF(LEFT(C22,3)="DOL",50*G22*O22,
IF(LEFT(C22,3)="EUR",G22*O22*50,
IF(LEFT(C22,3)="WEU",G22*O22*10,
IF(LEFT(C22,3)="IND",G22*O22,
IF(LEFT(C22,3)="WIN",G22*O22*0.2,
IF(LEFT(C22,3)="T10",G22*O22*1000*HLOOKUP("PTAX",'Histórico'!$A$1:$EL$983,MATCH(B22,'Histórico'!A:A),FALSE),
IF(LEFT(C22,3)="CCM",G22*O22*450,
IF(LEFT(C22,3)="SJC",G22*O22*HLOOKUP("PTAX",'Histórico'!$A$1:$EL$983,MATCH(B22,'Histórico'!A:A),FALSE)*450,
IF(LEFT(C22,3)="BGI",G22*O22*330,
IF(LEFT(C22,3)="OZ1",G22*O22*250,
IF(LEFT(C22,3)="CLP",G22*O22*25,
IF(LEFT(C22,3)="EUP", O22*10000*HLOOKUP("EUR/BRL",'Histórico'!$A$1:$EL$983,MATCH(B22,'Histórico'!A:A),FALSE),
IF(LEFT(C22,3)="JSE", G22*O22*0.4,
IF(LEFT(C22,3)="GBP", O22*10000*HLOOKUP("GBP/BRL",'Histórico'!$A$1:$FG$983,MATCH(B22,'Histórico'!A:A),FALSE),
IF(LEFT(C22,3)="JAP",O22*10000*HLOOKUP("PTAX",'Histórico'!$A$1:$FG$983,MATCH(B22,'Histórico'!A:A),FALSE),
IF(LEFT(C22,3)="CNH",O22*10000*HLOOKUP("PTAX",'Histórico'!$A$1:$FG$983,MATCH(B22,'Histórico'!A:A),FALSE),
IF(LEFT(C22,3)="AUS",O22*10000*HLOOKUP("PTAX",'Histórico'!$A$1:$FG$983,MATCH(B22,'Histórico'!A:A),FALSE),
IF(LEFT(C22,3)="CAN",O22*10000*HLOOKUP("PTAX",'Histórico'!$A$1:$FG$983,MATCH(B22,'Histórico'!A:A),FALSE),
IF(LEFT(C22,3)="GBR",O22*10000*HLOOKUP("GBP/BRL",'Histórico'!$A$1:$FG$983,MATCH(B22,'Histórico'!A:A),FALSE),
IF(LEFT(C22,3)="MEX",O22*10000*HLOOKUP("PTAX",'Histórico'!$A$1:$FG$983,MATCH(B22,'Histórico'!A:A),FALSE),
IF(LEFT(C22,3)="CHL",O22*10000*HLOOKUP("PTAX",'Histórico'!$A$1:$FG$983,MATCH(B22,'Histórico'!A:A),FALSE)
)))))))))))))))))))))))),""))</f>
        <v/>
      </c>
      <c r="O22" s="49">
        <f t="shared" si="2"/>
        <v>-65000</v>
      </c>
      <c r="P22" s="50">
        <f t="shared" si="3"/>
        <v>0</v>
      </c>
      <c r="Q22" s="51">
        <f>IF($C22&lt;&gt;"",SUMIFS($O$3:$O$401, $C$3:$C$401 ,$C22,$B$3:$B$401,"&lt;="&amp;Controle!$B$6),"")</f>
        <v>0</v>
      </c>
      <c r="R22" s="51">
        <f>IF($D22&lt;&gt;"",SUMIFS($O$3:$O$401, $C$3:$C$401 ,$C22,$B$3:$B$401,"&lt;="&amp;Controle!$B$6,$F$3:$F$401,$F22),"")</f>
        <v>0</v>
      </c>
      <c r="S22" s="51">
        <f>IF($D22&lt;&gt;"",SUMIFS($O$3:$O$401, $C$3:$C$401 ,$C22,$B$3:$B$401,"&lt;="&amp;'Controle D-1'!$B$6,$F$3:$F$401,$F22),"")</f>
        <v>0</v>
      </c>
      <c r="T22" s="40"/>
      <c r="U22" s="2"/>
      <c r="V22" s="2"/>
      <c r="W22" s="2"/>
      <c r="X22" s="40"/>
      <c r="Y22" s="63" t="s">
        <v>232</v>
      </c>
      <c r="Z22" s="42"/>
      <c r="AA22" s="42"/>
      <c r="AB22" s="89"/>
      <c r="AC22" s="40"/>
    </row>
    <row r="23" ht="15.75" customHeight="1">
      <c r="A23" s="28"/>
      <c r="B23" s="77">
        <v>45026.0</v>
      </c>
      <c r="C23" s="88" t="s">
        <v>53</v>
      </c>
      <c r="D23" s="45" t="str">
        <f>IF(ISTEXT(C23),VLOOKUP(C23,'Cadastro dos Ativos'!$A$2:$C$1000,3,0),"")</f>
        <v>Ações Americanas</v>
      </c>
      <c r="E23" s="45" t="s">
        <v>208</v>
      </c>
      <c r="F23" s="45" t="s">
        <v>201</v>
      </c>
      <c r="G23" s="46">
        <v>145.57</v>
      </c>
      <c r="H23" s="46">
        <f>if($D23="Ações Americanas", HLOOKUP("PTAX",'Histórico'!$A$1:$EL$983,MATCH(B23,'Histórico'!A:A),""),"")</f>
        <v>5.054399967</v>
      </c>
      <c r="I23" s="45" t="str">
        <f t="array" ref="I23">IF(ISTEXT(C23),xlookup(C23,'Cadastro dos Ativos'!$A$2:$A$1000,'Cadastro dos Ativos'!$D$2:$D$1000),"")</f>
        <v/>
      </c>
      <c r="J23" s="45">
        <v>10500.0</v>
      </c>
      <c r="K23" s="47">
        <f t="array" ref="K23">if(and(J23&lt;&gt;"",D23&lt;&gt;"Futuros"),
if(F23=Controle!$C$2, M23/xlookup(workday(B23,-1,Feriados!A:A),Controle!$B$10:$B$1000,Controle!$C$10:$C$1000),
if(F23=Controle!$F$2, M23/xlookup(workday(B23,-1,Feriados!A:A),Controle!$B$10:$B$1000,Controle!$F$10:$F$1000),
if(F23=Controle!$I$2, M23/xlookup(workday(B23,-1,Feriados!A:A),Controle!$B$10:$B$1000,Controle!$I$10:$I$1000),
if(F23=Controle!$L$2, M23/xlookup(workday(B23,-1,Feriados!A:A),Controle!$B$10:$B$1000,Controle!$L$10:$L$1000),
)))),
if(and(J23&lt;&gt;"",D23="Futuros"),
if(F23=Controle!$C$2, N23/xlookup(workday(B23,-1,Feriados!A:A),Controle!$B$10:$B$1000,Controle!$C$10:$C$1000),
if(F23=Controle!$F$2, N23/xlookup(workday(B23,-1,Feriados!A:A),Controle!$B$10:$B$1000,Controle!$F$10:$F$1000),
if(F23=Controle!$I$2, N23/xlookup(workday(B23,-1,Feriados!A:A),Controle!$B$10:$B$1000,Controle!$I$10:$I$1000),
if(F23=Controle!$L$2, N23/xlookup(workday(B23,-1,Feriados!A:A),Controle!$B$10:$B$1000,Controle!$L$10:$L$1000),
)))),""))</f>
        <v>-0.07680641921</v>
      </c>
      <c r="L23" s="47">
        <f t="array" ref="L23">IF($J23&lt;&gt;"", IF($D23 = "Futuros" , $N23/xlookup(WORKDAY(B23,-1,Feriados!A:A),Controle!$B$10:$B$1000,Controle!$T$10:$T$1000) , $M23/xlookup(WORKDAY(B23,-1,Feriados!A:A),Controle!$B$10:$B$1000,Controle!$T$10:$T$1000)),"")</f>
        <v>-0.01915618571</v>
      </c>
      <c r="M23" s="48">
        <f t="shared" si="1"/>
        <v>-7725574.534</v>
      </c>
      <c r="N23" s="48" t="str">
        <f>IFERROR(IF(D23="Futuros",
IF(LEFT(C23,3)="DI1",G23*O23,
IF(LEFT(C23,3)="ISP",G23*O23*HLOOKUP("PTAX",'Histórico'!$A$1:$EL$983,MATCH(B23,'Histórico'!A:A),FALSE)*50,
IF(LEFT(C23,3)="WDO",10*G23*O23*HLOOKUP("PTAX",'Histórico'!$A$1:$EL$983,MATCH(B23,'Histórico'!A:A),FALSE),
IF(LEFT(C23,3)="DOL",50*G23*O23,
IF(LEFT(C23,3)="EUR",G23*O23*50,
IF(LEFT(C23,3)="WEU",G23*O23*10,
IF(LEFT(C23,3)="IND",G23*O23,
IF(LEFT(C23,3)="WIN",G23*O23*0.2,
IF(LEFT(C23,3)="T10",G23*O23*1000*HLOOKUP("PTAX",'Histórico'!$A$1:$EL$983,MATCH(B23,'Histórico'!A:A),FALSE),
IF(LEFT(C23,3)="CCM",G23*O23*450,
IF(LEFT(C23,3)="SJC",G23*O23*HLOOKUP("PTAX",'Histórico'!$A$1:$EL$983,MATCH(B23,'Histórico'!A:A),FALSE)*450,
IF(LEFT(C23,3)="BGI",G23*O23*330,
IF(LEFT(C23,3)="OZ1",G23*O23*250,
IF(LEFT(C23,3)="CLP",G23*O23*25,
IF(LEFT(C23,3)="EUP", O23*10000*HLOOKUP("EUR/BRL",'Histórico'!$A$1:$EL$983,MATCH(B23,'Histórico'!A:A),FALSE),
IF(LEFT(C23,3)="JSE", G23*O23*0.4,
IF(LEFT(C23,3)="GBP", O23*10000*HLOOKUP("GBP/BRL",'Histórico'!$A$1:$FG$983,MATCH(B23,'Histórico'!A:A),FALSE),
IF(LEFT(C23,3)="JAP",O23*10000*HLOOKUP("PTAX",'Histórico'!$A$1:$FG$983,MATCH(B23,'Histórico'!A:A),FALSE),
IF(LEFT(C23,3)="CNH",O23*10000*HLOOKUP("PTAX",'Histórico'!$A$1:$FG$983,MATCH(B23,'Histórico'!A:A),FALSE),
IF(LEFT(C23,3)="AUS",O23*10000*HLOOKUP("PTAX",'Histórico'!$A$1:$FG$983,MATCH(B23,'Histórico'!A:A),FALSE),
IF(LEFT(C23,3)="CAN",O23*10000*HLOOKUP("PTAX",'Histórico'!$A$1:$FG$983,MATCH(B23,'Histórico'!A:A),FALSE),
IF(LEFT(C23,3)="GBR",O23*10000*HLOOKUP("GBP/BRL",'Histórico'!$A$1:$FG$983,MATCH(B23,'Histórico'!A:A),FALSE),
IF(LEFT(C23,3)="MEX",O23*10000*HLOOKUP("PTAX",'Histórico'!$A$1:$FG$983,MATCH(B23,'Histórico'!A:A),FALSE),
IF(LEFT(C23,3)="CHL",O23*10000*HLOOKUP("PTAX",'Histórico'!$A$1:$FG$983,MATCH(B23,'Histórico'!A:A),FALSE)
)))))))))))))))))))))))),""))</f>
        <v/>
      </c>
      <c r="O23" s="49">
        <f t="shared" si="2"/>
        <v>10500</v>
      </c>
      <c r="P23" s="50">
        <f t="shared" si="3"/>
        <v>0</v>
      </c>
      <c r="Q23" s="51">
        <f>IF($C23&lt;&gt;"",SUMIFS($O$3:$O$401, $C$3:$C$401 ,$C23,$B$3:$B$401,"&lt;="&amp;Controle!$B$6),"")</f>
        <v>0</v>
      </c>
      <c r="R23" s="51">
        <f>IF($D23&lt;&gt;"",SUMIFS($O$3:$O$401, $C$3:$C$401 ,$C23,$B$3:$B$401,"&lt;="&amp;Controle!$B$6,$F$3:$F$401,$F23),"")</f>
        <v>0</v>
      </c>
      <c r="S23" s="51">
        <f>IF($D23&lt;&gt;"",SUMIFS($O$3:$O$401, $C$3:$C$401 ,$C23,$B$3:$B$401,"&lt;="&amp;'Controle D-1'!$B$6,$F$3:$F$401,$F23),"")</f>
        <v>0</v>
      </c>
      <c r="T23" s="40"/>
      <c r="U23" s="90" t="s">
        <v>12</v>
      </c>
      <c r="V23" s="90" t="s">
        <v>233</v>
      </c>
      <c r="W23" s="91" t="s">
        <v>234</v>
      </c>
      <c r="X23" s="2"/>
      <c r="Y23" s="92" t="s">
        <v>235</v>
      </c>
      <c r="Z23" s="93"/>
      <c r="AA23" s="93"/>
      <c r="AB23" s="94"/>
      <c r="AC23" s="40"/>
    </row>
    <row r="24" ht="15.75" customHeight="1">
      <c r="A24" s="28"/>
      <c r="B24" s="77">
        <v>45026.0</v>
      </c>
      <c r="C24" s="88" t="s">
        <v>38</v>
      </c>
      <c r="D24" s="45" t="str">
        <f>IF(ISTEXT(C24),VLOOKUP(C24,'Cadastro dos Ativos'!$A$2:$C$1000,3,0),"")</f>
        <v>Futuros</v>
      </c>
      <c r="E24" s="45" t="s">
        <v>208</v>
      </c>
      <c r="F24" s="45" t="s">
        <v>201</v>
      </c>
      <c r="G24" s="46">
        <v>1085.687</v>
      </c>
      <c r="H24" s="46" t="str">
        <f>if($D24="Ações Americanas", HLOOKUP("PTAX",'Histórico'!$A$1:$EL$983,MATCH(B24,'Histórico'!A:A),""),"")</f>
        <v/>
      </c>
      <c r="I24" s="80">
        <f t="array" ref="I24">IF(ISTEXT(C24),xlookup(C24,'Cadastro dos Ativos'!$A$2:$A$1000,'Cadastro dos Ativos'!$D$2:$D$1000),"")</f>
        <v>45048</v>
      </c>
      <c r="J24" s="45">
        <v>375.0</v>
      </c>
      <c r="K24" s="47">
        <f t="array" ref="K24">if(and(J24&lt;&gt;"",D24&lt;&gt;"Futuros"),
if(F24=Controle!$C$2, M24/xlookup(workday(B24,-1,Feriados!A:A),Controle!$B$10:$B$1000,Controle!$C$10:$C$1000),
if(F24=Controle!$F$2, M24/xlookup(workday(B24,-1,Feriados!A:A),Controle!$B$10:$B$1000,Controle!$F$10:$F$1000),
if(F24=Controle!$I$2, M24/xlookup(workday(B24,-1,Feriados!A:A),Controle!$B$10:$B$1000,Controle!$I$10:$I$1000),
if(F24=Controle!$L$2, M24/xlookup(workday(B24,-1,Feriados!A:A),Controle!$B$10:$B$1000,Controle!$L$10:$L$1000),
)))),
if(and(J24&lt;&gt;"",D24="Futuros"),
if(F24=Controle!$C$2, N24/xlookup(workday(B24,-1,Feriados!A:A),Controle!$B$10:$B$1000,Controle!$C$10:$C$1000),
if(F24=Controle!$F$2, N24/xlookup(workday(B24,-1,Feriados!A:A),Controle!$B$10:$B$1000,Controle!$F$10:$F$1000),
if(F24=Controle!$I$2, N24/xlookup(workday(B24,-1,Feriados!A:A),Controle!$B$10:$B$1000,Controle!$I$10:$I$1000),
if(F24=Controle!$L$2, N24/xlookup(workday(B24,-1,Feriados!A:A),Controle!$B$10:$B$1000,Controle!$L$10:$L$1000),
)))),""))</f>
        <v>0.2058855429</v>
      </c>
      <c r="L24" s="47">
        <f t="array" ref="L24">IF($J24&lt;&gt;"", IF($D24 = "Futuros" , $N24/xlookup(WORKDAY(B24,-1,Feriados!A:A),Controle!$B$10:$B$1000,Controle!$T$10:$T$1000) , $M24/xlookup(WORKDAY(B24,-1,Feriados!A:A),Controle!$B$10:$B$1000,Controle!$T$10:$T$1000)),"")</f>
        <v>0.05134963633</v>
      </c>
      <c r="M24" s="48">
        <f t="shared" si="1"/>
        <v>-407132.625</v>
      </c>
      <c r="N24" s="48">
        <f>IFERROR(IF(D24="Futuros",
IF(LEFT(C24,3)="DI1",G24*O24,
IF(LEFT(C24,3)="ISP",G24*O24*HLOOKUP("PTAX",'Histórico'!$A$1:$EL$983,MATCH(B24,'Histórico'!A:A),FALSE)*50,
IF(LEFT(C24,3)="WDO",10*G24*O24*HLOOKUP("PTAX",'Histórico'!$A$1:$EL$983,MATCH(B24,'Histórico'!A:A),FALSE),
IF(LEFT(C24,3)="DOL",50*G24*O24,
IF(LEFT(C24,3)="EUR",G24*O24*50,
IF(LEFT(C24,3)="WEU",G24*O24*10,
IF(LEFT(C24,3)="IND",G24*O24,
IF(LEFT(C24,3)="WIN",G24*O24*0.2,
IF(LEFT(C24,3)="T10",G24*O24*1000*HLOOKUP("PTAX",'Histórico'!$A$1:$EL$983,MATCH(B24,'Histórico'!A:A),FALSE),
IF(LEFT(C24,3)="CCM",G24*O24*450,
IF(LEFT(C24,3)="SJC",G24*O24*HLOOKUP("PTAX",'Histórico'!$A$1:$EL$983,MATCH(B24,'Histórico'!A:A),FALSE)*450,
IF(LEFT(C24,3)="BGI",G24*O24*330,
IF(LEFT(C24,3)="OZ1",G24*O24*250,
IF(LEFT(C24,3)="CLP",G24*O24*25,
IF(LEFT(C24,3)="EUP", O24*10000*HLOOKUP("EUR/BRL",'Histórico'!$A$1:$EL$983,MATCH(B24,'Histórico'!A:A),FALSE),
IF(LEFT(C24,3)="JSE", G24*O24*0.4,
IF(LEFT(C24,3)="GBP", O24*10000*HLOOKUP("GBP/BRL",'Histórico'!$A$1:$FG$983,MATCH(B24,'Histórico'!A:A),FALSE),
IF(LEFT(C24,3)="JAP",O24*10000*HLOOKUP("PTAX",'Histórico'!$A$1:$FG$983,MATCH(B24,'Histórico'!A:A),FALSE),
IF(LEFT(C24,3)="CNH",O24*10000*HLOOKUP("PTAX",'Histórico'!$A$1:$FG$983,MATCH(B24,'Histórico'!A:A),FALSE),
IF(LEFT(C24,3)="AUS",O24*10000*HLOOKUP("PTAX",'Histórico'!$A$1:$FG$983,MATCH(B24,'Histórico'!A:A),FALSE),
IF(LEFT(C24,3)="CAN",O24*10000*HLOOKUP("PTAX",'Histórico'!$A$1:$FG$983,MATCH(B24,'Histórico'!A:A),FALSE),
IF(LEFT(C24,3)="GBR",O24*10000*HLOOKUP("GBP/BRL",'Histórico'!$A$1:$FG$983,MATCH(B24,'Histórico'!A:A),FALSE),
IF(LEFT(C24,3)="MEX",O24*10000*HLOOKUP("PTAX",'Histórico'!$A$1:$FG$983,MATCH(B24,'Histórico'!A:A),FALSE),
IF(LEFT(C24,3)="CHL",O24*10000*HLOOKUP("PTAX",'Histórico'!$A$1:$FG$983,MATCH(B24,'Histórico'!A:A),FALSE)
)))))))))))))))))))))))),""))</f>
        <v>20708999.63</v>
      </c>
      <c r="O24" s="49">
        <f t="shared" si="2"/>
        <v>375</v>
      </c>
      <c r="P24" s="50">
        <f t="shared" si="3"/>
        <v>0</v>
      </c>
      <c r="Q24" s="51">
        <f>IF($C24&lt;&gt;"",SUMIFS($O$3:$O$401, $C$3:$C$401 ,$C24,$B$3:$B$401,"&lt;="&amp;Controle!$B$6),"")</f>
        <v>0</v>
      </c>
      <c r="R24" s="51">
        <f>IF($D24&lt;&gt;"",SUMIFS($O$3:$O$401, $C$3:$C$401 ,$C24,$B$3:$B$401,"&lt;="&amp;Controle!$B$6,$F$3:$F$401,$F24),"")</f>
        <v>0</v>
      </c>
      <c r="S24" s="51">
        <f>IF($D24&lt;&gt;"",SUMIFS($O$3:$O$401, $C$3:$C$401 ,$C24,$B$3:$B$401,"&lt;="&amp;'Controle D-1'!$B$6,$F$3:$F$401,$F24),"")</f>
        <v>0</v>
      </c>
      <c r="T24" s="40"/>
      <c r="U24" s="95"/>
      <c r="V24" s="95"/>
      <c r="W24" s="95"/>
      <c r="X24" s="2"/>
      <c r="Y24" s="96" t="s">
        <v>236</v>
      </c>
      <c r="Z24" s="97"/>
      <c r="AA24" s="97"/>
      <c r="AB24" s="98"/>
      <c r="AC24" s="40"/>
    </row>
    <row r="25" ht="15.75" customHeight="1">
      <c r="A25" s="28"/>
      <c r="B25" s="77">
        <v>45026.0</v>
      </c>
      <c r="C25" s="88" t="s">
        <v>19</v>
      </c>
      <c r="D25" s="45" t="str">
        <f>IF(ISTEXT(C25),VLOOKUP(C25,'Cadastro dos Ativos'!$A$2:$C$1000,3,0),"")</f>
        <v>Ações Americanas</v>
      </c>
      <c r="E25" s="45" t="s">
        <v>198</v>
      </c>
      <c r="F25" s="45" t="s">
        <v>201</v>
      </c>
      <c r="G25" s="46">
        <v>32.06</v>
      </c>
      <c r="H25" s="46">
        <f>if($D25="Ações Americanas", HLOOKUP("PTAX",'Histórico'!$A$1:$EL$983,MATCH(B25,'Histórico'!A:A),""),"")</f>
        <v>5.054399967</v>
      </c>
      <c r="I25" s="45" t="str">
        <f t="array" ref="I25">IF(ISTEXT(C25),xlookup(C25,'Cadastro dos Ativos'!$A$2:$A$1000,'Cadastro dos Ativos'!$D$2:$D$1000),"")</f>
        <v/>
      </c>
      <c r="J25" s="45">
        <v>31150.0</v>
      </c>
      <c r="K25" s="47">
        <f t="array" ref="K25">if(and(J25&lt;&gt;"",D25&lt;&gt;"Futuros"),
if(F25=Controle!$C$2, M25/xlookup(workday(B25,-1,Feriados!A:A),Controle!$B$10:$B$1000,Controle!$C$10:$C$1000),
if(F25=Controle!$F$2, M25/xlookup(workday(B25,-1,Feriados!A:A),Controle!$B$10:$B$1000,Controle!$F$10:$F$1000),
if(F25=Controle!$I$2, M25/xlookup(workday(B25,-1,Feriados!A:A),Controle!$B$10:$B$1000,Controle!$I$10:$I$1000),
if(F25=Controle!$L$2, M25/xlookup(workday(B25,-1,Feriados!A:A),Controle!$B$10:$B$1000,Controle!$L$10:$L$1000),
)))),
if(and(J25&lt;&gt;"",D25="Futuros"),
if(F25=Controle!$C$2, N25/xlookup(workday(B25,-1,Feriados!A:A),Controle!$B$10:$B$1000,Controle!$C$10:$C$1000),
if(F25=Controle!$F$2, N25/xlookup(workday(B25,-1,Feriados!A:A),Controle!$B$10:$B$1000,Controle!$F$10:$F$1000),
if(F25=Controle!$I$2, N25/xlookup(workday(B25,-1,Feriados!A:A),Controle!$B$10:$B$1000,Controle!$I$10:$I$1000),
if(F25=Controle!$L$2, N25/xlookup(workday(B25,-1,Feriados!A:A),Controle!$B$10:$B$1000,Controle!$L$10:$L$1000),
)))),""))</f>
        <v>0.05018314859</v>
      </c>
      <c r="L25" s="47">
        <f t="array" ref="L25">IF($J25&lt;&gt;"", IF($D25 = "Futuros" , $N25/xlookup(WORKDAY(B25,-1,Feriados!A:A),Controle!$B$10:$B$1000,Controle!$T$10:$T$1000) , $M25/xlookup(WORKDAY(B25,-1,Feriados!A:A),Controle!$B$10:$B$1000,Controle!$T$10:$T$1000)),"")</f>
        <v>0.01251611159</v>
      </c>
      <c r="M25" s="48">
        <f t="shared" si="1"/>
        <v>5047672.561</v>
      </c>
      <c r="N25" s="48" t="str">
        <f>IFERROR(IF(D25="Futuros",
IF(LEFT(C25,3)="DI1",G25*O25,
IF(LEFT(C25,3)="ISP",G25*O25*HLOOKUP("PTAX",'Histórico'!$A$1:$EL$983,MATCH(B25,'Histórico'!A:A),FALSE)*50,
IF(LEFT(C25,3)="WDO",10*G25*O25*HLOOKUP("PTAX",'Histórico'!$A$1:$EL$983,MATCH(B25,'Histórico'!A:A),FALSE),
IF(LEFT(C25,3)="DOL",50*G25*O25,
IF(LEFT(C25,3)="EUR",G25*O25*50,
IF(LEFT(C25,3)="WEU",G25*O25*10,
IF(LEFT(C25,3)="IND",G25*O25,
IF(LEFT(C25,3)="WIN",G25*O25*0.2,
IF(LEFT(C25,3)="T10",G25*O25*1000*HLOOKUP("PTAX",'Histórico'!$A$1:$EL$983,MATCH(B25,'Histórico'!A:A),FALSE),
IF(LEFT(C25,3)="CCM",G25*O25*450,
IF(LEFT(C25,3)="SJC",G25*O25*HLOOKUP("PTAX",'Histórico'!$A$1:$EL$983,MATCH(B25,'Histórico'!A:A),FALSE)*450,
IF(LEFT(C25,3)="BGI",G25*O25*330,
IF(LEFT(C25,3)="OZ1",G25*O25*250,
IF(LEFT(C25,3)="CLP",G25*O25*25,
IF(LEFT(C25,3)="EUP", O25*10000*HLOOKUP("EUR/BRL",'Histórico'!$A$1:$EL$983,MATCH(B25,'Histórico'!A:A),FALSE),
IF(LEFT(C25,3)="JSE", G25*O25*0.4,
IF(LEFT(C25,3)="GBP", O25*10000*HLOOKUP("GBP/BRL",'Histórico'!$A$1:$FG$983,MATCH(B25,'Histórico'!A:A),FALSE),
IF(LEFT(C25,3)="JAP",O25*10000*HLOOKUP("PTAX",'Histórico'!$A$1:$FG$983,MATCH(B25,'Histórico'!A:A),FALSE),
IF(LEFT(C25,3)="CNH",O25*10000*HLOOKUP("PTAX",'Histórico'!$A$1:$FG$983,MATCH(B25,'Histórico'!A:A),FALSE),
IF(LEFT(C25,3)="AUS",O25*10000*HLOOKUP("PTAX",'Histórico'!$A$1:$FG$983,MATCH(B25,'Histórico'!A:A),FALSE),
IF(LEFT(C25,3)="CAN",O25*10000*HLOOKUP("PTAX",'Histórico'!$A$1:$FG$983,MATCH(B25,'Histórico'!A:A),FALSE),
IF(LEFT(C25,3)="GBR",O25*10000*HLOOKUP("GBP/BRL",'Histórico'!$A$1:$FG$983,MATCH(B25,'Histórico'!A:A),FALSE),
IF(LEFT(C25,3)="MEX",O25*10000*HLOOKUP("PTAX",'Histórico'!$A$1:$FG$983,MATCH(B25,'Histórico'!A:A),FALSE),
IF(LEFT(C25,3)="CHL",O25*10000*HLOOKUP("PTAX",'Histórico'!$A$1:$FG$983,MATCH(B25,'Histórico'!A:A),FALSE)
)))))))))))))))))))))))),""))</f>
        <v/>
      </c>
      <c r="O25" s="49">
        <f t="shared" si="2"/>
        <v>-31150</v>
      </c>
      <c r="P25" s="50">
        <f t="shared" si="3"/>
        <v>0</v>
      </c>
      <c r="Q25" s="51">
        <f>IF($C25&lt;&gt;"",SUMIFS($O$3:$O$401, $C$3:$C$401 ,$C25,$B$3:$B$401,"&lt;="&amp;Controle!$B$6),"")</f>
        <v>0</v>
      </c>
      <c r="R25" s="51">
        <f>IF($D25&lt;&gt;"",SUMIFS($O$3:$O$401, $C$3:$C$401 ,$C25,$B$3:$B$401,"&lt;="&amp;Controle!$B$6,$F$3:$F$401,$F25),"")</f>
        <v>0</v>
      </c>
      <c r="S25" s="51">
        <f>IF($D25&lt;&gt;"",SUMIFS($O$3:$O$401, $C$3:$C$401 ,$C25,$B$3:$B$401,"&lt;="&amp;'Controle D-1'!$B$6,$F$3:$F$401,$F25),"")</f>
        <v>0</v>
      </c>
      <c r="T25" s="40"/>
      <c r="U25" s="95"/>
      <c r="V25" s="90" t="s">
        <v>237</v>
      </c>
      <c r="W25" s="91" t="s">
        <v>238</v>
      </c>
      <c r="X25" s="2"/>
      <c r="Y25" s="99" t="s">
        <v>235</v>
      </c>
      <c r="Z25" s="97"/>
      <c r="AA25" s="97"/>
      <c r="AB25" s="98"/>
      <c r="AC25" s="40"/>
    </row>
    <row r="26" ht="15.75" customHeight="1">
      <c r="A26" s="28"/>
      <c r="B26" s="77">
        <v>45026.0</v>
      </c>
      <c r="C26" s="88" t="s">
        <v>50</v>
      </c>
      <c r="D26" s="45" t="str">
        <f>IF(ISTEXT(C26),VLOOKUP(C26,'Cadastro dos Ativos'!$A$2:$C$1000,3,0),"")</f>
        <v>Ações Americanas</v>
      </c>
      <c r="E26" s="45" t="s">
        <v>198</v>
      </c>
      <c r="F26" s="45" t="s">
        <v>201</v>
      </c>
      <c r="G26" s="46">
        <v>42.85</v>
      </c>
      <c r="H26" s="46">
        <f>if($D26="Ações Americanas", HLOOKUP("PTAX",'Histórico'!$A$1:$EL$983,MATCH(B26,'Histórico'!A:A),""),"")</f>
        <v>5.054399967</v>
      </c>
      <c r="I26" s="45" t="str">
        <f t="array" ref="I26">IF(ISTEXT(C26),xlookup(C26,'Cadastro dos Ativos'!$A$2:$A$1000,'Cadastro dos Ativos'!$D$2:$D$1000),"")</f>
        <v/>
      </c>
      <c r="J26" s="45">
        <v>23250.0</v>
      </c>
      <c r="K26" s="47">
        <f t="array" ref="K26">if(and(J26&lt;&gt;"",D26&lt;&gt;"Futuros"),
if(F26=Controle!$C$2, M26/xlookup(workday(B26,-1,Feriados!A:A),Controle!$B$10:$B$1000,Controle!$C$10:$C$1000),
if(F26=Controle!$F$2, M26/xlookup(workday(B26,-1,Feriados!A:A),Controle!$B$10:$B$1000,Controle!$F$10:$F$1000),
if(F26=Controle!$I$2, M26/xlookup(workday(B26,-1,Feriados!A:A),Controle!$B$10:$B$1000,Controle!$I$10:$I$1000),
if(F26=Controle!$L$2, M26/xlookup(workday(B26,-1,Feriados!A:A),Controle!$B$10:$B$1000,Controle!$L$10:$L$1000),
)))),
if(and(J26&lt;&gt;"",D26="Futuros"),
if(F26=Controle!$C$2, N26/xlookup(workday(B26,-1,Feriados!A:A),Controle!$B$10:$B$1000,Controle!$C$10:$C$1000),
if(F26=Controle!$F$2, N26/xlookup(workday(B26,-1,Feriados!A:A),Controle!$B$10:$B$1000,Controle!$F$10:$F$1000),
if(F26=Controle!$I$2, N26/xlookup(workday(B26,-1,Feriados!A:A),Controle!$B$10:$B$1000,Controle!$I$10:$I$1000),
if(F26=Controle!$L$2, N26/xlookup(workday(B26,-1,Feriados!A:A),Controle!$B$10:$B$1000,Controle!$L$10:$L$1000),
)))),""))</f>
        <v>0.05006222189</v>
      </c>
      <c r="L26" s="47">
        <f t="array" ref="L26">IF($J26&lt;&gt;"", IF($D26 = "Futuros" , $N26/xlookup(WORKDAY(B26,-1,Feriados!A:A),Controle!$B$10:$B$1000,Controle!$T$10:$T$1000) , $M26/xlookup(WORKDAY(B26,-1,Feriados!A:A),Controle!$B$10:$B$1000,Controle!$T$10:$T$1000)),"")</f>
        <v>0.01248595142</v>
      </c>
      <c r="M26" s="48">
        <f t="shared" si="1"/>
        <v>5035509.147</v>
      </c>
      <c r="N26" s="48" t="str">
        <f>IFERROR(IF(D26="Futuros",
IF(LEFT(C26,3)="DI1",G26*O26,
IF(LEFT(C26,3)="ISP",G26*O26*HLOOKUP("PTAX",'Histórico'!$A$1:$EL$983,MATCH(B26,'Histórico'!A:A),FALSE)*50,
IF(LEFT(C26,3)="WDO",10*G26*O26*HLOOKUP("PTAX",'Histórico'!$A$1:$EL$983,MATCH(B26,'Histórico'!A:A),FALSE),
IF(LEFT(C26,3)="DOL",50*G26*O26,
IF(LEFT(C26,3)="EUR",G26*O26*50,
IF(LEFT(C26,3)="WEU",G26*O26*10,
IF(LEFT(C26,3)="IND",G26*O26,
IF(LEFT(C26,3)="WIN",G26*O26*0.2,
IF(LEFT(C26,3)="T10",G26*O26*1000*HLOOKUP("PTAX",'Histórico'!$A$1:$EL$983,MATCH(B26,'Histórico'!A:A),FALSE),
IF(LEFT(C26,3)="CCM",G26*O26*450,
IF(LEFT(C26,3)="SJC",G26*O26*HLOOKUP("PTAX",'Histórico'!$A$1:$EL$983,MATCH(B26,'Histórico'!A:A),FALSE)*450,
IF(LEFT(C26,3)="BGI",G26*O26*330,
IF(LEFT(C26,3)="OZ1",G26*O26*250,
IF(LEFT(C26,3)="CLP",G26*O26*25,
IF(LEFT(C26,3)="EUP", O26*10000*HLOOKUP("EUR/BRL",'Histórico'!$A$1:$EL$983,MATCH(B26,'Histórico'!A:A),FALSE),
IF(LEFT(C26,3)="JSE", G26*O26*0.4,
IF(LEFT(C26,3)="GBP", O26*10000*HLOOKUP("GBP/BRL",'Histórico'!$A$1:$FG$983,MATCH(B26,'Histórico'!A:A),FALSE),
IF(LEFT(C26,3)="JAP",O26*10000*HLOOKUP("PTAX",'Histórico'!$A$1:$FG$983,MATCH(B26,'Histórico'!A:A),FALSE),
IF(LEFT(C26,3)="CNH",O26*10000*HLOOKUP("PTAX",'Histórico'!$A$1:$FG$983,MATCH(B26,'Histórico'!A:A),FALSE),
IF(LEFT(C26,3)="AUS",O26*10000*HLOOKUP("PTAX",'Histórico'!$A$1:$FG$983,MATCH(B26,'Histórico'!A:A),FALSE),
IF(LEFT(C26,3)="CAN",O26*10000*HLOOKUP("PTAX",'Histórico'!$A$1:$FG$983,MATCH(B26,'Histórico'!A:A),FALSE),
IF(LEFT(C26,3)="GBR",O26*10000*HLOOKUP("GBP/BRL",'Histórico'!$A$1:$FG$983,MATCH(B26,'Histórico'!A:A),FALSE),
IF(LEFT(C26,3)="MEX",O26*10000*HLOOKUP("PTAX",'Histórico'!$A$1:$FG$983,MATCH(B26,'Histórico'!A:A),FALSE),
IF(LEFT(C26,3)="CHL",O26*10000*HLOOKUP("PTAX",'Histórico'!$A$1:$FG$983,MATCH(B26,'Histórico'!A:A),FALSE)
)))))))))))))))))))))))),""))</f>
        <v/>
      </c>
      <c r="O26" s="49">
        <f t="shared" si="2"/>
        <v>-23250</v>
      </c>
      <c r="P26" s="50">
        <f t="shared" si="3"/>
        <v>0</v>
      </c>
      <c r="Q26" s="51">
        <f>IF($C26&lt;&gt;"",SUMIFS($O$3:$O$401, $C$3:$C$401 ,$C26,$B$3:$B$401,"&lt;="&amp;Controle!$B$6),"")</f>
        <v>0</v>
      </c>
      <c r="R26" s="51">
        <f>IF($D26&lt;&gt;"",SUMIFS($O$3:$O$401, $C$3:$C$401 ,$C26,$B$3:$B$401,"&lt;="&amp;Controle!$B$6,$F$3:$F$401,$F26),"")</f>
        <v>0</v>
      </c>
      <c r="S26" s="51">
        <f>IF($D26&lt;&gt;"",SUMIFS($O$3:$O$401, $C$3:$C$401 ,$C26,$B$3:$B$401,"&lt;="&amp;'Controle D-1'!$B$6,$F$3:$F$401,$F26),"")</f>
        <v>0</v>
      </c>
      <c r="T26" s="40"/>
      <c r="U26" s="95"/>
      <c r="V26" s="95"/>
      <c r="W26" s="95"/>
      <c r="X26" s="2"/>
      <c r="Y26" s="96" t="s">
        <v>236</v>
      </c>
      <c r="Z26" s="97"/>
      <c r="AA26" s="97"/>
      <c r="AB26" s="98"/>
      <c r="AC26" s="40"/>
    </row>
    <row r="27" ht="15.75" customHeight="1">
      <c r="A27" s="28"/>
      <c r="B27" s="100">
        <v>45026.0</v>
      </c>
      <c r="C27" s="88" t="s">
        <v>59</v>
      </c>
      <c r="D27" s="45" t="str">
        <f>IF(ISTEXT(C27),VLOOKUP(C27,'Cadastro dos Ativos'!$A$2:$C$1000,3,0),"")</f>
        <v>Ações Americanas</v>
      </c>
      <c r="E27" s="45" t="s">
        <v>208</v>
      </c>
      <c r="F27" s="45" t="s">
        <v>201</v>
      </c>
      <c r="G27" s="46">
        <v>148.99</v>
      </c>
      <c r="H27" s="46">
        <f>if($D27="Ações Americanas", HLOOKUP("PTAX",'Histórico'!$A$1:$EL$983,MATCH(B27,'Histórico'!A:A),""),"")</f>
        <v>5.054399967</v>
      </c>
      <c r="I27" s="45" t="str">
        <f t="array" ref="I27">IF(ISTEXT(C27),xlookup(C27,'Cadastro dos Ativos'!$A$2:$A$1000,'Cadastro dos Ativos'!$D$2:$D$1000),"")</f>
        <v/>
      </c>
      <c r="J27" s="45">
        <v>13500.0</v>
      </c>
      <c r="K27" s="47">
        <f t="array" ref="K27">if(and(J27&lt;&gt;"",D27&lt;&gt;"Futuros"),
if(F27=Controle!$C$2, M27/xlookup(workday(B27,-1,Feriados!A:A),Controle!$B$10:$B$1000,Controle!$C$10:$C$1000),
if(F27=Controle!$F$2, M27/xlookup(workday(B27,-1,Feriados!A:A),Controle!$B$10:$B$1000,Controle!$F$10:$F$1000),
if(F27=Controle!$I$2, M27/xlookup(workday(B27,-1,Feriados!A:A),Controle!$B$10:$B$1000,Controle!$I$10:$I$1000),
if(F27=Controle!$L$2, M27/xlookup(workday(B27,-1,Feriados!A:A),Controle!$B$10:$B$1000,Controle!$L$10:$L$1000),
)))),
if(and(J27&lt;&gt;"",D27="Futuros"),
if(F27=Controle!$C$2, N27/xlookup(workday(B27,-1,Feriados!A:A),Controle!$B$10:$B$1000,Controle!$C$10:$C$1000),
if(F27=Controle!$F$2, N27/xlookup(workday(B27,-1,Feriados!A:A),Controle!$B$10:$B$1000,Controle!$F$10:$F$1000),
if(F27=Controle!$I$2, N27/xlookup(workday(B27,-1,Feriados!A:A),Controle!$B$10:$B$1000,Controle!$I$10:$I$1000),
if(F27=Controle!$L$2, N27/xlookup(workday(B27,-1,Feriados!A:A),Controle!$B$10:$B$1000,Controle!$L$10:$L$1000),
)))),""))</f>
        <v>-0.1010711544</v>
      </c>
      <c r="L27" s="47">
        <f t="array" ref="L27">IF($J27&lt;&gt;"", IF($D27 = "Futuros" , $N27/xlookup(WORKDAY(B27,-1,Feriados!A:A),Controle!$B$10:$B$1000,Controle!$T$10:$T$1000) , $M27/xlookup(WORKDAY(B27,-1,Feriados!A:A),Controle!$B$10:$B$1000,Controle!$T$10:$T$1000)),"")</f>
        <v>-0.02520802066</v>
      </c>
      <c r="M27" s="48">
        <f t="shared" si="1"/>
        <v>-10166243.19</v>
      </c>
      <c r="N27" s="48" t="str">
        <f>IFERROR(IF(D27="Futuros",
IF(LEFT(C27,3)="DI1",G27*O27,
IF(LEFT(C27,3)="ISP",G27*O27*HLOOKUP("PTAX",'Histórico'!$A$1:$EL$983,MATCH(B27,'Histórico'!A:A),FALSE)*50,
IF(LEFT(C27,3)="WDO",10*G27*O27*HLOOKUP("PTAX",'Histórico'!$A$1:$EL$983,MATCH(B27,'Histórico'!A:A),FALSE),
IF(LEFT(C27,3)="DOL",50*G27*O27,
IF(LEFT(C27,3)="EUR",G27*O27*50,
IF(LEFT(C27,3)="WEU",G27*O27*10,
IF(LEFT(C27,3)="IND",G27*O27,
IF(LEFT(C27,3)="WIN",G27*O27*0.2,
IF(LEFT(C27,3)="T10",G27*O27*1000*HLOOKUP("PTAX",'Histórico'!$A$1:$EL$983,MATCH(B27,'Histórico'!A:A),FALSE),
IF(LEFT(C27,3)="CCM",G27*O27*450,
IF(LEFT(C27,3)="SJC",G27*O27*HLOOKUP("PTAX",'Histórico'!$A$1:$EL$983,MATCH(B27,'Histórico'!A:A),FALSE)*450,
IF(LEFT(C27,3)="BGI",G27*O27*330,
IF(LEFT(C27,3)="OZ1",G27*O27*250,
IF(LEFT(C27,3)="CLP",G27*O27*25,
IF(LEFT(C27,3)="EUP", O27*10000*HLOOKUP("EUR/BRL",'Histórico'!$A$1:$EL$983,MATCH(B27,'Histórico'!A:A),FALSE),
IF(LEFT(C27,3)="JSE", G27*O27*0.4,
IF(LEFT(C27,3)="GBP", O27*10000*HLOOKUP("GBP/BRL",'Histórico'!$A$1:$FG$983,MATCH(B27,'Histórico'!A:A),FALSE),
IF(LEFT(C27,3)="JAP",O27*10000*HLOOKUP("PTAX",'Histórico'!$A$1:$FG$983,MATCH(B27,'Histórico'!A:A),FALSE),
IF(LEFT(C27,3)="CNH",O27*10000*HLOOKUP("PTAX",'Histórico'!$A$1:$FG$983,MATCH(B27,'Histórico'!A:A),FALSE),
IF(LEFT(C27,3)="AUS",O27*10000*HLOOKUP("PTAX",'Histórico'!$A$1:$FG$983,MATCH(B27,'Histórico'!A:A),FALSE),
IF(LEFT(C27,3)="CAN",O27*10000*HLOOKUP("PTAX",'Histórico'!$A$1:$FG$983,MATCH(B27,'Histórico'!A:A),FALSE),
IF(LEFT(C27,3)="GBR",O27*10000*HLOOKUP("GBP/BRL",'Histórico'!$A$1:$FG$983,MATCH(B27,'Histórico'!A:A),FALSE),
IF(LEFT(C27,3)="MEX",O27*10000*HLOOKUP("PTAX",'Histórico'!$A$1:$FG$983,MATCH(B27,'Histórico'!A:A),FALSE),
IF(LEFT(C27,3)="CHL",O27*10000*HLOOKUP("PTAX",'Histórico'!$A$1:$FG$983,MATCH(B27,'Histórico'!A:A),FALSE)
)))))))))))))))))))))))),""))</f>
        <v/>
      </c>
      <c r="O27" s="49">
        <f t="shared" si="2"/>
        <v>13500</v>
      </c>
      <c r="P27" s="50">
        <f t="shared" si="3"/>
        <v>0</v>
      </c>
      <c r="Q27" s="51">
        <f>IF($C27&lt;&gt;"",SUMIFS($O$3:$O$401, $C$3:$C$401 ,$C27,$B$3:$B$401,"&lt;="&amp;Controle!$B$6),"")</f>
        <v>0</v>
      </c>
      <c r="R27" s="51">
        <f>IF($D27&lt;&gt;"",SUMIFS($O$3:$O$401, $C$3:$C$401 ,$C27,$B$3:$B$401,"&lt;="&amp;Controle!$B$6,$F$3:$F$401,$F27),"")</f>
        <v>0</v>
      </c>
      <c r="S27" s="51">
        <f>IF($D27&lt;&gt;"",SUMIFS($O$3:$O$401, $C$3:$C$401 ,$C27,$B$3:$B$401,"&lt;="&amp;'Controle D-1'!$B$6,$F$3:$F$401,$F27),"")</f>
        <v>0</v>
      </c>
      <c r="T27" s="40"/>
      <c r="U27" s="95"/>
      <c r="V27" s="90" t="s">
        <v>239</v>
      </c>
      <c r="W27" s="91" t="s">
        <v>240</v>
      </c>
      <c r="X27" s="2"/>
      <c r="Y27" s="99" t="s">
        <v>235</v>
      </c>
      <c r="Z27" s="97"/>
      <c r="AA27" s="97"/>
      <c r="AB27" s="98"/>
      <c r="AC27" s="40"/>
    </row>
    <row r="28" ht="15.75" customHeight="1">
      <c r="A28" s="28"/>
      <c r="B28" s="100">
        <v>45026.0</v>
      </c>
      <c r="C28" s="88" t="s">
        <v>65</v>
      </c>
      <c r="D28" s="45" t="str">
        <f>IF(ISTEXT(C28),VLOOKUP(C28,'Cadastro dos Ativos'!$A$2:$C$1000,3,0),"")</f>
        <v>Futuros</v>
      </c>
      <c r="E28" s="45" t="s">
        <v>208</v>
      </c>
      <c r="F28" s="45" t="s">
        <v>201</v>
      </c>
      <c r="G28" s="46">
        <v>89725.85</v>
      </c>
      <c r="H28" s="46" t="str">
        <f>if($D28="Ações Americanas", HLOOKUP("PTAX",'Histórico'!$A$1:$EL$983,MATCH(B28,'Histórico'!A:A),""),"")</f>
        <v/>
      </c>
      <c r="I28" s="62">
        <f t="array" ref="I28">IF(ISTEXT(C28),xlookup(C28,'Cadastro dos Ativos'!$A$2:$A$1000,'Cadastro dos Ativos'!$D$2:$D$1000),"")</f>
        <v>45352</v>
      </c>
      <c r="J28" s="45">
        <v>140.0</v>
      </c>
      <c r="K28" s="47">
        <f t="array" ref="K28">if(and(J28&lt;&gt;"",D28&lt;&gt;"Futuros"),
if(F28=Controle!$C$2, M28/xlookup(workday(B28,-1,Feriados!A:A),Controle!$B$10:$B$1000,Controle!$C$10:$C$1000),
if(F28=Controle!$F$2, M28/xlookup(workday(B28,-1,Feriados!A:A),Controle!$B$10:$B$1000,Controle!$F$10:$F$1000),
if(F28=Controle!$I$2, M28/xlookup(workday(B28,-1,Feriados!A:A),Controle!$B$10:$B$1000,Controle!$I$10:$I$1000),
if(F28=Controle!$L$2, M28/xlookup(workday(B28,-1,Feriados!A:A),Controle!$B$10:$B$1000,Controle!$L$10:$L$1000),
)))),
if(and(J28&lt;&gt;"",D28="Futuros"),
if(F28=Controle!$C$2, N28/xlookup(workday(B28,-1,Feriados!A:A),Controle!$B$10:$B$1000,Controle!$C$10:$C$1000),
if(F28=Controle!$F$2, N28/xlookup(workday(B28,-1,Feriados!A:A),Controle!$B$10:$B$1000,Controle!$F$10:$F$1000),
if(F28=Controle!$I$2, N28/xlookup(workday(B28,-1,Feriados!A:A),Controle!$B$10:$B$1000,Controle!$I$10:$I$1000),
if(F28=Controle!$L$2, N28/xlookup(workday(B28,-1,Feriados!A:A),Controle!$B$10:$B$1000,Controle!$L$10:$L$1000),
)))),""))</f>
        <v>0.1248855953</v>
      </c>
      <c r="L28" s="47">
        <f t="array" ref="L28">IF($J28&lt;&gt;"", IF($D28 = "Futuros" , $N28/xlookup(WORKDAY(B28,-1,Feriados!A:A),Controle!$B$10:$B$1000,Controle!$T$10:$T$1000) , $M28/xlookup(WORKDAY(B28,-1,Feriados!A:A),Controle!$B$10:$B$1000,Controle!$T$10:$T$1000)),"")</f>
        <v>0.03114754835</v>
      </c>
      <c r="M28" s="48">
        <f t="shared" si="1"/>
        <v>-12561619</v>
      </c>
      <c r="N28" s="48">
        <f>IFERROR(IF(D28="Futuros",
IF(LEFT(C28,3)="DI1",G28*O28,
IF(LEFT(C28,3)="ISP",G28*O28*HLOOKUP("PTAX",'Histórico'!$A$1:$EL$983,MATCH(B28,'Histórico'!A:A),FALSE)*50,
IF(LEFT(C28,3)="WDO",10*G28*O28*HLOOKUP("PTAX",'Histórico'!$A$1:$EL$983,MATCH(B28,'Histórico'!A:A),FALSE),
IF(LEFT(C28,3)="DOL",50*G28*O28,
IF(LEFT(C28,3)="EUR",G28*O28*50,
IF(LEFT(C28,3)="WEU",G28*O28*10,
IF(LEFT(C28,3)="IND",G28*O28,
IF(LEFT(C28,3)="WIN",G28*O28*0.2,
IF(LEFT(C28,3)="T10",G28*O28*1000*HLOOKUP("PTAX",'Histórico'!$A$1:$EL$983,MATCH(B28,'Histórico'!A:A),FALSE),
IF(LEFT(C28,3)="CCM",G28*O28*450,
IF(LEFT(C28,3)="SJC",G28*O28*HLOOKUP("PTAX",'Histórico'!$A$1:$EL$983,MATCH(B28,'Histórico'!A:A),FALSE)*450,
IF(LEFT(C28,3)="BGI",G28*O28*330,
IF(LEFT(C28,3)="OZ1",G28*O28*250,
IF(LEFT(C28,3)="CLP",G28*O28*25,
IF(LEFT(C28,3)="EUP", O28*10000*HLOOKUP("EUR/BRL",'Histórico'!$A$1:$EL$983,MATCH(B28,'Histórico'!A:A),FALSE),
IF(LEFT(C28,3)="JSE", G28*O28*0.4,
IF(LEFT(C28,3)="GBP", O28*10000*HLOOKUP("GBP/BRL",'Histórico'!$A$1:$FG$983,MATCH(B28,'Histórico'!A:A),FALSE),
IF(LEFT(C28,3)="JAP",O28*10000*HLOOKUP("PTAX",'Histórico'!$A$1:$FG$983,MATCH(B28,'Histórico'!A:A),FALSE),
IF(LEFT(C28,3)="CNH",O28*10000*HLOOKUP("PTAX",'Histórico'!$A$1:$FG$983,MATCH(B28,'Histórico'!A:A),FALSE),
IF(LEFT(C28,3)="AUS",O28*10000*HLOOKUP("PTAX",'Histórico'!$A$1:$FG$983,MATCH(B28,'Histórico'!A:A),FALSE),
IF(LEFT(C28,3)="CAN",O28*10000*HLOOKUP("PTAX",'Histórico'!$A$1:$FG$983,MATCH(B28,'Histórico'!A:A),FALSE),
IF(LEFT(C28,3)="GBR",O28*10000*HLOOKUP("GBP/BRL",'Histórico'!$A$1:$FG$983,MATCH(B28,'Histórico'!A:A),FALSE),
IF(LEFT(C28,3)="MEX",O28*10000*HLOOKUP("PTAX",'Histórico'!$A$1:$FG$983,MATCH(B28,'Histórico'!A:A),FALSE),
IF(LEFT(C28,3)="CHL",O28*10000*HLOOKUP("PTAX",'Histórico'!$A$1:$FG$983,MATCH(B28,'Histórico'!A:A),FALSE)
)))))))))))))))))))))))),""))</f>
        <v>12561619</v>
      </c>
      <c r="O28" s="49">
        <f t="shared" si="2"/>
        <v>140</v>
      </c>
      <c r="P28" s="50">
        <f t="shared" si="3"/>
        <v>0</v>
      </c>
      <c r="Q28" s="51">
        <f>IF($C28&lt;&gt;"",SUMIFS($O$3:$O$401, $C$3:$C$401 ,$C28,$B$3:$B$401,"&lt;="&amp;Controle!$B$6),"")</f>
        <v>0</v>
      </c>
      <c r="R28" s="51">
        <f>IF($D28&lt;&gt;"",SUMIFS($O$3:$O$401, $C$3:$C$401 ,$C28,$B$3:$B$401,"&lt;="&amp;Controle!$B$6,$F$3:$F$401,$F28),"")</f>
        <v>0</v>
      </c>
      <c r="S28" s="51">
        <f>IF($D28&lt;&gt;"",SUMIFS($O$3:$O$401, $C$3:$C$401 ,$C28,$B$3:$B$401,"&lt;="&amp;'Controle D-1'!$B$6,$F$3:$F$401,$F28),"")</f>
        <v>0</v>
      </c>
      <c r="T28" s="40"/>
      <c r="U28" s="95"/>
      <c r="V28" s="95"/>
      <c r="W28" s="95"/>
      <c r="X28" s="2"/>
      <c r="Y28" s="96" t="s">
        <v>236</v>
      </c>
      <c r="Z28" s="97"/>
      <c r="AA28" s="97"/>
      <c r="AB28" s="98"/>
      <c r="AC28" s="40"/>
    </row>
    <row r="29" ht="15.75" customHeight="1">
      <c r="A29" s="28"/>
      <c r="B29" s="100">
        <v>45027.0</v>
      </c>
      <c r="C29" s="88" t="s">
        <v>27</v>
      </c>
      <c r="D29" s="88" t="str">
        <f>IF(ISTEXT(C29),VLOOKUP(C29,'Cadastro dos Ativos'!$A$2:$C$1000,3,0),"")</f>
        <v>Moedas</v>
      </c>
      <c r="E29" s="88" t="s">
        <v>198</v>
      </c>
      <c r="F29" s="88" t="s">
        <v>200</v>
      </c>
      <c r="G29" s="46">
        <v>344.54</v>
      </c>
      <c r="H29" s="101" t="str">
        <f>if($D29="Ações Americanas", HLOOKUP("PTAX",'Histórico'!$A$1:$EL$983,MATCH(B29,'Histórico'!A:A),""),"")</f>
        <v/>
      </c>
      <c r="I29" s="102" t="str">
        <f t="array" ref="I29">IF(ISTEXT(C29),xlookup(C29,'Cadastro dos Ativos'!$A$2:$A$1000,'Cadastro dos Ativos'!$D$2:$D$1000),"")</f>
        <v/>
      </c>
      <c r="J29" s="88">
        <v>90000.0</v>
      </c>
      <c r="K29" s="47">
        <f t="array" ref="K29">if(and(J29&lt;&gt;"",D29&lt;&gt;"Futuros"),
if(F29=Controle!$C$2, M29/xlookup(workday(B29,-1,Feriados!A:A),Controle!$B$10:$B$1000,Controle!$C$10:$C$1000),
if(F29=Controle!$F$2, M29/xlookup(workday(B29,-1,Feriados!A:A),Controle!$B$10:$B$1000,Controle!$F$10:$F$1000),
if(F29=Controle!$I$2, M29/xlookup(workday(B29,-1,Feriados!A:A),Controle!$B$10:$B$1000,Controle!$I$10:$I$1000),
if(F29=Controle!$L$2, M29/xlookup(workday(B29,-1,Feriados!A:A),Controle!$B$10:$B$1000,Controle!$L$10:$L$1000),
)))),
if(and(J29&lt;&gt;"",D29="Futuros"),
if(F29=Controle!$C$2, N29/xlookup(workday(B29,-1,Feriados!A:A),Controle!$B$10:$B$1000,Controle!$C$10:$C$1000),
if(F29=Controle!$F$2, N29/xlookup(workday(B29,-1,Feriados!A:A),Controle!$B$10:$B$1000,Controle!$F$10:$F$1000),
if(F29=Controle!$I$2, N29/xlookup(workday(B29,-1,Feriados!A:A),Controle!$B$10:$B$1000,Controle!$I$10:$I$1000),
if(F29=Controle!$L$2, N29/xlookup(workday(B29,-1,Feriados!A:A),Controle!$B$10:$B$1000,Controle!$L$10:$L$1000),
)))),""))</f>
        <v>0.3081043836</v>
      </c>
      <c r="L29" s="47">
        <f t="array" ref="L29">IF($J29&lt;&gt;"", IF($D29 = "Futuros" , $N29/xlookup(WORKDAY(B29,-1,Feriados!A:A),Controle!$B$10:$B$1000,Controle!$T$10:$T$1000) , $M29/xlookup(WORKDAY(B29,-1,Feriados!A:A),Controle!$B$10:$B$1000,Controle!$T$10:$T$1000)),"")</f>
        <v>0.0772190249</v>
      </c>
      <c r="M29" s="48">
        <f t="shared" si="1"/>
        <v>31008600</v>
      </c>
      <c r="N29" s="48" t="str">
        <f>IFERROR(IF(D29="Futuros",
IF(LEFT(C29,3)="DI1",G29*O29,
IF(LEFT(C29,3)="ISP",G29*O29*HLOOKUP("PTAX",'Histórico'!$A$1:$EL$983,MATCH(B29,'Histórico'!A:A),FALSE)*50,
IF(LEFT(C29,3)="WDO",10*G29*O29*HLOOKUP("PTAX",'Histórico'!$A$1:$EL$983,MATCH(B29,'Histórico'!A:A),FALSE),
IF(LEFT(C29,3)="DOL",50*G29*O29,
IF(LEFT(C29,3)="EUR",G29*O29*50,
IF(LEFT(C29,3)="WEU",G29*O29*10,
IF(LEFT(C29,3)="IND",G29*O29,
IF(LEFT(C29,3)="WIN",G29*O29*0.2,
IF(LEFT(C29,3)="T10",G29*O29*1000*HLOOKUP("PTAX",'Histórico'!$A$1:$EL$983,MATCH(B29,'Histórico'!A:A),FALSE),
IF(LEFT(C29,3)="CCM",G29*O29*450,
IF(LEFT(C29,3)="SJC",G29*O29*HLOOKUP("PTAX",'Histórico'!$A$1:$EL$983,MATCH(B29,'Histórico'!A:A),FALSE)*450,
IF(LEFT(C29,3)="BGI",G29*O29*330,
IF(LEFT(C29,3)="OZ1",G29*O29*250,
IF(LEFT(C29,3)="CLP",G29*O29*25,
IF(LEFT(C29,3)="EUP", O29*10000*HLOOKUP("EUR/BRL",'Histórico'!$A$1:$EL$983,MATCH(B29,'Histórico'!A:A),FALSE),
IF(LEFT(C29,3)="JSE", G29*O29*0.4,
IF(LEFT(C29,3)="GBP", O29*10000*HLOOKUP("GBP/BRL",'Histórico'!$A$1:$FG$983,MATCH(B29,'Histórico'!A:A),FALSE),
IF(LEFT(C29,3)="JAP",O29*10000*HLOOKUP("PTAX",'Histórico'!$A$1:$FG$983,MATCH(B29,'Histórico'!A:A),FALSE),
IF(LEFT(C29,3)="CNH",O29*10000*HLOOKUP("PTAX",'Histórico'!$A$1:$FG$983,MATCH(B29,'Histórico'!A:A),FALSE),
IF(LEFT(C29,3)="AUS",O29*10000*HLOOKUP("PTAX",'Histórico'!$A$1:$FG$983,MATCH(B29,'Histórico'!A:A),FALSE),
IF(LEFT(C29,3)="CAN",O29*10000*HLOOKUP("PTAX",'Histórico'!$A$1:$FG$983,MATCH(B29,'Histórico'!A:A),FALSE),
IF(LEFT(C29,3)="GBR",O29*10000*HLOOKUP("GBP/BRL",'Histórico'!$A$1:$FG$983,MATCH(B29,'Histórico'!A:A),FALSE),
IF(LEFT(C29,3)="MEX",O29*10000*HLOOKUP("PTAX",'Histórico'!$A$1:$FG$983,MATCH(B29,'Histórico'!A:A),FALSE),
IF(LEFT(C29,3)="CHL",O29*10000*HLOOKUP("PTAX",'Histórico'!$A$1:$FG$983,MATCH(B29,'Histórico'!A:A),FALSE)
)))))))))))))))))))))))),""))</f>
        <v/>
      </c>
      <c r="O29" s="49">
        <f t="shared" si="2"/>
        <v>-90000</v>
      </c>
      <c r="P29" s="50">
        <f t="shared" si="3"/>
        <v>0</v>
      </c>
      <c r="Q29" s="51">
        <f>IF($C29&lt;&gt;"",SUMIFS($O$3:$O$401, $C$3:$C$401 ,$C29,$B$3:$B$401,"&lt;="&amp;Controle!$B$6),"")</f>
        <v>0</v>
      </c>
      <c r="R29" s="51">
        <f>IF($D29&lt;&gt;"",SUMIFS($O$3:$O$401, $C$3:$C$401 ,$C29,$B$3:$B$401,"&lt;="&amp;Controle!$B$6,$F$3:$F$401,$F29),"")</f>
        <v>0</v>
      </c>
      <c r="S29" s="51">
        <f>IF($D29&lt;&gt;"",SUMIFS($O$3:$O$401, $C$3:$C$401 ,$C29,$B$3:$B$401,"&lt;="&amp;'Controle D-1'!$B$6,$F$3:$F$401,$F29),"")</f>
        <v>0</v>
      </c>
      <c r="T29" s="40"/>
      <c r="U29" s="95"/>
      <c r="V29" s="90" t="s">
        <v>241</v>
      </c>
      <c r="W29" s="91" t="s">
        <v>242</v>
      </c>
      <c r="X29" s="2"/>
      <c r="Y29" s="99" t="s">
        <v>235</v>
      </c>
      <c r="Z29" s="97"/>
      <c r="AA29" s="97"/>
      <c r="AB29" s="98"/>
      <c r="AC29" s="40"/>
    </row>
    <row r="30" ht="15.75" customHeight="1">
      <c r="A30" s="28"/>
      <c r="B30" s="77">
        <v>45027.0</v>
      </c>
      <c r="C30" s="88" t="s">
        <v>70</v>
      </c>
      <c r="D30" s="88" t="str">
        <f>IF(ISTEXT(C30),VLOOKUP(C30,'Cadastro dos Ativos'!$A$2:$C$1000,3,0),"")</f>
        <v>Moedas</v>
      </c>
      <c r="E30" s="88" t="s">
        <v>198</v>
      </c>
      <c r="F30" s="88" t="s">
        <v>200</v>
      </c>
      <c r="G30" s="46">
        <v>374.76</v>
      </c>
      <c r="H30" s="101" t="str">
        <f>if($D30="Ações Americanas", HLOOKUP("PTAX",'Histórico'!$A$1:$EL$983,MATCH(B30,'Histórico'!A:A),""),"")</f>
        <v/>
      </c>
      <c r="I30" s="103" t="str">
        <f t="array" ref="I30">IF(ISTEXT(C30),xlookup(C30,'Cadastro dos Ativos'!$A$2:$A$1000,'Cadastro dos Ativos'!$D$2:$D$1000),"")</f>
        <v/>
      </c>
      <c r="J30" s="88">
        <v>60000.0</v>
      </c>
      <c r="K30" s="47">
        <f t="array" ref="K30">if(and(J30&lt;&gt;"",D30&lt;&gt;"Futuros"),
if(F30=Controle!$C$2, M30/xlookup(workday(B30,-1,Feriados!A:A),Controle!$B$10:$B$1000,Controle!$C$10:$C$1000),
if(F30=Controle!$F$2, M30/xlookup(workday(B30,-1,Feriados!A:A),Controle!$B$10:$B$1000,Controle!$F$10:$F$1000),
if(F30=Controle!$I$2, M30/xlookup(workday(B30,-1,Feriados!A:A),Controle!$B$10:$B$1000,Controle!$I$10:$I$1000),
if(F30=Controle!$L$2, M30/xlookup(workday(B30,-1,Feriados!A:A),Controle!$B$10:$B$1000,Controle!$L$10:$L$1000),
)))),
if(and(J30&lt;&gt;"",D30="Futuros"),
if(F30=Controle!$C$2, N30/xlookup(workday(B30,-1,Feriados!A:A),Controle!$B$10:$B$1000,Controle!$C$10:$C$1000),
if(F30=Controle!$F$2, N30/xlookup(workday(B30,-1,Feriados!A:A),Controle!$B$10:$B$1000,Controle!$F$10:$F$1000),
if(F30=Controle!$I$2, N30/xlookup(workday(B30,-1,Feriados!A:A),Controle!$B$10:$B$1000,Controle!$I$10:$I$1000),
if(F30=Controle!$L$2, N30/xlookup(workday(B30,-1,Feriados!A:A),Controle!$B$10:$B$1000,Controle!$L$10:$L$1000),
)))),""))</f>
        <v>0.2234190491</v>
      </c>
      <c r="L30" s="47">
        <f t="array" ref="L30">IF($J30&lt;&gt;"", IF($D30 = "Futuros" , $N30/xlookup(WORKDAY(B30,-1,Feriados!A:A),Controle!$B$10:$B$1000,Controle!$T$10:$T$1000) , $M30/xlookup(WORKDAY(B30,-1,Feriados!A:A),Controle!$B$10:$B$1000,Controle!$T$10:$T$1000)),"")</f>
        <v>0.05599466297</v>
      </c>
      <c r="M30" s="48">
        <f t="shared" si="1"/>
        <v>22485600</v>
      </c>
      <c r="N30" s="48" t="str">
        <f>IFERROR(IF(D30="Futuros",
IF(LEFT(C30,3)="DI1",G30*O30,
IF(LEFT(C30,3)="ISP",G30*O30*HLOOKUP("PTAX",'Histórico'!$A$1:$EL$983,MATCH(B30,'Histórico'!A:A),FALSE)*50,
IF(LEFT(C30,3)="WDO",10*G30*O30*HLOOKUP("PTAX",'Histórico'!$A$1:$EL$983,MATCH(B30,'Histórico'!A:A),FALSE),
IF(LEFT(C30,3)="DOL",50*G30*O30,
IF(LEFT(C30,3)="EUR",G30*O30*50,
IF(LEFT(C30,3)="WEU",G30*O30*10,
IF(LEFT(C30,3)="IND",G30*O30,
IF(LEFT(C30,3)="WIN",G30*O30*0.2,
IF(LEFT(C30,3)="T10",G30*O30*1000*HLOOKUP("PTAX",'Histórico'!$A$1:$EL$983,MATCH(B30,'Histórico'!A:A),FALSE),
IF(LEFT(C30,3)="CCM",G30*O30*450,
IF(LEFT(C30,3)="SJC",G30*O30*HLOOKUP("PTAX",'Histórico'!$A$1:$EL$983,MATCH(B30,'Histórico'!A:A),FALSE)*450,
IF(LEFT(C30,3)="BGI",G30*O30*330,
IF(LEFT(C30,3)="OZ1",G30*O30*250,
IF(LEFT(C30,3)="CLP",G30*O30*25,
IF(LEFT(C30,3)="EUP", O30*10000*HLOOKUP("EUR/BRL",'Histórico'!$A$1:$EL$983,MATCH(B30,'Histórico'!A:A),FALSE),
IF(LEFT(C30,3)="JSE", G30*O30*0.4,
IF(LEFT(C30,3)="GBP", O30*10000*HLOOKUP("GBP/BRL",'Histórico'!$A$1:$FG$983,MATCH(B30,'Histórico'!A:A),FALSE),
IF(LEFT(C30,3)="JAP",O30*10000*HLOOKUP("PTAX",'Histórico'!$A$1:$FG$983,MATCH(B30,'Histórico'!A:A),FALSE),
IF(LEFT(C30,3)="CNH",O30*10000*HLOOKUP("PTAX",'Histórico'!$A$1:$FG$983,MATCH(B30,'Histórico'!A:A),FALSE),
IF(LEFT(C30,3)="AUS",O30*10000*HLOOKUP("PTAX",'Histórico'!$A$1:$FG$983,MATCH(B30,'Histórico'!A:A),FALSE),
IF(LEFT(C30,3)="CAN",O30*10000*HLOOKUP("PTAX",'Histórico'!$A$1:$FG$983,MATCH(B30,'Histórico'!A:A),FALSE),
IF(LEFT(C30,3)="GBR",O30*10000*HLOOKUP("GBP/BRL",'Histórico'!$A$1:$FG$983,MATCH(B30,'Histórico'!A:A),FALSE),
IF(LEFT(C30,3)="MEX",O30*10000*HLOOKUP("PTAX",'Histórico'!$A$1:$FG$983,MATCH(B30,'Histórico'!A:A),FALSE),
IF(LEFT(C30,3)="CHL",O30*10000*HLOOKUP("PTAX",'Histórico'!$A$1:$FG$983,MATCH(B30,'Histórico'!A:A),FALSE)
)))))))))))))))))))))))),""))</f>
        <v/>
      </c>
      <c r="O30" s="49">
        <f t="shared" si="2"/>
        <v>-60000</v>
      </c>
      <c r="P30" s="50">
        <f t="shared" si="3"/>
        <v>0</v>
      </c>
      <c r="Q30" s="51">
        <f>IF($C30&lt;&gt;"",SUMIFS($O$3:$O$401, $C$3:$C$401 ,$C30,$B$3:$B$401,"&lt;="&amp;Controle!$B$6),"")</f>
        <v>0</v>
      </c>
      <c r="R30" s="51">
        <f>IF($D30&lt;&gt;"",SUMIFS($O$3:$O$401, $C$3:$C$401 ,$C30,$B$3:$B$401,"&lt;="&amp;Controle!$B$6,$F$3:$F$401,$F30),"")</f>
        <v>0</v>
      </c>
      <c r="S30" s="51">
        <f>IF($D30&lt;&gt;"",SUMIFS($O$3:$O$401, $C$3:$C$401 ,$C30,$B$3:$B$401,"&lt;="&amp;'Controle D-1'!$B$6,$F$3:$F$401,$F30),"")</f>
        <v>0</v>
      </c>
      <c r="T30" s="40"/>
      <c r="U30" s="95"/>
      <c r="V30" s="95"/>
      <c r="W30" s="95"/>
      <c r="X30" s="2"/>
      <c r="Y30" s="96" t="s">
        <v>236</v>
      </c>
      <c r="Z30" s="97"/>
      <c r="AA30" s="97"/>
      <c r="AB30" s="98"/>
      <c r="AC30" s="40"/>
    </row>
    <row r="31" ht="15.75" customHeight="1">
      <c r="A31" s="28"/>
      <c r="B31" s="100">
        <v>45027.0</v>
      </c>
      <c r="C31" s="88" t="s">
        <v>38</v>
      </c>
      <c r="D31" s="88" t="str">
        <f>IF(ISTEXT(C31),VLOOKUP(C31,'Cadastro dos Ativos'!$A$2:$C$1000,3,0),"")</f>
        <v>Futuros</v>
      </c>
      <c r="E31" s="88" t="s">
        <v>208</v>
      </c>
      <c r="F31" s="88" t="s">
        <v>200</v>
      </c>
      <c r="G31" s="46"/>
      <c r="H31" s="101" t="str">
        <f>if($D31="Ações Americanas", HLOOKUP("PTAX",'Histórico'!$A$1:$EL$983,MATCH(B31,'Histórico'!A:A),""),"")</f>
        <v/>
      </c>
      <c r="I31" s="102">
        <f t="array" ref="I31">IF(ISTEXT(C31),xlookup(C31,'Cadastro dos Ativos'!$A$2:$A$1000,'Cadastro dos Ativos'!$D$2:$D$1000),"")</f>
        <v>45048</v>
      </c>
      <c r="J31" s="88">
        <v>739.0</v>
      </c>
      <c r="K31" s="47">
        <f t="array" ref="K31">if(and(J31&lt;&gt;"",D31&lt;&gt;"Futuros"),
if(F31=Controle!$C$2, M31/xlookup(workday(B31,-1,Feriados!A:A),Controle!$B$10:$B$1000,Controle!$C$10:$C$1000),
if(F31=Controle!$F$2, M31/xlookup(workday(B31,-1,Feriados!A:A),Controle!$B$10:$B$1000,Controle!$F$10:$F$1000),
if(F31=Controle!$I$2, M31/xlookup(workday(B31,-1,Feriados!A:A),Controle!$B$10:$B$1000,Controle!$I$10:$I$1000),
if(F31=Controle!$L$2, M31/xlookup(workday(B31,-1,Feriados!A:A),Controle!$B$10:$B$1000,Controle!$L$10:$L$1000),
)))),
if(and(J31&lt;&gt;"",D31="Futuros"),
if(F31=Controle!$C$2, N31/xlookup(workday(B31,-1,Feriados!A:A),Controle!$B$10:$B$1000,Controle!$C$10:$C$1000),
if(F31=Controle!$F$2, N31/xlookup(workday(B31,-1,Feriados!A:A),Controle!$B$10:$B$1000,Controle!$F$10:$F$1000),
if(F31=Controle!$I$2, N31/xlookup(workday(B31,-1,Feriados!A:A),Controle!$B$10:$B$1000,Controle!$I$10:$I$1000),
if(F31=Controle!$L$2, N31/xlookup(workday(B31,-1,Feriados!A:A),Controle!$B$10:$B$1000,Controle!$L$10:$L$1000),
)))),""))</f>
        <v>0.4054973399</v>
      </c>
      <c r="L31" s="47">
        <f t="array" ref="L31">IF($J31&lt;&gt;"", IF($D31 = "Futuros" , $N31/xlookup(WORKDAY(B31,-1,Feriados!A:A),Controle!$B$10:$B$1000,Controle!$T$10:$T$1000) , $M31/xlookup(WORKDAY(B31,-1,Feriados!A:A),Controle!$B$10:$B$1000,Controle!$T$10:$T$1000)),"")</f>
        <v>0.1016282496</v>
      </c>
      <c r="M31" s="48" t="str">
        <f t="shared" si="1"/>
        <v/>
      </c>
      <c r="N31" s="48">
        <f>IFERROR(IF(D31="Futuros",
IF(LEFT(C31,3)="DI1",G31*O31,
IF(LEFT(C31,3)="ISP",G31*O31*HLOOKUP("PTAX",'Histórico'!$A$1:$EL$983,MATCH(B31,'Histórico'!A:A),FALSE)*50,
IF(LEFT(C31,3)="WDO",10*G31*O31*HLOOKUP("PTAX",'Histórico'!$A$1:$EL$983,MATCH(B31,'Histórico'!A:A),FALSE),
IF(LEFT(C31,3)="DOL",50*G31*O31,
IF(LEFT(C31,3)="EUR",G31*O31*50,
IF(LEFT(C31,3)="WEU",G31*O31*10,
IF(LEFT(C31,3)="IND",G31*O31,
IF(LEFT(C31,3)="WIN",G31*O31*0.2,
IF(LEFT(C31,3)="T10",G31*O31*1000*HLOOKUP("PTAX",'Histórico'!$A$1:$EL$983,MATCH(B31,'Histórico'!A:A),FALSE),
IF(LEFT(C31,3)="CCM",G31*O31*450,
IF(LEFT(C31,3)="SJC",G31*O31*HLOOKUP("PTAX",'Histórico'!$A$1:$EL$983,MATCH(B31,'Histórico'!A:A),FALSE)*450,
IF(LEFT(C31,3)="BGI",G31*O31*330,
IF(LEFT(C31,3)="OZ1",G31*O31*250,
IF(LEFT(C31,3)="CLP",G31*O31*25,
IF(LEFT(C31,3)="EUP", O31*10000*HLOOKUP("EUR/BRL",'Histórico'!$A$1:$EL$983,MATCH(B31,'Histórico'!A:A),FALSE),
IF(LEFT(C31,3)="JSE", G31*O31*0.4,
IF(LEFT(C31,3)="GBP", O31*10000*HLOOKUP("GBP/BRL",'Histórico'!$A$1:$FG$983,MATCH(B31,'Histórico'!A:A),FALSE),
IF(LEFT(C31,3)="JAP",O31*10000*HLOOKUP("PTAX",'Histórico'!$A$1:$FG$983,MATCH(B31,'Histórico'!A:A),FALSE),
IF(LEFT(C31,3)="CNH",O31*10000*HLOOKUP("PTAX",'Histórico'!$A$1:$FG$983,MATCH(B31,'Histórico'!A:A),FALSE),
IF(LEFT(C31,3)="AUS",O31*10000*HLOOKUP("PTAX",'Histórico'!$A$1:$FG$983,MATCH(B31,'Histórico'!A:A),FALSE),
IF(LEFT(C31,3)="CAN",O31*10000*HLOOKUP("PTAX",'Histórico'!$A$1:$FG$983,MATCH(B31,'Histórico'!A:A),FALSE),
IF(LEFT(C31,3)="GBR",O31*10000*HLOOKUP("GBP/BRL",'Histórico'!$A$1:$FG$983,MATCH(B31,'Histórico'!A:A),FALSE),
IF(LEFT(C31,3)="MEX",O31*10000*HLOOKUP("PTAX",'Histórico'!$A$1:$FG$983,MATCH(B31,'Histórico'!A:A),FALSE),
IF(LEFT(C31,3)="CHL",O31*10000*HLOOKUP("PTAX",'Histórico'!$A$1:$FG$983,MATCH(B31,'Histórico'!A:A),FALSE)
)))))))))))))))))))))))),""))</f>
        <v>40810535.28</v>
      </c>
      <c r="O31" s="49">
        <f t="shared" si="2"/>
        <v>739</v>
      </c>
      <c r="P31" s="50">
        <f t="shared" si="3"/>
        <v>0</v>
      </c>
      <c r="Q31" s="51">
        <f>IF($C31&lt;&gt;"",SUMIFS($O$3:$O$401, $C$3:$C$401 ,$C31,$B$3:$B$401,"&lt;="&amp;Controle!$B$6),"")</f>
        <v>0</v>
      </c>
      <c r="R31" s="51">
        <f>IF($D31&lt;&gt;"",SUMIFS($O$3:$O$401, $C$3:$C$401 ,$C31,$B$3:$B$401,"&lt;="&amp;Controle!$B$6,$F$3:$F$401,$F31),"")</f>
        <v>0</v>
      </c>
      <c r="S31" s="51">
        <f>IF($D31&lt;&gt;"",SUMIFS($O$3:$O$401, $C$3:$C$401 ,$C31,$B$3:$B$401,"&lt;="&amp;'Controle D-1'!$B$6,$F$3:$F$401,$F31),"")</f>
        <v>0</v>
      </c>
      <c r="T31" s="40"/>
      <c r="U31" s="95"/>
      <c r="V31" s="90" t="s">
        <v>243</v>
      </c>
      <c r="W31" s="91" t="s">
        <v>18</v>
      </c>
      <c r="X31" s="2"/>
      <c r="Y31" s="99" t="s">
        <v>244</v>
      </c>
      <c r="Z31" s="97"/>
      <c r="AA31" s="97"/>
      <c r="AB31" s="98"/>
      <c r="AC31" s="40"/>
    </row>
    <row r="32" ht="15.75" customHeight="1">
      <c r="A32" s="28"/>
      <c r="B32" s="77">
        <v>45027.0</v>
      </c>
      <c r="C32" s="88" t="s">
        <v>25</v>
      </c>
      <c r="D32" s="88" t="str">
        <f>IF(ISTEXT(C32),VLOOKUP(C32,'Cadastro dos Ativos'!$A$2:$C$1000,3,0),"")</f>
        <v>Futuros</v>
      </c>
      <c r="E32" s="88" t="s">
        <v>198</v>
      </c>
      <c r="F32" s="88" t="s">
        <v>200</v>
      </c>
      <c r="G32" s="46"/>
      <c r="H32" s="101" t="str">
        <f>if($D32="Ações Americanas", HLOOKUP("PTAX",'Histórico'!$A$1:$EL$983,MATCH(B32,'Histórico'!A:A),""),"")</f>
        <v/>
      </c>
      <c r="I32" s="103">
        <f t="array" ref="I32">IF(ISTEXT(C32),xlookup(C32,'Cadastro dos Ativos'!$A$2:$A$1000,'Cadastro dos Ativos'!$D$2:$D$1000),"")</f>
        <v>45048</v>
      </c>
      <c r="J32" s="88">
        <v>370.0</v>
      </c>
      <c r="K32" s="47">
        <f t="array" ref="K32">if(and(J32&lt;&gt;"",D32&lt;&gt;"Futuros"),
if(F32=Controle!$C$2, M32/xlookup(workday(B32,-1,Feriados!A:A),Controle!$B$10:$B$1000,Controle!$C$10:$C$1000),
if(F32=Controle!$F$2, M32/xlookup(workday(B32,-1,Feriados!A:A),Controle!$B$10:$B$1000,Controle!$F$10:$F$1000),
if(F32=Controle!$I$2, M32/xlookup(workday(B32,-1,Feriados!A:A),Controle!$B$10:$B$1000,Controle!$I$10:$I$1000),
if(F32=Controle!$L$2, M32/xlookup(workday(B32,-1,Feriados!A:A),Controle!$B$10:$B$1000,Controle!$L$10:$L$1000),
)))),
if(and(J32&lt;&gt;"",D32="Futuros"),
if(F32=Controle!$C$2, N32/xlookup(workday(B32,-1,Feriados!A:A),Controle!$B$10:$B$1000,Controle!$C$10:$C$1000),
if(F32=Controle!$F$2, N32/xlookup(workday(B32,-1,Feriados!A:A),Controle!$B$10:$B$1000,Controle!$F$10:$F$1000),
if(F32=Controle!$I$2, N32/xlookup(workday(B32,-1,Feriados!A:A),Controle!$B$10:$B$1000,Controle!$I$10:$I$1000),
if(F32=Controle!$L$2, N32/xlookup(workday(B32,-1,Feriados!A:A),Controle!$B$10:$B$1000,Controle!$L$10:$L$1000),
)))),""))</f>
        <v>-0.2304924525</v>
      </c>
      <c r="L32" s="47">
        <f t="array" ref="L32">IF($J32&lt;&gt;"", IF($D32 = "Futuros" , $N32/xlookup(WORKDAY(B32,-1,Feriados!A:A),Controle!$B$10:$B$1000,Controle!$T$10:$T$1000) , $M32/xlookup(WORKDAY(B32,-1,Feriados!A:A),Controle!$B$10:$B$1000,Controle!$T$10:$T$1000)),"")</f>
        <v>-0.05776744303</v>
      </c>
      <c r="M32" s="48" t="str">
        <f t="shared" si="1"/>
        <v/>
      </c>
      <c r="N32" s="48">
        <f>IFERROR(IF(D32="Futuros",
IF(LEFT(C32,3)="DI1",G32*O32,
IF(LEFT(C32,3)="ISP",G32*O32*HLOOKUP("PTAX",'Histórico'!$A$1:$EL$983,MATCH(B32,'Histórico'!A:A),FALSE)*50,
IF(LEFT(C32,3)="WDO",10*G32*O32*HLOOKUP("PTAX",'Histórico'!$A$1:$EL$983,MATCH(B32,'Histórico'!A:A),FALSE),
IF(LEFT(C32,3)="DOL",50*G32*O32,
IF(LEFT(C32,3)="EUR",G32*O32*50,
IF(LEFT(C32,3)="WEU",G32*O32*10,
IF(LEFT(C32,3)="IND",G32*O32,
IF(LEFT(C32,3)="WIN",G32*O32*0.2,
IF(LEFT(C32,3)="T10",G32*O32*1000*HLOOKUP("PTAX",'Histórico'!$A$1:$EL$983,MATCH(B32,'Histórico'!A:A),FALSE),
IF(LEFT(C32,3)="CCM",G32*O32*450,
IF(LEFT(C32,3)="SJC",G32*O32*HLOOKUP("PTAX",'Histórico'!$A$1:$EL$983,MATCH(B32,'Histórico'!A:A),FALSE)*450,
IF(LEFT(C32,3)="BGI",G32*O32*330,
IF(LEFT(C32,3)="OZ1",G32*O32*250,
IF(LEFT(C32,3)="CLP",G32*O32*25,
IF(LEFT(C32,3)="EUP", O32*10000*HLOOKUP("EUR/BRL",'Histórico'!$A$1:$EL$983,MATCH(B32,'Histórico'!A:A),FALSE),
IF(LEFT(C32,3)="JSE", G32*O32*0.4,
IF(LEFT(C32,3)="GBP", O32*10000*HLOOKUP("GBP/BRL",'Histórico'!$A$1:$FG$983,MATCH(B32,'Histórico'!A:A),FALSE),
IF(LEFT(C32,3)="JAP",O32*10000*HLOOKUP("PTAX",'Histórico'!$A$1:$FG$983,MATCH(B32,'Histórico'!A:A),FALSE),
IF(LEFT(C32,3)="CNH",O32*10000*HLOOKUP("PTAX",'Histórico'!$A$1:$FG$983,MATCH(B32,'Histórico'!A:A),FALSE),
IF(LEFT(C32,3)="AUS",O32*10000*HLOOKUP("PTAX",'Histórico'!$A$1:$FG$983,MATCH(B32,'Histórico'!A:A),FALSE),
IF(LEFT(C32,3)="CAN",O32*10000*HLOOKUP("PTAX",'Histórico'!$A$1:$FG$983,MATCH(B32,'Histórico'!A:A),FALSE),
IF(LEFT(C32,3)="GBR",O32*10000*HLOOKUP("GBP/BRL",'Histórico'!$A$1:$FG$983,MATCH(B32,'Histórico'!A:A),FALSE),
IF(LEFT(C32,3)="MEX",O32*10000*HLOOKUP("PTAX",'Histórico'!$A$1:$FG$983,MATCH(B32,'Histórico'!A:A),FALSE),
IF(LEFT(C32,3)="CHL",O32*10000*HLOOKUP("PTAX",'Histórico'!$A$1:$FG$983,MATCH(B32,'Histórico'!A:A),FALSE)
)))))))))))))))))))))))),""))</f>
        <v>-23197489.69</v>
      </c>
      <c r="O32" s="49">
        <f t="shared" si="2"/>
        <v>-370</v>
      </c>
      <c r="P32" s="50">
        <f t="shared" si="3"/>
        <v>0</v>
      </c>
      <c r="Q32" s="51">
        <f>IF($C32&lt;&gt;"",SUMIFS($O$3:$O$401, $C$3:$C$401 ,$C32,$B$3:$B$401,"&lt;="&amp;Controle!$B$6),"")</f>
        <v>0</v>
      </c>
      <c r="R32" s="51">
        <f>IF($D32&lt;&gt;"",SUMIFS($O$3:$O$401, $C$3:$C$401 ,$C32,$B$3:$B$401,"&lt;="&amp;Controle!$B$6,$F$3:$F$401,$F32),"")</f>
        <v>0</v>
      </c>
      <c r="S32" s="51">
        <f>IF($D32&lt;&gt;"",SUMIFS($O$3:$O$401, $C$3:$C$401 ,$C32,$B$3:$B$401,"&lt;="&amp;'Controle D-1'!$B$6,$F$3:$F$401,$F32),"")</f>
        <v>0</v>
      </c>
      <c r="T32" s="40"/>
      <c r="U32" s="95"/>
      <c r="V32" s="95"/>
      <c r="W32" s="95"/>
      <c r="X32" s="2"/>
      <c r="Y32" s="96" t="s">
        <v>236</v>
      </c>
      <c r="Z32" s="97"/>
      <c r="AA32" s="97"/>
      <c r="AB32" s="98"/>
      <c r="AC32" s="40"/>
    </row>
    <row r="33" ht="15.75" customHeight="1">
      <c r="A33" s="28"/>
      <c r="B33" s="100">
        <v>45028.0</v>
      </c>
      <c r="C33" s="88" t="s">
        <v>32</v>
      </c>
      <c r="D33" s="88" t="str">
        <f>IF(ISTEXT(C33),VLOOKUP(C33,'Cadastro dos Ativos'!$A$2:$C$1000,3,0),"")</f>
        <v>Ações Americanas</v>
      </c>
      <c r="E33" s="88" t="s">
        <v>198</v>
      </c>
      <c r="F33" s="88" t="s">
        <v>200</v>
      </c>
      <c r="G33" s="46">
        <v>39.97000122070312</v>
      </c>
      <c r="H33" s="101">
        <v>5.065299987792969</v>
      </c>
      <c r="I33" s="88" t="str">
        <f t="array" ref="I33">IF(ISTEXT(C33),xlookup(C33,'Cadastro dos Ativos'!$A$2:$A$1000,'Cadastro dos Ativos'!$D$2:$D$1000),"")</f>
        <v/>
      </c>
      <c r="J33" s="88">
        <v>75000.0</v>
      </c>
      <c r="K33" s="47">
        <f t="array" ref="K33">if(and(J33&lt;&gt;"",D33&lt;&gt;"Futuros"),
if(F33=Controle!$C$2, M33/xlookup(workday(B33,-1,Feriados!A:A),Controle!$B$10:$B$1000,Controle!$C$10:$C$1000),
if(F33=Controle!$F$2, M33/xlookup(workday(B33,-1,Feriados!A:A),Controle!$B$10:$B$1000,Controle!$F$10:$F$1000),
if(F33=Controle!$I$2, M33/xlookup(workday(B33,-1,Feriados!A:A),Controle!$B$10:$B$1000,Controle!$I$10:$I$1000),
if(F33=Controle!$L$2, M33/xlookup(workday(B33,-1,Feriados!A:A),Controle!$B$10:$B$1000,Controle!$L$10:$L$1000),
)))),
if(and(J33&lt;&gt;"",D33="Futuros"),
if(F33=Controle!$C$2, N33/xlookup(workday(B33,-1,Feriados!A:A),Controle!$B$10:$B$1000,Controle!$C$10:$C$1000),
if(F33=Controle!$F$2, N33/xlookup(workday(B33,-1,Feriados!A:A),Controle!$B$10:$B$1000,Controle!$F$10:$F$1000),
if(F33=Controle!$I$2, N33/xlookup(workday(B33,-1,Feriados!A:A),Controle!$B$10:$B$1000,Controle!$I$10:$I$1000),
if(F33=Controle!$L$2, N33/xlookup(workday(B33,-1,Feriados!A:A),Controle!$B$10:$B$1000,Controle!$L$10:$L$1000),
)))),""))</f>
        <v>0.1498106899</v>
      </c>
      <c r="L33" s="47">
        <f t="array" ref="L33">IF($J33&lt;&gt;"", IF($D33 = "Futuros" , $N33/xlookup(WORKDAY(B33,-1,Feriados!A:A),Controle!$B$10:$B$1000,Controle!$T$10:$T$1000) , $M33/xlookup(WORKDAY(B33,-1,Feriados!A:A),Controle!$B$10:$B$1000,Controle!$T$10:$T$1000)),"")</f>
        <v>0.03766598333</v>
      </c>
      <c r="M33" s="48">
        <f t="shared" si="1"/>
        <v>15184503.5</v>
      </c>
      <c r="N33" s="48" t="str">
        <f>IFERROR(IF(D33="Futuros",
IF(LEFT(C33,3)="DI1",G33*O33,
IF(LEFT(C33,3)="ISP",G33*O33*HLOOKUP("PTAX",'Histórico'!$A$1:$EL$983,MATCH(B33,'Histórico'!A:A),FALSE)*50,
IF(LEFT(C33,3)="WDO",10*G33*O33*HLOOKUP("PTAX",'Histórico'!$A$1:$EL$983,MATCH(B33,'Histórico'!A:A),FALSE),
IF(LEFT(C33,3)="DOL",50*G33*O33,
IF(LEFT(C33,3)="EUR",G33*O33*50,
IF(LEFT(C33,3)="WEU",G33*O33*10,
IF(LEFT(C33,3)="IND",G33*O33,
IF(LEFT(C33,3)="WIN",G33*O33*0.2,
IF(LEFT(C33,3)="T10",G33*O33*1000*HLOOKUP("PTAX",'Histórico'!$A$1:$EL$983,MATCH(B33,'Histórico'!A:A),FALSE),
IF(LEFT(C33,3)="CCM",G33*O33*450,
IF(LEFT(C33,3)="SJC",G33*O33*HLOOKUP("PTAX",'Histórico'!$A$1:$EL$983,MATCH(B33,'Histórico'!A:A),FALSE)*450,
IF(LEFT(C33,3)="BGI",G33*O33*330,
IF(LEFT(C33,3)="OZ1",G33*O33*250,
IF(LEFT(C33,3)="CLP",G33*O33*25,
IF(LEFT(C33,3)="EUP", O33*10000*HLOOKUP("EUR/BRL",'Histórico'!$A$1:$EL$983,MATCH(B33,'Histórico'!A:A),FALSE),
IF(LEFT(C33,3)="JSE", G33*O33*0.4,
IF(LEFT(C33,3)="GBP", O33*10000*HLOOKUP("GBP/BRL",'Histórico'!$A$1:$FG$983,MATCH(B33,'Histórico'!A:A),FALSE),
IF(LEFT(C33,3)="JAP",O33*10000*HLOOKUP("PTAX",'Histórico'!$A$1:$FG$983,MATCH(B33,'Histórico'!A:A),FALSE),
IF(LEFT(C33,3)="CNH",O33*10000*HLOOKUP("PTAX",'Histórico'!$A$1:$FG$983,MATCH(B33,'Histórico'!A:A),FALSE),
IF(LEFT(C33,3)="AUS",O33*10000*HLOOKUP("PTAX",'Histórico'!$A$1:$FG$983,MATCH(B33,'Histórico'!A:A),FALSE),
IF(LEFT(C33,3)="CAN",O33*10000*HLOOKUP("PTAX",'Histórico'!$A$1:$FG$983,MATCH(B33,'Histórico'!A:A),FALSE),
IF(LEFT(C33,3)="GBR",O33*10000*HLOOKUP("GBP/BRL",'Histórico'!$A$1:$FG$983,MATCH(B33,'Histórico'!A:A),FALSE),
IF(LEFT(C33,3)="MEX",O33*10000*HLOOKUP("PTAX",'Histórico'!$A$1:$FG$983,MATCH(B33,'Histórico'!A:A),FALSE),
IF(LEFT(C33,3)="CHL",O33*10000*HLOOKUP("PTAX",'Histórico'!$A$1:$FG$983,MATCH(B33,'Histórico'!A:A),FALSE)
)))))))))))))))))))))))),""))</f>
        <v/>
      </c>
      <c r="O33" s="49">
        <f t="shared" si="2"/>
        <v>-75000</v>
      </c>
      <c r="P33" s="50">
        <f t="shared" si="3"/>
        <v>0</v>
      </c>
      <c r="Q33" s="51">
        <f>IF($C33&lt;&gt;"",SUMIFS($O$3:$O$401, $C$3:$C$401 ,$C33,$B$3:$B$401,"&lt;="&amp;Controle!$B$6),"")</f>
        <v>0</v>
      </c>
      <c r="R33" s="51">
        <f>IF($D33&lt;&gt;"",SUMIFS($O$3:$O$401, $C$3:$C$401 ,$C33,$B$3:$B$401,"&lt;="&amp;Controle!$B$6,$F$3:$F$401,$F33),"")</f>
        <v>0</v>
      </c>
      <c r="S33" s="51">
        <f>IF($D33&lt;&gt;"",SUMIFS($O$3:$O$401, $C$3:$C$401 ,$C33,$B$3:$B$401,"&lt;="&amp;'Controle D-1'!$B$6,$F$3:$F$401,$F33),"")</f>
        <v>0</v>
      </c>
      <c r="T33" s="40"/>
      <c r="U33" s="95"/>
      <c r="V33" s="90"/>
      <c r="W33" s="104"/>
      <c r="X33" s="2"/>
      <c r="Y33" s="96" t="s">
        <v>245</v>
      </c>
      <c r="Z33" s="97"/>
      <c r="AA33" s="97"/>
      <c r="AB33" s="98"/>
      <c r="AC33" s="40"/>
    </row>
    <row r="34" ht="15.75" customHeight="1">
      <c r="A34" s="28"/>
      <c r="B34" s="100">
        <v>45028.0</v>
      </c>
      <c r="C34" s="88" t="s">
        <v>72</v>
      </c>
      <c r="D34" s="88" t="str">
        <f>IF(ISTEXT(C34),VLOOKUP(C34,'Cadastro dos Ativos'!$A$2:$C$1000,3,0),"")</f>
        <v>Futuros</v>
      </c>
      <c r="E34" s="88" t="s">
        <v>208</v>
      </c>
      <c r="F34" s="88" t="s">
        <v>200</v>
      </c>
      <c r="G34" s="46">
        <v>84643.09</v>
      </c>
      <c r="H34" s="101" t="str">
        <f>if($D34="Ações Americanas", HLOOKUP("PTAX",'Histórico'!$A$1:$EL$983,MATCH(B34,'Histórico'!A:A),""),"")</f>
        <v/>
      </c>
      <c r="I34" s="102">
        <f t="array" ref="I34">IF(ISTEXT(C34),xlookup(C34,'Cadastro dos Ativos'!$A$2:$A$1000,'Cadastro dos Ativos'!$D$2:$D$1000),"")</f>
        <v>45566</v>
      </c>
      <c r="J34" s="88">
        <v>479.0</v>
      </c>
      <c r="K34" s="47">
        <f t="array" ref="K34">if(and(J34&lt;&gt;"",D34&lt;&gt;"Futuros"),
if(F34=Controle!$C$2, M34/xlookup(workday(B34,-1,Feriados!A:A),Controle!$B$10:$B$1000,Controle!$C$10:$C$1000),
if(F34=Controle!$F$2, M34/xlookup(workday(B34,-1,Feriados!A:A),Controle!$B$10:$B$1000,Controle!$F$10:$F$1000),
if(F34=Controle!$I$2, M34/xlookup(workday(B34,-1,Feriados!A:A),Controle!$B$10:$B$1000,Controle!$I$10:$I$1000),
if(F34=Controle!$L$2, M34/xlookup(workday(B34,-1,Feriados!A:A),Controle!$B$10:$B$1000,Controle!$L$10:$L$1000),
)))),
if(and(J34&lt;&gt;"",D34="Futuros"),
if(F34=Controle!$C$2, N34/xlookup(workday(B34,-1,Feriados!A:A),Controle!$B$10:$B$1000,Controle!$C$10:$C$1000),
if(F34=Controle!$F$2, N34/xlookup(workday(B34,-1,Feriados!A:A),Controle!$B$10:$B$1000,Controle!$F$10:$F$1000),
if(F34=Controle!$I$2, N34/xlookup(workday(B34,-1,Feriados!A:A),Controle!$B$10:$B$1000,Controle!$I$10:$I$1000),
if(F34=Controle!$L$2, N34/xlookup(workday(B34,-1,Feriados!A:A),Controle!$B$10:$B$1000,Controle!$L$10:$L$1000),
)))),""))</f>
        <v>0.40000851</v>
      </c>
      <c r="L34" s="47">
        <f t="array" ref="L34">IF($J34&lt;&gt;"", IF($D34 = "Futuros" , $N34/xlookup(WORKDAY(B34,-1,Feriados!A:A),Controle!$B$10:$B$1000,Controle!$T$10:$T$1000) , $M34/xlookup(WORKDAY(B34,-1,Feriados!A:A),Controle!$B$10:$B$1000,Controle!$T$10:$T$1000)),"")</f>
        <v>0.1005716874</v>
      </c>
      <c r="M34" s="48">
        <f t="shared" si="1"/>
        <v>-40544040.11</v>
      </c>
      <c r="N34" s="48">
        <f>IFERROR(IF(D34="Futuros",
IF(LEFT(C34,3)="DI1",G34*O34,
IF(LEFT(C34,3)="ISP",G34*O34*HLOOKUP("PTAX",'Histórico'!$A$1:$EL$983,MATCH(B34,'Histórico'!A:A),FALSE)*50,
IF(LEFT(C34,3)="WDO",10*G34*O34*HLOOKUP("PTAX",'Histórico'!$A$1:$EL$983,MATCH(B34,'Histórico'!A:A),FALSE),
IF(LEFT(C34,3)="DOL",50*G34*O34,
IF(LEFT(C34,3)="EUR",G34*O34*50,
IF(LEFT(C34,3)="WEU",G34*O34*10,
IF(LEFT(C34,3)="IND",G34*O34,
IF(LEFT(C34,3)="WIN",G34*O34*0.2,
IF(LEFT(C34,3)="T10",G34*O34*1000*HLOOKUP("PTAX",'Histórico'!$A$1:$EL$983,MATCH(B34,'Histórico'!A:A),FALSE),
IF(LEFT(C34,3)="CCM",G34*O34*450,
IF(LEFT(C34,3)="SJC",G34*O34*HLOOKUP("PTAX",'Histórico'!$A$1:$EL$983,MATCH(B34,'Histórico'!A:A),FALSE)*450,
IF(LEFT(C34,3)="BGI",G34*O34*330,
IF(LEFT(C34,3)="OZ1",G34*O34*250,
IF(LEFT(C34,3)="CLP",G34*O34*25,
IF(LEFT(C34,3)="EUP", O34*10000*HLOOKUP("EUR/BRL",'Histórico'!$A$1:$EL$983,MATCH(B34,'Histórico'!A:A),FALSE),
IF(LEFT(C34,3)="JSE", G34*O34*0.4,
IF(LEFT(C34,3)="GBP", O34*10000*HLOOKUP("GBP/BRL",'Histórico'!$A$1:$FG$983,MATCH(B34,'Histórico'!A:A),FALSE),
IF(LEFT(C34,3)="JAP",O34*10000*HLOOKUP("PTAX",'Histórico'!$A$1:$FG$983,MATCH(B34,'Histórico'!A:A),FALSE),
IF(LEFT(C34,3)="CNH",O34*10000*HLOOKUP("PTAX",'Histórico'!$A$1:$FG$983,MATCH(B34,'Histórico'!A:A),FALSE),
IF(LEFT(C34,3)="AUS",O34*10000*HLOOKUP("PTAX",'Histórico'!$A$1:$FG$983,MATCH(B34,'Histórico'!A:A),FALSE),
IF(LEFT(C34,3)="CAN",O34*10000*HLOOKUP("PTAX",'Histórico'!$A$1:$FG$983,MATCH(B34,'Histórico'!A:A),FALSE),
IF(LEFT(C34,3)="GBR",O34*10000*HLOOKUP("GBP/BRL",'Histórico'!$A$1:$FG$983,MATCH(B34,'Histórico'!A:A),FALSE),
IF(LEFT(C34,3)="MEX",O34*10000*HLOOKUP("PTAX",'Histórico'!$A$1:$FG$983,MATCH(B34,'Histórico'!A:A),FALSE),
IF(LEFT(C34,3)="CHL",O34*10000*HLOOKUP("PTAX",'Histórico'!$A$1:$FG$983,MATCH(B34,'Histórico'!A:A),FALSE)
)))))))))))))))))))))))),""))</f>
        <v>40544040.11</v>
      </c>
      <c r="O34" s="49">
        <f t="shared" si="2"/>
        <v>479</v>
      </c>
      <c r="P34" s="50">
        <f t="shared" si="3"/>
        <v>0</v>
      </c>
      <c r="Q34" s="51">
        <f>IF($C34&lt;&gt;"",SUMIFS($O$3:$O$401, $C$3:$C$401 ,$C34,$B$3:$B$401,"&lt;="&amp;Controle!$B$6),"")</f>
        <v>0</v>
      </c>
      <c r="R34" s="51">
        <f>IF($D34&lt;&gt;"",SUMIFS($O$3:$O$401, $C$3:$C$401 ,$C34,$B$3:$B$401,"&lt;="&amp;Controle!$B$6,$F$3:$F$401,$F34),"")</f>
        <v>0</v>
      </c>
      <c r="S34" s="51">
        <f>IF($D34&lt;&gt;"",SUMIFS($O$3:$O$401, $C$3:$C$401 ,$C34,$B$3:$B$401,"&lt;="&amp;'Controle D-1'!$B$6,$F$3:$F$401,$F34),"")</f>
        <v>0</v>
      </c>
      <c r="T34" s="40"/>
      <c r="U34" s="95"/>
      <c r="V34" s="90" t="s">
        <v>246</v>
      </c>
      <c r="W34" s="91" t="s">
        <v>247</v>
      </c>
      <c r="X34" s="2"/>
      <c r="Y34" s="99" t="s">
        <v>248</v>
      </c>
      <c r="Z34" s="97"/>
      <c r="AA34" s="97"/>
      <c r="AB34" s="98"/>
      <c r="AC34" s="40"/>
    </row>
    <row r="35" ht="15.75" customHeight="1">
      <c r="A35" s="28"/>
      <c r="B35" s="100">
        <v>45028.0</v>
      </c>
      <c r="C35" s="88" t="s">
        <v>73</v>
      </c>
      <c r="D35" s="88" t="str">
        <f>IF(ISTEXT(C35),VLOOKUP(C35,'Cadastro dos Ativos'!$A$2:$C$1000,3,0),"")</f>
        <v>Futuros</v>
      </c>
      <c r="E35" s="88" t="s">
        <v>208</v>
      </c>
      <c r="F35" s="88" t="s">
        <v>200</v>
      </c>
      <c r="G35" s="46">
        <v>51947.28</v>
      </c>
      <c r="H35" s="101" t="str">
        <f>if($D35="Ações Americanas", HLOOKUP("PTAX",'Histórico'!$A$1:$EL$983,MATCH(B35,'Histórico'!A:A),""),"")</f>
        <v/>
      </c>
      <c r="I35" s="102">
        <f t="array" ref="I35">IF(ISTEXT(C35),xlookup(C35,'Cadastro dos Ativos'!$A$2:$A$1000,'Cadastro dos Ativos'!$D$2:$D$1000),"")</f>
        <v>47120</v>
      </c>
      <c r="J35" s="88">
        <v>390.0</v>
      </c>
      <c r="K35" s="47">
        <f t="array" ref="K35">if(and(J35&lt;&gt;"",D35&lt;&gt;"Futuros"),
if(F35=Controle!$C$2, M35/xlookup(workday(B35,-1,Feriados!A:A),Controle!$B$10:$B$1000,Controle!$C$10:$C$1000),
if(F35=Controle!$F$2, M35/xlookup(workday(B35,-1,Feriados!A:A),Controle!$B$10:$B$1000,Controle!$F$10:$F$1000),
if(F35=Controle!$I$2, M35/xlookup(workday(B35,-1,Feriados!A:A),Controle!$B$10:$B$1000,Controle!$I$10:$I$1000),
if(F35=Controle!$L$2, M35/xlookup(workday(B35,-1,Feriados!A:A),Controle!$B$10:$B$1000,Controle!$L$10:$L$1000),
)))),
if(and(J35&lt;&gt;"",D35="Futuros"),
if(F35=Controle!$C$2, N35/xlookup(workday(B35,-1,Feriados!A:A),Controle!$B$10:$B$1000,Controle!$C$10:$C$1000),
if(F35=Controle!$F$2, N35/xlookup(workday(B35,-1,Feriados!A:A),Controle!$B$10:$B$1000,Controle!$F$10:$F$1000),
if(F35=Controle!$I$2, N35/xlookup(workday(B35,-1,Feriados!A:A),Controle!$B$10:$B$1000,Controle!$I$10:$I$1000),
if(F35=Controle!$L$2, N35/xlookup(workday(B35,-1,Feriados!A:A),Controle!$B$10:$B$1000,Controle!$L$10:$L$1000),
)))),""))</f>
        <v>0.199880132</v>
      </c>
      <c r="L35" s="47">
        <f t="array" ref="L35">IF($J35&lt;&gt;"", IF($D35 = "Futuros" , $N35/xlookup(WORKDAY(B35,-1,Feriados!A:A),Controle!$B$10:$B$1000,Controle!$T$10:$T$1000) , $M35/xlookup(WORKDAY(B35,-1,Feriados!A:A),Controle!$B$10:$B$1000,Controle!$T$10:$T$1000)),"")</f>
        <v>0.05025463619</v>
      </c>
      <c r="M35" s="48">
        <f t="shared" si="1"/>
        <v>-20259439.2</v>
      </c>
      <c r="N35" s="48">
        <f>IFERROR(IF(D35="Futuros",
IF(LEFT(C35,3)="DI1",G35*O35,
IF(LEFT(C35,3)="ISP",G35*O35*HLOOKUP("PTAX",'Histórico'!$A$1:$EL$983,MATCH(B35,'Histórico'!A:A),FALSE)*50,
IF(LEFT(C35,3)="WDO",10*G35*O35*HLOOKUP("PTAX",'Histórico'!$A$1:$EL$983,MATCH(B35,'Histórico'!A:A),FALSE),
IF(LEFT(C35,3)="DOL",50*G35*O35,
IF(LEFT(C35,3)="EUR",G35*O35*50,
IF(LEFT(C35,3)="WEU",G35*O35*10,
IF(LEFT(C35,3)="IND",G35*O35,
IF(LEFT(C35,3)="WIN",G35*O35*0.2,
IF(LEFT(C35,3)="T10",G35*O35*1000*HLOOKUP("PTAX",'Histórico'!$A$1:$EL$983,MATCH(B35,'Histórico'!A:A),FALSE),
IF(LEFT(C35,3)="CCM",G35*O35*450,
IF(LEFT(C35,3)="SJC",G35*O35*HLOOKUP("PTAX",'Histórico'!$A$1:$EL$983,MATCH(B35,'Histórico'!A:A),FALSE)*450,
IF(LEFT(C35,3)="BGI",G35*O35*330,
IF(LEFT(C35,3)="OZ1",G35*O35*250,
IF(LEFT(C35,3)="CLP",G35*O35*25,
IF(LEFT(C35,3)="EUP", O35*10000*HLOOKUP("EUR/BRL",'Histórico'!$A$1:$EL$983,MATCH(B35,'Histórico'!A:A),FALSE),
IF(LEFT(C35,3)="JSE", G35*O35*0.4,
IF(LEFT(C35,3)="GBP", O35*10000*HLOOKUP("GBP/BRL",'Histórico'!$A$1:$FG$983,MATCH(B35,'Histórico'!A:A),FALSE),
IF(LEFT(C35,3)="JAP",O35*10000*HLOOKUP("PTAX",'Histórico'!$A$1:$FG$983,MATCH(B35,'Histórico'!A:A),FALSE),
IF(LEFT(C35,3)="CNH",O35*10000*HLOOKUP("PTAX",'Histórico'!$A$1:$FG$983,MATCH(B35,'Histórico'!A:A),FALSE),
IF(LEFT(C35,3)="AUS",O35*10000*HLOOKUP("PTAX",'Histórico'!$A$1:$FG$983,MATCH(B35,'Histórico'!A:A),FALSE),
IF(LEFT(C35,3)="CAN",O35*10000*HLOOKUP("PTAX",'Histórico'!$A$1:$FG$983,MATCH(B35,'Histórico'!A:A),FALSE),
IF(LEFT(C35,3)="GBR",O35*10000*HLOOKUP("GBP/BRL",'Histórico'!$A$1:$FG$983,MATCH(B35,'Histórico'!A:A),FALSE),
IF(LEFT(C35,3)="MEX",O35*10000*HLOOKUP("PTAX",'Histórico'!$A$1:$FG$983,MATCH(B35,'Histórico'!A:A),FALSE),
IF(LEFT(C35,3)="CHL",O35*10000*HLOOKUP("PTAX",'Histórico'!$A$1:$FG$983,MATCH(B35,'Histórico'!A:A),FALSE)
)))))))))))))))))))))))),""))</f>
        <v>20259439.2</v>
      </c>
      <c r="O35" s="49">
        <f t="shared" si="2"/>
        <v>390</v>
      </c>
      <c r="P35" s="50">
        <f t="shared" si="3"/>
        <v>0</v>
      </c>
      <c r="Q35" s="51">
        <f>IF($C35&lt;&gt;"",SUMIFS($O$3:$O$401, $C$3:$C$401 ,$C35,$B$3:$B$401,"&lt;="&amp;Controle!$B$6),"")</f>
        <v>-50</v>
      </c>
      <c r="R35" s="51">
        <f>IF($D35&lt;&gt;"",SUMIFS($O$3:$O$401, $C$3:$C$401 ,$C35,$B$3:$B$401,"&lt;="&amp;Controle!$B$6,$F$3:$F$401,$F35),"")</f>
        <v>0</v>
      </c>
      <c r="S35" s="51">
        <f>IF($D35&lt;&gt;"",SUMIFS($O$3:$O$401, $C$3:$C$401 ,$C35,$B$3:$B$401,"&lt;="&amp;'Controle D-1'!$B$6,$F$3:$F$401,$F35),"")</f>
        <v>0</v>
      </c>
      <c r="T35" s="40"/>
      <c r="U35" s="95"/>
      <c r="V35" s="95"/>
      <c r="W35" s="95"/>
      <c r="X35" s="2"/>
      <c r="Y35" s="96" t="s">
        <v>245</v>
      </c>
      <c r="Z35" s="97"/>
      <c r="AA35" s="97"/>
      <c r="AB35" s="98"/>
      <c r="AC35" s="40"/>
    </row>
    <row r="36" ht="15.75" customHeight="1">
      <c r="A36" s="28"/>
      <c r="B36" s="100">
        <v>45030.0</v>
      </c>
      <c r="C36" s="88" t="s">
        <v>34</v>
      </c>
      <c r="D36" s="88" t="str">
        <f>IF(ISTEXT(C36),VLOOKUP(C36,'Cadastro dos Ativos'!$A$2:$C$1000,3,0),"")</f>
        <v>Ações Americanas</v>
      </c>
      <c r="E36" s="88" t="s">
        <v>198</v>
      </c>
      <c r="F36" s="88" t="s">
        <v>200</v>
      </c>
      <c r="G36" s="46">
        <v>49.02</v>
      </c>
      <c r="H36" s="101">
        <f>if($D36="Ações Americanas", HLOOKUP("PTAX",'Histórico'!$A$1:$EL$983,(MATCH(B36,'Histórico'!A:A))-1,""),"")</f>
        <v>4.916900158</v>
      </c>
      <c r="I36" s="102"/>
      <c r="J36" s="88">
        <v>48000.0</v>
      </c>
      <c r="K36" s="47">
        <f t="array" ref="K36">if(and(J36&lt;&gt;"",D36&lt;&gt;"Futuros"),
if(F36=Controle!$C$2, M36/xlookup(workday(B36,-1,Feriados!A:A),Controle!$B$10:$B$1000,Controle!$C$10:$C$1000),
if(F36=Controle!$F$2, M36/xlookup(workday(B36,-1,Feriados!A:A),Controle!$B$10:$B$1000,Controle!$F$10:$F$1000),
if(F36=Controle!$I$2, M36/xlookup(workday(B36,-1,Feriados!A:A),Controle!$B$10:$B$1000,Controle!$I$10:$I$1000),
if(F36=Controle!$L$2, M36/xlookup(workday(B36,-1,Feriados!A:A),Controle!$B$10:$B$1000,Controle!$L$10:$L$1000),
)))),
if(and(J36&lt;&gt;"",D36="Futuros"),
if(F36=Controle!$C$2, N36/xlookup(workday(B36,-1,Feriados!A:A),Controle!$B$10:$B$1000,Controle!$C$10:$C$1000),
if(F36=Controle!$F$2, N36/xlookup(workday(B36,-1,Feriados!A:A),Controle!$B$10:$B$1000,Controle!$F$10:$F$1000),
if(F36=Controle!$I$2, N36/xlookup(workday(B36,-1,Feriados!A:A),Controle!$B$10:$B$1000,Controle!$I$10:$I$1000),
if(F36=Controle!$L$2, N36/xlookup(workday(B36,-1,Feriados!A:A),Controle!$B$10:$B$1000,Controle!$L$10:$L$1000),
)))),""))</f>
        <v>0.1122906426</v>
      </c>
      <c r="L36" s="47">
        <f t="array" ref="L36">IF($J36&lt;&gt;"", IF($D36 = "Futuros" , $N36/xlookup(WORKDAY(B36,-1,Feriados!A:A),Controle!$B$10:$B$1000,Controle!$T$10:$T$1000) , $M36/xlookup(WORKDAY(B36,-1,Feriados!A:A),Controle!$B$10:$B$1000,Controle!$T$10:$T$1000)),"")</f>
        <v>0.02846874519</v>
      </c>
      <c r="M36" s="48">
        <f t="shared" si="1"/>
        <v>11569269.4</v>
      </c>
      <c r="N36" s="48" t="str">
        <f>IFERROR(IF(D36="Futuros",
IF(LEFT(C36,3)="DI1",G36*O36,
IF(LEFT(C36,3)="ISP",G36*O36*HLOOKUP("PTAX",'Histórico'!$A$1:$EL$983,MATCH(B36,'Histórico'!A:A),FALSE)*50,
IF(LEFT(C36,3)="WDO",10*G36*O36*HLOOKUP("PTAX",'Histórico'!$A$1:$EL$983,MATCH(B36,'Histórico'!A:A),FALSE),
IF(LEFT(C36,3)="DOL",50*G36*O36,
IF(LEFT(C36,3)="EUR",G36*O36*50,
IF(LEFT(C36,3)="WEU",G36*O36*10,
IF(LEFT(C36,3)="IND",G36*O36,
IF(LEFT(C36,3)="WIN",G36*O36*0.2,
IF(LEFT(C36,3)="T10",G36*O36*1000*HLOOKUP("PTAX",'Histórico'!$A$1:$EL$983,MATCH(B36,'Histórico'!A:A),FALSE),
IF(LEFT(C36,3)="CCM",G36*O36*450,
IF(LEFT(C36,3)="SJC",G36*O36*HLOOKUP("PTAX",'Histórico'!$A$1:$EL$983,MATCH(B36,'Histórico'!A:A),FALSE)*450,
IF(LEFT(C36,3)="BGI",G36*O36*330,
IF(LEFT(C36,3)="OZ1",G36*O36*250,
IF(LEFT(C36,3)="CLP",G36*O36*25,
IF(LEFT(C36,3)="EUP", O36*10000*HLOOKUP("EUR/BRL",'Histórico'!$A$1:$EL$983,MATCH(B36,'Histórico'!A:A),FALSE),
IF(LEFT(C36,3)="JSE", G36*O36*0.4,
IF(LEFT(C36,3)="GBP", O36*10000*HLOOKUP("GBP/BRL",'Histórico'!$A$1:$FG$983,MATCH(B36,'Histórico'!A:A),FALSE),
IF(LEFT(C36,3)="JAP",O36*10000*HLOOKUP("PTAX",'Histórico'!$A$1:$FG$983,MATCH(B36,'Histórico'!A:A),FALSE),
IF(LEFT(C36,3)="CNH",O36*10000*HLOOKUP("PTAX",'Histórico'!$A$1:$FG$983,MATCH(B36,'Histórico'!A:A),FALSE),
IF(LEFT(C36,3)="AUS",O36*10000*HLOOKUP("PTAX",'Histórico'!$A$1:$FG$983,MATCH(B36,'Histórico'!A:A),FALSE),
IF(LEFT(C36,3)="CAN",O36*10000*HLOOKUP("PTAX",'Histórico'!$A$1:$FG$983,MATCH(B36,'Histórico'!A:A),FALSE),
IF(LEFT(C36,3)="GBR",O36*10000*HLOOKUP("GBP/BRL",'Histórico'!$A$1:$FG$983,MATCH(B36,'Histórico'!A:A),FALSE),
IF(LEFT(C36,3)="MEX",O36*10000*HLOOKUP("PTAX",'Histórico'!$A$1:$FG$983,MATCH(B36,'Histórico'!A:A),FALSE),
IF(LEFT(C36,3)="CHL",O36*10000*HLOOKUP("PTAX",'Histórico'!$A$1:$FG$983,MATCH(B36,'Histórico'!A:A),FALSE)
)))))))))))))))))))))))),""))</f>
        <v/>
      </c>
      <c r="O36" s="49">
        <f t="shared" si="2"/>
        <v>-48000</v>
      </c>
      <c r="P36" s="50">
        <f t="shared" si="3"/>
        <v>0</v>
      </c>
      <c r="Q36" s="51">
        <f>IF($C36&lt;&gt;"",SUMIFS($O$3:$O$401, $C$3:$C$401 ,$C36,$B$3:$B$401,"&lt;="&amp;Controle!$B$6),"")</f>
        <v>0</v>
      </c>
      <c r="R36" s="51">
        <f>IF($D36&lt;&gt;"",SUMIFS($O$3:$O$401, $C$3:$C$401 ,$C36,$B$3:$B$401,"&lt;="&amp;Controle!$B$6,$F$3:$F$401,$F36),"")</f>
        <v>0</v>
      </c>
      <c r="S36" s="51">
        <f>IF($D36&lt;&gt;"",SUMIFS($O$3:$O$401, $C$3:$C$401 ,$C36,$B$3:$B$401,"&lt;="&amp;'Controle D-1'!$B$6,$F$3:$F$401,$F36),"")</f>
        <v>0</v>
      </c>
      <c r="T36" s="40"/>
      <c r="U36" s="95"/>
      <c r="V36" s="90" t="s">
        <v>249</v>
      </c>
      <c r="W36" s="91" t="s">
        <v>250</v>
      </c>
      <c r="X36" s="2"/>
      <c r="Y36" s="99" t="s">
        <v>251</v>
      </c>
      <c r="Z36" s="97"/>
      <c r="AA36" s="97"/>
      <c r="AB36" s="98"/>
      <c r="AC36" s="40"/>
    </row>
    <row r="37" ht="15.75" customHeight="1">
      <c r="A37" s="28"/>
      <c r="B37" s="77">
        <v>45030.0</v>
      </c>
      <c r="C37" s="88" t="s">
        <v>73</v>
      </c>
      <c r="D37" s="88" t="s">
        <v>12</v>
      </c>
      <c r="E37" s="88" t="s">
        <v>198</v>
      </c>
      <c r="F37" s="88" t="s">
        <v>200</v>
      </c>
      <c r="G37" s="46">
        <v>52034.36</v>
      </c>
      <c r="H37" s="101" t="str">
        <f>if($D37="Ações Americanas", HLOOKUP("PTAX",'Histórico'!$A$1:$EL$983,(MATCH(B37,'Histórico'!A:A))-1,""),"")</f>
        <v/>
      </c>
      <c r="I37" s="103">
        <v>47120.0</v>
      </c>
      <c r="J37" s="88">
        <v>390.0</v>
      </c>
      <c r="K37" s="47">
        <f t="array" ref="K37">if(and(J37&lt;&gt;"",D37&lt;&gt;"Futuros"),
if(F37=Controle!$C$2, M37/xlookup(workday(B37,-1,Feriados!A:A),Controle!$B$10:$B$1000,Controle!$C$10:$C$1000),
if(F37=Controle!$F$2, M37/xlookup(workday(B37,-1,Feriados!A:A),Controle!$B$10:$B$1000,Controle!$F$10:$F$1000),
if(F37=Controle!$I$2, M37/xlookup(workday(B37,-1,Feriados!A:A),Controle!$B$10:$B$1000,Controle!$I$10:$I$1000),
if(F37=Controle!$L$2, M37/xlookup(workday(B37,-1,Feriados!A:A),Controle!$B$10:$B$1000,Controle!$L$10:$L$1000),
)))),
if(and(J37&lt;&gt;"",D37="Futuros"),
if(F37=Controle!$C$2, N37/xlookup(workday(B37,-1,Feriados!A:A),Controle!$B$10:$B$1000,Controle!$C$10:$C$1000),
if(F37=Controle!$F$2, N37/xlookup(workday(B37,-1,Feriados!A:A),Controle!$B$10:$B$1000,Controle!$F$10:$F$1000),
if(F37=Controle!$I$2, N37/xlookup(workday(B37,-1,Feriados!A:A),Controle!$B$10:$B$1000,Controle!$I$10:$I$1000),
if(F37=Controle!$L$2, N37/xlookup(workday(B37,-1,Feriados!A:A),Controle!$B$10:$B$1000,Controle!$L$10:$L$1000),
)))),""))</f>
        <v>-0.1969665407</v>
      </c>
      <c r="L37" s="47">
        <f t="array" ref="L37">IF($J37&lt;&gt;"", IF($D37 = "Futuros" , $N37/xlookup(WORKDAY(B37,-1,Feriados!A:A),Controle!$B$10:$B$1000,Controle!$T$10:$T$1000) , $M37/xlookup(WORKDAY(B37,-1,Feriados!A:A),Controle!$B$10:$B$1000,Controle!$T$10:$T$1000)),"")</f>
        <v>-0.04993639833</v>
      </c>
      <c r="M37" s="48">
        <f t="shared" si="1"/>
        <v>20293400.4</v>
      </c>
      <c r="N37" s="48">
        <f>IFERROR(IF(D37="Futuros",
IF(LEFT(C37,3)="DI1",G37*O37,
IF(LEFT(C37,3)="ISP",G37*O37*HLOOKUP("PTAX",'Histórico'!$A$1:$EL$983,MATCH(B37,'Histórico'!A:A),FALSE)*50,
IF(LEFT(C37,3)="WDO",10*G37*O37*HLOOKUP("PTAX",'Histórico'!$A$1:$EL$983,MATCH(B37,'Histórico'!A:A),FALSE),
IF(LEFT(C37,3)="DOL",50*G37*O37,
IF(LEFT(C37,3)="EUR",G37*O37*50,
IF(LEFT(C37,3)="WEU",G37*O37*10,
IF(LEFT(C37,3)="IND",G37*O37,
IF(LEFT(C37,3)="WIN",G37*O37*0.2,
IF(LEFT(C37,3)="T10",G37*O37*1000*HLOOKUP("PTAX",'Histórico'!$A$1:$EL$983,MATCH(B37,'Histórico'!A:A),FALSE),
IF(LEFT(C37,3)="CCM",G37*O37*450,
IF(LEFT(C37,3)="SJC",G37*O37*HLOOKUP("PTAX",'Histórico'!$A$1:$EL$983,MATCH(B37,'Histórico'!A:A),FALSE)*450,
IF(LEFT(C37,3)="BGI",G37*O37*330,
IF(LEFT(C37,3)="OZ1",G37*O37*250,
IF(LEFT(C37,3)="CLP",G37*O37*25,
IF(LEFT(C37,3)="EUP", O37*10000*HLOOKUP("EUR/BRL",'Histórico'!$A$1:$EL$983,MATCH(B37,'Histórico'!A:A),FALSE),
IF(LEFT(C37,3)="JSE", G37*O37*0.4,
IF(LEFT(C37,3)="GBP", O37*10000*HLOOKUP("GBP/BRL",'Histórico'!$A$1:$FG$983,MATCH(B37,'Histórico'!A:A),FALSE),
IF(LEFT(C37,3)="JAP",O37*10000*HLOOKUP("PTAX",'Histórico'!$A$1:$FG$983,MATCH(B37,'Histórico'!A:A),FALSE),
IF(LEFT(C37,3)="CNH",O37*10000*HLOOKUP("PTAX",'Histórico'!$A$1:$FG$983,MATCH(B37,'Histórico'!A:A),FALSE),
IF(LEFT(C37,3)="AUS",O37*10000*HLOOKUP("PTAX",'Histórico'!$A$1:$FG$983,MATCH(B37,'Histórico'!A:A),FALSE),
IF(LEFT(C37,3)="CAN",O37*10000*HLOOKUP("PTAX",'Histórico'!$A$1:$FG$983,MATCH(B37,'Histórico'!A:A),FALSE),
IF(LEFT(C37,3)="GBR",O37*10000*HLOOKUP("GBP/BRL",'Histórico'!$A$1:$FG$983,MATCH(B37,'Histórico'!A:A),FALSE),
IF(LEFT(C37,3)="MEX",O37*10000*HLOOKUP("PTAX",'Histórico'!$A$1:$FG$983,MATCH(B37,'Histórico'!A:A),FALSE),
IF(LEFT(C37,3)="CHL",O37*10000*HLOOKUP("PTAX",'Histórico'!$A$1:$FG$983,MATCH(B37,'Histórico'!A:A),FALSE)
)))))))))))))))))))))))),""))</f>
        <v>-20293400.4</v>
      </c>
      <c r="O37" s="49">
        <f t="shared" si="2"/>
        <v>-390</v>
      </c>
      <c r="P37" s="50">
        <f t="shared" si="3"/>
        <v>0</v>
      </c>
      <c r="Q37" s="51">
        <f>IF($C37&lt;&gt;"",SUMIFS($O$3:$O$401, $C$3:$C$401 ,$C37,$B$3:$B$401,"&lt;="&amp;Controle!$B$6),"")</f>
        <v>-50</v>
      </c>
      <c r="R37" s="51">
        <f>IF($D37&lt;&gt;"",SUMIFS($O$3:$O$401, $C$3:$C$401 ,$C37,$B$3:$B$401,"&lt;="&amp;Controle!$B$6,$F$3:$F$401,$F37),"")</f>
        <v>0</v>
      </c>
      <c r="S37" s="51">
        <f>IF($D37&lt;&gt;"",SUMIFS($O$3:$O$401, $C$3:$C$401 ,$C37,$B$3:$B$401,"&lt;="&amp;'Controle D-1'!$B$6,$F$3:$F$401,$F37),"")</f>
        <v>0</v>
      </c>
      <c r="T37" s="40"/>
      <c r="U37" s="95"/>
      <c r="V37" s="95"/>
      <c r="W37" s="95"/>
      <c r="X37" s="2"/>
      <c r="Y37" s="96" t="s">
        <v>252</v>
      </c>
      <c r="Z37" s="97"/>
      <c r="AA37" s="97"/>
      <c r="AB37" s="98"/>
      <c r="AC37" s="40"/>
    </row>
    <row r="38" ht="15.75" customHeight="1">
      <c r="A38" s="28"/>
      <c r="B38" s="100">
        <v>45033.0</v>
      </c>
      <c r="C38" s="88" t="s">
        <v>38</v>
      </c>
      <c r="D38" s="88" t="s">
        <v>12</v>
      </c>
      <c r="E38" s="88" t="s">
        <v>198</v>
      </c>
      <c r="F38" s="88" t="s">
        <v>199</v>
      </c>
      <c r="G38" s="46">
        <v>1092.9</v>
      </c>
      <c r="H38" s="101" t="str">
        <f>if($D38="Ações Americanas", HLOOKUP("PTAX",'Histórico'!$A$1:$EL$983,(MATCH(B38,'Histórico'!A:A))-1,""),"")</f>
        <v/>
      </c>
      <c r="I38" s="88"/>
      <c r="J38" s="88">
        <v>1190.0</v>
      </c>
      <c r="K38" s="47">
        <f t="array" ref="K38">if(and(J38&lt;&gt;"",D38&lt;&gt;"Futuros"),
if(F38=Controle!$C$2, M38/xlookup(workday(B38,-1,Feriados!A:A),Controle!$B$10:$B$1000,Controle!$C$10:$C$1000),
if(F38=Controle!$F$2, M38/xlookup(workday(B38,-1,Feriados!A:A),Controle!$B$10:$B$1000,Controle!$F$10:$F$1000),
if(F38=Controle!$I$2, M38/xlookup(workday(B38,-1,Feriados!A:A),Controle!$B$10:$B$1000,Controle!$I$10:$I$1000),
if(F38=Controle!$L$2, M38/xlookup(workday(B38,-1,Feriados!A:A),Controle!$B$10:$B$1000,Controle!$L$10:$L$1000),
)))),
if(and(J38&lt;&gt;"",D38="Futuros"),
if(F38=Controle!$C$2, N38/xlookup(workday(B38,-1,Feriados!A:A),Controle!$B$10:$B$1000,Controle!$C$10:$C$1000),
if(F38=Controle!$F$2, N38/xlookup(workday(B38,-1,Feriados!A:A),Controle!$B$10:$B$1000,Controle!$F$10:$F$1000),
if(F38=Controle!$I$2, N38/xlookup(workday(B38,-1,Feriados!A:A),Controle!$B$10:$B$1000,Controle!$I$10:$I$1000),
if(F38=Controle!$L$2, N38/xlookup(workday(B38,-1,Feriados!A:A),Controle!$B$10:$B$1000,Controle!$L$10:$L$1000),
)))),""))</f>
        <v>-0.6348185035</v>
      </c>
      <c r="L38" s="47">
        <f t="array" ref="L38">IF($J38&lt;&gt;"", IF($D38 = "Futuros" , $N38/xlookup(WORKDAY(B38,-1,Feriados!A:A),Controle!$B$10:$B$1000,Controle!$T$10:$T$1000) , $M38/xlookup(WORKDAY(B38,-1,Feriados!A:A),Controle!$B$10:$B$1000,Controle!$T$10:$T$1000)),"")</f>
        <v>-0.1584704132</v>
      </c>
      <c r="M38" s="48">
        <f t="shared" si="1"/>
        <v>1300551</v>
      </c>
      <c r="N38" s="48">
        <f>IFERROR(IF(D38="Futuros",
IF(LEFT(C38,3)="DI1",G38*O38,
IF(LEFT(C38,3)="ISP",G38*O38*HLOOKUP("PTAX",'Histórico'!$A$1:$EL$983,MATCH(B38,'Histórico'!A:A),FALSE)*50,
IF(LEFT(C38,3)="WDO",10*G38*O38*HLOOKUP("PTAX",'Histórico'!$A$1:$EL$983,MATCH(B38,'Histórico'!A:A),FALSE),
IF(LEFT(C38,3)="DOL",50*G38*O38,
IF(LEFT(C38,3)="EUR",G38*O38*50,
IF(LEFT(C38,3)="WEU",G38*O38*10,
IF(LEFT(C38,3)="IND",G38*O38,
IF(LEFT(C38,3)="WIN",G38*O38*0.2,
IF(LEFT(C38,3)="T10",G38*O38*1000*HLOOKUP("PTAX",'Histórico'!$A$1:$EL$983,MATCH(B38,'Histórico'!A:A),FALSE),
IF(LEFT(C38,3)="CCM",G38*O38*450,
IF(LEFT(C38,3)="SJC",G38*O38*HLOOKUP("PTAX",'Histórico'!$A$1:$EL$983,MATCH(B38,'Histórico'!A:A),FALSE)*450,
IF(LEFT(C38,3)="BGI",G38*O38*330,
IF(LEFT(C38,3)="OZ1",G38*O38*250,
IF(LEFT(C38,3)="CLP",G38*O38*25,
IF(LEFT(C38,3)="EUP", O38*10000*HLOOKUP("EUR/BRL",'Histórico'!$A$1:$EL$983,MATCH(B38,'Histórico'!A:A),FALSE),
IF(LEFT(C38,3)="JSE", G38*O38*0.4,
IF(LEFT(C38,3)="GBP", O38*10000*HLOOKUP("GBP/BRL",'Histórico'!$A$1:$FG$983,MATCH(B38,'Histórico'!A:A),FALSE),
IF(LEFT(C38,3)="JAP",O38*10000*HLOOKUP("PTAX",'Histórico'!$A$1:$FG$983,MATCH(B38,'Histórico'!A:A),FALSE),
IF(LEFT(C38,3)="CNH",O38*10000*HLOOKUP("PTAX",'Histórico'!$A$1:$FG$983,MATCH(B38,'Histórico'!A:A),FALSE),
IF(LEFT(C38,3)="AUS",O38*10000*HLOOKUP("PTAX",'Histórico'!$A$1:$FG$983,MATCH(B38,'Histórico'!A:A),FALSE),
IF(LEFT(C38,3)="CAN",O38*10000*HLOOKUP("PTAX",'Histórico'!$A$1:$FG$983,MATCH(B38,'Histórico'!A:A),FALSE),
IF(LEFT(C38,3)="GBR",O38*10000*HLOOKUP("GBP/BRL",'Histórico'!$A$1:$FG$983,MATCH(B38,'Histórico'!A:A),FALSE),
IF(LEFT(C38,3)="MEX",O38*10000*HLOOKUP("PTAX",'Histórico'!$A$1:$FG$983,MATCH(B38,'Histórico'!A:A),FALSE),
IF(LEFT(C38,3)="CHL",O38*10000*HLOOKUP("PTAX",'Histórico'!$A$1:$FG$983,MATCH(B38,'Histórico'!A:A),FALSE)
)))))))))))))))))))))))),""))</f>
        <v>-64232628.01</v>
      </c>
      <c r="O38" s="49">
        <f t="shared" si="2"/>
        <v>-1190</v>
      </c>
      <c r="P38" s="50">
        <f t="shared" si="3"/>
        <v>0</v>
      </c>
      <c r="Q38" s="51">
        <f>IF($C38&lt;&gt;"",SUMIFS($O$3:$O$401, $C$3:$C$401 ,$C38,$B$3:$B$401,"&lt;="&amp;Controle!$B$6),"")</f>
        <v>0</v>
      </c>
      <c r="R38" s="51">
        <f>IF($D38&lt;&gt;"",SUMIFS($O$3:$O$401, $C$3:$C$401 ,$C38,$B$3:$B$401,"&lt;="&amp;Controle!$B$6,$F$3:$F$401,$F38),"")</f>
        <v>0</v>
      </c>
      <c r="S38" s="51">
        <f>IF($D38&lt;&gt;"",SUMIFS($O$3:$O$401, $C$3:$C$401 ,$C38,$B$3:$B$401,"&lt;="&amp;'Controle D-1'!$B$6,$F$3:$F$401,$F38),"")</f>
        <v>0</v>
      </c>
      <c r="T38" s="40"/>
      <c r="U38" s="95"/>
      <c r="V38" s="90" t="s">
        <v>253</v>
      </c>
      <c r="W38" s="91" t="s">
        <v>254</v>
      </c>
      <c r="X38" s="2"/>
      <c r="Y38" s="99" t="s">
        <v>255</v>
      </c>
      <c r="Z38" s="97"/>
      <c r="AA38" s="97"/>
      <c r="AB38" s="98"/>
      <c r="AC38" s="40"/>
    </row>
    <row r="39" ht="15.75" customHeight="1">
      <c r="A39" s="28"/>
      <c r="B39" s="100">
        <v>45033.0</v>
      </c>
      <c r="C39" s="88" t="s">
        <v>25</v>
      </c>
      <c r="D39" s="88" t="s">
        <v>12</v>
      </c>
      <c r="E39" s="88" t="s">
        <v>198</v>
      </c>
      <c r="F39" s="88" t="s">
        <v>199</v>
      </c>
      <c r="G39" s="46">
        <v>1236.5</v>
      </c>
      <c r="H39" s="101" t="str">
        <f>if($D39="Ações Americanas", HLOOKUP("PTAX",'Histórico'!$A$1:$EL$983,(MATCH(B39,'Histórico'!A:A))-1,""),"")</f>
        <v/>
      </c>
      <c r="I39" s="88"/>
      <c r="J39" s="88">
        <v>796.0</v>
      </c>
      <c r="K39" s="47">
        <f t="array" ref="K39">if(and(J39&lt;&gt;"",D39&lt;&gt;"Futuros"),
if(F39=Controle!$C$2, M39/xlookup(workday(B39,-1,Feriados!A:A),Controle!$B$10:$B$1000,Controle!$C$10:$C$1000),
if(F39=Controle!$F$2, M39/xlookup(workday(B39,-1,Feriados!A:A),Controle!$B$10:$B$1000,Controle!$F$10:$F$1000),
if(F39=Controle!$I$2, M39/xlookup(workday(B39,-1,Feriados!A:A),Controle!$B$10:$B$1000,Controle!$I$10:$I$1000),
if(F39=Controle!$L$2, M39/xlookup(workday(B39,-1,Feriados!A:A),Controle!$B$10:$B$1000,Controle!$L$10:$L$1000),
)))),
if(and(J39&lt;&gt;"",D39="Futuros"),
if(F39=Controle!$C$2, N39/xlookup(workday(B39,-1,Feriados!A:A),Controle!$B$10:$B$1000,Controle!$C$10:$C$1000),
if(F39=Controle!$F$2, N39/xlookup(workday(B39,-1,Feriados!A:A),Controle!$B$10:$B$1000,Controle!$F$10:$F$1000),
if(F39=Controle!$I$2, N39/xlookup(workday(B39,-1,Feriados!A:A),Controle!$B$10:$B$1000,Controle!$I$10:$I$1000),
if(F39=Controle!$L$2, N39/xlookup(workday(B39,-1,Feriados!A:A),Controle!$B$10:$B$1000,Controle!$L$10:$L$1000),
)))),""))</f>
        <v>-0.4785255592</v>
      </c>
      <c r="L39" s="47">
        <f t="array" ref="L39">IF($J39&lt;&gt;"", IF($D39 = "Futuros" , $N39/xlookup(WORKDAY(B39,-1,Feriados!A:A),Controle!$B$10:$B$1000,Controle!$T$10:$T$1000) , $M39/xlookup(WORKDAY(B39,-1,Feriados!A:A),Controle!$B$10:$B$1000,Controle!$T$10:$T$1000)),"")</f>
        <v>-0.1194548405</v>
      </c>
      <c r="M39" s="48">
        <f t="shared" si="1"/>
        <v>984254</v>
      </c>
      <c r="N39" s="48">
        <f>IFERROR(IF(D39="Futuros",
IF(LEFT(C39,3)="DI1",G39*O39,
IF(LEFT(C39,3)="ISP",G39*O39*HLOOKUP("PTAX",'Histórico'!$A$1:$EL$983,MATCH(B39,'Histórico'!A:A),FALSE)*50,
IF(LEFT(C39,3)="WDO",10*G39*O39*HLOOKUP("PTAX",'Histórico'!$A$1:$EL$983,MATCH(B39,'Histórico'!A:A),FALSE),
IF(LEFT(C39,3)="DOL",50*G39*O39,
IF(LEFT(C39,3)="EUR",G39*O39*50,
IF(LEFT(C39,3)="WEU",G39*O39*10,
IF(LEFT(C39,3)="IND",G39*O39,
IF(LEFT(C39,3)="WIN",G39*O39*0.2,
IF(LEFT(C39,3)="T10",G39*O39*1000*HLOOKUP("PTAX",'Histórico'!$A$1:$EL$983,MATCH(B39,'Histórico'!A:A),FALSE),
IF(LEFT(C39,3)="CCM",G39*O39*450,
IF(LEFT(C39,3)="SJC",G39*O39*HLOOKUP("PTAX",'Histórico'!$A$1:$EL$983,MATCH(B39,'Histórico'!A:A),FALSE)*450,
IF(LEFT(C39,3)="BGI",G39*O39*330,
IF(LEFT(C39,3)="OZ1",G39*O39*250,
IF(LEFT(C39,3)="CLP",G39*O39*25,
IF(LEFT(C39,3)="EUP", O39*10000*HLOOKUP("EUR/BRL",'Histórico'!$A$1:$EL$983,MATCH(B39,'Histórico'!A:A),FALSE),
IF(LEFT(C39,3)="JSE", G39*O39*0.4,
IF(LEFT(C39,3)="GBP", O39*10000*HLOOKUP("GBP/BRL",'Histórico'!$A$1:$FG$983,MATCH(B39,'Histórico'!A:A),FALSE),
IF(LEFT(C39,3)="JAP",O39*10000*HLOOKUP("PTAX",'Histórico'!$A$1:$FG$983,MATCH(B39,'Histórico'!A:A),FALSE),
IF(LEFT(C39,3)="CNH",O39*10000*HLOOKUP("PTAX",'Histórico'!$A$1:$FG$983,MATCH(B39,'Histórico'!A:A),FALSE),
IF(LEFT(C39,3)="AUS",O39*10000*HLOOKUP("PTAX",'Histórico'!$A$1:$FG$983,MATCH(B39,'Histórico'!A:A),FALSE),
IF(LEFT(C39,3)="CAN",O39*10000*HLOOKUP("PTAX",'Histórico'!$A$1:$FG$983,MATCH(B39,'Histórico'!A:A),FALSE),
IF(LEFT(C39,3)="GBR",O39*10000*HLOOKUP("GBP/BRL",'Histórico'!$A$1:$FG$983,MATCH(B39,'Histórico'!A:A),FALSE),
IF(LEFT(C39,3)="MEX",O39*10000*HLOOKUP("PTAX",'Histórico'!$A$1:$FG$983,MATCH(B39,'Histórico'!A:A),FALSE),
IF(LEFT(C39,3)="CHL",O39*10000*HLOOKUP("PTAX",'Histórico'!$A$1:$FG$983,MATCH(B39,'Histórico'!A:A),FALSE)
)))))))))))))))))))))))),""))</f>
        <v>-48418491.38</v>
      </c>
      <c r="O39" s="49">
        <f t="shared" si="2"/>
        <v>-796</v>
      </c>
      <c r="P39" s="50">
        <f t="shared" si="3"/>
        <v>0</v>
      </c>
      <c r="Q39" s="51">
        <f>IF($C39&lt;&gt;"",SUMIFS($O$3:$O$401, $C$3:$C$401 ,$C39,$B$3:$B$401,"&lt;="&amp;Controle!$B$6),"")</f>
        <v>0</v>
      </c>
      <c r="R39" s="51">
        <f>IF($D39&lt;&gt;"",SUMIFS($O$3:$O$401, $C$3:$C$401 ,$C39,$B$3:$B$401,"&lt;="&amp;Controle!$B$6,$F$3:$F$401,$F39),"")</f>
        <v>0</v>
      </c>
      <c r="S39" s="51">
        <f>IF($D39&lt;&gt;"",SUMIFS($O$3:$O$401, $C$3:$C$401 ,$C39,$B$3:$B$401,"&lt;="&amp;'Controle D-1'!$B$6,$F$3:$F$401,$F39),"")</f>
        <v>0</v>
      </c>
      <c r="T39" s="40"/>
      <c r="U39" s="95"/>
      <c r="V39" s="95"/>
      <c r="W39" s="95"/>
      <c r="X39" s="2"/>
      <c r="Y39" s="96" t="s">
        <v>236</v>
      </c>
      <c r="Z39" s="97"/>
      <c r="AA39" s="97"/>
      <c r="AB39" s="98"/>
      <c r="AC39" s="40"/>
    </row>
    <row r="40" ht="15.75" customHeight="1">
      <c r="A40" s="28"/>
      <c r="B40" s="100">
        <v>45033.0</v>
      </c>
      <c r="C40" s="88" t="s">
        <v>40</v>
      </c>
      <c r="D40" s="88" t="s">
        <v>9</v>
      </c>
      <c r="E40" s="88" t="s">
        <v>208</v>
      </c>
      <c r="F40" s="88" t="s">
        <v>199</v>
      </c>
      <c r="G40" s="46">
        <v>28.98</v>
      </c>
      <c r="H40" s="101">
        <f>if($D40="Ações Americanas", HLOOKUP("PTAX",'Histórico'!$A$1:$EL$983,(MATCH(B40,'Histórico'!A:A))-1,""),"")</f>
        <v>4.926700115</v>
      </c>
      <c r="I40" s="88"/>
      <c r="J40" s="88">
        <v>59769.0</v>
      </c>
      <c r="K40" s="47">
        <f t="array" ref="K40">if(and(J40&lt;&gt;"",D40&lt;&gt;"Futuros"),
if(F40=Controle!$C$2, M40/xlookup(workday(B40,-1,Feriados!A:A),Controle!$B$10:$B$1000,Controle!$C$10:$C$1000),
if(F40=Controle!$F$2, M40/xlookup(workday(B40,-1,Feriados!A:A),Controle!$B$10:$B$1000,Controle!$F$10:$F$1000),
if(F40=Controle!$I$2, M40/xlookup(workday(B40,-1,Feriados!A:A),Controle!$B$10:$B$1000,Controle!$I$10:$I$1000),
if(F40=Controle!$L$2, M40/xlookup(workday(B40,-1,Feriados!A:A),Controle!$B$10:$B$1000,Controle!$L$10:$L$1000),
)))),
if(and(J40&lt;&gt;"",D40="Futuros"),
if(F40=Controle!$C$2, N40/xlookup(workday(B40,-1,Feriados!A:A),Controle!$B$10:$B$1000,Controle!$C$10:$C$1000),
if(F40=Controle!$F$2, N40/xlookup(workday(B40,-1,Feriados!A:A),Controle!$B$10:$B$1000,Controle!$F$10:$F$1000),
if(F40=Controle!$I$2, N40/xlookup(workday(B40,-1,Feriados!A:A),Controle!$B$10:$B$1000,Controle!$I$10:$I$1000),
if(F40=Controle!$L$2, N40/xlookup(workday(B40,-1,Feriados!A:A),Controle!$B$10:$B$1000,Controle!$L$10:$L$1000),
)))),""))</f>
        <v>-0.08433821102</v>
      </c>
      <c r="L40" s="47">
        <f t="array" ref="L40">IF($J40&lt;&gt;"", IF($D40 = "Futuros" , $N40/xlookup(WORKDAY(B40,-1,Feriados!A:A),Controle!$B$10:$B$1000,Controle!$T$10:$T$1000) , $M40/xlookup(WORKDAY(B40,-1,Feriados!A:A),Controle!$B$10:$B$1000,Controle!$T$10:$T$1000)),"")</f>
        <v>-0.02105343665</v>
      </c>
      <c r="M40" s="48">
        <f t="shared" si="1"/>
        <v>-8533564.958</v>
      </c>
      <c r="N40" s="48" t="str">
        <f>IFERROR(IF(D40="Futuros",
IF(LEFT(C40,3)="DI1",G40*O40,
IF(LEFT(C40,3)="ISP",G40*O40*HLOOKUP("PTAX",'Histórico'!$A$1:$EL$983,MATCH(B40,'Histórico'!A:A),FALSE)*50,
IF(LEFT(C40,3)="WDO",10*G40*O40*HLOOKUP("PTAX",'Histórico'!$A$1:$EL$983,MATCH(B40,'Histórico'!A:A),FALSE),
IF(LEFT(C40,3)="DOL",50*G40*O40,
IF(LEFT(C40,3)="EUR",G40*O40*50,
IF(LEFT(C40,3)="WEU",G40*O40*10,
IF(LEFT(C40,3)="IND",G40*O40,
IF(LEFT(C40,3)="WIN",G40*O40*0.2,
IF(LEFT(C40,3)="T10",G40*O40*1000*HLOOKUP("PTAX",'Histórico'!$A$1:$EL$983,MATCH(B40,'Histórico'!A:A),FALSE),
IF(LEFT(C40,3)="CCM",G40*O40*450,
IF(LEFT(C40,3)="SJC",G40*O40*HLOOKUP("PTAX",'Histórico'!$A$1:$EL$983,MATCH(B40,'Histórico'!A:A),FALSE)*450,
IF(LEFT(C40,3)="BGI",G40*O40*330,
IF(LEFT(C40,3)="OZ1",G40*O40*250,
IF(LEFT(C40,3)="CLP",G40*O40*25,
IF(LEFT(C40,3)="EUP", O40*10000*HLOOKUP("EUR/BRL",'Histórico'!$A$1:$EL$983,MATCH(B40,'Histórico'!A:A),FALSE),
IF(LEFT(C40,3)="JSE", G40*O40*0.4,
IF(LEFT(C40,3)="GBP", O40*10000*HLOOKUP("GBP/BRL",'Histórico'!$A$1:$FG$983,MATCH(B40,'Histórico'!A:A),FALSE),
IF(LEFT(C40,3)="JAP",O40*10000*HLOOKUP("PTAX",'Histórico'!$A$1:$FG$983,MATCH(B40,'Histórico'!A:A),FALSE),
IF(LEFT(C40,3)="CNH",O40*10000*HLOOKUP("PTAX",'Histórico'!$A$1:$FG$983,MATCH(B40,'Histórico'!A:A),FALSE),
IF(LEFT(C40,3)="AUS",O40*10000*HLOOKUP("PTAX",'Histórico'!$A$1:$FG$983,MATCH(B40,'Histórico'!A:A),FALSE),
IF(LEFT(C40,3)="CAN",O40*10000*HLOOKUP("PTAX",'Histórico'!$A$1:$FG$983,MATCH(B40,'Histórico'!A:A),FALSE),
IF(LEFT(C40,3)="GBR",O40*10000*HLOOKUP("GBP/BRL",'Histórico'!$A$1:$FG$983,MATCH(B40,'Histórico'!A:A),FALSE),
IF(LEFT(C40,3)="MEX",O40*10000*HLOOKUP("PTAX",'Histórico'!$A$1:$FG$983,MATCH(B40,'Histórico'!A:A),FALSE),
IF(LEFT(C40,3)="CHL",O40*10000*HLOOKUP("PTAX",'Histórico'!$A$1:$FG$983,MATCH(B40,'Histórico'!A:A),FALSE)
)))))))))))))))))))))))),""))</f>
        <v/>
      </c>
      <c r="O40" s="49">
        <f t="shared" si="2"/>
        <v>59769</v>
      </c>
      <c r="P40" s="50">
        <f t="shared" si="3"/>
        <v>0</v>
      </c>
      <c r="Q40" s="51">
        <f>IF($C40&lt;&gt;"",SUMIFS($O$3:$O$401, $C$3:$C$401 ,$C40,$B$3:$B$401,"&lt;="&amp;Controle!$B$6),"")</f>
        <v>0</v>
      </c>
      <c r="R40" s="51">
        <f>IF($D40&lt;&gt;"",SUMIFS($O$3:$O$401, $C$3:$C$401 ,$C40,$B$3:$B$401,"&lt;="&amp;Controle!$B$6,$F$3:$F$401,$F40),"")</f>
        <v>0</v>
      </c>
      <c r="S40" s="51">
        <f>IF($D40&lt;&gt;"",SUMIFS($O$3:$O$401, $C$3:$C$401 ,$C40,$B$3:$B$401,"&lt;="&amp;'Controle D-1'!$B$6,$F$3:$F$401,$F40),"")</f>
        <v>0</v>
      </c>
      <c r="T40" s="40"/>
      <c r="U40" s="95"/>
      <c r="V40" s="105" t="s">
        <v>256</v>
      </c>
      <c r="W40" s="91" t="s">
        <v>257</v>
      </c>
      <c r="X40" s="2"/>
      <c r="Y40" s="99" t="s">
        <v>258</v>
      </c>
      <c r="Z40" s="97"/>
      <c r="AA40" s="97"/>
      <c r="AB40" s="98"/>
      <c r="AC40" s="40"/>
    </row>
    <row r="41" ht="15.75" customHeight="1">
      <c r="A41" s="28"/>
      <c r="B41" s="100">
        <v>45033.0</v>
      </c>
      <c r="C41" s="88" t="s">
        <v>42</v>
      </c>
      <c r="D41" s="88" t="s">
        <v>9</v>
      </c>
      <c r="E41" s="88" t="s">
        <v>208</v>
      </c>
      <c r="F41" s="88" t="s">
        <v>199</v>
      </c>
      <c r="G41" s="46">
        <v>28.66</v>
      </c>
      <c r="H41" s="101">
        <f>if($D41="Ações Americanas", HLOOKUP("PTAX",'Histórico'!$A$1:$EL$983,(MATCH(B41,'Histórico'!A:A))-1,""),"")</f>
        <v>4.926700115</v>
      </c>
      <c r="I41" s="88"/>
      <c r="J41" s="88">
        <v>58970.0</v>
      </c>
      <c r="K41" s="47">
        <f t="array" ref="K41">if(and(J41&lt;&gt;"",D41&lt;&gt;"Futuros"),
if(F41=Controle!$C$2, M41/xlookup(workday(B41,-1,Feriados!A:A),Controle!$B$10:$B$1000,Controle!$C$10:$C$1000),
if(F41=Controle!$F$2, M41/xlookup(workday(B41,-1,Feriados!A:A),Controle!$B$10:$B$1000,Controle!$F$10:$F$1000),
if(F41=Controle!$I$2, M41/xlookup(workday(B41,-1,Feriados!A:A),Controle!$B$10:$B$1000,Controle!$I$10:$I$1000),
if(F41=Controle!$L$2, M41/xlookup(workday(B41,-1,Feriados!A:A),Controle!$B$10:$B$1000,Controle!$L$10:$L$1000),
)))),
if(and(J41&lt;&gt;"",D41="Futuros"),
if(F41=Controle!$C$2, N41/xlookup(workday(B41,-1,Feriados!A:A),Controle!$B$10:$B$1000,Controle!$C$10:$C$1000),
if(F41=Controle!$F$2, N41/xlookup(workday(B41,-1,Feriados!A:A),Controle!$B$10:$B$1000,Controle!$F$10:$F$1000),
if(F41=Controle!$I$2, N41/xlookup(workday(B41,-1,Feriados!A:A),Controle!$B$10:$B$1000,Controle!$I$10:$I$1000),
if(F41=Controle!$L$2, N41/xlookup(workday(B41,-1,Feriados!A:A),Controle!$B$10:$B$1000,Controle!$L$10:$L$1000),
)))),""))</f>
        <v>-0.08229194508</v>
      </c>
      <c r="L41" s="47">
        <f t="array" ref="L41">IF($J41&lt;&gt;"", IF($D41 = "Futuros" , $N41/xlookup(WORKDAY(B41,-1,Feriados!A:A),Controle!$B$10:$B$1000,Controle!$T$10:$T$1000) , $M41/xlookup(WORKDAY(B41,-1,Feriados!A:A),Controle!$B$10:$B$1000,Controle!$T$10:$T$1000)),"")</f>
        <v>-0.02054262513</v>
      </c>
      <c r="M41" s="48">
        <f t="shared" si="1"/>
        <v>-8326518.316</v>
      </c>
      <c r="N41" s="48" t="str">
        <f>IFERROR(IF(D41="Futuros",
IF(LEFT(C41,3)="DI1",G41*O41,
IF(LEFT(C41,3)="ISP",G41*O41*HLOOKUP("PTAX",'Histórico'!$A$1:$EL$983,MATCH(B41,'Histórico'!A:A),FALSE)*50,
IF(LEFT(C41,3)="WDO",10*G41*O41*HLOOKUP("PTAX",'Histórico'!$A$1:$EL$983,MATCH(B41,'Histórico'!A:A),FALSE),
IF(LEFT(C41,3)="DOL",50*G41*O41,
IF(LEFT(C41,3)="EUR",G41*O41*50,
IF(LEFT(C41,3)="WEU",G41*O41*10,
IF(LEFT(C41,3)="IND",G41*O41,
IF(LEFT(C41,3)="WIN",G41*O41*0.2,
IF(LEFT(C41,3)="T10",G41*O41*1000*HLOOKUP("PTAX",'Histórico'!$A$1:$EL$983,MATCH(B41,'Histórico'!A:A),FALSE),
IF(LEFT(C41,3)="CCM",G41*O41*450,
IF(LEFT(C41,3)="SJC",G41*O41*HLOOKUP("PTAX",'Histórico'!$A$1:$EL$983,MATCH(B41,'Histórico'!A:A),FALSE)*450,
IF(LEFT(C41,3)="BGI",G41*O41*330,
IF(LEFT(C41,3)="OZ1",G41*O41*250,
IF(LEFT(C41,3)="CLP",G41*O41*25,
IF(LEFT(C41,3)="EUP", O41*10000*HLOOKUP("EUR/BRL",'Histórico'!$A$1:$EL$983,MATCH(B41,'Histórico'!A:A),FALSE),
IF(LEFT(C41,3)="JSE", G41*O41*0.4,
IF(LEFT(C41,3)="GBP", O41*10000*HLOOKUP("GBP/BRL",'Histórico'!$A$1:$FG$983,MATCH(B41,'Histórico'!A:A),FALSE),
IF(LEFT(C41,3)="JAP",O41*10000*HLOOKUP("PTAX",'Histórico'!$A$1:$FG$983,MATCH(B41,'Histórico'!A:A),FALSE),
IF(LEFT(C41,3)="CNH",O41*10000*HLOOKUP("PTAX",'Histórico'!$A$1:$FG$983,MATCH(B41,'Histórico'!A:A),FALSE),
IF(LEFT(C41,3)="AUS",O41*10000*HLOOKUP("PTAX",'Histórico'!$A$1:$FG$983,MATCH(B41,'Histórico'!A:A),FALSE),
IF(LEFT(C41,3)="CAN",O41*10000*HLOOKUP("PTAX",'Histórico'!$A$1:$FG$983,MATCH(B41,'Histórico'!A:A),FALSE),
IF(LEFT(C41,3)="GBR",O41*10000*HLOOKUP("GBP/BRL",'Histórico'!$A$1:$FG$983,MATCH(B41,'Histórico'!A:A),FALSE),
IF(LEFT(C41,3)="MEX",O41*10000*HLOOKUP("PTAX",'Histórico'!$A$1:$FG$983,MATCH(B41,'Histórico'!A:A),FALSE),
IF(LEFT(C41,3)="CHL",O41*10000*HLOOKUP("PTAX",'Histórico'!$A$1:$FG$983,MATCH(B41,'Histórico'!A:A),FALSE)
)))))))))))))))))))))))),""))</f>
        <v/>
      </c>
      <c r="O41" s="49">
        <f t="shared" si="2"/>
        <v>58970</v>
      </c>
      <c r="P41" s="50">
        <f t="shared" si="3"/>
        <v>0</v>
      </c>
      <c r="Q41" s="51">
        <f>IF($C41&lt;&gt;"",SUMIFS($O$3:$O$401, $C$3:$C$401 ,$C41,$B$3:$B$401,"&lt;="&amp;Controle!$B$6),"")</f>
        <v>0</v>
      </c>
      <c r="R41" s="51">
        <f>IF($D41&lt;&gt;"",SUMIFS($O$3:$O$401, $C$3:$C$401 ,$C41,$B$3:$B$401,"&lt;="&amp;Controle!$B$6,$F$3:$F$401,$F41),"")</f>
        <v>0</v>
      </c>
      <c r="S41" s="51">
        <f>IF($D41&lt;&gt;"",SUMIFS($O$3:$O$401, $C$3:$C$401 ,$C41,$B$3:$B$401,"&lt;="&amp;'Controle D-1'!$B$6,$F$3:$F$401,$F41),"")</f>
        <v>0</v>
      </c>
      <c r="T41" s="40"/>
      <c r="U41" s="95"/>
      <c r="V41" s="95"/>
      <c r="W41" s="95"/>
      <c r="X41" s="2"/>
      <c r="Y41" s="106" t="s">
        <v>236</v>
      </c>
      <c r="Z41" s="97"/>
      <c r="AA41" s="97"/>
      <c r="AB41" s="98"/>
      <c r="AC41" s="40"/>
    </row>
    <row r="42" ht="15.75" customHeight="1">
      <c r="A42" s="28"/>
      <c r="B42" s="100">
        <v>45033.0</v>
      </c>
      <c r="C42" s="88" t="s">
        <v>44</v>
      </c>
      <c r="D42" s="88" t="str">
        <f>IF(ISTEXT(C42),VLOOKUP(C42,'Cadastro dos Ativos'!$A$2:$C$1000,3,0),"")</f>
        <v>Ações Americanas</v>
      </c>
      <c r="E42" s="88" t="s">
        <v>208</v>
      </c>
      <c r="F42" s="88" t="s">
        <v>199</v>
      </c>
      <c r="G42" s="46">
        <v>31.48</v>
      </c>
      <c r="H42" s="101">
        <f>if($D42="Ações Americanas", HLOOKUP("PTAX",'Histórico'!$A$1:$EL$983,(MATCH(B42,'Histórico'!A:A))-1,""),"")</f>
        <v>4.926700115</v>
      </c>
      <c r="I42" s="88" t="str">
        <f t="array" ref="I42">IF(ISTEXT(C42),xlookup(C42,'Cadastro dos Ativos'!$A$2:$A$1000,'Cadastro dos Ativos'!$D$2:$D$1000),"")</f>
        <v/>
      </c>
      <c r="J42" s="88">
        <v>52152.0</v>
      </c>
      <c r="K42" s="47">
        <f t="array" ref="K42">if(and(J42&lt;&gt;"",D42&lt;&gt;"Futuros"),
if(F42=Controle!$C$2, M42/xlookup(workday(B42,-1,Feriados!A:A),Controle!$B$10:$B$1000,Controle!$C$10:$C$1000),
if(F42=Controle!$F$2, M42/xlookup(workday(B42,-1,Feriados!A:A),Controle!$B$10:$B$1000,Controle!$F$10:$F$1000),
if(F42=Controle!$I$2, M42/xlookup(workday(B42,-1,Feriados!A:A),Controle!$B$10:$B$1000,Controle!$I$10:$I$1000),
if(F42=Controle!$L$2, M42/xlookup(workday(B42,-1,Feriados!A:A),Controle!$B$10:$B$1000,Controle!$L$10:$L$1000),
)))),
if(and(J42&lt;&gt;"",D42="Futuros"),
if(F42=Controle!$C$2, N42/xlookup(workday(B42,-1,Feriados!A:A),Controle!$B$10:$B$1000,Controle!$C$10:$C$1000),
if(F42=Controle!$F$2, N42/xlookup(workday(B42,-1,Feriados!A:A),Controle!$B$10:$B$1000,Controle!$F$10:$F$1000),
if(F42=Controle!$I$2, N42/xlookup(workday(B42,-1,Feriados!A:A),Controle!$B$10:$B$1000,Controle!$I$10:$I$1000),
if(F42=Controle!$L$2, N42/xlookup(workday(B42,-1,Feriados!A:A),Controle!$B$10:$B$1000,Controle!$L$10:$L$1000),
)))),""))</f>
        <v>-0.07993844676</v>
      </c>
      <c r="L42" s="47">
        <f t="array" ref="L42">IF($J42&lt;&gt;"", IF($D42 = "Futuros" , $N42/xlookup(WORKDAY(B42,-1,Feriados!A:A),Controle!$B$10:$B$1000,Controle!$T$10:$T$1000) , $M42/xlookup(WORKDAY(B42,-1,Feriados!A:A),Controle!$B$10:$B$1000,Controle!$T$10:$T$1000)),"")</f>
        <v>-0.01995511886</v>
      </c>
      <c r="M42" s="48">
        <f t="shared" si="1"/>
        <v>-8088385.084</v>
      </c>
      <c r="N42" s="48" t="str">
        <f>IFERROR(IF(D42="Futuros",
IF(LEFT(C42,3)="DI1",G42*O42,
IF(LEFT(C42,3)="ISP",G42*O42*HLOOKUP("PTAX",'Histórico'!$A$1:$EL$983,MATCH(B42,'Histórico'!A:A),FALSE)*50,
IF(LEFT(C42,3)="WDO",10*G42*O42*HLOOKUP("PTAX",'Histórico'!$A$1:$EL$983,MATCH(B42,'Histórico'!A:A),FALSE),
IF(LEFT(C42,3)="DOL",50*G42*O42,
IF(LEFT(C42,3)="EUR",G42*O42*50,
IF(LEFT(C42,3)="WEU",G42*O42*10,
IF(LEFT(C42,3)="IND",G42*O42,
IF(LEFT(C42,3)="WIN",G42*O42*0.2,
IF(LEFT(C42,3)="T10",G42*O42*1000*HLOOKUP("PTAX",'Histórico'!$A$1:$EL$983,MATCH(B42,'Histórico'!A:A),FALSE),
IF(LEFT(C42,3)="CCM",G42*O42*450,
IF(LEFT(C42,3)="SJC",G42*O42*HLOOKUP("PTAX",'Histórico'!$A$1:$EL$983,MATCH(B42,'Histórico'!A:A),FALSE)*450,
IF(LEFT(C42,3)="BGI",G42*O42*330,
IF(LEFT(C42,3)="OZ1",G42*O42*250,
IF(LEFT(C42,3)="CLP",G42*O42*25,
IF(LEFT(C42,3)="EUP", O42*10000*HLOOKUP("EUR/BRL",'Histórico'!$A$1:$EL$983,MATCH(B42,'Histórico'!A:A),FALSE),
IF(LEFT(C42,3)="JSE", G42*O42*0.4,
IF(LEFT(C42,3)="GBP", O42*10000*HLOOKUP("GBP/BRL",'Histórico'!$A$1:$FG$983,MATCH(B42,'Histórico'!A:A),FALSE),
IF(LEFT(C42,3)="JAP",O42*10000*HLOOKUP("PTAX",'Histórico'!$A$1:$FG$983,MATCH(B42,'Histórico'!A:A),FALSE),
IF(LEFT(C42,3)="CNH",O42*10000*HLOOKUP("PTAX",'Histórico'!$A$1:$FG$983,MATCH(B42,'Histórico'!A:A),FALSE),
IF(LEFT(C42,3)="AUS",O42*10000*HLOOKUP("PTAX",'Histórico'!$A$1:$FG$983,MATCH(B42,'Histórico'!A:A),FALSE),
IF(LEFT(C42,3)="CAN",O42*10000*HLOOKUP("PTAX",'Histórico'!$A$1:$FG$983,MATCH(B42,'Histórico'!A:A),FALSE),
IF(LEFT(C42,3)="GBR",O42*10000*HLOOKUP("GBP/BRL",'Histórico'!$A$1:$FG$983,MATCH(B42,'Histórico'!A:A),FALSE),
IF(LEFT(C42,3)="MEX",O42*10000*HLOOKUP("PTAX",'Histórico'!$A$1:$FG$983,MATCH(B42,'Histórico'!A:A),FALSE),
IF(LEFT(C42,3)="CHL",O42*10000*HLOOKUP("PTAX",'Histórico'!$A$1:$FG$983,MATCH(B42,'Histórico'!A:A),FALSE)
)))))))))))))))))))))))),""))</f>
        <v/>
      </c>
      <c r="O42" s="49">
        <f t="shared" si="2"/>
        <v>52152</v>
      </c>
      <c r="P42" s="50">
        <f t="shared" si="3"/>
        <v>0</v>
      </c>
      <c r="Q42" s="51">
        <f>IF($C42&lt;&gt;"",SUMIFS($O$3:$O$401, $C$3:$C$401 ,$C42,$B$3:$B$401,"&lt;="&amp;Controle!$B$6),"")</f>
        <v>0</v>
      </c>
      <c r="R42" s="51">
        <f>IF($D42&lt;&gt;"",SUMIFS($O$3:$O$401, $C$3:$C$401 ,$C42,$B$3:$B$401,"&lt;="&amp;Controle!$B$6,$F$3:$F$401,$F42),"")</f>
        <v>0</v>
      </c>
      <c r="S42" s="51">
        <f>IF($D42&lt;&gt;"",SUMIFS($O$3:$O$401, $C$3:$C$401 ,$C42,$B$3:$B$401,"&lt;="&amp;'Controle D-1'!$B$6,$F$3:$F$401,$F42),"")</f>
        <v>0</v>
      </c>
      <c r="T42" s="40"/>
      <c r="U42" s="95"/>
      <c r="V42" s="107" t="s">
        <v>259</v>
      </c>
      <c r="W42" s="91" t="s">
        <v>260</v>
      </c>
      <c r="X42" s="2"/>
      <c r="Y42" s="108" t="s">
        <v>261</v>
      </c>
      <c r="Z42" s="97"/>
      <c r="AA42" s="97"/>
      <c r="AB42" s="98"/>
      <c r="AC42" s="40"/>
    </row>
    <row r="43" ht="15.75" customHeight="1">
      <c r="A43" s="28"/>
      <c r="B43" s="100">
        <v>45033.0</v>
      </c>
      <c r="C43" s="88" t="s">
        <v>46</v>
      </c>
      <c r="D43" s="88" t="str">
        <f>IF(ISTEXT(C43),VLOOKUP(C43,'Cadastro dos Ativos'!$A$2:$C$1000,3,0),"")</f>
        <v>Ações Americanas</v>
      </c>
      <c r="E43" s="88" t="s">
        <v>198</v>
      </c>
      <c r="F43" s="88" t="s">
        <v>199</v>
      </c>
      <c r="G43" s="46">
        <v>27.21</v>
      </c>
      <c r="H43" s="101">
        <f>if($D43="Ações Americanas", HLOOKUP("PTAX",'Histórico'!$A$1:$EL$983,(MATCH(B43,'Histórico'!A:A))-1,""),"")</f>
        <v>4.926700115</v>
      </c>
      <c r="I43" s="88" t="str">
        <f t="array" ref="I43">IF(ISTEXT(C43),xlookup(C43,'Cadastro dos Ativos'!$A$2:$A$1000,'Cadastro dos Ativos'!$D$2:$D$1000),"")</f>
        <v/>
      </c>
      <c r="J43" s="88">
        <v>76616.0</v>
      </c>
      <c r="K43" s="47">
        <f t="array" ref="K43">if(and(J43&lt;&gt;"",D43&lt;&gt;"Futuros"),
if(F43=Controle!$C$2, M43/xlookup(workday(B43,-1,Feriados!A:A),Controle!$B$10:$B$1000,Controle!$C$10:$C$1000),
if(F43=Controle!$F$2, M43/xlookup(workday(B43,-1,Feriados!A:A),Controle!$B$10:$B$1000,Controle!$F$10:$F$1000),
if(F43=Controle!$I$2, M43/xlookup(workday(B43,-1,Feriados!A:A),Controle!$B$10:$B$1000,Controle!$I$10:$I$1000),
if(F43=Controle!$L$2, M43/xlookup(workday(B43,-1,Feriados!A:A),Controle!$B$10:$B$1000,Controle!$L$10:$L$1000),
)))),
if(and(J43&lt;&gt;"",D43="Futuros"),
if(F43=Controle!$C$2, N43/xlookup(workday(B43,-1,Feriados!A:A),Controle!$B$10:$B$1000,Controle!$C$10:$C$1000),
if(F43=Controle!$F$2, N43/xlookup(workday(B43,-1,Feriados!A:A),Controle!$B$10:$B$1000,Controle!$F$10:$F$1000),
if(F43=Controle!$I$2, N43/xlookup(workday(B43,-1,Feriados!A:A),Controle!$B$10:$B$1000,Controle!$I$10:$I$1000),
if(F43=Controle!$L$2, N43/xlookup(workday(B43,-1,Feriados!A:A),Controle!$B$10:$B$1000,Controle!$L$10:$L$1000),
)))),""))</f>
        <v>0.1015074762</v>
      </c>
      <c r="L43" s="47">
        <f t="array" ref="L43">IF($J43&lt;&gt;"", IF($D43 = "Futuros" , $N43/xlookup(WORKDAY(B43,-1,Feriados!A:A),Controle!$B$10:$B$1000,Controle!$T$10:$T$1000) , $M43/xlookup(WORKDAY(B43,-1,Feriados!A:A),Controle!$B$10:$B$1000,Controle!$T$10:$T$1000)),"")</f>
        <v>0.02533941844</v>
      </c>
      <c r="M43" s="48">
        <f t="shared" si="1"/>
        <v>10270796.96</v>
      </c>
      <c r="N43" s="48" t="str">
        <f>IFERROR(IF(D43="Futuros",
IF(LEFT(C43,3)="DI1",G43*O43,
IF(LEFT(C43,3)="ISP",G43*O43*HLOOKUP("PTAX",'Histórico'!$A$1:$EL$983,MATCH(B43,'Histórico'!A:A),FALSE)*50,
IF(LEFT(C43,3)="WDO",10*G43*O43*HLOOKUP("PTAX",'Histórico'!$A$1:$EL$983,MATCH(B43,'Histórico'!A:A),FALSE),
IF(LEFT(C43,3)="DOL",50*G43*O43,
IF(LEFT(C43,3)="EUR",G43*O43*50,
IF(LEFT(C43,3)="WEU",G43*O43*10,
IF(LEFT(C43,3)="IND",G43*O43,
IF(LEFT(C43,3)="WIN",G43*O43*0.2,
IF(LEFT(C43,3)="T10",G43*O43*1000*HLOOKUP("PTAX",'Histórico'!$A$1:$EL$983,MATCH(B43,'Histórico'!A:A),FALSE),
IF(LEFT(C43,3)="CCM",G43*O43*450,
IF(LEFT(C43,3)="SJC",G43*O43*HLOOKUP("PTAX",'Histórico'!$A$1:$EL$983,MATCH(B43,'Histórico'!A:A),FALSE)*450,
IF(LEFT(C43,3)="BGI",G43*O43*330,
IF(LEFT(C43,3)="OZ1",G43*O43*250,
IF(LEFT(C43,3)="CLP",G43*O43*25,
IF(LEFT(C43,3)="EUP", O43*10000*HLOOKUP("EUR/BRL",'Histórico'!$A$1:$EL$983,MATCH(B43,'Histórico'!A:A),FALSE),
IF(LEFT(C43,3)="JSE", G43*O43*0.4,
IF(LEFT(C43,3)="GBP", O43*10000*HLOOKUP("GBP/BRL",'Histórico'!$A$1:$FG$983,MATCH(B43,'Histórico'!A:A),FALSE),
IF(LEFT(C43,3)="JAP",O43*10000*HLOOKUP("PTAX",'Histórico'!$A$1:$FG$983,MATCH(B43,'Histórico'!A:A),FALSE),
IF(LEFT(C43,3)="CNH",O43*10000*HLOOKUP("PTAX",'Histórico'!$A$1:$FG$983,MATCH(B43,'Histórico'!A:A),FALSE),
IF(LEFT(C43,3)="AUS",O43*10000*HLOOKUP("PTAX",'Histórico'!$A$1:$FG$983,MATCH(B43,'Histórico'!A:A),FALSE),
IF(LEFT(C43,3)="CAN",O43*10000*HLOOKUP("PTAX",'Histórico'!$A$1:$FG$983,MATCH(B43,'Histórico'!A:A),FALSE),
IF(LEFT(C43,3)="GBR",O43*10000*HLOOKUP("GBP/BRL",'Histórico'!$A$1:$FG$983,MATCH(B43,'Histórico'!A:A),FALSE),
IF(LEFT(C43,3)="MEX",O43*10000*HLOOKUP("PTAX",'Histórico'!$A$1:$FG$983,MATCH(B43,'Histórico'!A:A),FALSE),
IF(LEFT(C43,3)="CHL",O43*10000*HLOOKUP("PTAX",'Histórico'!$A$1:$FG$983,MATCH(B43,'Histórico'!A:A),FALSE)
)))))))))))))))))))))))),""))</f>
        <v/>
      </c>
      <c r="O43" s="49">
        <f t="shared" si="2"/>
        <v>-76616</v>
      </c>
      <c r="P43" s="50">
        <f t="shared" si="3"/>
        <v>0</v>
      </c>
      <c r="Q43" s="51">
        <f>IF($C43&lt;&gt;"",SUMIFS($O$3:$O$401, $C$3:$C$401 ,$C43,$B$3:$B$401,"&lt;="&amp;Controle!$B$6),"")</f>
        <v>0</v>
      </c>
      <c r="R43" s="51">
        <f>IF($D43&lt;&gt;"",SUMIFS($O$3:$O$401, $C$3:$C$401 ,$C43,$B$3:$B$401,"&lt;="&amp;Controle!$B$6,$F$3:$F$401,$F43),"")</f>
        <v>0</v>
      </c>
      <c r="S43" s="51">
        <f>IF($D43&lt;&gt;"",SUMIFS($O$3:$O$401, $C$3:$C$401 ,$C43,$B$3:$B$401,"&lt;="&amp;'Controle D-1'!$B$6,$F$3:$F$401,$F43),"")</f>
        <v>0</v>
      </c>
      <c r="T43" s="40"/>
      <c r="U43" s="95"/>
      <c r="V43" s="109"/>
      <c r="W43" s="95"/>
      <c r="X43" s="2"/>
      <c r="Y43" s="106" t="s">
        <v>262</v>
      </c>
      <c r="Z43" s="97"/>
      <c r="AA43" s="97"/>
      <c r="AB43" s="98"/>
      <c r="AC43" s="40"/>
    </row>
    <row r="44" ht="15.75" customHeight="1">
      <c r="A44" s="28"/>
      <c r="B44" s="100">
        <v>45034.0</v>
      </c>
      <c r="C44" s="88" t="s">
        <v>74</v>
      </c>
      <c r="D44" s="88" t="str">
        <f>IF(ISTEXT(C44),VLOOKUP(C44,'Cadastro dos Ativos'!$A$2:$C$1000,3,0),"")</f>
        <v>Futuros</v>
      </c>
      <c r="E44" s="88" t="s">
        <v>208</v>
      </c>
      <c r="F44" s="88" t="s">
        <v>199</v>
      </c>
      <c r="G44" s="46">
        <v>78419.13</v>
      </c>
      <c r="H44" s="101" t="str">
        <f>if($D44="Ações Americanas", HLOOKUP("PTAX",'Histórico'!$A$1:$EL$983,(MATCH(B44,'Histórico'!A:A))-1,""),"")</f>
        <v/>
      </c>
      <c r="I44" s="110">
        <f t="array" ref="I44">IF(ISTEXT(C44),xlookup(C44,'Cadastro dos Ativos'!$A$2:$A$1000,'Cadastro dos Ativos'!$D$2:$D$1000),"")</f>
        <v>45839</v>
      </c>
      <c r="J44" s="88">
        <v>650.0</v>
      </c>
      <c r="K44" s="47">
        <f t="array" ref="K44">if(and(J44&lt;&gt;"",D44&lt;&gt;"Futuros"),
if(F44=Controle!$C$2, M44/xlookup(workday(B44,-1,Feriados!A:A),Controle!$B$10:$B$1000,Controle!$C$10:$C$1000),
if(F44=Controle!$F$2, M44/xlookup(workday(B44,-1,Feriados!A:A),Controle!$B$10:$B$1000,Controle!$F$10:$F$1000),
if(F44=Controle!$I$2, M44/xlookup(workday(B44,-1,Feriados!A:A),Controle!$B$10:$B$1000,Controle!$I$10:$I$1000),
if(F44=Controle!$L$2, M44/xlookup(workday(B44,-1,Feriados!A:A),Controle!$B$10:$B$1000,Controle!$L$10:$L$1000),
)))),
if(and(J44&lt;&gt;"",D44="Futuros"),
if(F44=Controle!$C$2, N44/xlookup(workday(B44,-1,Feriados!A:A),Controle!$B$10:$B$1000,Controle!$C$10:$C$1000),
if(F44=Controle!$F$2, N44/xlookup(workday(B44,-1,Feriados!A:A),Controle!$B$10:$B$1000,Controle!$F$10:$F$1000),
if(F44=Controle!$I$2, N44/xlookup(workday(B44,-1,Feriados!A:A),Controle!$B$10:$B$1000,Controle!$I$10:$I$1000),
if(F44=Controle!$L$2, N44/xlookup(workday(B44,-1,Feriados!A:A),Controle!$B$10:$B$1000,Controle!$L$10:$L$1000),
)))),""))</f>
        <v>0.5022474463</v>
      </c>
      <c r="L44" s="47">
        <f t="array" ref="L44">IF($J44&lt;&gt;"", IF($D44 = "Futuros" , $N44/xlookup(WORKDAY(B44,-1,Feriados!A:A),Controle!$B$10:$B$1000,Controle!$T$10:$T$1000) , $M44/xlookup(WORKDAY(B44,-1,Feriados!A:A),Controle!$B$10:$B$1000,Controle!$T$10:$T$1000)),"")</f>
        <v>0.1259756662</v>
      </c>
      <c r="M44" s="48">
        <f t="shared" si="1"/>
        <v>-50972434.5</v>
      </c>
      <c r="N44" s="48">
        <f>IFERROR(IF(D44="Futuros",
IF(LEFT(C44,3)="DI1",G44*O44,
IF(LEFT(C44,3)="ISP",G44*O44*HLOOKUP("PTAX",'Histórico'!$A$1:$EL$983,MATCH(B44,'Histórico'!A:A),FALSE)*50,
IF(LEFT(C44,3)="WDO",10*G44*O44*HLOOKUP("PTAX",'Histórico'!$A$1:$EL$983,MATCH(B44,'Histórico'!A:A),FALSE),
IF(LEFT(C44,3)="DOL",50*G44*O44,
IF(LEFT(C44,3)="EUR",G44*O44*50,
IF(LEFT(C44,3)="WEU",G44*O44*10,
IF(LEFT(C44,3)="IND",G44*O44,
IF(LEFT(C44,3)="WIN",G44*O44*0.2,
IF(LEFT(C44,3)="T10",G44*O44*1000*HLOOKUP("PTAX",'Histórico'!$A$1:$EL$983,MATCH(B44,'Histórico'!A:A),FALSE),
IF(LEFT(C44,3)="CCM",G44*O44*450,
IF(LEFT(C44,3)="SJC",G44*O44*HLOOKUP("PTAX",'Histórico'!$A$1:$EL$983,MATCH(B44,'Histórico'!A:A),FALSE)*450,
IF(LEFT(C44,3)="BGI",G44*O44*330,
IF(LEFT(C44,3)="OZ1",G44*O44*250,
IF(LEFT(C44,3)="CLP",G44*O44*25,
IF(LEFT(C44,3)="EUP", O44*10000*HLOOKUP("EUR/BRL",'Histórico'!$A$1:$EL$983,MATCH(B44,'Histórico'!A:A),FALSE),
IF(LEFT(C44,3)="JSE", G44*O44*0.4,
IF(LEFT(C44,3)="GBP", O44*10000*HLOOKUP("GBP/BRL",'Histórico'!$A$1:$FG$983,MATCH(B44,'Histórico'!A:A),FALSE),
IF(LEFT(C44,3)="JAP",O44*10000*HLOOKUP("PTAX",'Histórico'!$A$1:$FG$983,MATCH(B44,'Histórico'!A:A),FALSE),
IF(LEFT(C44,3)="CNH",O44*10000*HLOOKUP("PTAX",'Histórico'!$A$1:$FG$983,MATCH(B44,'Histórico'!A:A),FALSE),
IF(LEFT(C44,3)="AUS",O44*10000*HLOOKUP("PTAX",'Histórico'!$A$1:$FG$983,MATCH(B44,'Histórico'!A:A),FALSE),
IF(LEFT(C44,3)="CAN",O44*10000*HLOOKUP("PTAX",'Histórico'!$A$1:$FG$983,MATCH(B44,'Histórico'!A:A),FALSE),
IF(LEFT(C44,3)="GBR",O44*10000*HLOOKUP("GBP/BRL",'Histórico'!$A$1:$FG$983,MATCH(B44,'Histórico'!A:A),FALSE),
IF(LEFT(C44,3)="MEX",O44*10000*HLOOKUP("PTAX",'Histórico'!$A$1:$FG$983,MATCH(B44,'Histórico'!A:A),FALSE),
IF(LEFT(C44,3)="CHL",O44*10000*HLOOKUP("PTAX",'Histórico'!$A$1:$FG$983,MATCH(B44,'Histórico'!A:A),FALSE)
)))))))))))))))))))))))),""))</f>
        <v>50972434.5</v>
      </c>
      <c r="O44" s="49">
        <f t="shared" si="2"/>
        <v>650</v>
      </c>
      <c r="P44" s="50">
        <f t="shared" si="3"/>
        <v>0</v>
      </c>
      <c r="Q44" s="51">
        <f>IF($C44&lt;&gt;"",SUMIFS($O$3:$O$401, $C$3:$C$401 ,$C44,$B$3:$B$401,"&lt;="&amp;Controle!$B$6),"")</f>
        <v>0</v>
      </c>
      <c r="R44" s="51">
        <f>IF($D44&lt;&gt;"",SUMIFS($O$3:$O$401, $C$3:$C$401 ,$C44,$B$3:$B$401,"&lt;="&amp;Controle!$B$6,$F$3:$F$401,$F44),"")</f>
        <v>0</v>
      </c>
      <c r="S44" s="51">
        <f>IF($D44&lt;&gt;"",SUMIFS($O$3:$O$401, $C$3:$C$401 ,$C44,$B$3:$B$401,"&lt;="&amp;'Controle D-1'!$B$6,$F$3:$F$401,$F44),"")</f>
        <v>0</v>
      </c>
      <c r="T44" s="40"/>
      <c r="U44" s="95"/>
      <c r="V44" s="107" t="s">
        <v>263</v>
      </c>
      <c r="W44" s="91" t="s">
        <v>264</v>
      </c>
      <c r="X44" s="2"/>
      <c r="Y44" s="108" t="s">
        <v>265</v>
      </c>
      <c r="Z44" s="97"/>
      <c r="AA44" s="97"/>
      <c r="AB44" s="98"/>
      <c r="AC44" s="40"/>
    </row>
    <row r="45" ht="15.75" customHeight="1">
      <c r="A45" s="28"/>
      <c r="B45" s="100">
        <v>45034.0</v>
      </c>
      <c r="C45" s="88" t="s">
        <v>38</v>
      </c>
      <c r="D45" s="88" t="str">
        <f>IF(ISTEXT(C45),VLOOKUP(C45,'Cadastro dos Ativos'!$A$2:$C$1000,3,0),"")</f>
        <v>Futuros</v>
      </c>
      <c r="E45" s="88" t="s">
        <v>208</v>
      </c>
      <c r="F45" s="111" t="s">
        <v>199</v>
      </c>
      <c r="G45" s="46">
        <v>1092.916</v>
      </c>
      <c r="H45" s="101" t="str">
        <f>if($D45="Ações Americanas", HLOOKUP("PTAX",'Histórico'!$A$1:$EL$983,(MATCH(B45,'Histórico'!A:A))-1,""),"")</f>
        <v/>
      </c>
      <c r="I45" s="103">
        <f t="array" ref="I45">IF(ISTEXT(C45),xlookup(C45,'Cadastro dos Ativos'!$A$2:$A$1000,'Cadastro dos Ativos'!$D$2:$D$1000),"")</f>
        <v>45048</v>
      </c>
      <c r="J45" s="88">
        <v>1190.0</v>
      </c>
      <c r="K45" s="47">
        <f t="array" ref="K45">if(and(J45&lt;&gt;"",D45&lt;&gt;"Futuros"),
if(F45=Controle!$C$2, M45/xlookup(workday(B45,-1,Feriados!A:A),Controle!$B$10:$B$1000,Controle!$C$10:$C$1000),
if(F45=Controle!$F$2, M45/xlookup(workday(B45,-1,Feriados!A:A),Controle!$B$10:$B$1000,Controle!$F$10:$F$1000),
if(F45=Controle!$I$2, M45/xlookup(workday(B45,-1,Feriados!A:A),Controle!$B$10:$B$1000,Controle!$I$10:$I$1000),
if(F45=Controle!$L$2, M45/xlookup(workday(B45,-1,Feriados!A:A),Controle!$B$10:$B$1000,Controle!$L$10:$L$1000),
)))),
if(and(J45&lt;&gt;"",D45="Futuros"),
if(F45=Controle!$C$2, N45/xlookup(workday(B45,-1,Feriados!A:A),Controle!$B$10:$B$1000,Controle!$C$10:$C$1000),
if(F45=Controle!$F$2, N45/xlookup(workday(B45,-1,Feriados!A:A),Controle!$B$10:$B$1000,Controle!$F$10:$F$1000),
if(F45=Controle!$I$2, N45/xlookup(workday(B45,-1,Feriados!A:A),Controle!$B$10:$B$1000,Controle!$I$10:$I$1000),
if(F45=Controle!$L$2, N45/xlookup(workday(B45,-1,Feriados!A:A),Controle!$B$10:$B$1000,Controle!$L$10:$L$1000),
)))),""))</f>
        <v>0.6325994797</v>
      </c>
      <c r="L45" s="47">
        <f t="array" ref="L45">IF($J45&lt;&gt;"", IF($D45 = "Futuros" , $N45/xlookup(WORKDAY(B45,-1,Feriados!A:A),Controle!$B$10:$B$1000,Controle!$T$10:$T$1000) , $M45/xlookup(WORKDAY(B45,-1,Feriados!A:A),Controle!$B$10:$B$1000,Controle!$T$10:$T$1000)),"")</f>
        <v>0.1586710724</v>
      </c>
      <c r="M45" s="48">
        <f t="shared" si="1"/>
        <v>-1300570.04</v>
      </c>
      <c r="N45" s="48">
        <f>IFERROR(IF(D45="Futuros",
IF(LEFT(C45,3)="DI1",G45*O45,
IF(LEFT(C45,3)="ISP",G45*O45*HLOOKUP("PTAX",'Histórico'!$A$1:$EL$983,MATCH(B45,'Histórico'!A:A),FALSE)*50,
IF(LEFT(C45,3)="WDO",10*G45*O45*HLOOKUP("PTAX",'Histórico'!$A$1:$EL$983,MATCH(B45,'Histórico'!A:A),FALSE),
IF(LEFT(C45,3)="DOL",50*G45*O45,
IF(LEFT(C45,3)="EUR",G45*O45*50,
IF(LEFT(C45,3)="WEU",G45*O45*10,
IF(LEFT(C45,3)="IND",G45*O45,
IF(LEFT(C45,3)="WIN",G45*O45*0.2,
IF(LEFT(C45,3)="T10",G45*O45*1000*HLOOKUP("PTAX",'Histórico'!$A$1:$EL$983,MATCH(B45,'Histórico'!A:A),FALSE),
IF(LEFT(C45,3)="CCM",G45*O45*450,
IF(LEFT(C45,3)="SJC",G45*O45*HLOOKUP("PTAX",'Histórico'!$A$1:$EL$983,MATCH(B45,'Histórico'!A:A),FALSE)*450,
IF(LEFT(C45,3)="BGI",G45*O45*330,
IF(LEFT(C45,3)="OZ1",G45*O45*250,
IF(LEFT(C45,3)="CLP",G45*O45*25,
IF(LEFT(C45,3)="EUP", O45*10000*HLOOKUP("EUR/BRL",'Histórico'!$A$1:$EL$983,MATCH(B45,'Histórico'!A:A),FALSE),
IF(LEFT(C45,3)="JSE", G45*O45*0.4,
IF(LEFT(C45,3)="GBP", O45*10000*HLOOKUP("GBP/BRL",'Histórico'!$A$1:$FG$983,MATCH(B45,'Histórico'!A:A),FALSE),
IF(LEFT(C45,3)="JAP",O45*10000*HLOOKUP("PTAX",'Histórico'!$A$1:$FG$983,MATCH(B45,'Histórico'!A:A),FALSE),
IF(LEFT(C45,3)="CNH",O45*10000*HLOOKUP("PTAX",'Histórico'!$A$1:$FG$983,MATCH(B45,'Histórico'!A:A),FALSE),
IF(LEFT(C45,3)="AUS",O45*10000*HLOOKUP("PTAX",'Histórico'!$A$1:$FG$983,MATCH(B45,'Histórico'!A:A),FALSE),
IF(LEFT(C45,3)="CAN",O45*10000*HLOOKUP("PTAX",'Histórico'!$A$1:$FG$983,MATCH(B45,'Histórico'!A:A),FALSE),
IF(LEFT(C45,3)="GBR",O45*10000*HLOOKUP("GBP/BRL",'Histórico'!$A$1:$FG$983,MATCH(B45,'Histórico'!A:A),FALSE),
IF(LEFT(C45,3)="MEX",O45*10000*HLOOKUP("PTAX",'Histórico'!$A$1:$FG$983,MATCH(B45,'Histórico'!A:A),FALSE),
IF(LEFT(C45,3)="CHL",O45*10000*HLOOKUP("PTAX",'Histórico'!$A$1:$FG$983,MATCH(B45,'Histórico'!A:A),FALSE)
)))))))))))))))))))))))),""))</f>
        <v>64201691.39</v>
      </c>
      <c r="O45" s="49">
        <f t="shared" si="2"/>
        <v>1190</v>
      </c>
      <c r="P45" s="50">
        <f t="shared" si="3"/>
        <v>0</v>
      </c>
      <c r="Q45" s="51">
        <f>IF($C45&lt;&gt;"",SUMIFS($O$3:$O$401, $C$3:$C$401 ,$C45,$B$3:$B$401,"&lt;="&amp;Controle!$B$6),"")</f>
        <v>0</v>
      </c>
      <c r="R45" s="51">
        <f>IF($D45&lt;&gt;"",SUMIFS($O$3:$O$401, $C$3:$C$401 ,$C45,$B$3:$B$401,"&lt;="&amp;Controle!$B$6,$F$3:$F$401,$F45),"")</f>
        <v>0</v>
      </c>
      <c r="S45" s="51">
        <f>IF($D45&lt;&gt;"",SUMIFS($O$3:$O$401, $C$3:$C$401 ,$C45,$B$3:$B$401,"&lt;="&amp;'Controle D-1'!$B$6,$F$3:$F$401,$F45),"")</f>
        <v>0</v>
      </c>
      <c r="T45" s="40"/>
      <c r="U45" s="95"/>
      <c r="V45" s="109"/>
      <c r="W45" s="95"/>
      <c r="X45" s="2"/>
      <c r="Y45" s="112" t="s">
        <v>266</v>
      </c>
      <c r="Z45" s="97"/>
      <c r="AA45" s="97"/>
      <c r="AB45" s="98"/>
      <c r="AC45" s="40"/>
    </row>
    <row r="46" ht="15.75" customHeight="1">
      <c r="A46" s="28"/>
      <c r="B46" s="100">
        <v>45034.0</v>
      </c>
      <c r="C46" s="88" t="s">
        <v>75</v>
      </c>
      <c r="D46" s="88" t="str">
        <f>IF(ISTEXT(C46),VLOOKUP(C46,'Cadastro dos Ativos'!$A$2:$C$1000,3,0),"")</f>
        <v>Futuros</v>
      </c>
      <c r="E46" s="88" t="s">
        <v>198</v>
      </c>
      <c r="F46" s="88" t="s">
        <v>199</v>
      </c>
      <c r="G46" s="46">
        <v>5399.058</v>
      </c>
      <c r="H46" s="101" t="str">
        <f>if($D46="Ações Americanas", HLOOKUP("PTAX",'Histórico'!$A$1:$EL$983,(MATCH(B46,'Histórico'!A:A))-1,""),"")</f>
        <v/>
      </c>
      <c r="I46" s="102">
        <f t="array" ref="I46">IF(ISTEXT(C46),xlookup(C46,'Cadastro dos Ativos'!$A$2:$A$1000,'Cadastro dos Ativos'!$D$2:$D$1000),"")</f>
        <v>45048</v>
      </c>
      <c r="J46" s="88">
        <v>132.0</v>
      </c>
      <c r="K46" s="47">
        <f t="array" ref="K46">if(and(J46&lt;&gt;"",D46&lt;&gt;"Futuros"),
if(F46=Controle!$C$2, M46/xlookup(workday(B46,-1,Feriados!A:A),Controle!$B$10:$B$1000,Controle!$C$10:$C$1000),
if(F46=Controle!$F$2, M46/xlookup(workday(B46,-1,Feriados!A:A),Controle!$B$10:$B$1000,Controle!$F$10:$F$1000),
if(F46=Controle!$I$2, M46/xlookup(workday(B46,-1,Feriados!A:A),Controle!$B$10:$B$1000,Controle!$I$10:$I$1000),
if(F46=Controle!$L$2, M46/xlookup(workday(B46,-1,Feriados!A:A),Controle!$B$10:$B$1000,Controle!$L$10:$L$1000),
)))),
if(and(J46&lt;&gt;"",D46="Futuros"),
if(F46=Controle!$C$2, N46/xlookup(workday(B46,-1,Feriados!A:A),Controle!$B$10:$B$1000,Controle!$C$10:$C$1000),
if(F46=Controle!$F$2, N46/xlookup(workday(B46,-1,Feriados!A:A),Controle!$B$10:$B$1000,Controle!$F$10:$F$1000),
if(F46=Controle!$I$2, N46/xlookup(workday(B46,-1,Feriados!A:A),Controle!$B$10:$B$1000,Controle!$I$10:$I$1000),
if(F46=Controle!$L$2, N46/xlookup(workday(B46,-1,Feriados!A:A),Controle!$B$10:$B$1000,Controle!$L$10:$L$1000),
)))),""))</f>
        <v>-0.3511108816</v>
      </c>
      <c r="L46" s="47">
        <f t="array" ref="L46">IF($J46&lt;&gt;"", IF($D46 = "Futuros" , $N46/xlookup(WORKDAY(B46,-1,Feriados!A:A),Controle!$B$10:$B$1000,Controle!$T$10:$T$1000) , $M46/xlookup(WORKDAY(B46,-1,Feriados!A:A),Controle!$B$10:$B$1000,Controle!$T$10:$T$1000)),"")</f>
        <v>-0.08806700275</v>
      </c>
      <c r="M46" s="48">
        <f t="shared" si="1"/>
        <v>712675.656</v>
      </c>
      <c r="N46" s="48">
        <f>IFERROR(IF(D46="Futuros",
IF(LEFT(C46,3)="DI1",G46*O46,
IF(LEFT(C46,3)="ISP",G46*O46*HLOOKUP("PTAX",'Histórico'!$A$1:$EL$983,MATCH(B46,'Histórico'!A:A),FALSE)*50,
IF(LEFT(C46,3)="WDO",10*G46*O46*HLOOKUP("PTAX",'Histórico'!$A$1:$EL$983,MATCH(B46,'Histórico'!A:A),FALSE),
IF(LEFT(C46,3)="DOL",50*G46*O46,
IF(LEFT(C46,3)="EUR",G46*O46*50,
IF(LEFT(C46,3)="WEU",G46*O46*10,
IF(LEFT(C46,3)="IND",G46*O46,
IF(LEFT(C46,3)="WIN",G46*O46*0.2,
IF(LEFT(C46,3)="T10",G46*O46*1000*HLOOKUP("PTAX",'Histórico'!$A$1:$EL$983,MATCH(B46,'Histórico'!A:A),FALSE),
IF(LEFT(C46,3)="CCM",G46*O46*450,
IF(LEFT(C46,3)="SJC",G46*O46*HLOOKUP("PTAX",'Histórico'!$A$1:$EL$983,MATCH(B46,'Histórico'!A:A),FALSE)*450,
IF(LEFT(C46,3)="BGI",G46*O46*330,
IF(LEFT(C46,3)="OZ1",G46*O46*250,
IF(LEFT(C46,3)="CLP",G46*O46*25,
IF(LEFT(C46,3)="EUP", O46*10000*HLOOKUP("EUR/BRL",'Histórico'!$A$1:$EL$983,MATCH(B46,'Histórico'!A:A),FALSE),
IF(LEFT(C46,3)="JSE", G46*O46*0.4,
IF(LEFT(C46,3)="GBP", O46*10000*HLOOKUP("GBP/BRL",'Histórico'!$A$1:$FG$983,MATCH(B46,'Histórico'!A:A),FALSE),
IF(LEFT(C46,3)="JAP",O46*10000*HLOOKUP("PTAX",'Histórico'!$A$1:$FG$983,MATCH(B46,'Histórico'!A:A),FALSE),
IF(LEFT(C46,3)="CNH",O46*10000*HLOOKUP("PTAX",'Histórico'!$A$1:$FG$983,MATCH(B46,'Histórico'!A:A),FALSE),
IF(LEFT(C46,3)="AUS",O46*10000*HLOOKUP("PTAX",'Histórico'!$A$1:$FG$983,MATCH(B46,'Histórico'!A:A),FALSE),
IF(LEFT(C46,3)="CAN",O46*10000*HLOOKUP("PTAX",'Histórico'!$A$1:$FG$983,MATCH(B46,'Histórico'!A:A),FALSE),
IF(LEFT(C46,3)="GBR",O46*10000*HLOOKUP("GBP/BRL",'Histórico'!$A$1:$FG$983,MATCH(B46,'Histórico'!A:A),FALSE),
IF(LEFT(C46,3)="MEX",O46*10000*HLOOKUP("PTAX",'Histórico'!$A$1:$FG$983,MATCH(B46,'Histórico'!A:A),FALSE),
IF(LEFT(C46,3)="CHL",O46*10000*HLOOKUP("PTAX",'Histórico'!$A$1:$FG$983,MATCH(B46,'Histórico'!A:A),FALSE)
)))))))))))))))))))))))),""))</f>
        <v>-35633782.8</v>
      </c>
      <c r="O46" s="49">
        <f t="shared" si="2"/>
        <v>-132</v>
      </c>
      <c r="P46" s="50">
        <f t="shared" si="3"/>
        <v>0</v>
      </c>
      <c r="Q46" s="51">
        <f>IF($C46&lt;&gt;"",SUMIFS($O$3:$O$401, $C$3:$C$401 ,$C46,$B$3:$B$401,"&lt;="&amp;Controle!$B$6),"")</f>
        <v>0</v>
      </c>
      <c r="R46" s="51">
        <f>IF($D46&lt;&gt;"",SUMIFS($O$3:$O$401, $C$3:$C$401 ,$C46,$B$3:$B$401,"&lt;="&amp;Controle!$B$6,$F$3:$F$401,$F46),"")</f>
        <v>0</v>
      </c>
      <c r="S46" s="51">
        <f>IF($D46&lt;&gt;"",SUMIFS($O$3:$O$401, $C$3:$C$401 ,$C46,$B$3:$B$401,"&lt;="&amp;'Controle D-1'!$B$6,$F$3:$F$401,$F46),"")</f>
        <v>0</v>
      </c>
      <c r="T46" s="40"/>
      <c r="U46" s="95"/>
      <c r="V46" s="107" t="s">
        <v>267</v>
      </c>
      <c r="W46" s="91" t="s">
        <v>268</v>
      </c>
      <c r="X46" s="2"/>
      <c r="Y46" s="113" t="s">
        <v>269</v>
      </c>
      <c r="Z46" s="97"/>
      <c r="AA46" s="97"/>
      <c r="AB46" s="98"/>
      <c r="AC46" s="40"/>
    </row>
    <row r="47" ht="15.75" customHeight="1">
      <c r="A47" s="28"/>
      <c r="B47" s="100">
        <v>45034.0</v>
      </c>
      <c r="C47" s="88" t="s">
        <v>77</v>
      </c>
      <c r="D47" s="88" t="str">
        <f>IF(ISTEXT(C47),VLOOKUP(C47,'Cadastro dos Ativos'!$A$2:$C$1000,3,0),"")</f>
        <v>Futuros</v>
      </c>
      <c r="E47" s="88" t="s">
        <v>208</v>
      </c>
      <c r="F47" s="88" t="s">
        <v>199</v>
      </c>
      <c r="G47" s="46">
        <v>4936.757</v>
      </c>
      <c r="H47" s="101" t="str">
        <f>if($D47="Ações Americanas", HLOOKUP("PTAX",'Histórico'!$A$1:$EL$983,(MATCH(B47,'Histórico'!A:A))-1,""),"")</f>
        <v/>
      </c>
      <c r="I47" s="102">
        <f t="array" ref="I47">IF(ISTEXT(C47),xlookup(C47,'Cadastro dos Ativos'!$A$2:$A$1000,'Cadastro dos Ativos'!$D$2:$D$1000),"")</f>
        <v>45048</v>
      </c>
      <c r="J47" s="88">
        <v>125.0</v>
      </c>
      <c r="K47" s="47">
        <f t="array" ref="K47">if(and(J47&lt;&gt;"",D47&lt;&gt;"Futuros"),
if(F47=Controle!$C$2, M47/xlookup(workday(B47,-1,Feriados!A:A),Controle!$B$10:$B$1000,Controle!$C$10:$C$1000),
if(F47=Controle!$F$2, M47/xlookup(workday(B47,-1,Feriados!A:A),Controle!$B$10:$B$1000,Controle!$F$10:$F$1000),
if(F47=Controle!$I$2, M47/xlookup(workday(B47,-1,Feriados!A:A),Controle!$B$10:$B$1000,Controle!$I$10:$I$1000),
if(F47=Controle!$L$2, M47/xlookup(workday(B47,-1,Feriados!A:A),Controle!$B$10:$B$1000,Controle!$L$10:$L$1000),
)))),
if(and(J47&lt;&gt;"",D47="Futuros"),
if(F47=Controle!$C$2, N47/xlookup(workday(B47,-1,Feriados!A:A),Controle!$B$10:$B$1000,Controle!$C$10:$C$1000),
if(F47=Controle!$F$2, N47/xlookup(workday(B47,-1,Feriados!A:A),Controle!$B$10:$B$1000,Controle!$F$10:$F$1000),
if(F47=Controle!$I$2, N47/xlookup(workday(B47,-1,Feriados!A:A),Controle!$B$10:$B$1000,Controle!$I$10:$I$1000),
if(F47=Controle!$L$2, N47/xlookup(workday(B47,-1,Feriados!A:A),Controle!$B$10:$B$1000,Controle!$L$10:$L$1000),
)))),""))</f>
        <v>0.3040213819</v>
      </c>
      <c r="L47" s="47">
        <f t="array" ref="L47">IF($J47&lt;&gt;"", IF($D47 = "Futuros" , $N47/xlookup(WORKDAY(B47,-1,Feriados!A:A),Controle!$B$10:$B$1000,Controle!$T$10:$T$1000) , $M47/xlookup(WORKDAY(B47,-1,Feriados!A:A),Controle!$B$10:$B$1000,Controle!$T$10:$T$1000)),"")</f>
        <v>0.07625583051</v>
      </c>
      <c r="M47" s="48">
        <f t="shared" si="1"/>
        <v>-617094.625</v>
      </c>
      <c r="N47" s="48">
        <f>IFERROR(IF(D47="Futuros",
IF(LEFT(C47,3)="DI1",G47*O47,
IF(LEFT(C47,3)="ISP",G47*O47*HLOOKUP("PTAX",'Histórico'!$A$1:$EL$983,MATCH(B47,'Histórico'!A:A),FALSE)*50,
IF(LEFT(C47,3)="WDO",10*G47*O47*HLOOKUP("PTAX",'Histórico'!$A$1:$EL$983,MATCH(B47,'Histórico'!A:A),FALSE),
IF(LEFT(C47,3)="DOL",50*G47*O47,
IF(LEFT(C47,3)="EUR",G47*O47*50,
IF(LEFT(C47,3)="WEU",G47*O47*10,
IF(LEFT(C47,3)="IND",G47*O47,
IF(LEFT(C47,3)="WIN",G47*O47*0.2,
IF(LEFT(C47,3)="T10",G47*O47*1000*HLOOKUP("PTAX",'Histórico'!$A$1:$EL$983,MATCH(B47,'Histórico'!A:A),FALSE),
IF(LEFT(C47,3)="CCM",G47*O47*450,
IF(LEFT(C47,3)="SJC",G47*O47*HLOOKUP("PTAX",'Histórico'!$A$1:$EL$983,MATCH(B47,'Histórico'!A:A),FALSE)*450,
IF(LEFT(C47,3)="BGI",G47*O47*330,
IF(LEFT(C47,3)="OZ1",G47*O47*250,
IF(LEFT(C47,3)="CLP",G47*O47*25,
IF(LEFT(C47,3)="EUP", O47*10000*HLOOKUP("EUR/BRL",'Histórico'!$A$1:$EL$983,MATCH(B47,'Histórico'!A:A),FALSE),
IF(LEFT(C47,3)="JSE", G47*O47*0.4,
IF(LEFT(C47,3)="GBP", O47*10000*HLOOKUP("GBP/BRL",'Histórico'!$A$1:$FG$983,MATCH(B47,'Histórico'!A:A),FALSE),
IF(LEFT(C47,3)="JAP",O47*10000*HLOOKUP("PTAX",'Histórico'!$A$1:$FG$983,MATCH(B47,'Histórico'!A:A),FALSE),
IF(LEFT(C47,3)="CNH",O47*10000*HLOOKUP("PTAX",'Histórico'!$A$1:$FG$983,MATCH(B47,'Histórico'!A:A),FALSE),
IF(LEFT(C47,3)="AUS",O47*10000*HLOOKUP("PTAX",'Histórico'!$A$1:$FG$983,MATCH(B47,'Histórico'!A:A),FALSE),
IF(LEFT(C47,3)="CAN",O47*10000*HLOOKUP("PTAX",'Histórico'!$A$1:$FG$983,MATCH(B47,'Histórico'!A:A),FALSE),
IF(LEFT(C47,3)="GBR",O47*10000*HLOOKUP("GBP/BRL",'Histórico'!$A$1:$FG$983,MATCH(B47,'Histórico'!A:A),FALSE),
IF(LEFT(C47,3)="MEX",O47*10000*HLOOKUP("PTAX",'Histórico'!$A$1:$FG$983,MATCH(B47,'Histórico'!A:A),FALSE),
IF(LEFT(C47,3)="CHL",O47*10000*HLOOKUP("PTAX",'Histórico'!$A$1:$FG$983,MATCH(B47,'Histórico'!A:A),FALSE)
)))))))))))))))))))))))),""))</f>
        <v>30854731.25</v>
      </c>
      <c r="O47" s="49">
        <f t="shared" si="2"/>
        <v>125</v>
      </c>
      <c r="P47" s="50">
        <f t="shared" si="3"/>
        <v>0</v>
      </c>
      <c r="Q47" s="51">
        <f>IF($C47&lt;&gt;"",SUMIFS($O$3:$O$401, $C$3:$C$401 ,$C47,$B$3:$B$401,"&lt;="&amp;Controle!$B$6),"")</f>
        <v>0</v>
      </c>
      <c r="R47" s="51">
        <f>IF($D47&lt;&gt;"",SUMIFS($O$3:$O$401, $C$3:$C$401 ,$C47,$B$3:$B$401,"&lt;="&amp;Controle!$B$6,$F$3:$F$401,$F47),"")</f>
        <v>0</v>
      </c>
      <c r="S47" s="51">
        <f>IF($D47&lt;&gt;"",SUMIFS($O$3:$O$401, $C$3:$C$401 ,$C47,$B$3:$B$401,"&lt;="&amp;'Controle D-1'!$B$6,$F$3:$F$401,$F47),"")</f>
        <v>0</v>
      </c>
      <c r="T47" s="40"/>
      <c r="U47" s="95"/>
      <c r="V47" s="114"/>
      <c r="W47" s="115"/>
      <c r="X47" s="2"/>
      <c r="Y47" s="112" t="s">
        <v>236</v>
      </c>
      <c r="Z47" s="97"/>
      <c r="AA47" s="97"/>
      <c r="AB47" s="98"/>
      <c r="AC47" s="40"/>
    </row>
    <row r="48" ht="15.75" customHeight="1">
      <c r="A48" s="28"/>
      <c r="B48" s="100">
        <v>45034.0</v>
      </c>
      <c r="C48" s="88" t="s">
        <v>19</v>
      </c>
      <c r="D48" s="88" t="str">
        <f>IF(ISTEXT(C48),VLOOKUP(C48,'Cadastro dos Ativos'!$A$2:$C$1000,3,0),"")</f>
        <v>Ações Americanas</v>
      </c>
      <c r="E48" s="88" t="s">
        <v>208</v>
      </c>
      <c r="F48" s="88" t="s">
        <v>200</v>
      </c>
      <c r="G48" s="46">
        <v>33.2599983215332</v>
      </c>
      <c r="H48" s="101">
        <f>if($D48="Ações Americanas", HLOOKUP("PTAX",'Histórico'!$A$1:$EL$983,(MATCH(B48,'Histórico'!A:A))-1,""),"")</f>
        <v>4.908699989</v>
      </c>
      <c r="I48" s="88" t="str">
        <f t="array" ref="I48">IF(ISTEXT(C48),xlookup(C48,'Cadastro dos Ativos'!$A$2:$A$1000,'Cadastro dos Ativos'!$D$2:$D$1000),"")</f>
        <v/>
      </c>
      <c r="J48" s="88">
        <v>100000.0</v>
      </c>
      <c r="K48" s="47">
        <f t="array" ref="K48">if(and(J48&lt;&gt;"",D48&lt;&gt;"Futuros"),
if(F48=Controle!$C$2, M48/xlookup(workday(B48,-1,Feriados!A:A),Controle!$B$10:$B$1000,Controle!$C$10:$C$1000),
if(F48=Controle!$F$2, M48/xlookup(workday(B48,-1,Feriados!A:A),Controle!$B$10:$B$1000,Controle!$F$10:$F$1000),
if(F48=Controle!$I$2, M48/xlookup(workday(B48,-1,Feriados!A:A),Controle!$B$10:$B$1000,Controle!$I$10:$I$1000),
if(F48=Controle!$L$2, M48/xlookup(workday(B48,-1,Feriados!A:A),Controle!$B$10:$B$1000,Controle!$L$10:$L$1000),
)))),
if(and(J48&lt;&gt;"",D48="Futuros"),
if(F48=Controle!$C$2, N48/xlookup(workday(B48,-1,Feriados!A:A),Controle!$B$10:$B$1000,Controle!$C$10:$C$1000),
if(F48=Controle!$F$2, N48/xlookup(workday(B48,-1,Feriados!A:A),Controle!$B$10:$B$1000,Controle!$F$10:$F$1000),
if(F48=Controle!$I$2, N48/xlookup(workday(B48,-1,Feriados!A:A),Controle!$B$10:$B$1000,Controle!$I$10:$I$1000),
if(F48=Controle!$L$2, N48/xlookup(workday(B48,-1,Feriados!A:A),Controle!$B$10:$B$1000,Controle!$L$10:$L$1000),
)))),""))</f>
        <v>-0.1605165636</v>
      </c>
      <c r="L48" s="47">
        <f t="array" ref="L48">IF($J48&lt;&gt;"", IF($D48 = "Futuros" , $N48/xlookup(WORKDAY(B48,-1,Feriados!A:A),Controle!$B$10:$B$1000,Controle!$T$10:$T$1000) , $M48/xlookup(WORKDAY(B48,-1,Feriados!A:A),Controle!$B$10:$B$1000,Controle!$T$10:$T$1000)),"")</f>
        <v>-0.04034967119</v>
      </c>
      <c r="M48" s="48">
        <f t="shared" si="1"/>
        <v>-16326335.34</v>
      </c>
      <c r="N48" s="48" t="str">
        <f>IFERROR(IF(D48="Futuros",
IF(LEFT(C48,3)="DI1",G48*O48,
IF(LEFT(C48,3)="ISP",G48*O48*HLOOKUP("PTAX",'Histórico'!$A$1:$EL$983,MATCH(B48,'Histórico'!A:A),FALSE)*50,
IF(LEFT(C48,3)="WDO",10*G48*O48*HLOOKUP("PTAX",'Histórico'!$A$1:$EL$983,MATCH(B48,'Histórico'!A:A),FALSE),
IF(LEFT(C48,3)="DOL",50*G48*O48,
IF(LEFT(C48,3)="EUR",G48*O48*50,
IF(LEFT(C48,3)="WEU",G48*O48*10,
IF(LEFT(C48,3)="IND",G48*O48,
IF(LEFT(C48,3)="WIN",G48*O48*0.2,
IF(LEFT(C48,3)="T10",G48*O48*1000*HLOOKUP("PTAX",'Histórico'!$A$1:$EL$983,MATCH(B48,'Histórico'!A:A),FALSE),
IF(LEFT(C48,3)="CCM",G48*O48*450,
IF(LEFT(C48,3)="SJC",G48*O48*HLOOKUP("PTAX",'Histórico'!$A$1:$EL$983,MATCH(B48,'Histórico'!A:A),FALSE)*450,
IF(LEFT(C48,3)="BGI",G48*O48*330,
IF(LEFT(C48,3)="OZ1",G48*O48*250,
IF(LEFT(C48,3)="CLP",G48*O48*25,
IF(LEFT(C48,3)="EUP", O48*10000*HLOOKUP("EUR/BRL",'Histórico'!$A$1:$EL$983,MATCH(B48,'Histórico'!A:A),FALSE),
IF(LEFT(C48,3)="JSE", G48*O48*0.4,
IF(LEFT(C48,3)="GBP", O48*10000*HLOOKUP("GBP/BRL",'Histórico'!$A$1:$FG$983,MATCH(B48,'Histórico'!A:A),FALSE),
IF(LEFT(C48,3)="JAP",O48*10000*HLOOKUP("PTAX",'Histórico'!$A$1:$FG$983,MATCH(B48,'Histórico'!A:A),FALSE),
IF(LEFT(C48,3)="CNH",O48*10000*HLOOKUP("PTAX",'Histórico'!$A$1:$FG$983,MATCH(B48,'Histórico'!A:A),FALSE),
IF(LEFT(C48,3)="AUS",O48*10000*HLOOKUP("PTAX",'Histórico'!$A$1:$FG$983,MATCH(B48,'Histórico'!A:A),FALSE),
IF(LEFT(C48,3)="CAN",O48*10000*HLOOKUP("PTAX",'Histórico'!$A$1:$FG$983,MATCH(B48,'Histórico'!A:A),FALSE),
IF(LEFT(C48,3)="GBR",O48*10000*HLOOKUP("GBP/BRL",'Histórico'!$A$1:$FG$983,MATCH(B48,'Histórico'!A:A),FALSE),
IF(LEFT(C48,3)="MEX",O48*10000*HLOOKUP("PTAX",'Histórico'!$A$1:$FG$983,MATCH(B48,'Histórico'!A:A),FALSE),
IF(LEFT(C48,3)="CHL",O48*10000*HLOOKUP("PTAX",'Histórico'!$A$1:$FG$983,MATCH(B48,'Histórico'!A:A),FALSE)
)))))))))))))))))))))))),""))</f>
        <v/>
      </c>
      <c r="O48" s="49">
        <f t="shared" si="2"/>
        <v>100000</v>
      </c>
      <c r="P48" s="50">
        <f t="shared" si="3"/>
        <v>0</v>
      </c>
      <c r="Q48" s="51">
        <f>IF($C48&lt;&gt;"",SUMIFS($O$3:$O$401, $C$3:$C$401 ,$C48,$B$3:$B$401,"&lt;="&amp;Controle!$B$6),"")</f>
        <v>0</v>
      </c>
      <c r="R48" s="51">
        <f>IF($D48&lt;&gt;"",SUMIFS($O$3:$O$401, $C$3:$C$401 ,$C48,$B$3:$B$401,"&lt;="&amp;Controle!$B$6,$F$3:$F$401,$F48),"")</f>
        <v>0</v>
      </c>
      <c r="S48" s="51">
        <f>IF($D48&lt;&gt;"",SUMIFS($O$3:$O$401, $C$3:$C$401 ,$C48,$B$3:$B$401,"&lt;="&amp;'Controle D-1'!$B$6,$F$3:$F$401,$F48),"")</f>
        <v>0</v>
      </c>
      <c r="T48" s="40"/>
      <c r="U48" s="95"/>
      <c r="V48" s="116" t="s">
        <v>270</v>
      </c>
      <c r="W48" s="117" t="s">
        <v>271</v>
      </c>
      <c r="X48" s="2"/>
      <c r="Y48" s="118" t="s">
        <v>269</v>
      </c>
      <c r="Z48" s="119"/>
      <c r="AA48" s="119"/>
      <c r="AB48" s="120"/>
      <c r="AC48" s="40"/>
    </row>
    <row r="49" ht="15.75" customHeight="1">
      <c r="A49" s="28"/>
      <c r="B49" s="100">
        <v>45034.0</v>
      </c>
      <c r="C49" s="88" t="s">
        <v>82</v>
      </c>
      <c r="D49" s="88" t="str">
        <f>IF(ISTEXT(C49),VLOOKUP(C49,'Cadastro dos Ativos'!$A$2:$C$1000,3,0),"")</f>
        <v>Ações Americanas</v>
      </c>
      <c r="E49" s="88" t="s">
        <v>198</v>
      </c>
      <c r="F49" s="88" t="s">
        <v>200</v>
      </c>
      <c r="G49" s="46">
        <v>39.07</v>
      </c>
      <c r="H49" s="101">
        <f>if($D49="Ações Americanas", HLOOKUP("PTAX",'Histórico'!$A$1:$EL$983,(MATCH(B49,'Histórico'!A:A))-1,""),
if($D49="Ações Europeias", HLOOKUP("EUR/BRL",'Histórico'!$A$1:$EL$983,(MATCH(B49,'Histórico'!A:A))-1,""),""))</f>
        <v>4.908699989</v>
      </c>
      <c r="I49" s="88" t="str">
        <f t="array" ref="I49">IF(ISTEXT(C49),xlookup(C49,'Cadastro dos Ativos'!$A$2:$A$1000,'Cadastro dos Ativos'!$D$2:$D$1000),"")</f>
        <v/>
      </c>
      <c r="J49" s="88">
        <v>40000.0</v>
      </c>
      <c r="K49" s="47">
        <f t="array" ref="K49">if(and(J49&lt;&gt;"",D49&lt;&gt;"Futuros"),
if(F49=Controle!$C$2, M49/xlookup(workday(B49,-1,Feriados!A:A),Controle!$B$10:$B$1000,Controle!$C$10:$C$1000),
if(F49=Controle!$F$2, M49/xlookup(workday(B49,-1,Feriados!A:A),Controle!$B$10:$B$1000,Controle!$F$10:$F$1000),
if(F49=Controle!$I$2, M49/xlookup(workday(B49,-1,Feriados!A:A),Controle!$B$10:$B$1000,Controle!$I$10:$I$1000),
if(F49=Controle!$L$2, M49/xlookup(workday(B49,-1,Feriados!A:A),Controle!$B$10:$B$1000,Controle!$L$10:$L$1000),
)))),
if(and(J49&lt;&gt;"",D49="Futuros"),
if(F49=Controle!$C$2, N49/xlookup(workday(B49,-1,Feriados!A:A),Controle!$B$10:$B$1000,Controle!$C$10:$C$1000),
if(F49=Controle!$F$2, N49/xlookup(workday(B49,-1,Feriados!A:A),Controle!$B$10:$B$1000,Controle!$F$10:$F$1000),
if(F49=Controle!$I$2, N49/xlookup(workday(B49,-1,Feriados!A:A),Controle!$B$10:$B$1000,Controle!$I$10:$I$1000),
if(F49=Controle!$L$2, N49/xlookup(workday(B49,-1,Feriados!A:A),Controle!$B$10:$B$1000,Controle!$L$10:$L$1000),
)))),""))</f>
        <v>0.07542251901</v>
      </c>
      <c r="L49" s="47">
        <f t="array" ref="L49">IF($J49&lt;&gt;"", IF($D49 = "Futuros" , $N49/xlookup(WORKDAY(B49,-1,Feriados!A:A),Controle!$B$10:$B$1000,Controle!$T$10:$T$1000) , $M49/xlookup(WORKDAY(B49,-1,Feriados!A:A),Controle!$B$10:$B$1000,Controle!$T$10:$T$1000)),"")</f>
        <v>0.01895925115</v>
      </c>
      <c r="M49" s="48">
        <f t="shared" si="1"/>
        <v>7671316.343</v>
      </c>
      <c r="N49" s="48" t="str">
        <f>IFERROR(IF(D49="Futuros",
IF(LEFT(C49,3)="DI1",G49*O49,
IF(LEFT(C49,3)="ISP",G49*O49*HLOOKUP("PTAX",'Histórico'!$A$1:$EL$983,MATCH(B49,'Histórico'!A:A),FALSE)*50,
IF(LEFT(C49,3)="WDO",10*G49*O49*HLOOKUP("PTAX",'Histórico'!$A$1:$EL$983,MATCH(B49,'Histórico'!A:A),FALSE),
IF(LEFT(C49,3)="DOL",50*G49*O49,
IF(LEFT(C49,3)="EUR",G49*O49*50,
IF(LEFT(C49,3)="WEU",G49*O49*10,
IF(LEFT(C49,3)="IND",G49*O49,
IF(LEFT(C49,3)="WIN",G49*O49*0.2,
IF(LEFT(C49,3)="T10",G49*O49*1000*HLOOKUP("PTAX",'Histórico'!$A$1:$EL$983,MATCH(B49,'Histórico'!A:A),FALSE),
IF(LEFT(C49,3)="CCM",G49*O49*450,
IF(LEFT(C49,3)="SJC",G49*O49*HLOOKUP("PTAX",'Histórico'!$A$1:$EL$983,MATCH(B49,'Histórico'!A:A),FALSE)*450,
IF(LEFT(C49,3)="BGI",G49*O49*330,
IF(LEFT(C49,3)="OZ1",G49*O49*250,
IF(LEFT(C49,3)="CLP",G49*O49*25,
IF(LEFT(C49,3)="EUP", O49*10000*HLOOKUP("EUR/BRL",'Histórico'!$A$1:$EL$983,MATCH(B49,'Histórico'!A:A),FALSE),
IF(LEFT(C49,3)="JSE", G49*O49*0.4,
IF(LEFT(C49,3)="GBP", O49*10000*HLOOKUP("GBP/BRL",'Histórico'!$A$1:$FG$983,MATCH(B49,'Histórico'!A:A),FALSE),
IF(LEFT(C49,3)="JAP",O49*10000*HLOOKUP("PTAX",'Histórico'!$A$1:$FG$983,MATCH(B49,'Histórico'!A:A),FALSE),
IF(LEFT(C49,3)="CNH",O49*10000*HLOOKUP("PTAX",'Histórico'!$A$1:$FG$983,MATCH(B49,'Histórico'!A:A),FALSE),
IF(LEFT(C49,3)="AUS",O49*10000*HLOOKUP("PTAX",'Histórico'!$A$1:$FG$983,MATCH(B49,'Histórico'!A:A),FALSE),
IF(LEFT(C49,3)="CAN",O49*10000*HLOOKUP("PTAX",'Histórico'!$A$1:$FG$983,MATCH(B49,'Histórico'!A:A),FALSE),
IF(LEFT(C49,3)="GBR",O49*10000*HLOOKUP("GBP/BRL",'Histórico'!$A$1:$FG$983,MATCH(B49,'Histórico'!A:A),FALSE),
IF(LEFT(C49,3)="MEX",O49*10000*HLOOKUP("PTAX",'Histórico'!$A$1:$FG$983,MATCH(B49,'Histórico'!A:A),FALSE),
IF(LEFT(C49,3)="CHL",O49*10000*HLOOKUP("PTAX",'Histórico'!$A$1:$FG$983,MATCH(B49,'Histórico'!A:A),FALSE)
)))))))))))))))))))))))),""))</f>
        <v/>
      </c>
      <c r="O49" s="49">
        <f t="shared" si="2"/>
        <v>-40000</v>
      </c>
      <c r="P49" s="50">
        <f t="shared" si="3"/>
        <v>0</v>
      </c>
      <c r="Q49" s="51">
        <f>IF($C49&lt;&gt;"",SUMIFS($O$3:$O$401, $C$3:$C$401 ,$C49,$B$3:$B$401,"&lt;="&amp;Controle!$B$6),"")</f>
        <v>0</v>
      </c>
      <c r="R49" s="51">
        <f>IF($D49&lt;&gt;"",SUMIFS($O$3:$O$401, $C$3:$C$401 ,$C49,$B$3:$B$401,"&lt;="&amp;Controle!$B$6,$F$3:$F$401,$F49),"")</f>
        <v>0</v>
      </c>
      <c r="S49" s="51">
        <f>IF($D49&lt;&gt;"",SUMIFS($O$3:$O$401, $C$3:$C$401 ,$C49,$B$3:$B$401,"&lt;="&amp;'Controle D-1'!$B$6,$F$3:$F$401,$F49),"")</f>
        <v>0</v>
      </c>
      <c r="T49" s="40"/>
      <c r="U49" s="115"/>
      <c r="V49" s="115"/>
      <c r="W49" s="115"/>
      <c r="X49" s="2"/>
      <c r="Y49" s="121" t="s">
        <v>236</v>
      </c>
      <c r="Z49" s="122"/>
      <c r="AA49" s="122"/>
      <c r="AB49" s="123"/>
      <c r="AC49" s="40"/>
    </row>
    <row r="50" ht="15.75" customHeight="1">
      <c r="A50" s="28"/>
      <c r="B50" s="100">
        <v>45034.0</v>
      </c>
      <c r="C50" s="88" t="s">
        <v>79</v>
      </c>
      <c r="D50" s="88" t="str">
        <f>IF(ISTEXT(C50),VLOOKUP(C50,'Cadastro dos Ativos'!$A$2:$C$1000,3,0),"")</f>
        <v>Ações Europeias</v>
      </c>
      <c r="E50" s="88" t="s">
        <v>198</v>
      </c>
      <c r="F50" s="88" t="s">
        <v>200</v>
      </c>
      <c r="G50" s="46">
        <v>46.28</v>
      </c>
      <c r="H50" s="101">
        <f>if($D50="Ações Americanas", HLOOKUP("PTAX",'Histórico'!$A$1:$EL$983,(MATCH(B50,'Histórico'!A:A))-1,""),
if($D50="Ações Europeias", HLOOKUP("EUR/BRL",'Histórico'!$A$1:$EL$983,(MATCH(B50,'Histórico'!A:A))-1,""),""))</f>
        <v>5.397699833</v>
      </c>
      <c r="I50" s="88" t="str">
        <f t="array" ref="I50">IF(ISTEXT(C50),xlookup(C50,'Cadastro dos Ativos'!$A$2:$A$1000,'Cadastro dos Ativos'!$D$2:$D$1000),"")</f>
        <v/>
      </c>
      <c r="J50" s="88">
        <v>30700.0</v>
      </c>
      <c r="K50" s="47">
        <f t="array" ref="K50">if(and(J50&lt;&gt;"",D50&lt;&gt;"Futuros"),
if(F50=Controle!$C$2, M50/xlookup(workday(B50,-1,Feriados!A:A),Controle!$B$10:$B$1000,Controle!$C$10:$C$1000),
if(F50=Controle!$F$2, M50/xlookup(workday(B50,-1,Feriados!A:A),Controle!$B$10:$B$1000,Controle!$F$10:$F$1000),
if(F50=Controle!$I$2, M50/xlookup(workday(B50,-1,Feriados!A:A),Controle!$B$10:$B$1000,Controle!$I$10:$I$1000),
if(F50=Controle!$L$2, M50/xlookup(workday(B50,-1,Feriados!A:A),Controle!$B$10:$B$1000,Controle!$L$10:$L$1000),
)))),
if(and(J50&lt;&gt;"",D50="Futuros"),
if(F50=Controle!$C$2, N50/xlookup(workday(B50,-1,Feriados!A:A),Controle!$B$10:$B$1000,Controle!$C$10:$C$1000),
if(F50=Controle!$F$2, N50/xlookup(workday(B50,-1,Feriados!A:A),Controle!$B$10:$B$1000,Controle!$F$10:$F$1000),
if(F50=Controle!$I$2, N50/xlookup(workday(B50,-1,Feriados!A:A),Controle!$B$10:$B$1000,Controle!$I$10:$I$1000),
if(F50=Controle!$L$2, N50/xlookup(workday(B50,-1,Feriados!A:A),Controle!$B$10:$B$1000,Controle!$L$10:$L$1000),
)))),""))</f>
        <v>0.0754000435</v>
      </c>
      <c r="L50" s="47">
        <f t="array" ref="L50">IF($J50&lt;&gt;"", IF($D50 = "Futuros" , $N50/xlookup(WORKDAY(B50,-1,Feriados!A:A),Controle!$B$10:$B$1000,Controle!$T$10:$T$1000) , $M50/xlookup(WORKDAY(B50,-1,Feriados!A:A),Controle!$B$10:$B$1000,Controle!$T$10:$T$1000)),"")</f>
        <v>0.01895360139</v>
      </c>
      <c r="M50" s="48">
        <f t="shared" ref="M50:M401" si="4">IF($G50&lt;&gt;"",IF(or($D50="Ações Americanas",$D50="Ações Europeias"),-$O50*$G50*$H50,-$O50*$G50),"")</f>
        <v>7669030.332</v>
      </c>
      <c r="N50" s="48" t="str">
        <f>IFERROR(IF(D50="Futuros",
IF(LEFT(C50,3)="DI1",G50*O50,
IF(LEFT(C50,3)="ISP",G50*O50*HLOOKUP("PTAX",'Histórico'!$A$1:$EL$983,MATCH(B50,'Histórico'!A:A),FALSE)*50,
IF(LEFT(C50,3)="WDO",10*G50*O50*HLOOKUP("PTAX",'Histórico'!$A$1:$EL$983,MATCH(B50,'Histórico'!A:A),FALSE),
IF(LEFT(C50,3)="DOL",50*G50*O50,
IF(LEFT(C50,3)="EUR",G50*O50*50,
IF(LEFT(C50,3)="WEU",G50*O50*10,
IF(LEFT(C50,3)="IND",G50*O50,
IF(LEFT(C50,3)="WIN",G50*O50*0.2,
IF(LEFT(C50,3)="T10",G50*O50*1000*HLOOKUP("PTAX",'Histórico'!$A$1:$EL$983,MATCH(B50,'Histórico'!A:A),FALSE),
IF(LEFT(C50,3)="CCM",G50*O50*450,
IF(LEFT(C50,3)="SJC",G50*O50*HLOOKUP("PTAX",'Histórico'!$A$1:$EL$983,MATCH(B50,'Histórico'!A:A),FALSE)*450,
IF(LEFT(C50,3)="BGI",G50*O50*330,
IF(LEFT(C50,3)="OZ1",G50*O50*250,
IF(LEFT(C50,3)="CLP",G50*O50*25,
IF(LEFT(C50,3)="EUP", O50*10000*HLOOKUP("EUR/BRL",'Histórico'!$A$1:$EL$983,MATCH(B50,'Histórico'!A:A),FALSE),
IF(LEFT(C50,3)="JSE", G50*O50*0.4,
IF(LEFT(C50,3)="GBP", O50*10000*HLOOKUP("GBP/BRL",'Histórico'!$A$1:$FG$983,MATCH(B50,'Histórico'!A:A),FALSE),
IF(LEFT(C50,3)="JAP",O50*10000*HLOOKUP("PTAX",'Histórico'!$A$1:$FG$983,MATCH(B50,'Histórico'!A:A),FALSE),
IF(LEFT(C50,3)="CNH",O50*10000*HLOOKUP("PTAX",'Histórico'!$A$1:$FG$983,MATCH(B50,'Histórico'!A:A),FALSE),
IF(LEFT(C50,3)="AUS",O50*10000*HLOOKUP("PTAX",'Histórico'!$A$1:$FG$983,MATCH(B50,'Histórico'!A:A),FALSE),
IF(LEFT(C50,3)="CAN",O50*10000*HLOOKUP("PTAX",'Histórico'!$A$1:$FG$983,MATCH(B50,'Histórico'!A:A),FALSE),
IF(LEFT(C50,3)="GBR",O50*10000*HLOOKUP("GBP/BRL",'Histórico'!$A$1:$FG$983,MATCH(B50,'Histórico'!A:A),FALSE),
IF(LEFT(C50,3)="MEX",O50*10000*HLOOKUP("PTAX",'Histórico'!$A$1:$FG$983,MATCH(B50,'Histórico'!A:A),FALSE),
IF(LEFT(C50,3)="CHL",O50*10000*HLOOKUP("PTAX",'Histórico'!$A$1:$FG$983,MATCH(B50,'Histórico'!A:A),FALSE)
)))))))))))))))))))))))),""))</f>
        <v/>
      </c>
      <c r="O50" s="49">
        <f t="shared" si="2"/>
        <v>-30700</v>
      </c>
      <c r="P50" s="50">
        <f t="shared" si="3"/>
        <v>0</v>
      </c>
      <c r="Q50" s="51">
        <f>IF($C50&lt;&gt;"",SUMIFS($O$3:$O$401, $C$3:$C$401 ,$C50,$B$3:$B$401,"&lt;="&amp;Controle!$B$6),"")</f>
        <v>0</v>
      </c>
      <c r="R50" s="51">
        <f>IF($D50&lt;&gt;"",SUMIFS($O$3:$O$401, $C$3:$C$401 ,$C50,$B$3:$B$401,"&lt;="&amp;Controle!$B$6,$F$3:$F$401,$F50),"")</f>
        <v>0</v>
      </c>
      <c r="S50" s="51">
        <f>IF($D50&lt;&gt;"",SUMIFS($O$3:$O$401, $C$3:$C$401 ,$C50,$B$3:$B$401,"&lt;="&amp;'Controle D-1'!$B$6,$F$3:$F$401,$F50),"")</f>
        <v>0</v>
      </c>
      <c r="T50" s="40"/>
      <c r="U50" s="40"/>
      <c r="V50" s="40"/>
      <c r="W50" s="40"/>
      <c r="X50" s="2"/>
      <c r="Y50" s="40"/>
      <c r="Z50" s="40"/>
      <c r="AA50" s="40"/>
      <c r="AB50" s="40"/>
      <c r="AC50" s="40"/>
    </row>
    <row r="51" ht="15.75" customHeight="1">
      <c r="A51" s="28"/>
      <c r="B51" s="100">
        <v>45040.0</v>
      </c>
      <c r="C51" s="88" t="s">
        <v>77</v>
      </c>
      <c r="D51" s="88" t="str">
        <f>IF(ISTEXT(C51),VLOOKUP(C51,'Cadastro dos Ativos'!$A$2:$C$1000,3,0),"")</f>
        <v>Futuros</v>
      </c>
      <c r="E51" s="88" t="s">
        <v>198</v>
      </c>
      <c r="F51" s="88" t="s">
        <v>199</v>
      </c>
      <c r="G51" s="46">
        <v>5045.5</v>
      </c>
      <c r="H51" s="101" t="str">
        <f>if($D51="Ações Americanas", HLOOKUP("PTAX",'Histórico'!$A$1:$EL$983,(MATCH(B51,'Histórico'!A:A))-1,""),
if($D51="Ações Europeias", HLOOKUP("EUR/BRL",'Histórico'!$A$1:$EL$983,(MATCH(B51,'Histórico'!A:A))-1,""),""))</f>
        <v/>
      </c>
      <c r="I51" s="102">
        <f t="array" ref="I51">IF(ISTEXT(C51),xlookup(C51,'Cadastro dos Ativos'!$A$2:$A$1000,'Cadastro dos Ativos'!$D$2:$D$1000),"")</f>
        <v>45048</v>
      </c>
      <c r="J51" s="88">
        <v>125.0</v>
      </c>
      <c r="K51" s="47">
        <f t="array" ref="K51">if(and(J51&lt;&gt;"",D51&lt;&gt;"Futuros"),
if(F51=Controle!$C$2, M51/xlookup(workday(B51,-1,Feriados!A:A),Controle!$B$10:$B$1000,Controle!$C$10:$C$1000),
if(F51=Controle!$F$2, M51/xlookup(workday(B51,-1,Feriados!A:A),Controle!$B$10:$B$1000,Controle!$F$10:$F$1000),
if(F51=Controle!$I$2, M51/xlookup(workday(B51,-1,Feriados!A:A),Controle!$B$10:$B$1000,Controle!$I$10:$I$1000),
if(F51=Controle!$L$2, M51/xlookup(workday(B51,-1,Feriados!A:A),Controle!$B$10:$B$1000,Controle!$L$10:$L$1000),
)))),
if(and(J51&lt;&gt;"",D51="Futuros"),
if(F51=Controle!$C$2, N51/xlookup(workday(B51,-1,Feriados!A:A),Controle!$B$10:$B$1000,Controle!$C$10:$C$1000),
if(F51=Controle!$F$2, N51/xlookup(workday(B51,-1,Feriados!A:A),Controle!$B$10:$B$1000,Controle!$F$10:$F$1000),
if(F51=Controle!$I$2, N51/xlookup(workday(B51,-1,Feriados!A:A),Controle!$B$10:$B$1000,Controle!$I$10:$I$1000),
if(F51=Controle!$L$2, N51/xlookup(workday(B51,-1,Feriados!A:A),Controle!$B$10:$B$1000,Controle!$L$10:$L$1000),
)))),""))</f>
        <v>-0.3105947841</v>
      </c>
      <c r="L51" s="47">
        <f t="array" ref="L51">IF($J51&lt;&gt;"", IF($D51 = "Futuros" , $N51/xlookup(WORKDAY(B51,-1,Feriados!A:A),Controle!$B$10:$B$1000,Controle!$T$10:$T$1000) , $M51/xlookup(WORKDAY(B51,-1,Feriados!A:A),Controle!$B$10:$B$1000,Controle!$T$10:$T$1000)),"")</f>
        <v>-0.07786345089</v>
      </c>
      <c r="M51" s="48">
        <f t="shared" si="4"/>
        <v>630687.5</v>
      </c>
      <c r="N51" s="48">
        <f>IFERROR(IF(D51="Futuros",
IF(LEFT(C51,3)="DI1",G51*O51,
IF(LEFT(C51,3)="ISP",G51*O51*HLOOKUP("PTAX",'Histórico'!$A$1:$EL$983,MATCH(B51,'Histórico'!A:A),FALSE)*50,
IF(LEFT(C51,3)="WDO",10*G51*O51*HLOOKUP("PTAX",'Histórico'!$A$1:$EL$983,MATCH(B51,'Histórico'!A:A),FALSE),
IF(LEFT(C51,3)="DOL",50*G51*O51,
IF(LEFT(C51,3)="EUR",G51*O51*50,
IF(LEFT(C51,3)="WEU",G51*O51*10,
IF(LEFT(C51,3)="IND",G51*O51,
IF(LEFT(C51,3)="WIN",G51*O51*0.2,
IF(LEFT(C51,3)="T10",G51*O51*1000*HLOOKUP("PTAX",'Histórico'!$A$1:$EL$983,MATCH(B51,'Histórico'!A:A),FALSE),
IF(LEFT(C51,3)="CCM",G51*O51*450,
IF(LEFT(C51,3)="SJC",G51*O51*HLOOKUP("PTAX",'Histórico'!$A$1:$EL$983,MATCH(B51,'Histórico'!A:A),FALSE)*450,
IF(LEFT(C51,3)="BGI",G51*O51*330,
IF(LEFT(C51,3)="OZ1",G51*O51*250,
IF(LEFT(C51,3)="CLP",G51*O51*25,
IF(LEFT(C51,3)="EUP", O51*10000*HLOOKUP("EUR/BRL",'Histórico'!$A$1:$EL$983,MATCH(B51,'Histórico'!A:A),FALSE),
IF(LEFT(C51,3)="JSE", G51*O51*0.4,
IF(LEFT(C51,3)="GBP", O51*10000*HLOOKUP("GBP/BRL",'Histórico'!$A$1:$FG$983,MATCH(B51,'Histórico'!A:A),FALSE),
IF(LEFT(C51,3)="JAP",O51*10000*HLOOKUP("PTAX",'Histórico'!$A$1:$FG$983,MATCH(B51,'Histórico'!A:A),FALSE),
IF(LEFT(C51,3)="CNH",O51*10000*HLOOKUP("PTAX",'Histórico'!$A$1:$FG$983,MATCH(B51,'Histórico'!A:A),FALSE),
IF(LEFT(C51,3)="AUS",O51*10000*HLOOKUP("PTAX",'Histórico'!$A$1:$FG$983,MATCH(B51,'Histórico'!A:A),FALSE),
IF(LEFT(C51,3)="CAN",O51*10000*HLOOKUP("PTAX",'Histórico'!$A$1:$FG$983,MATCH(B51,'Histórico'!A:A),FALSE),
IF(LEFT(C51,3)="GBR",O51*10000*HLOOKUP("GBP/BRL",'Histórico'!$A$1:$FG$983,MATCH(B51,'Histórico'!A:A),FALSE),
IF(LEFT(C51,3)="MEX",O51*10000*HLOOKUP("PTAX",'Histórico'!$A$1:$FG$983,MATCH(B51,'Histórico'!A:A),FALSE),
IF(LEFT(C51,3)="CHL",O51*10000*HLOOKUP("PTAX",'Histórico'!$A$1:$FG$983,MATCH(B51,'Histórico'!A:A),FALSE)
)))))))))))))))))))))))),""))</f>
        <v>-31534375</v>
      </c>
      <c r="O51" s="49">
        <f t="shared" si="2"/>
        <v>-125</v>
      </c>
      <c r="P51" s="50">
        <f t="shared" si="3"/>
        <v>0</v>
      </c>
      <c r="Q51" s="51">
        <f>IF($C51&lt;&gt;"",SUMIFS($O$3:$O$401, $C$3:$C$401 ,$C51,$B$3:$B$401,"&lt;="&amp;Controle!$B$6),"")</f>
        <v>0</v>
      </c>
      <c r="R51" s="51">
        <f>IF($D51&lt;&gt;"",SUMIFS($O$3:$O$401, $C$3:$C$401 ,$C51,$B$3:$B$401,"&lt;="&amp;Controle!$B$6,$F$3:$F$401,$F51),"")</f>
        <v>0</v>
      </c>
      <c r="S51" s="51">
        <f>IF($D51&lt;&gt;"",SUMIFS($O$3:$O$401, $C$3:$C$401 ,$C51,$B$3:$B$401,"&lt;="&amp;'Controle D-1'!$B$6,$F$3:$F$401,$F51),"")</f>
        <v>0</v>
      </c>
      <c r="T51" s="40"/>
      <c r="U51" s="40"/>
      <c r="V51" s="40"/>
      <c r="W51" s="40"/>
      <c r="X51" s="2"/>
      <c r="Y51" s="40"/>
      <c r="Z51" s="40"/>
      <c r="AA51" s="40"/>
      <c r="AB51" s="40"/>
      <c r="AC51" s="40"/>
    </row>
    <row r="52" ht="15.75" customHeight="1">
      <c r="A52" s="28"/>
      <c r="B52" s="100">
        <v>45040.0</v>
      </c>
      <c r="C52" s="88" t="s">
        <v>74</v>
      </c>
      <c r="D52" s="88" t="str">
        <f>IF(ISTEXT(C52),VLOOKUP(C52,'Cadastro dos Ativos'!$A$2:$C$1000,3,0),"")</f>
        <v>Futuros</v>
      </c>
      <c r="E52" s="88" t="s">
        <v>208</v>
      </c>
      <c r="F52" s="88" t="s">
        <v>199</v>
      </c>
      <c r="G52" s="46">
        <v>78529.58</v>
      </c>
      <c r="H52" s="101" t="str">
        <f>if($D52="Ações Americanas", HLOOKUP("PTAX",'Histórico'!$A$1:$EL$983,(MATCH(B52,'Histórico'!A:A))-1,""),
if($D52="Ações Europeias", HLOOKUP("EUR/BRL",'Histórico'!$A$1:$EL$983,(MATCH(B52,'Histórico'!A:A))-1,""),""))</f>
        <v/>
      </c>
      <c r="I52" s="110">
        <f t="array" ref="I52">IF(ISTEXT(C52),xlookup(C52,'Cadastro dos Ativos'!$A$2:$A$1000,'Cadastro dos Ativos'!$D$2:$D$1000),"")</f>
        <v>45839</v>
      </c>
      <c r="J52" s="88">
        <v>325.0</v>
      </c>
      <c r="K52" s="47">
        <f t="array" ref="K52">if(and(J52&lt;&gt;"",D52&lt;&gt;"Futuros"),
if(F52=Controle!$C$2, M52/xlookup(workday(B52,-1,Feriados!A:A),Controle!$B$10:$B$1000,Controle!$C$10:$C$1000),
if(F52=Controle!$F$2, M52/xlookup(workday(B52,-1,Feriados!A:A),Controle!$B$10:$B$1000,Controle!$F$10:$F$1000),
if(F52=Controle!$I$2, M52/xlookup(workday(B52,-1,Feriados!A:A),Controle!$B$10:$B$1000,Controle!$I$10:$I$1000),
if(F52=Controle!$L$2, M52/xlookup(workday(B52,-1,Feriados!A:A),Controle!$B$10:$B$1000,Controle!$L$10:$L$1000),
)))),
if(and(J52&lt;&gt;"",D52="Futuros"),
if(F52=Controle!$C$2, N52/xlookup(workday(B52,-1,Feriados!A:A),Controle!$B$10:$B$1000,Controle!$C$10:$C$1000),
if(F52=Controle!$F$2, N52/xlookup(workday(B52,-1,Feriados!A:A),Controle!$B$10:$B$1000,Controle!$F$10:$F$1000),
if(F52=Controle!$I$2, N52/xlookup(workday(B52,-1,Feriados!A:A),Controle!$B$10:$B$1000,Controle!$I$10:$I$1000),
if(F52=Controle!$L$2, N52/xlookup(workday(B52,-1,Feriados!A:A),Controle!$B$10:$B$1000,Controle!$L$10:$L$1000),
)))),""))</f>
        <v>0.2513775945</v>
      </c>
      <c r="L52" s="47">
        <f t="array" ref="L52">IF($J52&lt;&gt;"", IF($D52 = "Futuros" , $N52/xlookup(WORKDAY(B52,-1,Feriados!A:A),Controle!$B$10:$B$1000,Controle!$T$10:$T$1000) , $M52/xlookup(WORKDAY(B52,-1,Feriados!A:A),Controle!$B$10:$B$1000,Controle!$T$10:$T$1000)),"")</f>
        <v>0.06301820889</v>
      </c>
      <c r="M52" s="48">
        <f t="shared" si="4"/>
        <v>-25522113.5</v>
      </c>
      <c r="N52" s="48">
        <f>IFERROR(IF(D52="Futuros",
IF(LEFT(C52,3)="DI1",G52*O52,
IF(LEFT(C52,3)="ISP",G52*O52*HLOOKUP("PTAX",'Histórico'!$A$1:$EL$983,MATCH(B52,'Histórico'!A:A),FALSE)*50,
IF(LEFT(C52,3)="WDO",10*G52*O52*HLOOKUP("PTAX",'Histórico'!$A$1:$EL$983,MATCH(B52,'Histórico'!A:A),FALSE),
IF(LEFT(C52,3)="DOL",50*G52*O52,
IF(LEFT(C52,3)="EUR",G52*O52*50,
IF(LEFT(C52,3)="WEU",G52*O52*10,
IF(LEFT(C52,3)="IND",G52*O52,
IF(LEFT(C52,3)="WIN",G52*O52*0.2,
IF(LEFT(C52,3)="T10",G52*O52*1000*HLOOKUP("PTAX",'Histórico'!$A$1:$EL$983,MATCH(B52,'Histórico'!A:A),FALSE),
IF(LEFT(C52,3)="CCM",G52*O52*450,
IF(LEFT(C52,3)="SJC",G52*O52*HLOOKUP("PTAX",'Histórico'!$A$1:$EL$983,MATCH(B52,'Histórico'!A:A),FALSE)*450,
IF(LEFT(C52,3)="BGI",G52*O52*330,
IF(LEFT(C52,3)="OZ1",G52*O52*250,
IF(LEFT(C52,3)="CLP",G52*O52*25,
IF(LEFT(C52,3)="EUP", O52*10000*HLOOKUP("EUR/BRL",'Histórico'!$A$1:$EL$983,MATCH(B52,'Histórico'!A:A),FALSE),
IF(LEFT(C52,3)="JSE", G52*O52*0.4,
IF(LEFT(C52,3)="GBP", O52*10000*HLOOKUP("GBP/BRL",'Histórico'!$A$1:$FG$983,MATCH(B52,'Histórico'!A:A),FALSE),
IF(LEFT(C52,3)="JAP",O52*10000*HLOOKUP("PTAX",'Histórico'!$A$1:$FG$983,MATCH(B52,'Histórico'!A:A),FALSE),
IF(LEFT(C52,3)="CNH",O52*10000*HLOOKUP("PTAX",'Histórico'!$A$1:$FG$983,MATCH(B52,'Histórico'!A:A),FALSE),
IF(LEFT(C52,3)="AUS",O52*10000*HLOOKUP("PTAX",'Histórico'!$A$1:$FG$983,MATCH(B52,'Histórico'!A:A),FALSE),
IF(LEFT(C52,3)="CAN",O52*10000*HLOOKUP("PTAX",'Histórico'!$A$1:$FG$983,MATCH(B52,'Histórico'!A:A),FALSE),
IF(LEFT(C52,3)="GBR",O52*10000*HLOOKUP("GBP/BRL",'Histórico'!$A$1:$FG$983,MATCH(B52,'Histórico'!A:A),FALSE),
IF(LEFT(C52,3)="MEX",O52*10000*HLOOKUP("PTAX",'Histórico'!$A$1:$FG$983,MATCH(B52,'Histórico'!A:A),FALSE),
IF(LEFT(C52,3)="CHL",O52*10000*HLOOKUP("PTAX",'Histórico'!$A$1:$FG$983,MATCH(B52,'Histórico'!A:A),FALSE)
)))))))))))))))))))))))),""))</f>
        <v>25522113.5</v>
      </c>
      <c r="O52" s="49">
        <f t="shared" si="2"/>
        <v>325</v>
      </c>
      <c r="P52" s="50">
        <f t="shared" si="3"/>
        <v>0</v>
      </c>
      <c r="Q52" s="51">
        <f>IF($C52&lt;&gt;"",SUMIFS($O$3:$O$401, $C$3:$C$401 ,$C52,$B$3:$B$401,"&lt;="&amp;Controle!$B$6),"")</f>
        <v>0</v>
      </c>
      <c r="R52" s="51">
        <f>IF($D52&lt;&gt;"",SUMIFS($O$3:$O$401, $C$3:$C$401 ,$C52,$B$3:$B$401,"&lt;="&amp;Controle!$B$6,$F$3:$F$401,$F52),"")</f>
        <v>0</v>
      </c>
      <c r="S52" s="51">
        <f>IF($D52&lt;&gt;"",SUMIFS($O$3:$O$401, $C$3:$C$401 ,$C52,$B$3:$B$401,"&lt;="&amp;'Controle D-1'!$B$6,$F$3:$F$401,$F52),"")</f>
        <v>0</v>
      </c>
      <c r="T52" s="40"/>
      <c r="U52" s="40"/>
      <c r="V52" s="40"/>
      <c r="W52" s="40"/>
      <c r="X52" s="40"/>
      <c r="Y52" s="40"/>
      <c r="Z52" s="40"/>
      <c r="AA52" s="40"/>
      <c r="AB52" s="40"/>
      <c r="AC52" s="40"/>
    </row>
    <row r="53" ht="15.75" customHeight="1">
      <c r="A53" s="28"/>
      <c r="B53" s="100">
        <v>45040.0</v>
      </c>
      <c r="C53" s="88" t="s">
        <v>75</v>
      </c>
      <c r="D53" s="88" t="s">
        <v>12</v>
      </c>
      <c r="E53" s="88" t="s">
        <v>208</v>
      </c>
      <c r="F53" s="88" t="s">
        <v>199</v>
      </c>
      <c r="G53" s="46">
        <v>5575.764</v>
      </c>
      <c r="H53" s="101"/>
      <c r="I53" s="102">
        <v>45048.0</v>
      </c>
      <c r="J53" s="88">
        <v>132.0</v>
      </c>
      <c r="K53" s="47">
        <f t="array" ref="K53">if(and(J53&lt;&gt;"",D53&lt;&gt;"Futuros"),
if(F53=Controle!$C$2, M53/xlookup(workday(B53,-1,Feriados!A:A),Controle!$B$10:$B$1000,Controle!$C$10:$C$1000),
if(F53=Controle!$F$2, M53/xlookup(workday(B53,-1,Feriados!A:A),Controle!$B$10:$B$1000,Controle!$F$10:$F$1000),
if(F53=Controle!$I$2, M53/xlookup(workday(B53,-1,Feriados!A:A),Controle!$B$10:$B$1000,Controle!$I$10:$I$1000),
if(F53=Controle!$L$2, M53/xlookup(workday(B53,-1,Feriados!A:A),Controle!$B$10:$B$1000,Controle!$L$10:$L$1000),
)))),
if(and(J53&lt;&gt;"",D53="Futuros"),
if(F53=Controle!$C$2, N53/xlookup(workday(B53,-1,Feriados!A:A),Controle!$B$10:$B$1000,Controle!$C$10:$C$1000),
if(F53=Controle!$F$2, N53/xlookup(workday(B53,-1,Feriados!A:A),Controle!$B$10:$B$1000,Controle!$F$10:$F$1000),
if(F53=Controle!$I$2, N53/xlookup(workday(B53,-1,Feriados!A:A),Controle!$B$10:$B$1000,Controle!$I$10:$I$1000),
if(F53=Controle!$L$2, N53/xlookup(workday(B53,-1,Feriados!A:A),Controle!$B$10:$B$1000,Controle!$L$10:$L$1000),
)))),""))</f>
        <v>0.3624584671</v>
      </c>
      <c r="L53" s="47">
        <f t="array" ref="L53">IF($J53&lt;&gt;"", IF($D53 = "Futuros" , $N53/xlookup(WORKDAY(B53,-1,Feriados!A:A),Controle!$B$10:$B$1000,Controle!$T$10:$T$1000) , $M53/xlookup(WORKDAY(B53,-1,Feriados!A:A),Controle!$B$10:$B$1000,Controle!$T$10:$T$1000)),"")</f>
        <v>0.0908652318</v>
      </c>
      <c r="M53" s="48">
        <f t="shared" si="4"/>
        <v>-736000.848</v>
      </c>
      <c r="N53" s="48">
        <f>IFERROR(IF(D53="Futuros",
IF(LEFT(C53,3)="DI1",G53*O53,
IF(LEFT(C53,3)="ISP",G53*O53*HLOOKUP("PTAX",'Histórico'!$A$1:$EL$983,MATCH(B53,'Histórico'!A:A),FALSE)*50,
IF(LEFT(C53,3)="WDO",10*G53*O53*HLOOKUP("PTAX",'Histórico'!$A$1:$EL$983,MATCH(B53,'Histórico'!A:A),FALSE),
IF(LEFT(C53,3)="DOL",50*G53*O53,
IF(LEFT(C53,3)="EUR",G53*O53*50,
IF(LEFT(C53,3)="WEU",G53*O53*10,
IF(LEFT(C53,3)="IND",G53*O53,
IF(LEFT(C53,3)="WIN",G53*O53*0.2,
IF(LEFT(C53,3)="T10",G53*O53*1000*HLOOKUP("PTAX",'Histórico'!$A$1:$EL$983,MATCH(B53,'Histórico'!A:A),FALSE),
IF(LEFT(C53,3)="CCM",G53*O53*450,
IF(LEFT(C53,3)="SJC",G53*O53*HLOOKUP("PTAX",'Histórico'!$A$1:$EL$983,MATCH(B53,'Histórico'!A:A),FALSE)*450,
IF(LEFT(C53,3)="BGI",G53*O53*330,
IF(LEFT(C53,3)="OZ1",G53*O53*250,
IF(LEFT(C53,3)="CLP",G53*O53*25,
IF(LEFT(C53,3)="EUP", O53*10000*HLOOKUP("EUR/BRL",'Histórico'!$A$1:$EL$983,MATCH(B53,'Histórico'!A:A),FALSE),
IF(LEFT(C53,3)="JSE", G53*O53*0.4,
IF(LEFT(C53,3)="GBP", O53*10000*HLOOKUP("GBP/BRL",'Histórico'!$A$1:$FG$983,MATCH(B53,'Histórico'!A:A),FALSE),
IF(LEFT(C53,3)="JAP",O53*10000*HLOOKUP("PTAX",'Histórico'!$A$1:$FG$983,MATCH(B53,'Histórico'!A:A),FALSE),
IF(LEFT(C53,3)="CNH",O53*10000*HLOOKUP("PTAX",'Histórico'!$A$1:$FG$983,MATCH(B53,'Histórico'!A:A),FALSE),
IF(LEFT(C53,3)="AUS",O53*10000*HLOOKUP("PTAX",'Histórico'!$A$1:$FG$983,MATCH(B53,'Histórico'!A:A),FALSE),
IF(LEFT(C53,3)="CAN",O53*10000*HLOOKUP("PTAX",'Histórico'!$A$1:$FG$983,MATCH(B53,'Histórico'!A:A),FALSE),
IF(LEFT(C53,3)="GBR",O53*10000*HLOOKUP("GBP/BRL",'Histórico'!$A$1:$FG$983,MATCH(B53,'Histórico'!A:A),FALSE),
IF(LEFT(C53,3)="MEX",O53*10000*HLOOKUP("PTAX",'Histórico'!$A$1:$FG$983,MATCH(B53,'Histórico'!A:A),FALSE),
IF(LEFT(C53,3)="CHL",O53*10000*HLOOKUP("PTAX",'Histórico'!$A$1:$FG$983,MATCH(B53,'Histórico'!A:A),FALSE)
)))))))))))))))))))))))),""))</f>
        <v>36800042.4</v>
      </c>
      <c r="O53" s="49">
        <f t="shared" si="2"/>
        <v>132</v>
      </c>
      <c r="P53" s="50">
        <f t="shared" si="3"/>
        <v>0</v>
      </c>
      <c r="Q53" s="51">
        <f>IF($C53&lt;&gt;"",SUMIFS($O$3:$O$401, $C$3:$C$401 ,$C53,$B$3:$B$401,"&lt;="&amp;Controle!$B$6),"")</f>
        <v>0</v>
      </c>
      <c r="R53" s="51">
        <f>IF($D53&lt;&gt;"",SUMIFS($O$3:$O$401, $C$3:$C$401 ,$C53,$B$3:$B$401,"&lt;="&amp;Controle!$B$6,$F$3:$F$401,$F53),"")</f>
        <v>0</v>
      </c>
      <c r="S53" s="51">
        <f>IF($D53&lt;&gt;"",SUMIFS($O$3:$O$401, $C$3:$C$401 ,$C53,$B$3:$B$401,"&lt;="&amp;'Controle D-1'!$B$6,$F$3:$F$401,$F53),"")</f>
        <v>0</v>
      </c>
      <c r="T53" s="40"/>
      <c r="U53" s="40"/>
      <c r="V53" s="40"/>
      <c r="W53" s="40"/>
      <c r="X53" s="40"/>
      <c r="Y53" s="40"/>
      <c r="Z53" s="40"/>
      <c r="AA53" s="40"/>
      <c r="AB53" s="40"/>
      <c r="AC53" s="40"/>
    </row>
    <row r="54" ht="15.75" customHeight="1">
      <c r="A54" s="28"/>
      <c r="B54" s="100">
        <v>45041.0</v>
      </c>
      <c r="C54" s="88" t="s">
        <v>84</v>
      </c>
      <c r="D54" s="88" t="s">
        <v>6</v>
      </c>
      <c r="E54" s="88" t="s">
        <v>208</v>
      </c>
      <c r="F54" s="88" t="s">
        <v>199</v>
      </c>
      <c r="G54" s="46">
        <v>99.92</v>
      </c>
      <c r="H54" s="101"/>
      <c r="I54" s="88"/>
      <c r="J54" s="88">
        <v>80500.0</v>
      </c>
      <c r="K54" s="47">
        <f t="array" ref="K54">if(and(J54&lt;&gt;"",D54&lt;&gt;"Futuros"),
if(F54=Controle!$C$2, M54/xlookup(workday(B54,-1,Feriados!A:A),Controle!$B$10:$B$1000,Controle!$C$10:$C$1000),
if(F54=Controle!$F$2, M54/xlookup(workday(B54,-1,Feriados!A:A),Controle!$B$10:$B$1000,Controle!$F$10:$F$1000),
if(F54=Controle!$I$2, M54/xlookup(workday(B54,-1,Feriados!A:A),Controle!$B$10:$B$1000,Controle!$I$10:$I$1000),
if(F54=Controle!$L$2, M54/xlookup(workday(B54,-1,Feriados!A:A),Controle!$B$10:$B$1000,Controle!$L$10:$L$1000),
)))),
if(and(J54&lt;&gt;"",D54="Futuros"),
if(F54=Controle!$C$2, N54/xlookup(workday(B54,-1,Feriados!A:A),Controle!$B$10:$B$1000,Controle!$C$10:$C$1000),
if(F54=Controle!$F$2, N54/xlookup(workday(B54,-1,Feriados!A:A),Controle!$B$10:$B$1000,Controle!$F$10:$F$1000),
if(F54=Controle!$I$2, N54/xlookup(workday(B54,-1,Feriados!A:A),Controle!$B$10:$B$1000,Controle!$I$10:$I$1000),
if(F54=Controle!$L$2, N54/xlookup(workday(B54,-1,Feriados!A:A),Controle!$B$10:$B$1000,Controle!$L$10:$L$1000),
)))),""))</f>
        <v>-0.07874395367</v>
      </c>
      <c r="L54" s="47">
        <f t="array" ref="L54">IF($J54&lt;&gt;"", IF($D54 = "Futuros" , $N54/xlookup(WORKDAY(B54,-1,Feriados!A:A),Controle!$B$10:$B$1000,Controle!$T$10:$T$1000) , $M54/xlookup(WORKDAY(B54,-1,Feriados!A:A),Controle!$B$10:$B$1000,Controle!$T$10:$T$1000)),"")</f>
        <v>-0.01981455344</v>
      </c>
      <c r="M54" s="48">
        <f t="shared" si="4"/>
        <v>-8043560</v>
      </c>
      <c r="N54" s="48" t="str">
        <f>IFERROR(IF(D54="Futuros",
IF(LEFT(C54,3)="DI1",G54*O54,
IF(LEFT(C54,3)="ISP",G54*O54*HLOOKUP("PTAX",'Histórico'!$A$1:$EL$983,MATCH(B54,'Histórico'!A:A),FALSE)*50,
IF(LEFT(C54,3)="WDO",10*G54*O54*HLOOKUP("PTAX",'Histórico'!$A$1:$EL$983,MATCH(B54,'Histórico'!A:A),FALSE),
IF(LEFT(C54,3)="DOL",50*G54*O54,
IF(LEFT(C54,3)="EUR",G54*O54*50,
IF(LEFT(C54,3)="WEU",G54*O54*10,
IF(LEFT(C54,3)="IND",G54*O54,
IF(LEFT(C54,3)="WIN",G54*O54*0.2,
IF(LEFT(C54,3)="T10",G54*O54*1000*HLOOKUP("PTAX",'Histórico'!$A$1:$EL$983,MATCH(B54,'Histórico'!A:A),FALSE),
IF(LEFT(C54,3)="CCM",G54*O54*450,
IF(LEFT(C54,3)="SJC",G54*O54*HLOOKUP("PTAX",'Histórico'!$A$1:$EL$983,MATCH(B54,'Histórico'!A:A),FALSE)*450,
IF(LEFT(C54,3)="BGI",G54*O54*330,
IF(LEFT(C54,3)="OZ1",G54*O54*250,
IF(LEFT(C54,3)="CLP",G54*O54*25,
IF(LEFT(C54,3)="EUP", O54*10000*HLOOKUP("EUR/BRL",'Histórico'!$A$1:$EL$983,MATCH(B54,'Histórico'!A:A),FALSE),
IF(LEFT(C54,3)="JSE", G54*O54*0.4,
IF(LEFT(C54,3)="GBP", O54*10000*HLOOKUP("GBP/BRL",'Histórico'!$A$1:$FG$983,MATCH(B54,'Histórico'!A:A),FALSE),
IF(LEFT(C54,3)="JAP",O54*10000*HLOOKUP("PTAX",'Histórico'!$A$1:$FG$983,MATCH(B54,'Histórico'!A:A),FALSE),
IF(LEFT(C54,3)="CNH",O54*10000*HLOOKUP("PTAX",'Histórico'!$A$1:$FG$983,MATCH(B54,'Histórico'!A:A),FALSE),
IF(LEFT(C54,3)="AUS",O54*10000*HLOOKUP("PTAX",'Histórico'!$A$1:$FG$983,MATCH(B54,'Histórico'!A:A),FALSE),
IF(LEFT(C54,3)="CAN",O54*10000*HLOOKUP("PTAX",'Histórico'!$A$1:$FG$983,MATCH(B54,'Histórico'!A:A),FALSE),
IF(LEFT(C54,3)="GBR",O54*10000*HLOOKUP("GBP/BRL",'Histórico'!$A$1:$FG$983,MATCH(B54,'Histórico'!A:A),FALSE),
IF(LEFT(C54,3)="MEX",O54*10000*HLOOKUP("PTAX",'Histórico'!$A$1:$FG$983,MATCH(B54,'Histórico'!A:A),FALSE),
IF(LEFT(C54,3)="CHL",O54*10000*HLOOKUP("PTAX",'Histórico'!$A$1:$FG$983,MATCH(B54,'Histórico'!A:A),FALSE)
)))))))))))))))))))))))),""))</f>
        <v/>
      </c>
      <c r="O54" s="49">
        <f t="shared" si="2"/>
        <v>80500</v>
      </c>
      <c r="P54" s="50">
        <f t="shared" si="3"/>
        <v>-85000</v>
      </c>
      <c r="Q54" s="51">
        <f>IF($C54&lt;&gt;"",SUMIFS($O$3:$O$401, $C$3:$C$401 ,$C54,$B$3:$B$401,"&lt;="&amp;Controle!$B$6),"")</f>
        <v>-85000</v>
      </c>
      <c r="R54" s="51">
        <f>IF($D54&lt;&gt;"",SUMIFS($O$3:$O$401, $C$3:$C$401 ,$C54,$B$3:$B$401,"&lt;="&amp;Controle!$B$6,$F$3:$F$401,$F54),"")</f>
        <v>-85000</v>
      </c>
      <c r="S54" s="51">
        <f>IF($D54&lt;&gt;"",SUMIFS($O$3:$O$401, $C$3:$C$401 ,$C54,$B$3:$B$401,"&lt;="&amp;'Controle D-1'!$B$6,$F$3:$F$401,$F54),"")</f>
        <v>-85000</v>
      </c>
      <c r="T54" s="40"/>
      <c r="U54" s="40"/>
      <c r="V54" s="40"/>
      <c r="W54" s="40"/>
      <c r="X54" s="40"/>
      <c r="Y54" s="40"/>
      <c r="Z54" s="40"/>
      <c r="AA54" s="40"/>
      <c r="AB54" s="40"/>
      <c r="AC54" s="40"/>
    </row>
    <row r="55" ht="15.75" customHeight="1">
      <c r="A55" s="28"/>
      <c r="B55" s="100">
        <v>45041.0</v>
      </c>
      <c r="C55" s="88" t="s">
        <v>59</v>
      </c>
      <c r="D55" s="88" t="str">
        <f>IF(ISTEXT(C55),VLOOKUP(C55,'Cadastro dos Ativos'!$A$2:$C$1000,3,0),"")</f>
        <v>Ações Americanas</v>
      </c>
      <c r="E55" s="88" t="s">
        <v>208</v>
      </c>
      <c r="F55" s="88" t="s">
        <v>199</v>
      </c>
      <c r="G55" s="46">
        <v>143.97</v>
      </c>
      <c r="H55" s="101">
        <f>if($D55="Ações Americanas", HLOOKUP("PTAX",'Histórico'!$A$1:$EL$983,(MATCH(B55,'Histórico'!A:A))-1,""),
if($D55="Ações Europeias", HLOOKUP("EUR/BRL",'Histórico'!$A$1:$EL$983,(MATCH(B55,'Histórico'!A:A))-1,""),""))</f>
        <v>5.0595</v>
      </c>
      <c r="I55" s="88" t="str">
        <f t="array" ref="I55">IF(ISTEXT(C55),xlookup(C55,'Cadastro dos Ativos'!$A$2:$A$1000,'Cadastro dos Ativos'!$D$2:$D$1000),"")</f>
        <v/>
      </c>
      <c r="J55" s="88">
        <v>20300.0</v>
      </c>
      <c r="K55" s="47">
        <f t="array" ref="K55">if(and(J55&lt;&gt;"",D55&lt;&gt;"Futuros"),
if(F55=Controle!$C$2, M55/xlookup(workday(B55,-1,Feriados!A:A),Controle!$B$10:$B$1000,Controle!$C$10:$C$1000),
if(F55=Controle!$F$2, M55/xlookup(workday(B55,-1,Feriados!A:A),Controle!$B$10:$B$1000,Controle!$F$10:$F$1000),
if(F55=Controle!$I$2, M55/xlookup(workday(B55,-1,Feriados!A:A),Controle!$B$10:$B$1000,Controle!$I$10:$I$1000),
if(F55=Controle!$L$2, M55/xlookup(workday(B55,-1,Feriados!A:A),Controle!$B$10:$B$1000,Controle!$L$10:$L$1000),
)))),
if(and(J55&lt;&gt;"",D55="Futuros"),
if(F55=Controle!$C$2, N55/xlookup(workday(B55,-1,Feriados!A:A),Controle!$B$10:$B$1000,Controle!$C$10:$C$1000),
if(F55=Controle!$F$2, N55/xlookup(workday(B55,-1,Feriados!A:A),Controle!$B$10:$B$1000,Controle!$F$10:$F$1000),
if(F55=Controle!$I$2, N55/xlookup(workday(B55,-1,Feriados!A:A),Controle!$B$10:$B$1000,Controle!$I$10:$I$1000),
if(F55=Controle!$L$2, N55/xlookup(workday(B55,-1,Feriados!A:A),Controle!$B$10:$B$1000,Controle!$L$10:$L$1000),
)))),""))</f>
        <v>-0.1447586598</v>
      </c>
      <c r="L55" s="47">
        <f t="array" ref="L55">IF($J55&lt;&gt;"", IF($D55 = "Futuros" , $N55/xlookup(WORKDAY(B55,-1,Feriados!A:A),Controle!$B$10:$B$1000,Controle!$T$10:$T$1000) , $M55/xlookup(WORKDAY(B55,-1,Feriados!A:A),Controle!$B$10:$B$1000,Controle!$T$10:$T$1000)),"")</f>
        <v>-0.03642601199</v>
      </c>
      <c r="M55" s="48">
        <f t="shared" si="4"/>
        <v>-14786849.16</v>
      </c>
      <c r="N55" s="48" t="str">
        <f>IFERROR(IF(D55="Futuros",
IF(LEFT(C55,3)="DI1",G55*O55,
IF(LEFT(C55,3)="ISP",G55*O55*HLOOKUP("PTAX",'Histórico'!$A$1:$EL$983,MATCH(B55,'Histórico'!A:A),FALSE)*50,
IF(LEFT(C55,3)="WDO",10*G55*O55*HLOOKUP("PTAX",'Histórico'!$A$1:$EL$983,MATCH(B55,'Histórico'!A:A),FALSE),
IF(LEFT(C55,3)="DOL",50*G55*O55,
IF(LEFT(C55,3)="EUR",G55*O55*50,
IF(LEFT(C55,3)="WEU",G55*O55*10,
IF(LEFT(C55,3)="IND",G55*O55,
IF(LEFT(C55,3)="WIN",G55*O55*0.2,
IF(LEFT(C55,3)="T10",G55*O55*1000*HLOOKUP("PTAX",'Histórico'!$A$1:$EL$983,MATCH(B55,'Histórico'!A:A),FALSE),
IF(LEFT(C55,3)="CCM",G55*O55*450,
IF(LEFT(C55,3)="SJC",G55*O55*HLOOKUP("PTAX",'Histórico'!$A$1:$EL$983,MATCH(B55,'Histórico'!A:A),FALSE)*450,
IF(LEFT(C55,3)="BGI",G55*O55*330,
IF(LEFT(C55,3)="OZ1",G55*O55*250,
IF(LEFT(C55,3)="CLP",G55*O55*25,
IF(LEFT(C55,3)="EUP", O55*10000*HLOOKUP("EUR/BRL",'Histórico'!$A$1:$EL$983,MATCH(B55,'Histórico'!A:A),FALSE),
IF(LEFT(C55,3)="JSE", G55*O55*0.4,
IF(LEFT(C55,3)="GBP", O55*10000*HLOOKUP("GBP/BRL",'Histórico'!$A$1:$FG$983,MATCH(B55,'Histórico'!A:A),FALSE),
IF(LEFT(C55,3)="JAP",O55*10000*HLOOKUP("PTAX",'Histórico'!$A$1:$FG$983,MATCH(B55,'Histórico'!A:A),FALSE),
IF(LEFT(C55,3)="CNH",O55*10000*HLOOKUP("PTAX",'Histórico'!$A$1:$FG$983,MATCH(B55,'Histórico'!A:A),FALSE),
IF(LEFT(C55,3)="AUS",O55*10000*HLOOKUP("PTAX",'Histórico'!$A$1:$FG$983,MATCH(B55,'Histórico'!A:A),FALSE),
IF(LEFT(C55,3)="CAN",O55*10000*HLOOKUP("PTAX",'Histórico'!$A$1:$FG$983,MATCH(B55,'Histórico'!A:A),FALSE),
IF(LEFT(C55,3)="GBR",O55*10000*HLOOKUP("GBP/BRL",'Histórico'!$A$1:$FG$983,MATCH(B55,'Histórico'!A:A),FALSE),
IF(LEFT(C55,3)="MEX",O55*10000*HLOOKUP("PTAX",'Histórico'!$A$1:$FG$983,MATCH(B55,'Histórico'!A:A),FALSE),
IF(LEFT(C55,3)="CHL",O55*10000*HLOOKUP("PTAX",'Histórico'!$A$1:$FG$983,MATCH(B55,'Histórico'!A:A),FALSE)
)))))))))))))))))))))))),""))</f>
        <v/>
      </c>
      <c r="O55" s="49">
        <f t="shared" si="2"/>
        <v>20300</v>
      </c>
      <c r="P55" s="50">
        <f t="shared" si="3"/>
        <v>0</v>
      </c>
      <c r="Q55" s="51">
        <f>IF($C55&lt;&gt;"",SUMIFS($O$3:$O$401, $C$3:$C$401 ,$C55,$B$3:$B$401,"&lt;="&amp;Controle!$B$6),"")</f>
        <v>0</v>
      </c>
      <c r="R55" s="51">
        <f>IF($D55&lt;&gt;"",SUMIFS($O$3:$O$401, $C$3:$C$401 ,$C55,$B$3:$B$401,"&lt;="&amp;Controle!$B$6,$F$3:$F$401,$F55),"")</f>
        <v>0</v>
      </c>
      <c r="S55" s="51">
        <f>IF($D55&lt;&gt;"",SUMIFS($O$3:$O$401, $C$3:$C$401 ,$C55,$B$3:$B$401,"&lt;="&amp;'Controle D-1'!$B$6,$F$3:$F$401,$F55),"")</f>
        <v>0</v>
      </c>
      <c r="T55" s="40"/>
      <c r="U55" s="40"/>
      <c r="V55" s="40"/>
      <c r="W55" s="40"/>
      <c r="X55" s="40"/>
      <c r="Y55" s="40"/>
      <c r="Z55" s="40"/>
      <c r="AA55" s="40"/>
      <c r="AB55" s="40"/>
      <c r="AC55" s="40"/>
    </row>
    <row r="56" ht="15.75" customHeight="1">
      <c r="A56" s="28"/>
      <c r="B56" s="124">
        <v>45041.0</v>
      </c>
      <c r="C56" s="125" t="s">
        <v>23</v>
      </c>
      <c r="D56" s="88" t="str">
        <f>IF(ISTEXT(C56),VLOOKUP(C56,'Cadastro dos Ativos'!$A$2:$C$1000,3,0),"")</f>
        <v>Futuros</v>
      </c>
      <c r="E56" s="125" t="s">
        <v>208</v>
      </c>
      <c r="F56" s="125" t="s">
        <v>200</v>
      </c>
      <c r="G56" s="46"/>
      <c r="H56" s="126"/>
      <c r="I56" s="110">
        <f t="array" ref="I56">IF(ISTEXT(C56),xlookup(C56,'Cadastro dos Ativos'!$A$2:$A$1000,'Cadastro dos Ativos'!$D$2:$D$1000),"")</f>
        <v>45048</v>
      </c>
      <c r="J56" s="125">
        <v>1080.0</v>
      </c>
      <c r="K56" s="47">
        <f t="array" ref="K56">if(and(J56&lt;&gt;"",D56&lt;&gt;"Futuros"),
if(F56=Controle!$C$2, M56/xlookup(workday(B56,-1,Feriados!A:A),Controle!$B$10:$B$1000,Controle!$C$10:$C$1000),
if(F56=Controle!$F$2, M56/xlookup(workday(B56,-1,Feriados!A:A),Controle!$B$10:$B$1000,Controle!$F$10:$F$1000),
if(F56=Controle!$I$2, M56/xlookup(workday(B56,-1,Feriados!A:A),Controle!$B$10:$B$1000,Controle!$I$10:$I$1000),
if(F56=Controle!$L$2, M56/xlookup(workday(B56,-1,Feriados!A:A),Controle!$B$10:$B$1000,Controle!$L$10:$L$1000),
)))),
if(and(J56&lt;&gt;"",D56="Futuros"),
if(F56=Controle!$C$2, N56/xlookup(workday(B56,-1,Feriados!A:A),Controle!$B$10:$B$1000,Controle!$C$10:$C$1000),
if(F56=Controle!$F$2, N56/xlookup(workday(B56,-1,Feriados!A:A),Controle!$B$10:$B$1000,Controle!$F$10:$F$1000),
if(F56=Controle!$I$2, N56/xlookup(workday(B56,-1,Feriados!A:A),Controle!$B$10:$B$1000,Controle!$I$10:$I$1000),
if(F56=Controle!$L$2, N56/xlookup(workday(B56,-1,Feriados!A:A),Controle!$B$10:$B$1000,Controle!$L$10:$L$1000),
)))),""))</f>
        <v>0.5369021133</v>
      </c>
      <c r="L56" s="47">
        <f t="array" ref="L56">IF($J56&lt;&gt;"", IF($D56 = "Futuros" , $N56/xlookup(WORKDAY(B56,-1,Feriados!A:A),Controle!$B$10:$B$1000,Controle!$T$10:$T$1000) , $M56/xlookup(WORKDAY(B56,-1,Feriados!A:A),Controle!$B$10:$B$1000,Controle!$T$10:$T$1000)),"")</f>
        <v>0.1344259926</v>
      </c>
      <c r="M56" s="48" t="str">
        <f t="shared" si="4"/>
        <v/>
      </c>
      <c r="N56" s="48">
        <f>IFERROR(IF(D56="Futuros",
IF(LEFT(C56,3)="DI1",G56*O56,
IF(LEFT(C56,3)="ISP",G56*O56*HLOOKUP("PTAX",'Histórico'!$A$1:$EL$983,MATCH(B56,'Histórico'!A:A),FALSE)*50,
IF(LEFT(C56,3)="WDO",10*G56*O56*HLOOKUP("PTAX",'Histórico'!$A$1:$EL$983,MATCH(B56,'Histórico'!A:A),FALSE),
IF(LEFT(C56,3)="DOL",50*G56*O56,
IF(LEFT(C56,3)="EUR",G56*O56*50,
IF(LEFT(C56,3)="WEU",G56*O56*10,
IF(LEFT(C56,3)="IND",G56*O56,
IF(LEFT(C56,3)="WIN",G56*O56*0.2,
IF(LEFT(C56,3)="T10",G56*O56*1000*HLOOKUP("PTAX",'Histórico'!$A$1:$EL$983,MATCH(B56,'Histórico'!A:A),FALSE),
IF(LEFT(C56,3)="CCM",G56*O56*450,
IF(LEFT(C56,3)="SJC",G56*O56*HLOOKUP("PTAX",'Histórico'!$A$1:$EL$983,MATCH(B56,'Histórico'!A:A),FALSE)*450,
IF(LEFT(C56,3)="BGI",G56*O56*330,
IF(LEFT(C56,3)="OZ1",G56*O56*250,
IF(LEFT(C56,3)="CLP",G56*O56*25,
IF(LEFT(C56,3)="EUP", O56*10000*HLOOKUP("EUR/BRL",'Histórico'!$A$1:$EL$983,MATCH(B56,'Histórico'!A:A),FALSE),
IF(LEFT(C56,3)="JSE", G56*O56*0.4,
IF(LEFT(C56,3)="GBP", O56*10000*HLOOKUP("GBP/BRL",'Histórico'!$A$1:$FG$983,MATCH(B56,'Histórico'!A:A),FALSE),
IF(LEFT(C56,3)="JAP",O56*10000*HLOOKUP("PTAX",'Histórico'!$A$1:$FG$983,MATCH(B56,'Histórico'!A:A),FALSE),
IF(LEFT(C56,3)="CNH",O56*10000*HLOOKUP("PTAX",'Histórico'!$A$1:$FG$983,MATCH(B56,'Histórico'!A:A),FALSE),
IF(LEFT(C56,3)="AUS",O56*10000*HLOOKUP("PTAX",'Histórico'!$A$1:$FG$983,MATCH(B56,'Histórico'!A:A),FALSE),
IF(LEFT(C56,3)="CAN",O56*10000*HLOOKUP("PTAX",'Histórico'!$A$1:$FG$983,MATCH(B56,'Histórico'!A:A),FALSE),
IF(LEFT(C56,3)="GBR",O56*10000*HLOOKUP("GBP/BRL",'Histórico'!$A$1:$FG$983,MATCH(B56,'Histórico'!A:A),FALSE),
IF(LEFT(C56,3)="MEX",O56*10000*HLOOKUP("PTAX",'Histórico'!$A$1:$FG$983,MATCH(B56,'Histórico'!A:A),FALSE),
IF(LEFT(C56,3)="CHL",O56*10000*HLOOKUP("PTAX",'Histórico'!$A$1:$FG$983,MATCH(B56,'Histórico'!A:A),FALSE)
)))))))))))))))))))))))),""))</f>
        <v>54569160</v>
      </c>
      <c r="O56" s="49">
        <f t="shared" si="2"/>
        <v>1080</v>
      </c>
      <c r="P56" s="50">
        <f t="shared" si="3"/>
        <v>0</v>
      </c>
      <c r="Q56" s="51">
        <f>IF($C56&lt;&gt;"",SUMIFS($O$3:$O$401, $C$3:$C$401 ,$C56,$B$3:$B$401,"&lt;="&amp;Controle!$B$6),"")</f>
        <v>0</v>
      </c>
      <c r="R56" s="51">
        <f>IF($D56&lt;&gt;"",SUMIFS($O$3:$O$401, $C$3:$C$401 ,$C56,$B$3:$B$401,"&lt;="&amp;Controle!$B$6,$F$3:$F$401,$F56),"")</f>
        <v>0</v>
      </c>
      <c r="S56" s="51">
        <f>IF($D56&lt;&gt;"",SUMIFS($O$3:$O$401, $C$3:$C$401 ,$C56,$B$3:$B$401,"&lt;="&amp;'Controle D-1'!$B$6,$F$3:$F$401,$F56),"")</f>
        <v>0</v>
      </c>
      <c r="T56" s="40"/>
      <c r="U56" s="40"/>
      <c r="V56" s="40"/>
      <c r="W56" s="40"/>
      <c r="X56" s="40"/>
      <c r="Y56" s="40"/>
      <c r="Z56" s="40"/>
      <c r="AA56" s="40"/>
      <c r="AB56" s="40"/>
      <c r="AC56" s="40"/>
    </row>
    <row r="57" ht="15.75" customHeight="1">
      <c r="A57" s="28"/>
      <c r="B57" s="100">
        <v>45041.0</v>
      </c>
      <c r="C57" s="88" t="s">
        <v>72</v>
      </c>
      <c r="D57" s="88" t="str">
        <f>IF(ISTEXT(C57),VLOOKUP(C57,'Cadastro dos Ativos'!$A$2:$C$1000,3,0),"")</f>
        <v>Futuros</v>
      </c>
      <c r="E57" s="88" t="s">
        <v>198</v>
      </c>
      <c r="F57" s="88" t="s">
        <v>200</v>
      </c>
      <c r="G57" s="46"/>
      <c r="H57" s="101" t="str">
        <f>if($D57="Ações Americanas", HLOOKUP("PTAX",'Histórico'!$A$1:$EL$983,(MATCH(B57,'Histórico'!A:A))-1,""),
if($D57="Ações Europeias", HLOOKUP("EUR/BRL",'Histórico'!$A$1:$EL$983,(MATCH(B57,'Histórico'!A:A))-1,""),""))</f>
        <v/>
      </c>
      <c r="I57" s="102">
        <f t="array" ref="I57">IF(ISTEXT(C57),xlookup(C57,'Cadastro dos Ativos'!$A$2:$A$1000,'Cadastro dos Ativos'!$D$2:$D$1000),"")</f>
        <v>45566</v>
      </c>
      <c r="J57" s="88">
        <v>479.0</v>
      </c>
      <c r="K57" s="47">
        <f t="array" ref="K57">if(and(J57&lt;&gt;"",D57&lt;&gt;"Futuros"),
if(F57=Controle!$C$2, M57/xlookup(workday(B57,-1,Feriados!A:A),Controle!$B$10:$B$1000,Controle!$C$10:$C$1000),
if(F57=Controle!$F$2, M57/xlookup(workday(B57,-1,Feriados!A:A),Controle!$B$10:$B$1000,Controle!$F$10:$F$1000),
if(F57=Controle!$I$2, M57/xlookup(workday(B57,-1,Feriados!A:A),Controle!$B$10:$B$1000,Controle!$I$10:$I$1000),
if(F57=Controle!$L$2, M57/xlookup(workday(B57,-1,Feriados!A:A),Controle!$B$10:$B$1000,Controle!$L$10:$L$1000),
)))),
if(and(J57&lt;&gt;"",D57="Futuros"),
if(F57=Controle!$C$2, N57/xlookup(workday(B57,-1,Feriados!A:A),Controle!$B$10:$B$1000,Controle!$C$10:$C$1000),
if(F57=Controle!$F$2, N57/xlookup(workday(B57,-1,Feriados!A:A),Controle!$B$10:$B$1000,Controle!$F$10:$F$1000),
if(F57=Controle!$I$2, N57/xlookup(workday(B57,-1,Feriados!A:A),Controle!$B$10:$B$1000,Controle!$I$10:$I$1000),
if(F57=Controle!$L$2, N57/xlookup(workday(B57,-1,Feriados!A:A),Controle!$B$10:$B$1000,Controle!$L$10:$L$1000),
)))),""))</f>
        <v>0</v>
      </c>
      <c r="L57" s="47">
        <f t="array" ref="L57">IF($J57&lt;&gt;"", IF($D57 = "Futuros" , $N57/xlookup(WORKDAY(B57,-1,Feriados!A:A),Controle!$B$10:$B$1000,Controle!$T$10:$T$1000) , $M57/xlookup(WORKDAY(B57,-1,Feriados!A:A),Controle!$B$10:$B$1000,Controle!$T$10:$T$1000)),"")</f>
        <v>0</v>
      </c>
      <c r="M57" s="48" t="str">
        <f t="shared" si="4"/>
        <v/>
      </c>
      <c r="N57" s="48">
        <f>IFERROR(IF(D57="Futuros",
IF(LEFT(C57,3)="DI1",G57*O57,
IF(LEFT(C57,3)="ISP",G57*O57*HLOOKUP("PTAX",'Histórico'!$A$1:$EL$983,MATCH(B57,'Histórico'!A:A),FALSE)*50,
IF(LEFT(C57,3)="WDO",10*G57*O57*HLOOKUP("PTAX",'Histórico'!$A$1:$EL$983,MATCH(B57,'Histórico'!A:A),FALSE),
IF(LEFT(C57,3)="DOL",50*G57*O57,
IF(LEFT(C57,3)="EUR",G57*O57*50,
IF(LEFT(C57,3)="WEU",G57*O57*10,
IF(LEFT(C57,3)="IND",G57*O57,
IF(LEFT(C57,3)="WIN",G57*O57*0.2,
IF(LEFT(C57,3)="T10",G57*O57*1000*HLOOKUP("PTAX",'Histórico'!$A$1:$EL$983,MATCH(B57,'Histórico'!A:A),FALSE),
IF(LEFT(C57,3)="CCM",G57*O57*450,
IF(LEFT(C57,3)="SJC",G57*O57*HLOOKUP("PTAX",'Histórico'!$A$1:$EL$983,MATCH(B57,'Histórico'!A:A),FALSE)*450,
IF(LEFT(C57,3)="BGI",G57*O57*330,
IF(LEFT(C57,3)="OZ1",G57*O57*250,
IF(LEFT(C57,3)="CLP",G57*O57*25,
IF(LEFT(C57,3)="EUP", O57*10000*HLOOKUP("EUR/BRL",'Histórico'!$A$1:$EL$983,MATCH(B57,'Histórico'!A:A),FALSE),
IF(LEFT(C57,3)="JSE", G57*O57*0.4,
IF(LEFT(C57,3)="GBP", O57*10000*HLOOKUP("GBP/BRL",'Histórico'!$A$1:$FG$983,MATCH(B57,'Histórico'!A:A),FALSE),
IF(LEFT(C57,3)="JAP",O57*10000*HLOOKUP("PTAX",'Histórico'!$A$1:$FG$983,MATCH(B57,'Histórico'!A:A),FALSE),
IF(LEFT(C57,3)="CNH",O57*10000*HLOOKUP("PTAX",'Histórico'!$A$1:$FG$983,MATCH(B57,'Histórico'!A:A),FALSE),
IF(LEFT(C57,3)="AUS",O57*10000*HLOOKUP("PTAX",'Histórico'!$A$1:$FG$983,MATCH(B57,'Histórico'!A:A),FALSE),
IF(LEFT(C57,3)="CAN",O57*10000*HLOOKUP("PTAX",'Histórico'!$A$1:$FG$983,MATCH(B57,'Histórico'!A:A),FALSE),
IF(LEFT(C57,3)="GBR",O57*10000*HLOOKUP("GBP/BRL",'Histórico'!$A$1:$FG$983,MATCH(B57,'Histórico'!A:A),FALSE),
IF(LEFT(C57,3)="MEX",O57*10000*HLOOKUP("PTAX",'Histórico'!$A$1:$FG$983,MATCH(B57,'Histórico'!A:A),FALSE),
IF(LEFT(C57,3)="CHL",O57*10000*HLOOKUP("PTAX",'Histórico'!$A$1:$FG$983,MATCH(B57,'Histórico'!A:A),FALSE)
)))))))))))))))))))))))),""))</f>
        <v>0</v>
      </c>
      <c r="O57" s="49">
        <f t="shared" si="2"/>
        <v>-479</v>
      </c>
      <c r="P57" s="50">
        <f t="shared" si="3"/>
        <v>0</v>
      </c>
      <c r="Q57" s="51">
        <f>IF($C57&lt;&gt;"",SUMIFS($O$3:$O$401, $C$3:$C$401 ,$C57,$B$3:$B$401,"&lt;="&amp;Controle!$B$6),"")</f>
        <v>0</v>
      </c>
      <c r="R57" s="51">
        <f>IF($D57&lt;&gt;"",SUMIFS($O$3:$O$401, $C$3:$C$401 ,$C57,$B$3:$B$401,"&lt;="&amp;Controle!$B$6,$F$3:$F$401,$F57),"")</f>
        <v>0</v>
      </c>
      <c r="S57" s="51">
        <f>IF($D57&lt;&gt;"",SUMIFS($O$3:$O$401, $C$3:$C$401 ,$C57,$B$3:$B$401,"&lt;="&amp;'Controle D-1'!$B$6,$F$3:$F$401,$F57),"")</f>
        <v>0</v>
      </c>
      <c r="T57" s="40"/>
      <c r="U57" s="40"/>
      <c r="V57" s="40"/>
      <c r="W57" s="40"/>
      <c r="X57" s="40"/>
      <c r="Y57" s="40"/>
      <c r="Z57" s="40"/>
      <c r="AA57" s="40"/>
      <c r="AB57" s="40"/>
      <c r="AC57" s="40"/>
    </row>
    <row r="58" ht="15.75" customHeight="1">
      <c r="A58" s="28"/>
      <c r="B58" s="100">
        <v>45041.0</v>
      </c>
      <c r="C58" s="88" t="s">
        <v>21</v>
      </c>
      <c r="D58" s="88" t="str">
        <f>IF(ISTEXT(C58),VLOOKUP(C58,'Cadastro dos Ativos'!$A$2:$C$1000,3,0),"")</f>
        <v>Futuros</v>
      </c>
      <c r="E58" s="88" t="s">
        <v>198</v>
      </c>
      <c r="F58" s="88" t="s">
        <v>200</v>
      </c>
      <c r="G58" s="46"/>
      <c r="H58" s="101" t="str">
        <f>if($D58="Ações Americanas", HLOOKUP("PTAX",'Histórico'!$A$1:$EL$983,(MATCH(B58,'Histórico'!A:A))-1,""),
if($D58="Ações Europeias", HLOOKUP("EUR/BRL",'Histórico'!$A$1:$EL$983,(MATCH(B58,'Histórico'!A:A))-1,""),""))</f>
        <v/>
      </c>
      <c r="I58" s="110">
        <f t="array" ref="I58">IF(ISTEXT(C58),xlookup(C58,'Cadastro dos Ativos'!$A$2:$A$1000,'Cadastro dos Ativos'!$D$2:$D$1000),"")</f>
        <v>45048</v>
      </c>
      <c r="J58" s="88">
        <v>1000.0</v>
      </c>
      <c r="K58" s="47">
        <f t="array" ref="K58">if(and(J58&lt;&gt;"",D58&lt;&gt;"Futuros"),
if(F58=Controle!$C$2, M58/xlookup(workday(B58,-1,Feriados!A:A),Controle!$B$10:$B$1000,Controle!$C$10:$C$1000),
if(F58=Controle!$F$2, M58/xlookup(workday(B58,-1,Feriados!A:A),Controle!$B$10:$B$1000,Controle!$F$10:$F$1000),
if(F58=Controle!$I$2, M58/xlookup(workday(B58,-1,Feriados!A:A),Controle!$B$10:$B$1000,Controle!$I$10:$I$1000),
if(F58=Controle!$L$2, M58/xlookup(workday(B58,-1,Feriados!A:A),Controle!$B$10:$B$1000,Controle!$L$10:$L$1000),
)))),
if(and(J58&lt;&gt;"",D58="Futuros"),
if(F58=Controle!$C$2, N58/xlookup(workday(B58,-1,Feriados!A:A),Controle!$B$10:$B$1000,Controle!$C$10:$C$1000),
if(F58=Controle!$F$2, N58/xlookup(workday(B58,-1,Feriados!A:A),Controle!$B$10:$B$1000,Controle!$F$10:$F$1000),
if(F58=Controle!$I$2, N58/xlookup(workday(B58,-1,Feriados!A:A),Controle!$B$10:$B$1000,Controle!$I$10:$I$1000),
if(F58=Controle!$L$2, N58/xlookup(workday(B58,-1,Feriados!A:A),Controle!$B$10:$B$1000,Controle!$L$10:$L$1000),
)))),""))</f>
        <v>-0.4971315863</v>
      </c>
      <c r="L58" s="47">
        <f t="array" ref="L58">IF($J58&lt;&gt;"", IF($D58 = "Futuros" , $N58/xlookup(WORKDAY(B58,-1,Feriados!A:A),Controle!$B$10:$B$1000,Controle!$T$10:$T$1000) , $M58/xlookup(WORKDAY(B58,-1,Feriados!A:A),Controle!$B$10:$B$1000,Controle!$T$10:$T$1000)),"")</f>
        <v>-0.1244685117</v>
      </c>
      <c r="M58" s="48" t="str">
        <f t="shared" si="4"/>
        <v/>
      </c>
      <c r="N58" s="48">
        <f>IFERROR(IF(D58="Futuros",
IF(LEFT(C58,3)="DI1",G58*O58,
IF(LEFT(C58,3)="ISP",G58*O58*HLOOKUP("PTAX",'Histórico'!$A$1:$EL$983,MATCH(B58,'Histórico'!A:A),FALSE)*50,
IF(LEFT(C58,3)="WDO",10*G58*O58*HLOOKUP("PTAX",'Histórico'!$A$1:$EL$983,MATCH(B58,'Histórico'!A:A),FALSE),
IF(LEFT(C58,3)="DOL",50*G58*O58,
IF(LEFT(C58,3)="EUR",G58*O58*50,
IF(LEFT(C58,3)="WEU",G58*O58*10,
IF(LEFT(C58,3)="IND",G58*O58,
IF(LEFT(C58,3)="WIN",G58*O58*0.2,
IF(LEFT(C58,3)="T10",G58*O58*1000*HLOOKUP("PTAX",'Histórico'!$A$1:$EL$983,MATCH(B58,'Histórico'!A:A),FALSE),
IF(LEFT(C58,3)="CCM",G58*O58*450,
IF(LEFT(C58,3)="SJC",G58*O58*HLOOKUP("PTAX",'Histórico'!$A$1:$EL$983,MATCH(B58,'Histórico'!A:A),FALSE)*450,
IF(LEFT(C58,3)="BGI",G58*O58*330,
IF(LEFT(C58,3)="OZ1",G58*O58*250,
IF(LEFT(C58,3)="CLP",G58*O58*25,
IF(LEFT(C58,3)="EUP", O58*10000*HLOOKUP("EUR/BRL",'Histórico'!$A$1:$EL$983,MATCH(B58,'Histórico'!A:A),FALSE),
IF(LEFT(C58,3)="JSE", G58*O58*0.4,
IF(LEFT(C58,3)="GBP", O58*10000*HLOOKUP("GBP/BRL",'Histórico'!$A$1:$FG$983,MATCH(B58,'Histórico'!A:A),FALSE),
IF(LEFT(C58,3)="JAP",O58*10000*HLOOKUP("PTAX",'Histórico'!$A$1:$FG$983,MATCH(B58,'Histórico'!A:A),FALSE),
IF(LEFT(C58,3)="CNH",O58*10000*HLOOKUP("PTAX",'Histórico'!$A$1:$FG$983,MATCH(B58,'Histórico'!A:A),FALSE),
IF(LEFT(C58,3)="AUS",O58*10000*HLOOKUP("PTAX",'Histórico'!$A$1:$FG$983,MATCH(B58,'Histórico'!A:A),FALSE),
IF(LEFT(C58,3)="CAN",O58*10000*HLOOKUP("PTAX",'Histórico'!$A$1:$FG$983,MATCH(B58,'Histórico'!A:A),FALSE),
IF(LEFT(C58,3)="GBR",O58*10000*HLOOKUP("GBP/BRL",'Histórico'!$A$1:$FG$983,MATCH(B58,'Histórico'!A:A),FALSE),
IF(LEFT(C58,3)="MEX",O58*10000*HLOOKUP("PTAX",'Histórico'!$A$1:$FG$983,MATCH(B58,'Histórico'!A:A),FALSE),
IF(LEFT(C58,3)="CHL",O58*10000*HLOOKUP("PTAX",'Histórico'!$A$1:$FG$983,MATCH(B58,'Histórico'!A:A),FALSE)
)))))))))))))))))))))))),""))</f>
        <v>-50527000</v>
      </c>
      <c r="O58" s="49">
        <f t="shared" si="2"/>
        <v>-1000</v>
      </c>
      <c r="P58" s="50">
        <f t="shared" si="3"/>
        <v>0</v>
      </c>
      <c r="Q58" s="51">
        <f>IF($C58&lt;&gt;"",SUMIFS($O$3:$O$401, $C$3:$C$401 ,$C58,$B$3:$B$401,"&lt;="&amp;Controle!$B$6),"")</f>
        <v>0</v>
      </c>
      <c r="R58" s="51">
        <f>IF($D58&lt;&gt;"",SUMIFS($O$3:$O$401, $C$3:$C$401 ,$C58,$B$3:$B$401,"&lt;="&amp;Controle!$B$6,$F$3:$F$401,$F58),"")</f>
        <v>0</v>
      </c>
      <c r="S58" s="51">
        <f>IF($D58&lt;&gt;"",SUMIFS($O$3:$O$401, $C$3:$C$401 ,$C58,$B$3:$B$401,"&lt;="&amp;'Controle D-1'!$B$6,$F$3:$F$401,$F58),"")</f>
        <v>0</v>
      </c>
      <c r="T58" s="40"/>
      <c r="U58" s="40"/>
      <c r="V58" s="40"/>
      <c r="W58" s="40"/>
      <c r="X58" s="40"/>
      <c r="Y58" s="40"/>
      <c r="Z58" s="40"/>
      <c r="AA58" s="40"/>
      <c r="AB58" s="40"/>
      <c r="AC58" s="40"/>
    </row>
    <row r="59" ht="15.75" customHeight="1">
      <c r="A59" s="28"/>
      <c r="B59" s="100">
        <v>45041.0</v>
      </c>
      <c r="C59" s="88" t="s">
        <v>34</v>
      </c>
      <c r="D59" s="88" t="str">
        <f>IF(ISTEXT(C59),VLOOKUP(C59,'Cadastro dos Ativos'!$A$2:$C$1000,3,0),"")</f>
        <v>Ações Americanas</v>
      </c>
      <c r="E59" s="88" t="s">
        <v>198</v>
      </c>
      <c r="F59" s="88" t="s">
        <v>200</v>
      </c>
      <c r="G59" s="46">
        <v>49.3</v>
      </c>
      <c r="H59" s="101">
        <f>if($D59="Ações Americanas", HLOOKUP("PTAX",'Histórico'!$A$1:$EL$983,(MATCH(B59,'Histórico'!A:A))-1,""),
if($D59="Ações Europeias", HLOOKUP("EUR/BRL",'Histórico'!$A$1:$EL$983,(MATCH(B59,'Histórico'!A:A))-1,""),""))</f>
        <v>5.0595</v>
      </c>
      <c r="I59" s="88" t="str">
        <f t="array" ref="I59">IF(ISTEXT(C59),xlookup(C59,'Cadastro dos Ativos'!$A$2:$A$1000,'Cadastro dos Ativos'!$D$2:$D$1000),"")</f>
        <v/>
      </c>
      <c r="J59" s="88">
        <v>12000.0</v>
      </c>
      <c r="K59" s="47">
        <f t="array" ref="K59">if(and(J59&lt;&gt;"",D59&lt;&gt;"Futuros"),
if(F59=Controle!$C$2, M59/xlookup(workday(B59,-1,Feriados!A:A),Controle!$B$10:$B$1000,Controle!$C$10:$C$1000),
if(F59=Controle!$F$2, M59/xlookup(workday(B59,-1,Feriados!A:A),Controle!$B$10:$B$1000,Controle!$F$10:$F$1000),
if(F59=Controle!$I$2, M59/xlookup(workday(B59,-1,Feriados!A:A),Controle!$B$10:$B$1000,Controle!$I$10:$I$1000),
if(F59=Controle!$L$2, M59/xlookup(workday(B59,-1,Feriados!A:A),Controle!$B$10:$B$1000,Controle!$L$10:$L$1000),
)))),
if(and(J59&lt;&gt;"",D59="Futuros"),
if(F59=Controle!$C$2, N59/xlookup(workday(B59,-1,Feriados!A:A),Controle!$B$10:$B$1000,Controle!$C$10:$C$1000),
if(F59=Controle!$F$2, N59/xlookup(workday(B59,-1,Feriados!A:A),Controle!$B$10:$B$1000,Controle!$F$10:$F$1000),
if(F59=Controle!$I$2, N59/xlookup(workday(B59,-1,Feriados!A:A),Controle!$B$10:$B$1000,Controle!$I$10:$I$1000),
if(F59=Controle!$L$2, N59/xlookup(workday(B59,-1,Feriados!A:A),Controle!$B$10:$B$1000,Controle!$L$10:$L$1000),
)))),""))</f>
        <v>0.02944988548</v>
      </c>
      <c r="L59" s="47">
        <f t="array" ref="L59">IF($J59&lt;&gt;"", IF($D59 = "Futuros" , $N59/xlookup(WORKDAY(B59,-1,Feriados!A:A),Controle!$B$10:$B$1000,Controle!$T$10:$T$1000) , $M59/xlookup(WORKDAY(B59,-1,Feriados!A:A),Controle!$B$10:$B$1000,Controle!$T$10:$T$1000)),"")</f>
        <v>0.007373467137</v>
      </c>
      <c r="M59" s="48">
        <f t="shared" si="4"/>
        <v>2993200.2</v>
      </c>
      <c r="N59" s="48" t="str">
        <f>IFERROR(IF(D59="Futuros",
IF(LEFT(C59,3)="DI1",G59*O59,
IF(LEFT(C59,3)="ISP",G59*O59*HLOOKUP("PTAX",'Histórico'!$A$1:$EL$983,MATCH(B59,'Histórico'!A:A),FALSE)*50,
IF(LEFT(C59,3)="WDO",10*G59*O59*HLOOKUP("PTAX",'Histórico'!$A$1:$EL$983,MATCH(B59,'Histórico'!A:A),FALSE),
IF(LEFT(C59,3)="DOL",50*G59*O59,
IF(LEFT(C59,3)="EUR",G59*O59*50,
IF(LEFT(C59,3)="WEU",G59*O59*10,
IF(LEFT(C59,3)="IND",G59*O59,
IF(LEFT(C59,3)="WIN",G59*O59*0.2,
IF(LEFT(C59,3)="T10",G59*O59*1000*HLOOKUP("PTAX",'Histórico'!$A$1:$EL$983,MATCH(B59,'Histórico'!A:A),FALSE),
IF(LEFT(C59,3)="CCM",G59*O59*450,
IF(LEFT(C59,3)="SJC",G59*O59*HLOOKUP("PTAX",'Histórico'!$A$1:$EL$983,MATCH(B59,'Histórico'!A:A),FALSE)*450,
IF(LEFT(C59,3)="BGI",G59*O59*330,
IF(LEFT(C59,3)="OZ1",G59*O59*250,
IF(LEFT(C59,3)="CLP",G59*O59*25,
IF(LEFT(C59,3)="EUP", O59*10000*HLOOKUP("EUR/BRL",'Histórico'!$A$1:$EL$983,MATCH(B59,'Histórico'!A:A),FALSE),
IF(LEFT(C59,3)="JSE", G59*O59*0.4,
IF(LEFT(C59,3)="GBP", O59*10000*HLOOKUP("GBP/BRL",'Histórico'!$A$1:$FG$983,MATCH(B59,'Histórico'!A:A),FALSE),
IF(LEFT(C59,3)="JAP",O59*10000*HLOOKUP("PTAX",'Histórico'!$A$1:$FG$983,MATCH(B59,'Histórico'!A:A),FALSE),
IF(LEFT(C59,3)="CNH",O59*10000*HLOOKUP("PTAX",'Histórico'!$A$1:$FG$983,MATCH(B59,'Histórico'!A:A),FALSE),
IF(LEFT(C59,3)="AUS",O59*10000*HLOOKUP("PTAX",'Histórico'!$A$1:$FG$983,MATCH(B59,'Histórico'!A:A),FALSE),
IF(LEFT(C59,3)="CAN",O59*10000*HLOOKUP("PTAX",'Histórico'!$A$1:$FG$983,MATCH(B59,'Histórico'!A:A),FALSE),
IF(LEFT(C59,3)="GBR",O59*10000*HLOOKUP("GBP/BRL",'Histórico'!$A$1:$FG$983,MATCH(B59,'Histórico'!A:A),FALSE),
IF(LEFT(C59,3)="MEX",O59*10000*HLOOKUP("PTAX",'Histórico'!$A$1:$FG$983,MATCH(B59,'Histórico'!A:A),FALSE),
IF(LEFT(C59,3)="CHL",O59*10000*HLOOKUP("PTAX",'Histórico'!$A$1:$FG$983,MATCH(B59,'Histórico'!A:A),FALSE)
)))))))))))))))))))))))),""))</f>
        <v/>
      </c>
      <c r="O59" s="49">
        <f t="shared" si="2"/>
        <v>-12000</v>
      </c>
      <c r="P59" s="50">
        <f t="shared" si="3"/>
        <v>0</v>
      </c>
      <c r="Q59" s="51">
        <f>IF($C59&lt;&gt;"",SUMIFS($O$3:$O$401, $C$3:$C$401 ,$C59,$B$3:$B$401,"&lt;="&amp;Controle!$B$6),"")</f>
        <v>0</v>
      </c>
      <c r="R59" s="51">
        <f>IF($D59&lt;&gt;"",SUMIFS($O$3:$O$401, $C$3:$C$401 ,$C59,$B$3:$B$401,"&lt;="&amp;Controle!$B$6,$F$3:$F$401,$F59),"")</f>
        <v>0</v>
      </c>
      <c r="S59" s="51">
        <f>IF($D59&lt;&gt;"",SUMIFS($O$3:$O$401, $C$3:$C$401 ,$C59,$B$3:$B$401,"&lt;="&amp;'Controle D-1'!$B$6,$F$3:$F$401,$F59),"")</f>
        <v>0</v>
      </c>
      <c r="T59" s="40"/>
      <c r="U59" s="40"/>
      <c r="V59" s="40"/>
      <c r="W59" s="40"/>
      <c r="X59" s="40"/>
      <c r="Y59" s="40"/>
      <c r="Z59" s="40"/>
      <c r="AA59" s="40"/>
      <c r="AB59" s="40"/>
      <c r="AC59" s="40"/>
    </row>
    <row r="60" ht="15.75" customHeight="1">
      <c r="A60" s="28"/>
      <c r="B60" s="68">
        <v>45041.0</v>
      </c>
      <c r="C60" s="88" t="s">
        <v>70</v>
      </c>
      <c r="D60" s="88" t="str">
        <f>IF(ISTEXT(C60),VLOOKUP(C60,'Cadastro dos Ativos'!$A$2:$C$1000,3,0),"")</f>
        <v>Moedas</v>
      </c>
      <c r="E60" s="88" t="s">
        <v>208</v>
      </c>
      <c r="F60" s="88" t="s">
        <v>200</v>
      </c>
      <c r="G60" s="46">
        <v>375.674</v>
      </c>
      <c r="H60" s="101" t="str">
        <f>if($D60="Ações Americanas", HLOOKUP("PTAX",'Histórico'!$A$1:$EL$983,(MATCH(B60,'Histórico'!A:A))-1,""),
if($D60="Ações Europeias", HLOOKUP("EUR/BRL",'Histórico'!$A$1:$EL$983,(MATCH(B60,'Histórico'!A:A))-1,""),""))</f>
        <v/>
      </c>
      <c r="I60" s="88" t="str">
        <f t="array" ref="I60">IF(ISTEXT(C60),xlookup(C60,'Cadastro dos Ativos'!$A$2:$A$1000,'Cadastro dos Ativos'!$D$2:$D$1000),"")</f>
        <v/>
      </c>
      <c r="J60" s="88">
        <v>60000.0</v>
      </c>
      <c r="K60" s="47">
        <f t="array" ref="K60">if(and(J60&lt;&gt;"",D60&lt;&gt;"Futuros"),
if(F60=Controle!$C$2, M60/xlookup(workday(B60,-1,Feriados!A:A),Controle!$B$10:$B$1000,Controle!$C$10:$C$1000),
if(F60=Controle!$F$2, M60/xlookup(workday(B60,-1,Feriados!A:A),Controle!$B$10:$B$1000,Controle!$F$10:$F$1000),
if(F60=Controle!$I$2, M60/xlookup(workday(B60,-1,Feriados!A:A),Controle!$B$10:$B$1000,Controle!$I$10:$I$1000),
if(F60=Controle!$L$2, M60/xlookup(workday(B60,-1,Feriados!A:A),Controle!$B$10:$B$1000,Controle!$L$10:$L$1000),
)))),
if(and(J60&lt;&gt;"",D60="Futuros"),
if(F60=Controle!$C$2, N60/xlookup(workday(B60,-1,Feriados!A:A),Controle!$B$10:$B$1000,Controle!$C$10:$C$1000),
if(F60=Controle!$F$2, N60/xlookup(workday(B60,-1,Feriados!A:A),Controle!$B$10:$B$1000,Controle!$F$10:$F$1000),
if(F60=Controle!$I$2, N60/xlookup(workday(B60,-1,Feriados!A:A),Controle!$B$10:$B$1000,Controle!$I$10:$I$1000),
if(F60=Controle!$L$2, N60/xlookup(workday(B60,-1,Feriados!A:A),Controle!$B$10:$B$1000,Controle!$L$10:$L$1000),
)))),""))</f>
        <v>-0.2217737981</v>
      </c>
      <c r="L60" s="47">
        <f t="array" ref="L60">IF($J60&lt;&gt;"", IF($D60 = "Futuros" , $N60/xlookup(WORKDAY(B60,-1,Feriados!A:A),Controle!$B$10:$B$1000,Controle!$T$10:$T$1000) , $M60/xlookup(WORKDAY(B60,-1,Feriados!A:A),Controle!$B$10:$B$1000,Controle!$T$10:$T$1000)),"")</f>
        <v>-0.05552625367</v>
      </c>
      <c r="M60" s="48">
        <f t="shared" si="4"/>
        <v>-22540440</v>
      </c>
      <c r="N60" s="48" t="str">
        <f>IFERROR(IF(D60="Futuros",
IF(LEFT(C60,3)="DI1",G60*O60,
IF(LEFT(C60,3)="ISP",G60*O60*HLOOKUP("PTAX",'Histórico'!$A$1:$EL$983,MATCH(B60,'Histórico'!A:A),FALSE)*50,
IF(LEFT(C60,3)="WDO",10*G60*O60*HLOOKUP("PTAX",'Histórico'!$A$1:$EL$983,MATCH(B60,'Histórico'!A:A),FALSE),
IF(LEFT(C60,3)="DOL",50*G60*O60,
IF(LEFT(C60,3)="EUR",G60*O60*50,
IF(LEFT(C60,3)="WEU",G60*O60*10,
IF(LEFT(C60,3)="IND",G60*O60,
IF(LEFT(C60,3)="WIN",G60*O60*0.2,
IF(LEFT(C60,3)="T10",G60*O60*1000*HLOOKUP("PTAX",'Histórico'!$A$1:$EL$983,MATCH(B60,'Histórico'!A:A),FALSE),
IF(LEFT(C60,3)="CCM",G60*O60*450,
IF(LEFT(C60,3)="SJC",G60*O60*HLOOKUP("PTAX",'Histórico'!$A$1:$EL$983,MATCH(B60,'Histórico'!A:A),FALSE)*450,
IF(LEFT(C60,3)="BGI",G60*O60*330,
IF(LEFT(C60,3)="OZ1",G60*O60*250,
IF(LEFT(C60,3)="CLP",G60*O60*25,
IF(LEFT(C60,3)="EUP", O60*10000*HLOOKUP("EUR/BRL",'Histórico'!$A$1:$EL$983,MATCH(B60,'Histórico'!A:A),FALSE),
IF(LEFT(C60,3)="JSE", G60*O60*0.4,
IF(LEFT(C60,3)="GBP", O60*10000*HLOOKUP("GBP/BRL",'Histórico'!$A$1:$FG$983,MATCH(B60,'Histórico'!A:A),FALSE),
IF(LEFT(C60,3)="JAP",O60*10000*HLOOKUP("PTAX",'Histórico'!$A$1:$FG$983,MATCH(B60,'Histórico'!A:A),FALSE),
IF(LEFT(C60,3)="CNH",O60*10000*HLOOKUP("PTAX",'Histórico'!$A$1:$FG$983,MATCH(B60,'Histórico'!A:A),FALSE),
IF(LEFT(C60,3)="AUS",O60*10000*HLOOKUP("PTAX",'Histórico'!$A$1:$FG$983,MATCH(B60,'Histórico'!A:A),FALSE),
IF(LEFT(C60,3)="CAN",O60*10000*HLOOKUP("PTAX",'Histórico'!$A$1:$FG$983,MATCH(B60,'Histórico'!A:A),FALSE),
IF(LEFT(C60,3)="GBR",O60*10000*HLOOKUP("GBP/BRL",'Histórico'!$A$1:$FG$983,MATCH(B60,'Histórico'!A:A),FALSE),
IF(LEFT(C60,3)="MEX",O60*10000*HLOOKUP("PTAX",'Histórico'!$A$1:$FG$983,MATCH(B60,'Histórico'!A:A),FALSE),
IF(LEFT(C60,3)="CHL",O60*10000*HLOOKUP("PTAX",'Histórico'!$A$1:$FG$983,MATCH(B60,'Histórico'!A:A),FALSE)
)))))))))))))))))))))))),""))</f>
        <v/>
      </c>
      <c r="O60" s="49">
        <f t="shared" si="2"/>
        <v>60000</v>
      </c>
      <c r="P60" s="50">
        <f t="shared" si="3"/>
        <v>0</v>
      </c>
      <c r="Q60" s="51">
        <f>IF($C60&lt;&gt;"",SUMIFS($O$3:$O$401, $C$3:$C$401 ,$C60,$B$3:$B$401,"&lt;="&amp;Controle!$B$6),"")</f>
        <v>0</v>
      </c>
      <c r="R60" s="51">
        <f>IF($D60&lt;&gt;"",SUMIFS($O$3:$O$401, $C$3:$C$401 ,$C60,$B$3:$B$401,"&lt;="&amp;Controle!$B$6,$F$3:$F$401,$F60),"")</f>
        <v>0</v>
      </c>
      <c r="S60" s="51">
        <f>IF($D60&lt;&gt;"",SUMIFS($O$3:$O$401, $C$3:$C$401 ,$C60,$B$3:$B$401,"&lt;="&amp;'Controle D-1'!$B$6,$F$3:$F$401,$F60),"")</f>
        <v>0</v>
      </c>
      <c r="T60" s="40"/>
      <c r="U60" s="40"/>
      <c r="V60" s="40"/>
      <c r="W60" s="40"/>
      <c r="X60" s="40"/>
      <c r="Y60" s="40"/>
      <c r="Z60" s="40"/>
      <c r="AA60" s="40"/>
      <c r="AB60" s="40"/>
      <c r="AC60" s="40"/>
    </row>
    <row r="61" ht="15.75" customHeight="1">
      <c r="A61" s="28"/>
      <c r="B61" s="68">
        <v>45041.0</v>
      </c>
      <c r="C61" s="88" t="s">
        <v>38</v>
      </c>
      <c r="D61" s="88" t="str">
        <f>IF(ISTEXT(C61),VLOOKUP(C61,'Cadastro dos Ativos'!$A$2:$C$1000,3,0),"")</f>
        <v>Futuros</v>
      </c>
      <c r="E61" s="88" t="s">
        <v>208</v>
      </c>
      <c r="F61" s="88" t="s">
        <v>200</v>
      </c>
      <c r="G61" s="46"/>
      <c r="H61" s="101" t="str">
        <f>if($D61="Ações Americanas", HLOOKUP("PTAX",'Histórico'!$A$1:$EL$983,(MATCH(B61,'Histórico'!A:A))-1,""),
if($D61="Ações Europeias", HLOOKUP("EUR/BRL",'Histórico'!$A$1:$EL$983,(MATCH(B61,'Histórico'!A:A))-1,""),""))</f>
        <v/>
      </c>
      <c r="I61" s="103">
        <f t="array" ref="I61">IF(ISTEXT(C61),xlookup(C61,'Cadastro dos Ativos'!$A$2:$A$1000,'Cadastro dos Ativos'!$D$2:$D$1000),"")</f>
        <v>45048</v>
      </c>
      <c r="J61" s="88">
        <v>650.0</v>
      </c>
      <c r="K61" s="47">
        <f t="array" ref="K61">if(and(J61&lt;&gt;"",D61&lt;&gt;"Futuros"),
if(F61=Controle!$C$2, M61/xlookup(workday(B61,-1,Feriados!A:A),Controle!$B$10:$B$1000,Controle!$C$10:$C$1000),
if(F61=Controle!$F$2, M61/xlookup(workday(B61,-1,Feriados!A:A),Controle!$B$10:$B$1000,Controle!$F$10:$F$1000),
if(F61=Controle!$I$2, M61/xlookup(workday(B61,-1,Feriados!A:A),Controle!$B$10:$B$1000,Controle!$I$10:$I$1000),
if(F61=Controle!$L$2, M61/xlookup(workday(B61,-1,Feriados!A:A),Controle!$B$10:$B$1000,Controle!$L$10:$L$1000),
)))),
if(and(J61&lt;&gt;"",D61="Futuros"),
if(F61=Controle!$C$2, N61/xlookup(workday(B61,-1,Feriados!A:A),Controle!$B$10:$B$1000,Controle!$C$10:$C$1000),
if(F61=Controle!$F$2, N61/xlookup(workday(B61,-1,Feriados!A:A),Controle!$B$10:$B$1000,Controle!$F$10:$F$1000),
if(F61=Controle!$I$2, N61/xlookup(workday(B61,-1,Feriados!A:A),Controle!$B$10:$B$1000,Controle!$I$10:$I$1000),
if(F61=Controle!$L$2, N61/xlookup(workday(B61,-1,Feriados!A:A),Controle!$B$10:$B$1000,Controle!$L$10:$L$1000),
)))),""))</f>
        <v>0.3547922819</v>
      </c>
      <c r="L61" s="47">
        <f t="array" ref="L61">IF($J61&lt;&gt;"", IF($D61 = "Futuros" , $N61/xlookup(WORKDAY(B61,-1,Feriados!A:A),Controle!$B$10:$B$1000,Controle!$T$10:$T$1000) , $M61/xlookup(WORKDAY(B61,-1,Feriados!A:A),Controle!$B$10:$B$1000,Controle!$T$10:$T$1000)),"")</f>
        <v>0.08883054003</v>
      </c>
      <c r="M61" s="48" t="str">
        <f t="shared" si="4"/>
        <v/>
      </c>
      <c r="N61" s="48">
        <f>IFERROR(IF(D61="Futuros",
IF(LEFT(C61,3)="DI1",G61*O61,
IF(LEFT(C61,3)="ISP",G61*O61*HLOOKUP("PTAX",'Histórico'!$A$1:$EL$983,MATCH(B61,'Histórico'!A:A),FALSE)*50,
IF(LEFT(C61,3)="WDO",10*G61*O61*HLOOKUP("PTAX",'Histórico'!$A$1:$EL$983,MATCH(B61,'Histórico'!A:A),FALSE),
IF(LEFT(C61,3)="DOL",50*G61*O61,
IF(LEFT(C61,3)="EUR",G61*O61*50,
IF(LEFT(C61,3)="WEU",G61*O61*10,
IF(LEFT(C61,3)="IND",G61*O61,
IF(LEFT(C61,3)="WIN",G61*O61*0.2,
IF(LEFT(C61,3)="T10",G61*O61*1000*HLOOKUP("PTAX",'Histórico'!$A$1:$EL$983,MATCH(B61,'Histórico'!A:A),FALSE),
IF(LEFT(C61,3)="CCM",G61*O61*450,
IF(LEFT(C61,3)="SJC",G61*O61*HLOOKUP("PTAX",'Histórico'!$A$1:$EL$983,MATCH(B61,'Histórico'!A:A),FALSE)*450,
IF(LEFT(C61,3)="BGI",G61*O61*330,
IF(LEFT(C61,3)="OZ1",G61*O61*250,
IF(LEFT(C61,3)="CLP",G61*O61*25,
IF(LEFT(C61,3)="EUP", O61*10000*HLOOKUP("EUR/BRL",'Histórico'!$A$1:$EL$983,MATCH(B61,'Histórico'!A:A),FALSE),
IF(LEFT(C61,3)="JSE", G61*O61*0.4,
IF(LEFT(C61,3)="GBP", O61*10000*HLOOKUP("GBP/BRL",'Histórico'!$A$1:$FG$983,MATCH(B61,'Histórico'!A:A),FALSE),
IF(LEFT(C61,3)="JAP",O61*10000*HLOOKUP("PTAX",'Histórico'!$A$1:$FG$983,MATCH(B61,'Histórico'!A:A),FALSE),
IF(LEFT(C61,3)="CNH",O61*10000*HLOOKUP("PTAX",'Histórico'!$A$1:$FG$983,MATCH(B61,'Histórico'!A:A),FALSE),
IF(LEFT(C61,3)="AUS",O61*10000*HLOOKUP("PTAX",'Histórico'!$A$1:$FG$983,MATCH(B61,'Histórico'!A:A),FALSE),
IF(LEFT(C61,3)="CAN",O61*10000*HLOOKUP("PTAX",'Histórico'!$A$1:$FG$983,MATCH(B61,'Histórico'!A:A),FALSE),
IF(LEFT(C61,3)="GBR",O61*10000*HLOOKUP("GBP/BRL",'Histórico'!$A$1:$FG$983,MATCH(B61,'Histórico'!A:A),FALSE),
IF(LEFT(C61,3)="MEX",O61*10000*HLOOKUP("PTAX",'Histórico'!$A$1:$FG$983,MATCH(B61,'Histórico'!A:A),FALSE),
IF(LEFT(C61,3)="CHL",O61*10000*HLOOKUP("PTAX",'Histórico'!$A$1:$FG$983,MATCH(B61,'Histórico'!A:A),FALSE)
)))))))))))))))))))))))),""))</f>
        <v>36060049.53</v>
      </c>
      <c r="O61" s="49">
        <f t="shared" si="2"/>
        <v>650</v>
      </c>
      <c r="P61" s="50">
        <f t="shared" si="3"/>
        <v>0</v>
      </c>
      <c r="Q61" s="51">
        <f>IF($C61&lt;&gt;"",SUMIFS($O$3:$O$401, $C$3:$C$401 ,$C61,$B$3:$B$401,"&lt;="&amp;Controle!$B$6),"")</f>
        <v>0</v>
      </c>
      <c r="R61" s="51">
        <f>IF($D61&lt;&gt;"",SUMIFS($O$3:$O$401, $C$3:$C$401 ,$C61,$B$3:$B$401,"&lt;="&amp;Controle!$B$6,$F$3:$F$401,$F61),"")</f>
        <v>0</v>
      </c>
      <c r="S61" s="51">
        <f>IF($D61&lt;&gt;"",SUMIFS($O$3:$O$401, $C$3:$C$401 ,$C61,$B$3:$B$401,"&lt;="&amp;'Controle D-1'!$B$6,$F$3:$F$401,$F61),"")</f>
        <v>0</v>
      </c>
      <c r="T61" s="40"/>
      <c r="U61" s="40"/>
      <c r="V61" s="40"/>
      <c r="W61" s="40"/>
      <c r="X61" s="40"/>
      <c r="Y61" s="40"/>
      <c r="Z61" s="40"/>
      <c r="AA61" s="40"/>
      <c r="AB61" s="40"/>
      <c r="AC61" s="40"/>
    </row>
    <row r="62" ht="15.75" customHeight="1">
      <c r="A62" s="28"/>
      <c r="B62" s="100">
        <v>45041.0</v>
      </c>
      <c r="C62" s="88" t="s">
        <v>86</v>
      </c>
      <c r="D62" s="88" t="str">
        <f>IF(ISTEXT(C62),VLOOKUP(C62,'Cadastro dos Ativos'!$A$2:$C$1000,3,0),"")</f>
        <v>Ações Americanas</v>
      </c>
      <c r="E62" s="88" t="s">
        <v>208</v>
      </c>
      <c r="F62" s="88" t="s">
        <v>200</v>
      </c>
      <c r="G62" s="46">
        <v>58.98</v>
      </c>
      <c r="H62" s="46">
        <f>if($D62="Ações Americanas", HLOOKUP("PTAX",'Histórico'!$A$1:$EL$983,(MATCH(B62,'Histórico'!A:A))-1,""),
if($D62="Ações Europeias", HLOOKUP("EUR/BRL",'Histórico'!$A$1:$EL$983,(MATCH(B62,'Histórico'!A:A))-1,""),""))</f>
        <v>5.0595</v>
      </c>
      <c r="I62" s="88" t="str">
        <f t="array" ref="I62">IF(ISTEXT(C62),xlookup(C62,'Cadastro dos Ativos'!$A$2:$A$1000,'Cadastro dos Ativos'!$D$2:$D$1000),"")</f>
        <v/>
      </c>
      <c r="J62" s="88">
        <v>58000.0</v>
      </c>
      <c r="K62" s="47">
        <f t="array" ref="K62">if(and(J62&lt;&gt;"",D62&lt;&gt;"Futuros"),
if(F62=Controle!$C$2, M62/xlookup(workday(B62,-1,Feriados!A:A),Controle!$B$10:$B$1000,Controle!$C$10:$C$1000),
if(F62=Controle!$F$2, M62/xlookup(workday(B62,-1,Feriados!A:A),Controle!$B$10:$B$1000,Controle!$F$10:$F$1000),
if(F62=Controle!$I$2, M62/xlookup(workday(B62,-1,Feriados!A:A),Controle!$B$10:$B$1000,Controle!$I$10:$I$1000),
if(F62=Controle!$L$2, M62/xlookup(workday(B62,-1,Feriados!A:A),Controle!$B$10:$B$1000,Controle!$L$10:$L$1000),
)))),
if(and(J62&lt;&gt;"",D62="Futuros"),
if(F62=Controle!$C$2, N62/xlookup(workday(B62,-1,Feriados!A:A),Controle!$B$10:$B$1000,Controle!$C$10:$C$1000),
if(F62=Controle!$F$2, N62/xlookup(workday(B62,-1,Feriados!A:A),Controle!$B$10:$B$1000,Controle!$F$10:$F$1000),
if(F62=Controle!$I$2, N62/xlookup(workday(B62,-1,Feriados!A:A),Controle!$B$10:$B$1000,Controle!$I$10:$I$1000),
if(F62=Controle!$L$2, N62/xlookup(workday(B62,-1,Feriados!A:A),Controle!$B$10:$B$1000,Controle!$L$10:$L$1000),
)))),""))</f>
        <v>-0.1702896319</v>
      </c>
      <c r="L62" s="47">
        <f t="array" ref="L62">IF($J62&lt;&gt;"", IF($D62 = "Futuros" , $N62/xlookup(WORKDAY(B62,-1,Feriados!A:A),Controle!$B$10:$B$1000,Controle!$T$10:$T$1000) , $M62/xlookup(WORKDAY(B62,-1,Feriados!A:A),Controle!$B$10:$B$1000,Controle!$T$10:$T$1000)),"")</f>
        <v>-0.04263598939</v>
      </c>
      <c r="M62" s="48">
        <f t="shared" si="4"/>
        <v>-17307739.98</v>
      </c>
      <c r="N62" s="48" t="str">
        <f>IFERROR(IF(D62="Futuros",
IF(LEFT(C62,3)="DI1",G62*O62,
IF(LEFT(C62,3)="ISP",G62*O62*HLOOKUP("PTAX",'Histórico'!$A$1:$EL$983,MATCH(B62,'Histórico'!A:A),FALSE)*50,
IF(LEFT(C62,3)="WDO",10*G62*O62*HLOOKUP("PTAX",'Histórico'!$A$1:$EL$983,MATCH(B62,'Histórico'!A:A),FALSE),
IF(LEFT(C62,3)="DOL",50*G62*O62,
IF(LEFT(C62,3)="EUR",G62*O62*50,
IF(LEFT(C62,3)="WEU",G62*O62*10,
IF(LEFT(C62,3)="IND",G62*O62,
IF(LEFT(C62,3)="WIN",G62*O62*0.2,
IF(LEFT(C62,3)="T10",G62*O62*1000*HLOOKUP("PTAX",'Histórico'!$A$1:$EL$983,MATCH(B62,'Histórico'!A:A),FALSE),
IF(LEFT(C62,3)="CCM",G62*O62*450,
IF(LEFT(C62,3)="SJC",G62*O62*HLOOKUP("PTAX",'Histórico'!$A$1:$EL$983,MATCH(B62,'Histórico'!A:A),FALSE)*450,
IF(LEFT(C62,3)="BGI",G62*O62*330,
IF(LEFT(C62,3)="OZ1",G62*O62*250,
IF(LEFT(C62,3)="CLP",G62*O62*25,
IF(LEFT(C62,3)="EUP", O62*10000*HLOOKUP("EUR/BRL",'Histórico'!$A$1:$EL$983,MATCH(B62,'Histórico'!A:A),FALSE),
IF(LEFT(C62,3)="JSE", G62*O62*0.4,
IF(LEFT(C62,3)="GBP", O62*10000*HLOOKUP("GBP/BRL",'Histórico'!$A$1:$FG$983,MATCH(B62,'Histórico'!A:A),FALSE),
IF(LEFT(C62,3)="JAP",O62*10000*HLOOKUP("PTAX",'Histórico'!$A$1:$FG$983,MATCH(B62,'Histórico'!A:A),FALSE),
IF(LEFT(C62,3)="CNH",O62*10000*HLOOKUP("PTAX",'Histórico'!$A$1:$FG$983,MATCH(B62,'Histórico'!A:A),FALSE),
IF(LEFT(C62,3)="AUS",O62*10000*HLOOKUP("PTAX",'Histórico'!$A$1:$FG$983,MATCH(B62,'Histórico'!A:A),FALSE),
IF(LEFT(C62,3)="CAN",O62*10000*HLOOKUP("PTAX",'Histórico'!$A$1:$FG$983,MATCH(B62,'Histórico'!A:A),FALSE),
IF(LEFT(C62,3)="GBR",O62*10000*HLOOKUP("GBP/BRL",'Histórico'!$A$1:$FG$983,MATCH(B62,'Histórico'!A:A),FALSE),
IF(LEFT(C62,3)="MEX",O62*10000*HLOOKUP("PTAX",'Histórico'!$A$1:$FG$983,MATCH(B62,'Histórico'!A:A),FALSE),
IF(LEFT(C62,3)="CHL",O62*10000*HLOOKUP("PTAX",'Histórico'!$A$1:$FG$983,MATCH(B62,'Histórico'!A:A),FALSE)
)))))))))))))))))))))))),""))</f>
        <v/>
      </c>
      <c r="O62" s="49">
        <f t="shared" si="2"/>
        <v>58000</v>
      </c>
      <c r="P62" s="50">
        <f t="shared" si="3"/>
        <v>0</v>
      </c>
      <c r="Q62" s="51">
        <f>IF($C62&lt;&gt;"",SUMIFS($O$3:$O$401, $C$3:$C$401 ,$C62,$B$3:$B$401,"&lt;="&amp;Controle!$B$6),"")</f>
        <v>0</v>
      </c>
      <c r="R62" s="51">
        <f>IF($D62&lt;&gt;"",SUMIFS($O$3:$O$401, $C$3:$C$401 ,$C62,$B$3:$B$401,"&lt;="&amp;Controle!$B$6,$F$3:$F$401,$F62),"")</f>
        <v>0</v>
      </c>
      <c r="S62" s="51">
        <f>IF($D62&lt;&gt;"",SUMIFS($O$3:$O$401, $C$3:$C$401 ,$C62,$B$3:$B$401,"&lt;="&amp;'Controle D-1'!$B$6,$F$3:$F$401,$F62),"")</f>
        <v>0</v>
      </c>
      <c r="T62" s="40"/>
      <c r="U62" s="40"/>
      <c r="V62" s="40"/>
      <c r="W62" s="40"/>
      <c r="X62" s="40"/>
      <c r="Y62" s="40"/>
      <c r="Z62" s="40"/>
      <c r="AA62" s="40"/>
      <c r="AB62" s="40"/>
      <c r="AC62" s="40"/>
    </row>
    <row r="63" ht="15.75" customHeight="1">
      <c r="A63" s="28"/>
      <c r="B63" s="68">
        <v>45041.0</v>
      </c>
      <c r="C63" s="88" t="s">
        <v>7</v>
      </c>
      <c r="D63" s="127" t="str">
        <f>IF(ISTEXT(C63),VLOOKUP(C63,'Cadastro dos Ativos'!$A$2:$C$1000,3,0),"")</f>
        <v>Ações Americanas</v>
      </c>
      <c r="E63" s="88" t="s">
        <v>198</v>
      </c>
      <c r="F63" s="88" t="s">
        <v>200</v>
      </c>
      <c r="G63" s="46">
        <v>412.630005</v>
      </c>
      <c r="H63" s="101">
        <f>if($D63="Ações Americanas", HLOOKUP("PTAX",'Histórico'!$A$1:$EL$983,(MATCH(B63,'Histórico'!A:A))-1,""),
if($D63="Ações Europeias", HLOOKUP("EUR/BRL",'Histórico'!$A$1:$EL$983,(MATCH(B63,'Histórico'!A:A))-1,""),""))</f>
        <v>5.0595</v>
      </c>
      <c r="I63" s="127" t="str">
        <f t="array" ref="I63">IF(ISTEXT(C63),xlookup(C63,'Cadastro dos Ativos'!$A$2:$A$1000,'Cadastro dos Ativos'!$D$2:$D$1000),"")</f>
        <v/>
      </c>
      <c r="J63" s="127">
        <v>5000.0</v>
      </c>
      <c r="K63" s="47">
        <f t="array" ref="K63">if(and(J63&lt;&gt;"",D63&lt;&gt;"Futuros"),
if(F63=Controle!$C$2, M63/xlookup(workday(B63,-1,Feriados!A:A),Controle!$B$10:$B$1000,Controle!$C$10:$C$1000),
if(F63=Controle!$F$2, M63/xlookup(workday(B63,-1,Feriados!A:A),Controle!$B$10:$B$1000,Controle!$F$10:$F$1000),
if(F63=Controle!$I$2, M63/xlookup(workday(B63,-1,Feriados!A:A),Controle!$B$10:$B$1000,Controle!$I$10:$I$1000),
if(F63=Controle!$L$2, M63/xlookup(workday(B63,-1,Feriados!A:A),Controle!$B$10:$B$1000,Controle!$L$10:$L$1000),
)))),
if(and(J63&lt;&gt;"",D63="Futuros"),
if(F63=Controle!$C$2, N63/xlookup(workday(B63,-1,Feriados!A:A),Controle!$B$10:$B$1000,Controle!$C$10:$C$1000),
if(F63=Controle!$F$2, N63/xlookup(workday(B63,-1,Feriados!A:A),Controle!$B$10:$B$1000,Controle!$F$10:$F$1000),
if(F63=Controle!$I$2, N63/xlookup(workday(B63,-1,Feriados!A:A),Controle!$B$10:$B$1000,Controle!$I$10:$I$1000),
if(F63=Controle!$L$2, N63/xlookup(workday(B63,-1,Feriados!A:A),Controle!$B$10:$B$1000,Controle!$L$10:$L$1000),
)))),""))</f>
        <v>0.102703739</v>
      </c>
      <c r="L63" s="47">
        <f t="array" ref="L63">IF($J63&lt;&gt;"", IF($D63 = "Futuros" , $N63/xlookup(WORKDAY(B63,-1,Feriados!A:A),Controle!$B$10:$B$1000,Controle!$T$10:$T$1000) , $M63/xlookup(WORKDAY(B63,-1,Feriados!A:A),Controle!$B$10:$B$1000,Controle!$T$10:$T$1000)),"")</f>
        <v>0.02571428145</v>
      </c>
      <c r="M63" s="48">
        <f t="shared" si="4"/>
        <v>10438507.55</v>
      </c>
      <c r="N63" s="48" t="str">
        <f>IFERROR(IF(D63="Futuros",
IF(LEFT(C63,3)="DI1",G63*O63,
IF(LEFT(C63,3)="ISP",G63*O63*HLOOKUP("PTAX",'Histórico'!$A$1:$EL$983,MATCH(B63,'Histórico'!A:A),FALSE)*50,
IF(LEFT(C63,3)="WDO",10*G63*O63*HLOOKUP("PTAX",'Histórico'!$A$1:$EL$983,MATCH(B63,'Histórico'!A:A),FALSE),
IF(LEFT(C63,3)="DOL",50*G63*O63,
IF(LEFT(C63,3)="EUR",G63*O63*50,
IF(LEFT(C63,3)="WEU",G63*O63*10,
IF(LEFT(C63,3)="IND",G63*O63,
IF(LEFT(C63,3)="WIN",G63*O63*0.2,
IF(LEFT(C63,3)="T10",G63*O63*1000*HLOOKUP("PTAX",'Histórico'!$A$1:$EL$983,MATCH(B63,'Histórico'!A:A),FALSE),
IF(LEFT(C63,3)="CCM",G63*O63*450,
IF(LEFT(C63,3)="SJC",G63*O63*HLOOKUP("PTAX",'Histórico'!$A$1:$EL$983,MATCH(B63,'Histórico'!A:A),FALSE)*450,
IF(LEFT(C63,3)="BGI",G63*O63*330,
IF(LEFT(C63,3)="OZ1",G63*O63*250,
IF(LEFT(C63,3)="CLP",G63*O63*25,
IF(LEFT(C63,3)="EUP", O63*10000*HLOOKUP("EUR/BRL",'Histórico'!$A$1:$EL$983,MATCH(B63,'Histórico'!A:A),FALSE),
IF(LEFT(C63,3)="JSE", G63*O63*0.4,
IF(LEFT(C63,3)="GBP", O63*10000*HLOOKUP("GBP/BRL",'Histórico'!$A$1:$FG$983,MATCH(B63,'Histórico'!A:A),FALSE),
IF(LEFT(C63,3)="JAP",O63*10000*HLOOKUP("PTAX",'Histórico'!$A$1:$FG$983,MATCH(B63,'Histórico'!A:A),FALSE),
IF(LEFT(C63,3)="CNH",O63*10000*HLOOKUP("PTAX",'Histórico'!$A$1:$FG$983,MATCH(B63,'Histórico'!A:A),FALSE),
IF(LEFT(C63,3)="AUS",O63*10000*HLOOKUP("PTAX",'Histórico'!$A$1:$FG$983,MATCH(B63,'Histórico'!A:A),FALSE),
IF(LEFT(C63,3)="CAN",O63*10000*HLOOKUP("PTAX",'Histórico'!$A$1:$FG$983,MATCH(B63,'Histórico'!A:A),FALSE),
IF(LEFT(C63,3)="GBR",O63*10000*HLOOKUP("GBP/BRL",'Histórico'!$A$1:$FG$983,MATCH(B63,'Histórico'!A:A),FALSE),
IF(LEFT(C63,3)="MEX",O63*10000*HLOOKUP("PTAX",'Histórico'!$A$1:$FG$983,MATCH(B63,'Histórico'!A:A),FALSE),
IF(LEFT(C63,3)="CHL",O63*10000*HLOOKUP("PTAX",'Histórico'!$A$1:$FG$983,MATCH(B63,'Histórico'!A:A),FALSE)
)))))))))))))))))))))))),""))</f>
        <v/>
      </c>
      <c r="O63" s="49">
        <f t="shared" si="2"/>
        <v>-5000</v>
      </c>
      <c r="P63" s="50">
        <f t="shared" si="3"/>
        <v>0</v>
      </c>
      <c r="Q63" s="51">
        <f>IF($C63&lt;&gt;"",SUMIFS($O$3:$O$401, $C$3:$C$401 ,$C63,$B$3:$B$401,"&lt;="&amp;Controle!$B$6),"")</f>
        <v>0</v>
      </c>
      <c r="R63" s="51">
        <f>IF($D63&lt;&gt;"",SUMIFS($O$3:$O$401, $C$3:$C$401 ,$C63,$B$3:$B$401,"&lt;="&amp;Controle!$B$6,$F$3:$F$401,$F63),"")</f>
        <v>0</v>
      </c>
      <c r="S63" s="51">
        <f>IF($D63&lt;&gt;"",SUMIFS($O$3:$O$401, $C$3:$C$401 ,$C63,$B$3:$B$401,"&lt;="&amp;'Controle D-1'!$B$6,$F$3:$F$401,$F63),"")</f>
        <v>0</v>
      </c>
      <c r="T63" s="40"/>
      <c r="U63" s="40"/>
      <c r="V63" s="40"/>
      <c r="W63" s="40"/>
      <c r="X63" s="40"/>
      <c r="Y63" s="40"/>
      <c r="Z63" s="40"/>
      <c r="AA63" s="40"/>
      <c r="AB63" s="40"/>
      <c r="AC63" s="40"/>
    </row>
    <row r="64" ht="15.75" customHeight="1">
      <c r="A64" s="28"/>
      <c r="B64" s="68">
        <v>45043.0</v>
      </c>
      <c r="C64" s="88" t="s">
        <v>86</v>
      </c>
      <c r="D64" s="88" t="str">
        <f>IF(ISTEXT(C64),VLOOKUP(C64,'Cadastro dos Ativos'!$A$2:$C$1000,3,0),"")</f>
        <v>Ações Americanas</v>
      </c>
      <c r="E64" s="88" t="s">
        <v>198</v>
      </c>
      <c r="F64" s="88" t="s">
        <v>200</v>
      </c>
      <c r="G64" s="46">
        <v>58.37</v>
      </c>
      <c r="H64" s="101">
        <f>if($D64="Ações Americanas", HLOOKUP("PTAX",'Histórico'!$A$1:$EL$983,(MATCH(B64,'Histórico'!A:A))-1,""),
if($D64="Ações Europeias", HLOOKUP("EUR/BRL",'Histórico'!$A$1:$EL$983,(MATCH(B64,'Histórico'!A:A))-1,""),""))</f>
        <v>5.0531</v>
      </c>
      <c r="I64" s="128"/>
      <c r="J64" s="127">
        <v>116000.0</v>
      </c>
      <c r="K64" s="47">
        <f t="array" ref="K64">if(and(J64&lt;&gt;"",D64&lt;&gt;"Futuros"),
if(F64=Controle!$C$2, M64/xlookup(workday(B64,-1,Feriados!A:A),Controle!$B$10:$B$1000,Controle!$C$10:$C$1000),
if(F64=Controle!$F$2, M64/xlookup(workday(B64,-1,Feriados!A:A),Controle!$B$10:$B$1000,Controle!$F$10:$F$1000),
if(F64=Controle!$I$2, M64/xlookup(workday(B64,-1,Feriados!A:A),Controle!$B$10:$B$1000,Controle!$I$10:$I$1000),
if(F64=Controle!$L$2, M64/xlookup(workday(B64,-1,Feriados!A:A),Controle!$B$10:$B$1000,Controle!$L$10:$L$1000),
)))),
if(and(J64&lt;&gt;"",D64="Futuros"),
if(F64=Controle!$C$2, N64/xlookup(workday(B64,-1,Feriados!A:A),Controle!$B$10:$B$1000,Controle!$C$10:$C$1000),
if(F64=Controle!$F$2, N64/xlookup(workday(B64,-1,Feriados!A:A),Controle!$B$10:$B$1000,Controle!$F$10:$F$1000),
if(F64=Controle!$I$2, N64/xlookup(workday(B64,-1,Feriados!A:A),Controle!$B$10:$B$1000,Controle!$I$10:$I$1000),
if(F64=Controle!$L$2, N64/xlookup(workday(B64,-1,Feriados!A:A),Controle!$B$10:$B$1000,Controle!$L$10:$L$1000),
)))),""))</f>
        <v>0.3369465064</v>
      </c>
      <c r="L64" s="47">
        <f t="array" ref="L64">IF($J64&lt;&gt;"", IF($D64 = "Futuros" , $N64/xlookup(WORKDAY(B64,-1,Feriados!A:A),Controle!$B$10:$B$1000,Controle!$T$10:$T$1000) , $M64/xlookup(WORKDAY(B64,-1,Feriados!A:A),Controle!$B$10:$B$1000,Controle!$T$10:$T$1000)),"")</f>
        <v>0.08439388172</v>
      </c>
      <c r="M64" s="48">
        <f t="shared" si="4"/>
        <v>34214135.85</v>
      </c>
      <c r="N64" s="48" t="str">
        <f>IFERROR(IF(D64="Futuros",
IF(LEFT(C64,3)="DI1",G64*O64,
IF(LEFT(C64,3)="ISP",G64*O64*HLOOKUP("PTAX",'Histórico'!$A$1:$EL$983,MATCH(B64,'Histórico'!A:A),FALSE)*50,
IF(LEFT(C64,3)="WDO",10*G64*O64*HLOOKUP("PTAX",'Histórico'!$A$1:$EL$983,MATCH(B64,'Histórico'!A:A),FALSE),
IF(LEFT(C64,3)="DOL",50*G64*O64,
IF(LEFT(C64,3)="EUR",G64*O64*50,
IF(LEFT(C64,3)="WEU",G64*O64*10,
IF(LEFT(C64,3)="IND",G64*O64,
IF(LEFT(C64,3)="WIN",G64*O64*0.2,
IF(LEFT(C64,3)="T10",G64*O64*1000*HLOOKUP("PTAX",'Histórico'!$A$1:$EL$983,MATCH(B64,'Histórico'!A:A),FALSE),
IF(LEFT(C64,3)="CCM",G64*O64*450,
IF(LEFT(C64,3)="SJC",G64*O64*HLOOKUP("PTAX",'Histórico'!$A$1:$EL$983,MATCH(B64,'Histórico'!A:A),FALSE)*450,
IF(LEFT(C64,3)="BGI",G64*O64*330,
IF(LEFT(C64,3)="OZ1",G64*O64*250,
IF(LEFT(C64,3)="CLP",G64*O64*25,
IF(LEFT(C64,3)="EUP", O64*10000*HLOOKUP("EUR/BRL",'Histórico'!$A$1:$EL$983,MATCH(B64,'Histórico'!A:A),FALSE),
IF(LEFT(C64,3)="JSE", G64*O64*0.4,
IF(LEFT(C64,3)="GBP", O64*10000*HLOOKUP("GBP/BRL",'Histórico'!$A$1:$FG$983,MATCH(B64,'Histórico'!A:A),FALSE),
IF(LEFT(C64,3)="JAP",O64*10000*HLOOKUP("PTAX",'Histórico'!$A$1:$FG$983,MATCH(B64,'Histórico'!A:A),FALSE),
IF(LEFT(C64,3)="CNH",O64*10000*HLOOKUP("PTAX",'Histórico'!$A$1:$FG$983,MATCH(B64,'Histórico'!A:A),FALSE),
IF(LEFT(C64,3)="AUS",O64*10000*HLOOKUP("PTAX",'Histórico'!$A$1:$FG$983,MATCH(B64,'Histórico'!A:A),FALSE),
IF(LEFT(C64,3)="CAN",O64*10000*HLOOKUP("PTAX",'Histórico'!$A$1:$FG$983,MATCH(B64,'Histórico'!A:A),FALSE),
IF(LEFT(C64,3)="GBR",O64*10000*HLOOKUP("GBP/BRL",'Histórico'!$A$1:$FG$983,MATCH(B64,'Histórico'!A:A),FALSE),
IF(LEFT(C64,3)="MEX",O64*10000*HLOOKUP("PTAX",'Histórico'!$A$1:$FG$983,MATCH(B64,'Histórico'!A:A),FALSE),
IF(LEFT(C64,3)="CHL",O64*10000*HLOOKUP("PTAX",'Histórico'!$A$1:$FG$983,MATCH(B64,'Histórico'!A:A),FALSE)
)))))))))))))))))))))))),""))</f>
        <v/>
      </c>
      <c r="O64" s="49">
        <f t="shared" si="2"/>
        <v>-116000</v>
      </c>
      <c r="P64" s="50">
        <f t="shared" si="3"/>
        <v>0</v>
      </c>
      <c r="Q64" s="51">
        <f>IF($C64&lt;&gt;"",SUMIFS($O$3:$O$401, $C$3:$C$401 ,$C64,$B$3:$B$401,"&lt;="&amp;Controle!$B$6),"")</f>
        <v>0</v>
      </c>
      <c r="R64" s="51">
        <f>IF($D64&lt;&gt;"",SUMIFS($O$3:$O$401, $C$3:$C$401 ,$C64,$B$3:$B$401,"&lt;="&amp;Controle!$B$6,$F$3:$F$401,$F64),"")</f>
        <v>0</v>
      </c>
      <c r="S64" s="51">
        <f>IF($D64&lt;&gt;"",SUMIFS($O$3:$O$401, $C$3:$C$401 ,$C64,$B$3:$B$401,"&lt;="&amp;'Controle D-1'!$B$6,$F$3:$F$401,$F64),"")</f>
        <v>0</v>
      </c>
      <c r="T64" s="40"/>
      <c r="U64" s="40"/>
      <c r="V64" s="40"/>
      <c r="W64" s="40"/>
      <c r="X64" s="40"/>
      <c r="Y64" s="40"/>
      <c r="Z64" s="40"/>
      <c r="AA64" s="40"/>
      <c r="AB64" s="40"/>
      <c r="AC64" s="40"/>
    </row>
    <row r="65" ht="15.75" customHeight="1">
      <c r="A65" s="28"/>
      <c r="B65" s="68">
        <v>45043.0</v>
      </c>
      <c r="C65" s="88" t="s">
        <v>88</v>
      </c>
      <c r="D65" s="127" t="str">
        <f>IF(ISTEXT(C65),VLOOKUP(C65,'Cadastro dos Ativos'!$A$2:$C$1000,3,0),"")</f>
        <v>Ações Americanas</v>
      </c>
      <c r="E65" s="88" t="s">
        <v>198</v>
      </c>
      <c r="F65" s="88" t="s">
        <v>200</v>
      </c>
      <c r="G65" s="46">
        <v>97.12</v>
      </c>
      <c r="H65" s="101">
        <f>if($D65="Ações Americanas", HLOOKUP("PTAX",'Histórico'!$A$1:$EL$983,(MATCH(B65,'Histórico'!A:A))-1,""),
if($D65="Ações Europeias", HLOOKUP("EUR/BRL",'Histórico'!$A$1:$EL$983,(MATCH(B65,'Histórico'!A:A))-1,""),""))</f>
        <v>5.0531</v>
      </c>
      <c r="I65" s="127"/>
      <c r="J65" s="127">
        <v>30000.0</v>
      </c>
      <c r="K65" s="47">
        <f t="array" ref="K65">if(and(J65&lt;&gt;"",D65&lt;&gt;"Futuros"),
if(F65=Controle!$C$2, M65/xlookup(workday(B65,-1,Feriados!A:A),Controle!$B$10:$B$1000,Controle!$C$10:$C$1000),
if(F65=Controle!$F$2, M65/xlookup(workday(B65,-1,Feriados!A:A),Controle!$B$10:$B$1000,Controle!$F$10:$F$1000),
if(F65=Controle!$I$2, M65/xlookup(workday(B65,-1,Feriados!A:A),Controle!$B$10:$B$1000,Controle!$I$10:$I$1000),
if(F65=Controle!$L$2, M65/xlookup(workday(B65,-1,Feriados!A:A),Controle!$B$10:$B$1000,Controle!$L$10:$L$1000),
)))),
if(and(J65&lt;&gt;"",D65="Futuros"),
if(F65=Controle!$C$2, N65/xlookup(workday(B65,-1,Feriados!A:A),Controle!$B$10:$B$1000,Controle!$C$10:$C$1000),
if(F65=Controle!$F$2, N65/xlookup(workday(B65,-1,Feriados!A:A),Controle!$B$10:$B$1000,Controle!$F$10:$F$1000),
if(F65=Controle!$I$2, N65/xlookup(workday(B65,-1,Feriados!A:A),Controle!$B$10:$B$1000,Controle!$I$10:$I$1000),
if(F65=Controle!$L$2, N65/xlookup(workday(B65,-1,Feriados!A:A),Controle!$B$10:$B$1000,Controle!$L$10:$L$1000),
)))),""))</f>
        <v>0.1449917206</v>
      </c>
      <c r="L65" s="47">
        <f t="array" ref="L65">IF($J65&lt;&gt;"", IF($D65 = "Futuros" , $N65/xlookup(WORKDAY(B65,-1,Feriados!A:A),Controle!$B$10:$B$1000,Controle!$T$10:$T$1000) , $M65/xlookup(WORKDAY(B65,-1,Feriados!A:A),Controle!$B$10:$B$1000,Controle!$T$10:$T$1000)),"")</f>
        <v>0.03631559873</v>
      </c>
      <c r="M65" s="48">
        <f t="shared" si="4"/>
        <v>14722712.16</v>
      </c>
      <c r="N65" s="48" t="str">
        <f>IFERROR(IF(D65="Futuros",
IF(LEFT(C65,3)="DI1",G65*O65,
IF(LEFT(C65,3)="ISP",G65*O65*HLOOKUP("PTAX",'Histórico'!$A$1:$EL$983,MATCH(B65,'Histórico'!A:A),FALSE)*50,
IF(LEFT(C65,3)="WDO",10*G65*O65*HLOOKUP("PTAX",'Histórico'!$A$1:$EL$983,MATCH(B65,'Histórico'!A:A),FALSE),
IF(LEFT(C65,3)="DOL",50*G65*O65,
IF(LEFT(C65,3)="EUR",G65*O65*50,
IF(LEFT(C65,3)="WEU",G65*O65*10,
IF(LEFT(C65,3)="IND",G65*O65,
IF(LEFT(C65,3)="WIN",G65*O65*0.2,
IF(LEFT(C65,3)="T10",G65*O65*1000*HLOOKUP("PTAX",'Histórico'!$A$1:$EL$983,MATCH(B65,'Histórico'!A:A),FALSE),
IF(LEFT(C65,3)="CCM",G65*O65*450,
IF(LEFT(C65,3)="SJC",G65*O65*HLOOKUP("PTAX",'Histórico'!$A$1:$EL$983,MATCH(B65,'Histórico'!A:A),FALSE)*450,
IF(LEFT(C65,3)="BGI",G65*O65*330,
IF(LEFT(C65,3)="OZ1",G65*O65*250,
IF(LEFT(C65,3)="CLP",G65*O65*25,
IF(LEFT(C65,3)="EUP", O65*10000*HLOOKUP("EUR/BRL",'Histórico'!$A$1:$EL$983,MATCH(B65,'Histórico'!A:A),FALSE),
IF(LEFT(C65,3)="JSE", G65*O65*0.4,
IF(LEFT(C65,3)="GBP", O65*10000*HLOOKUP("GBP/BRL",'Histórico'!$A$1:$FG$983,MATCH(B65,'Histórico'!A:A),FALSE),
IF(LEFT(C65,3)="JAP",O65*10000*HLOOKUP("PTAX",'Histórico'!$A$1:$FG$983,MATCH(B65,'Histórico'!A:A),FALSE),
IF(LEFT(C65,3)="CNH",O65*10000*HLOOKUP("PTAX",'Histórico'!$A$1:$FG$983,MATCH(B65,'Histórico'!A:A),FALSE),
IF(LEFT(C65,3)="AUS",O65*10000*HLOOKUP("PTAX",'Histórico'!$A$1:$FG$983,MATCH(B65,'Histórico'!A:A),FALSE),
IF(LEFT(C65,3)="CAN",O65*10000*HLOOKUP("PTAX",'Histórico'!$A$1:$FG$983,MATCH(B65,'Histórico'!A:A),FALSE),
IF(LEFT(C65,3)="GBR",O65*10000*HLOOKUP("GBP/BRL",'Histórico'!$A$1:$FG$983,MATCH(B65,'Histórico'!A:A),FALSE),
IF(LEFT(C65,3)="MEX",O65*10000*HLOOKUP("PTAX",'Histórico'!$A$1:$FG$983,MATCH(B65,'Histórico'!A:A),FALSE),
IF(LEFT(C65,3)="CHL",O65*10000*HLOOKUP("PTAX",'Histórico'!$A$1:$FG$983,MATCH(B65,'Histórico'!A:A),FALSE)
)))))))))))))))))))))))),""))</f>
        <v/>
      </c>
      <c r="O65" s="49">
        <f t="shared" si="2"/>
        <v>-30000</v>
      </c>
      <c r="P65" s="50">
        <f t="shared" si="3"/>
        <v>0</v>
      </c>
      <c r="Q65" s="51">
        <f>IF($C65&lt;&gt;"",SUMIFS($O$3:$O$401, $C$3:$C$401 ,$C65,$B$3:$B$401,"&lt;="&amp;Controle!$B$6),"")</f>
        <v>0</v>
      </c>
      <c r="R65" s="51">
        <f>IF($D65&lt;&gt;"",SUMIFS($O$3:$O$401, $C$3:$C$401 ,$C65,$B$3:$B$401,"&lt;="&amp;Controle!$B$6,$F$3:$F$401,$F65),"")</f>
        <v>0</v>
      </c>
      <c r="S65" s="51">
        <f>IF($D65&lt;&gt;"",SUMIFS($O$3:$O$401, $C$3:$C$401 ,$C65,$B$3:$B$401,"&lt;="&amp;'Controle D-1'!$B$6,$F$3:$F$401,$F65),"")</f>
        <v>0</v>
      </c>
      <c r="T65" s="40"/>
      <c r="U65" s="40"/>
      <c r="V65" s="40"/>
      <c r="W65" s="40"/>
      <c r="X65" s="40"/>
      <c r="Y65" s="40"/>
      <c r="Z65" s="40"/>
      <c r="AA65" s="40"/>
      <c r="AB65" s="40"/>
      <c r="AC65" s="40"/>
    </row>
    <row r="66" ht="15.75" customHeight="1">
      <c r="A66" s="28"/>
      <c r="B66" s="68">
        <v>45048.0</v>
      </c>
      <c r="C66" s="88" t="s">
        <v>38</v>
      </c>
      <c r="D66" s="127" t="s">
        <v>12</v>
      </c>
      <c r="E66" s="88" t="s">
        <v>198</v>
      </c>
      <c r="F66" s="88" t="s">
        <v>199</v>
      </c>
      <c r="G66" s="46"/>
      <c r="H66" s="101" t="str">
        <f>if($D66="Ações Americanas", HLOOKUP("PTAX",'Histórico'!$A$1:$EL$983,(MATCH(B66,'Histórico'!A:A))-1,""),
if($D66="Ações Europeias", HLOOKUP("EUR/BRL",'Histórico'!$A$1:$EL$983,(MATCH(B66,'Histórico'!A:A))-1,""),""))</f>
        <v/>
      </c>
      <c r="I66" s="129">
        <v>45048.0</v>
      </c>
      <c r="J66" s="127">
        <v>1190.0</v>
      </c>
      <c r="K66" s="47">
        <f t="array" ref="K66">if(and(J66&lt;&gt;"",D66&lt;&gt;"Futuros"),
if(F66=Controle!$C$2, M66/xlookup(workday(B66,-1,Feriados!A:A),Controle!$B$10:$B$1000,Controle!$C$10:$C$1000),
if(F66=Controle!$F$2, M66/xlookup(workday(B66,-1,Feriados!A:A),Controle!$B$10:$B$1000,Controle!$F$10:$F$1000),
if(F66=Controle!$I$2, M66/xlookup(workday(B66,-1,Feriados!A:A),Controle!$B$10:$B$1000,Controle!$I$10:$I$1000),
if(F66=Controle!$L$2, M66/xlookup(workday(B66,-1,Feriados!A:A),Controle!$B$10:$B$1000,Controle!$L$10:$L$1000),
)))),
if(and(J66&lt;&gt;"",D66="Futuros"),
if(F66=Controle!$C$2, N66/xlookup(workday(B66,-1,Feriados!A:A),Controle!$B$10:$B$1000,Controle!$C$10:$C$1000),
if(F66=Controle!$F$2, N66/xlookup(workday(B66,-1,Feriados!A:A),Controle!$B$10:$B$1000,Controle!$F$10:$F$1000),
if(F66=Controle!$I$2, N66/xlookup(workday(B66,-1,Feriados!A:A),Controle!$B$10:$B$1000,Controle!$I$10:$I$1000),
if(F66=Controle!$L$2, N66/xlookup(workday(B66,-1,Feriados!A:A),Controle!$B$10:$B$1000,Controle!$L$10:$L$1000),
)))),""))</f>
        <v>-0.6478620794</v>
      </c>
      <c r="L66" s="47">
        <f t="array" ref="L66">IF($J66&lt;&gt;"", IF($D66 = "Futuros" , $N66/xlookup(WORKDAY(B66,-1,Feriados!A:A),Controle!$B$10:$B$1000,Controle!$T$10:$T$1000) , $M66/xlookup(WORKDAY(B66,-1,Feriados!A:A),Controle!$B$10:$B$1000,Controle!$T$10:$T$1000)),"")</f>
        <v>-0.1638279677</v>
      </c>
      <c r="M66" s="48" t="str">
        <f t="shared" si="4"/>
        <v/>
      </c>
      <c r="N66" s="48">
        <f>IFERROR(IF(D66="Futuros",
IF(LEFT(C66,3)="DI1",G66*O66,
IF(LEFT(C66,3)="ISP",G66*O66*HLOOKUP("PTAX",'Histórico'!$A$1:$EL$983,MATCH(B66,'Histórico'!A:A),FALSE)*50,
IF(LEFT(C66,3)="WDO",10*G66*O66*HLOOKUP("PTAX",'Histórico'!$A$1:$EL$983,MATCH(B66,'Histórico'!A:A),FALSE),
IF(LEFT(C66,3)="DOL",50*G66*O66,
IF(LEFT(C66,3)="EUR",G66*O66*50,
IF(LEFT(C66,3)="WEU",G66*O66*10,
IF(LEFT(C66,3)="IND",G66*O66,
IF(LEFT(C66,3)="WIN",G66*O66*0.2,
IF(LEFT(C66,3)="T10",G66*O66*1000*HLOOKUP("PTAX",'Histórico'!$A$1:$EL$983,MATCH(B66,'Histórico'!A:A),FALSE),
IF(LEFT(C66,3)="CCM",G66*O66*450,
IF(LEFT(C66,3)="SJC",G66*O66*HLOOKUP("PTAX",'Histórico'!$A$1:$EL$983,MATCH(B66,'Histórico'!A:A),FALSE)*450,
IF(LEFT(C66,3)="BGI",G66*O66*330,
IF(LEFT(C66,3)="OZ1",G66*O66*250,
IF(LEFT(C66,3)="CLP",G66*O66*25,
IF(LEFT(C66,3)="EUP", O66*10000*HLOOKUP("EUR/BRL",'Histórico'!$A$1:$EL$983,MATCH(B66,'Histórico'!A:A),FALSE),
IF(LEFT(C66,3)="JSE", G66*O66*0.4,
IF(LEFT(C66,3)="GBP", O66*10000*HLOOKUP("GBP/BRL",'Histórico'!$A$1:$FG$983,MATCH(B66,'Histórico'!A:A),FALSE),
IF(LEFT(C66,3)="JAP",O66*10000*HLOOKUP("PTAX",'Histórico'!$A$1:$FG$983,MATCH(B66,'Histórico'!A:A),FALSE),
IF(LEFT(C66,3)="CNH",O66*10000*HLOOKUP("PTAX",'Histórico'!$A$1:$FG$983,MATCH(B66,'Histórico'!A:A),FALSE),
IF(LEFT(C66,3)="AUS",O66*10000*HLOOKUP("PTAX",'Histórico'!$A$1:$FG$983,MATCH(B66,'Histórico'!A:A),FALSE),
IF(LEFT(C66,3)="CAN",O66*10000*HLOOKUP("PTAX",'Histórico'!$A$1:$FG$983,MATCH(B66,'Histórico'!A:A),FALSE),
IF(LEFT(C66,3)="GBR",O66*10000*HLOOKUP("GBP/BRL",'Histórico'!$A$1:$FG$983,MATCH(B66,'Histórico'!A:A),FALSE),
IF(LEFT(C66,3)="MEX",O66*10000*HLOOKUP("PTAX",'Histórico'!$A$1:$FG$983,MATCH(B66,'Histórico'!A:A),FALSE),
IF(LEFT(C66,3)="CHL",O66*10000*HLOOKUP("PTAX",'Histórico'!$A$1:$FG$983,MATCH(B66,'Histórico'!A:A),FALSE)
)))))))))))))))))))))))),""))</f>
        <v>-66179470</v>
      </c>
      <c r="O66" s="49">
        <f t="shared" si="2"/>
        <v>-1190</v>
      </c>
      <c r="P66" s="50">
        <f t="shared" si="3"/>
        <v>0</v>
      </c>
      <c r="Q66" s="51">
        <f>IF($C66&lt;&gt;"",SUMIFS($O$3:$O$401, $C$3:$C$401 ,$C66,$B$3:$B$401,"&lt;="&amp;Controle!$B$6),"")</f>
        <v>0</v>
      </c>
      <c r="R66" s="51">
        <f>IF($D66&lt;&gt;"",SUMIFS($O$3:$O$401, $C$3:$C$401 ,$C66,$B$3:$B$401,"&lt;="&amp;Controle!$B$6,$F$3:$F$401,$F66),"")</f>
        <v>0</v>
      </c>
      <c r="S66" s="51">
        <f>IF($D66&lt;&gt;"",SUMIFS($O$3:$O$401, $C$3:$C$401 ,$C66,$B$3:$B$401,"&lt;="&amp;'Controle D-1'!$B$6,$F$3:$F$401,$F66),"")</f>
        <v>0</v>
      </c>
      <c r="T66" s="40"/>
      <c r="U66" s="40"/>
      <c r="V66" s="40"/>
      <c r="W66" s="40"/>
      <c r="X66" s="40"/>
      <c r="Y66" s="40"/>
      <c r="Z66" s="40"/>
      <c r="AA66" s="40"/>
      <c r="AB66" s="40"/>
      <c r="AC66" s="40"/>
    </row>
    <row r="67" ht="15.75" customHeight="1">
      <c r="A67" s="28"/>
      <c r="B67" s="68">
        <v>45048.0</v>
      </c>
      <c r="C67" s="88" t="s">
        <v>30</v>
      </c>
      <c r="D67" s="127" t="s">
        <v>12</v>
      </c>
      <c r="E67" s="88" t="s">
        <v>208</v>
      </c>
      <c r="F67" s="88" t="s">
        <v>200</v>
      </c>
      <c r="G67" s="46"/>
      <c r="H67" s="101" t="str">
        <f>if($D67="Ações Americanas", HLOOKUP("PTAX",'Histórico'!$A$1:$EL$983,(MATCH(B67,'Histórico'!A:A))-1,""),
if($D67="Ações Europeias", HLOOKUP("EUR/BRL",'Histórico'!$A$1:$EL$983,(MATCH(B67,'Histórico'!A:A))-1,""),""))</f>
        <v/>
      </c>
      <c r="I67" s="129">
        <v>45048.0</v>
      </c>
      <c r="J67" s="127">
        <v>490.0</v>
      </c>
      <c r="K67" s="47">
        <f t="array" ref="K67">if(and(J67&lt;&gt;"",D67&lt;&gt;"Futuros"),
if(F67=Controle!$C$2, M67/xlookup(workday(B67,-1,Feriados!A:A),Controle!$B$10:$B$1000,Controle!$C$10:$C$1000),
if(F67=Controle!$F$2, M67/xlookup(workday(B67,-1,Feriados!A:A),Controle!$B$10:$B$1000,Controle!$F$10:$F$1000),
if(F67=Controle!$I$2, M67/xlookup(workday(B67,-1,Feriados!A:A),Controle!$B$10:$B$1000,Controle!$I$10:$I$1000),
if(F67=Controle!$L$2, M67/xlookup(workday(B67,-1,Feriados!A:A),Controle!$B$10:$B$1000,Controle!$L$10:$L$1000),
)))),
if(and(J67&lt;&gt;"",D67="Futuros"),
if(F67=Controle!$C$2, N67/xlookup(workday(B67,-1,Feriados!A:A),Controle!$B$10:$B$1000,Controle!$C$10:$C$1000),
if(F67=Controle!$F$2, N67/xlookup(workday(B67,-1,Feriados!A:A),Controle!$B$10:$B$1000,Controle!$F$10:$F$1000),
if(F67=Controle!$I$2, N67/xlookup(workday(B67,-1,Feriados!A:A),Controle!$B$10:$B$1000,Controle!$I$10:$I$1000),
if(F67=Controle!$L$2, N67/xlookup(workday(B67,-1,Feriados!A:A),Controle!$B$10:$B$1000,Controle!$L$10:$L$1000),
)))),""))</f>
        <v>0.2484832854</v>
      </c>
      <c r="L67" s="47">
        <f t="array" ref="L67">IF($J67&lt;&gt;"", IF($D67 = "Futuros" , $N67/xlookup(WORKDAY(B67,-1,Feriados!A:A),Controle!$B$10:$B$1000,Controle!$T$10:$T$1000) , $M67/xlookup(WORKDAY(B67,-1,Feriados!A:A),Controle!$B$10:$B$1000,Controle!$T$10:$T$1000)),"")</f>
        <v>0.06108911139</v>
      </c>
      <c r="M67" s="48" t="str">
        <f t="shared" si="4"/>
        <v/>
      </c>
      <c r="N67" s="48">
        <f>IFERROR(IF(D67="Futuros",
IF(LEFT(C67,3)="DI1",G67*O67,
IF(LEFT(C67,3)="ISP",G67*O67*HLOOKUP("PTAX",'Histórico'!$A$1:$EL$983,MATCH(B67,'Histórico'!A:A),FALSE)*50,
IF(LEFT(C67,3)="WDO",10*G67*O67*HLOOKUP("PTAX",'Histórico'!$A$1:$EL$983,MATCH(B67,'Histórico'!A:A),FALSE),
IF(LEFT(C67,3)="DOL",50*G67*O67,
IF(LEFT(C67,3)="EUR",G67*O67*50,
IF(LEFT(C67,3)="WEU",G67*O67*10,
IF(LEFT(C67,3)="IND",G67*O67,
IF(LEFT(C67,3)="WIN",G67*O67*0.2,
IF(LEFT(C67,3)="T10",G67*O67*1000*HLOOKUP("PTAX",'Histórico'!$A$1:$EL$983,MATCH(B67,'Histórico'!A:A),FALSE),
IF(LEFT(C67,3)="CCM",G67*O67*450,
IF(LEFT(C67,3)="SJC",G67*O67*HLOOKUP("PTAX",'Histórico'!$A$1:$EL$983,MATCH(B67,'Histórico'!A:A),FALSE)*450,
IF(LEFT(C67,3)="BGI",G67*O67*330,
IF(LEFT(C67,3)="OZ1",G67*O67*250,
IF(LEFT(C67,3)="CLP",G67*O67*25,
IF(LEFT(C67,3)="EUP", O67*10000*HLOOKUP("EUR/BRL",'Histórico'!$A$1:$EL$983,MATCH(B67,'Histórico'!A:A),FALSE),
IF(LEFT(C67,3)="JSE", G67*O67*0.4,
IF(LEFT(C67,3)="GBP", O67*10000*HLOOKUP("GBP/BRL",'Histórico'!$A$1:$FG$983,MATCH(B67,'Histórico'!A:A),FALSE),
IF(LEFT(C67,3)="JAP",O67*10000*HLOOKUP("PTAX",'Histórico'!$A$1:$FG$983,MATCH(B67,'Histórico'!A:A),FALSE),
IF(LEFT(C67,3)="CNH",O67*10000*HLOOKUP("PTAX",'Histórico'!$A$1:$FG$983,MATCH(B67,'Histórico'!A:A),FALSE),
IF(LEFT(C67,3)="AUS",O67*10000*HLOOKUP("PTAX",'Histórico'!$A$1:$FG$983,MATCH(B67,'Histórico'!A:A),FALSE),
IF(LEFT(C67,3)="CAN",O67*10000*HLOOKUP("PTAX",'Histórico'!$A$1:$FG$983,MATCH(B67,'Histórico'!A:A),FALSE),
IF(LEFT(C67,3)="GBR",O67*10000*HLOOKUP("GBP/BRL",'Histórico'!$A$1:$FG$983,MATCH(B67,'Histórico'!A:A),FALSE),
IF(LEFT(C67,3)="MEX",O67*10000*HLOOKUP("PTAX",'Histórico'!$A$1:$FG$983,MATCH(B67,'Histórico'!A:A),FALSE),
IF(LEFT(C67,3)="CHL",O67*10000*HLOOKUP("PTAX",'Histórico'!$A$1:$FG$983,MATCH(B67,'Histórico'!A:A),FALSE)
)))))))))))))))))))))))),""))</f>
        <v>24677380</v>
      </c>
      <c r="O67" s="49">
        <f t="shared" si="2"/>
        <v>490</v>
      </c>
      <c r="P67" s="50">
        <f t="shared" si="3"/>
        <v>0</v>
      </c>
      <c r="Q67" s="51">
        <f>IF($C67&lt;&gt;"",SUMIFS($O$3:$O$401, $C$3:$C$401 ,$C67,$B$3:$B$401,"&lt;="&amp;Controle!$B$6),"")</f>
        <v>0</v>
      </c>
      <c r="R67" s="51">
        <f>IF($D67&lt;&gt;"",SUMIFS($O$3:$O$401, $C$3:$C$401 ,$C67,$B$3:$B$401,"&lt;="&amp;Controle!$B$6,$F$3:$F$401,$F67),"")</f>
        <v>0</v>
      </c>
      <c r="S67" s="51">
        <f>IF($D67&lt;&gt;"",SUMIFS($O$3:$O$401, $C$3:$C$401 ,$C67,$B$3:$B$401,"&lt;="&amp;'Controle D-1'!$B$6,$F$3:$F$401,$F67),"")</f>
        <v>0</v>
      </c>
      <c r="T67" s="40"/>
      <c r="U67" s="40"/>
      <c r="V67" s="40"/>
      <c r="W67" s="40"/>
      <c r="X67" s="40"/>
      <c r="Y67" s="40"/>
      <c r="Z67" s="40"/>
      <c r="AA67" s="40"/>
      <c r="AB67" s="40"/>
      <c r="AC67" s="40"/>
    </row>
    <row r="68" ht="15.75" customHeight="1">
      <c r="A68" s="28"/>
      <c r="B68" s="68">
        <v>45048.0</v>
      </c>
      <c r="C68" s="88" t="s">
        <v>38</v>
      </c>
      <c r="D68" s="127" t="s">
        <v>12</v>
      </c>
      <c r="E68" s="88" t="s">
        <v>198</v>
      </c>
      <c r="F68" s="88" t="s">
        <v>200</v>
      </c>
      <c r="G68" s="46"/>
      <c r="H68" s="101" t="str">
        <f>if($D68="Ações Americanas", HLOOKUP("PTAX",'Histórico'!$A$1:$EL$983,(MATCH(B68,'Histórico'!A:A))-1,""),
if($D68="Ações Europeias", HLOOKUP("EUR/BRL",'Histórico'!$A$1:$EL$983,(MATCH(B68,'Histórico'!A:A))-1,""),""))</f>
        <v/>
      </c>
      <c r="I68" s="129">
        <v>45048.0</v>
      </c>
      <c r="J68" s="127">
        <v>1389.0</v>
      </c>
      <c r="K68" s="47">
        <f t="array" ref="K68">if(and(J68&lt;&gt;"",D68&lt;&gt;"Futuros"),
if(F68=Controle!$C$2, M68/xlookup(workday(B68,-1,Feriados!A:A),Controle!$B$10:$B$1000,Controle!$C$10:$C$1000),
if(F68=Controle!$F$2, M68/xlookup(workday(B68,-1,Feriados!A:A),Controle!$B$10:$B$1000,Controle!$F$10:$F$1000),
if(F68=Controle!$I$2, M68/xlookup(workday(B68,-1,Feriados!A:A),Controle!$B$10:$B$1000,Controle!$I$10:$I$1000),
if(F68=Controle!$L$2, M68/xlookup(workday(B68,-1,Feriados!A:A),Controle!$B$10:$B$1000,Controle!$L$10:$L$1000),
)))),
if(and(J68&lt;&gt;"",D68="Futuros"),
if(F68=Controle!$C$2, N68/xlookup(workday(B68,-1,Feriados!A:A),Controle!$B$10:$B$1000,Controle!$C$10:$C$1000),
if(F68=Controle!$F$2, N68/xlookup(workday(B68,-1,Feriados!A:A),Controle!$B$10:$B$1000,Controle!$F$10:$F$1000),
if(F68=Controle!$I$2, N68/xlookup(workday(B68,-1,Feriados!A:A),Controle!$B$10:$B$1000,Controle!$I$10:$I$1000),
if(F68=Controle!$L$2, N68/xlookup(workday(B68,-1,Feriados!A:A),Controle!$B$10:$B$1000,Controle!$L$10:$L$1000),
)))),""))</f>
        <v>-0.7778156929</v>
      </c>
      <c r="L68" s="47">
        <f t="array" ref="L68">IF($J68&lt;&gt;"", IF($D68 = "Futuros" , $N68/xlookup(WORKDAY(B68,-1,Feriados!A:A),Controle!$B$10:$B$1000,Controle!$T$10:$T$1000) , $M68/xlookup(WORKDAY(B68,-1,Feriados!A:A),Controle!$B$10:$B$1000,Controle!$T$10:$T$1000)),"")</f>
        <v>-0.1912244094</v>
      </c>
      <c r="M68" s="48" t="str">
        <f t="shared" si="4"/>
        <v/>
      </c>
      <c r="N68" s="48">
        <f>IFERROR(IF(D68="Futuros",
IF(LEFT(C68,3)="DI1",G68*O68,
IF(LEFT(C68,3)="ISP",G68*O68*HLOOKUP("PTAX",'Histórico'!$A$1:$EL$983,MATCH(B68,'Histórico'!A:A),FALSE)*50,
IF(LEFT(C68,3)="WDO",10*G68*O68*HLOOKUP("PTAX",'Histórico'!$A$1:$EL$983,MATCH(B68,'Histórico'!A:A),FALSE),
IF(LEFT(C68,3)="DOL",50*G68*O68,
IF(LEFT(C68,3)="EUR",G68*O68*50,
IF(LEFT(C68,3)="WEU",G68*O68*10,
IF(LEFT(C68,3)="IND",G68*O68,
IF(LEFT(C68,3)="WIN",G68*O68*0.2,
IF(LEFT(C68,3)="T10",G68*O68*1000*HLOOKUP("PTAX",'Histórico'!$A$1:$EL$983,MATCH(B68,'Histórico'!A:A),FALSE),
IF(LEFT(C68,3)="CCM",G68*O68*450,
IF(LEFT(C68,3)="SJC",G68*O68*HLOOKUP("PTAX",'Histórico'!$A$1:$EL$983,MATCH(B68,'Histórico'!A:A),FALSE)*450,
IF(LEFT(C68,3)="BGI",G68*O68*330,
IF(LEFT(C68,3)="OZ1",G68*O68*250,
IF(LEFT(C68,3)="CLP",G68*O68*25,
IF(LEFT(C68,3)="EUP", O68*10000*HLOOKUP("EUR/BRL",'Histórico'!$A$1:$EL$983,MATCH(B68,'Histórico'!A:A),FALSE),
IF(LEFT(C68,3)="JSE", G68*O68*0.4,
IF(LEFT(C68,3)="GBP", O68*10000*HLOOKUP("GBP/BRL",'Histórico'!$A$1:$FG$983,MATCH(B68,'Histórico'!A:A),FALSE),
IF(LEFT(C68,3)="JAP",O68*10000*HLOOKUP("PTAX",'Histórico'!$A$1:$FG$983,MATCH(B68,'Histórico'!A:A),FALSE),
IF(LEFT(C68,3)="CNH",O68*10000*HLOOKUP("PTAX",'Histórico'!$A$1:$FG$983,MATCH(B68,'Histórico'!A:A),FALSE),
IF(LEFT(C68,3)="AUS",O68*10000*HLOOKUP("PTAX",'Histórico'!$A$1:$FG$983,MATCH(B68,'Histórico'!A:A),FALSE),
IF(LEFT(C68,3)="CAN",O68*10000*HLOOKUP("PTAX",'Histórico'!$A$1:$FG$983,MATCH(B68,'Histórico'!A:A),FALSE),
IF(LEFT(C68,3)="GBR",O68*10000*HLOOKUP("GBP/BRL",'Histórico'!$A$1:$FG$983,MATCH(B68,'Histórico'!A:A),FALSE),
IF(LEFT(C68,3)="MEX",O68*10000*HLOOKUP("PTAX",'Histórico'!$A$1:$FG$983,MATCH(B68,'Histórico'!A:A),FALSE),
IF(LEFT(C68,3)="CHL",O68*10000*HLOOKUP("PTAX",'Histórico'!$A$1:$FG$983,MATCH(B68,'Histórico'!A:A),FALSE)
)))))))))))))))))))))))),""))</f>
        <v>-77246457</v>
      </c>
      <c r="O68" s="49">
        <f t="shared" si="2"/>
        <v>-1389</v>
      </c>
      <c r="P68" s="50">
        <f t="shared" si="3"/>
        <v>0</v>
      </c>
      <c r="Q68" s="51">
        <f>IF($C68&lt;&gt;"",SUMIFS($O$3:$O$401, $C$3:$C$401 ,$C68,$B$3:$B$401,"&lt;="&amp;Controle!$B$6),"")</f>
        <v>0</v>
      </c>
      <c r="R68" s="51">
        <f>IF($D68&lt;&gt;"",SUMIFS($O$3:$O$401, $C$3:$C$401 ,$C68,$B$3:$B$401,"&lt;="&amp;Controle!$B$6,$F$3:$F$401,$F68),"")</f>
        <v>0</v>
      </c>
      <c r="S68" s="51">
        <f>IF($D68&lt;&gt;"",SUMIFS($O$3:$O$401, $C$3:$C$401 ,$C68,$B$3:$B$401,"&lt;="&amp;'Controle D-1'!$B$6,$F$3:$F$401,$F68),"")</f>
        <v>0</v>
      </c>
      <c r="T68" s="40"/>
      <c r="U68" s="40"/>
      <c r="V68" s="40"/>
      <c r="W68" s="40"/>
      <c r="X68" s="40"/>
      <c r="Y68" s="40"/>
      <c r="Z68" s="40"/>
      <c r="AA68" s="40"/>
      <c r="AB68" s="40"/>
      <c r="AC68" s="40"/>
    </row>
    <row r="69" ht="15.75" customHeight="1">
      <c r="A69" s="28"/>
      <c r="B69" s="68">
        <v>45048.0</v>
      </c>
      <c r="C69" s="88" t="s">
        <v>21</v>
      </c>
      <c r="D69" s="127" t="s">
        <v>12</v>
      </c>
      <c r="E69" s="88" t="s">
        <v>208</v>
      </c>
      <c r="F69" s="88" t="s">
        <v>200</v>
      </c>
      <c r="G69" s="46"/>
      <c r="H69" s="101"/>
      <c r="I69" s="129">
        <v>45048.0</v>
      </c>
      <c r="J69" s="127">
        <v>1490.0</v>
      </c>
      <c r="K69" s="47">
        <f t="array" ref="K69">if(and(J69&lt;&gt;"",D69&lt;&gt;"Futuros"),
if(F69=Controle!$C$2, M69/xlookup(workday(B69,-1,Feriados!A:A),Controle!$B$10:$B$1000,Controle!$C$10:$C$1000),
if(F69=Controle!$F$2, M69/xlookup(workday(B69,-1,Feriados!A:A),Controle!$B$10:$B$1000,Controle!$F$10:$F$1000),
if(F69=Controle!$I$2, M69/xlookup(workday(B69,-1,Feriados!A:A),Controle!$B$10:$B$1000,Controle!$I$10:$I$1000),
if(F69=Controle!$L$2, M69/xlookup(workday(B69,-1,Feriados!A:A),Controle!$B$10:$B$1000,Controle!$L$10:$L$1000),
)))),
if(and(J69&lt;&gt;"",D69="Futuros"),
if(F69=Controle!$C$2, N69/xlookup(workday(B69,-1,Feriados!A:A),Controle!$B$10:$B$1000,Controle!$C$10:$C$1000),
if(F69=Controle!$F$2, N69/xlookup(workday(B69,-1,Feriados!A:A),Controle!$B$10:$B$1000,Controle!$F$10:$F$1000),
if(F69=Controle!$I$2, N69/xlookup(workday(B69,-1,Feriados!A:A),Controle!$B$10:$B$1000,Controle!$I$10:$I$1000),
if(F69=Controle!$L$2, N69/xlookup(workday(B69,-1,Feriados!A:A),Controle!$B$10:$B$1000,Controle!$L$10:$L$1000),
)))),""))</f>
        <v>0.7555920312</v>
      </c>
      <c r="L69" s="47">
        <f t="array" ref="L69">IF($J69&lt;&gt;"", IF($D69 = "Futuros" , $N69/xlookup(WORKDAY(B69,-1,Feriados!A:A),Controle!$B$10:$B$1000,Controle!$T$10:$T$1000) , $M69/xlookup(WORKDAY(B69,-1,Feriados!A:A),Controle!$B$10:$B$1000,Controle!$T$10:$T$1000)),"")</f>
        <v>0.1857607673</v>
      </c>
      <c r="M69" s="48" t="str">
        <f t="shared" si="4"/>
        <v/>
      </c>
      <c r="N69" s="48">
        <f>IFERROR(IF(D69="Futuros",
IF(LEFT(C69,3)="DI1",G69*O69,
IF(LEFT(C69,3)="ISP",G69*O69*HLOOKUP("PTAX",'Histórico'!$A$1:$EL$983,MATCH(B69,'Histórico'!A:A),FALSE)*50,
IF(LEFT(C69,3)="WDO",10*G69*O69*HLOOKUP("PTAX",'Histórico'!$A$1:$EL$983,MATCH(B69,'Histórico'!A:A),FALSE),
IF(LEFT(C69,3)="DOL",50*G69*O69,
IF(LEFT(C69,3)="EUR",G69*O69*50,
IF(LEFT(C69,3)="WEU",G69*O69*10,
IF(LEFT(C69,3)="IND",G69*O69,
IF(LEFT(C69,3)="WIN",G69*O69*0.2,
IF(LEFT(C69,3)="T10",G69*O69*1000*HLOOKUP("PTAX",'Histórico'!$A$1:$EL$983,MATCH(B69,'Histórico'!A:A),FALSE),
IF(LEFT(C69,3)="CCM",G69*O69*450,
IF(LEFT(C69,3)="SJC",G69*O69*HLOOKUP("PTAX",'Histórico'!$A$1:$EL$983,MATCH(B69,'Histórico'!A:A),FALSE)*450,
IF(LEFT(C69,3)="BGI",G69*O69*330,
IF(LEFT(C69,3)="OZ1",G69*O69*250,
IF(LEFT(C69,3)="CLP",G69*O69*25,
IF(LEFT(C69,3)="EUP", O69*10000*HLOOKUP("EUR/BRL",'Histórico'!$A$1:$EL$983,MATCH(B69,'Histórico'!A:A),FALSE),
IF(LEFT(C69,3)="JSE", G69*O69*0.4,
IF(LEFT(C69,3)="GBP", O69*10000*HLOOKUP("GBP/BRL",'Histórico'!$A$1:$FG$983,MATCH(B69,'Histórico'!A:A),FALSE),
IF(LEFT(C69,3)="JAP",O69*10000*HLOOKUP("PTAX",'Histórico'!$A$1:$FG$983,MATCH(B69,'Histórico'!A:A),FALSE),
IF(LEFT(C69,3)="CNH",O69*10000*HLOOKUP("PTAX",'Histórico'!$A$1:$FG$983,MATCH(B69,'Histórico'!A:A),FALSE),
IF(LEFT(C69,3)="AUS",O69*10000*HLOOKUP("PTAX",'Histórico'!$A$1:$FG$983,MATCH(B69,'Histórico'!A:A),FALSE),
IF(LEFT(C69,3)="CAN",O69*10000*HLOOKUP("PTAX",'Histórico'!$A$1:$FG$983,MATCH(B69,'Histórico'!A:A),FALSE),
IF(LEFT(C69,3)="GBR",O69*10000*HLOOKUP("GBP/BRL",'Histórico'!$A$1:$FG$983,MATCH(B69,'Histórico'!A:A),FALSE),
IF(LEFT(C69,3)="MEX",O69*10000*HLOOKUP("PTAX",'Histórico'!$A$1:$FG$983,MATCH(B69,'Histórico'!A:A),FALSE),
IF(LEFT(C69,3)="CHL",O69*10000*HLOOKUP("PTAX",'Histórico'!$A$1:$FG$983,MATCH(B69,'Histórico'!A:A),FALSE)
)))))))))))))))))))))))),""))</f>
        <v>75039380</v>
      </c>
      <c r="O69" s="49">
        <f t="shared" si="2"/>
        <v>1490</v>
      </c>
      <c r="P69" s="50">
        <f t="shared" si="3"/>
        <v>0</v>
      </c>
      <c r="Q69" s="51">
        <f>IF($C69&lt;&gt;"",SUMIFS($O$3:$O$401, $C$3:$C$401 ,$C69,$B$3:$B$401,"&lt;="&amp;Controle!$B$6),"")</f>
        <v>0</v>
      </c>
      <c r="R69" s="51">
        <f>IF($D69&lt;&gt;"",SUMIFS($O$3:$O$401, $C$3:$C$401 ,$C69,$B$3:$B$401,"&lt;="&amp;Controle!$B$6,$F$3:$F$401,$F69),"")</f>
        <v>0</v>
      </c>
      <c r="S69" s="51">
        <f>IF($D69&lt;&gt;"",SUMIFS($O$3:$O$401, $C$3:$C$401 ,$C69,$B$3:$B$401,"&lt;="&amp;'Controle D-1'!$B$6,$F$3:$F$401,$F69),"")</f>
        <v>0</v>
      </c>
      <c r="T69" s="40"/>
      <c r="U69" s="40"/>
      <c r="V69" s="40"/>
      <c r="W69" s="40"/>
      <c r="X69" s="40"/>
      <c r="Y69" s="40"/>
      <c r="Z69" s="40"/>
      <c r="AA69" s="40"/>
      <c r="AB69" s="40"/>
      <c r="AC69" s="40"/>
    </row>
    <row r="70" ht="15.75" customHeight="1">
      <c r="A70" s="28"/>
      <c r="B70" s="68">
        <v>45048.0</v>
      </c>
      <c r="C70" s="88" t="s">
        <v>59</v>
      </c>
      <c r="D70" s="127" t="s">
        <v>9</v>
      </c>
      <c r="E70" s="88" t="s">
        <v>198</v>
      </c>
      <c r="F70" s="88" t="s">
        <v>199</v>
      </c>
      <c r="G70" s="46">
        <v>151.57</v>
      </c>
      <c r="H70" s="101">
        <v>5.0531</v>
      </c>
      <c r="I70" s="128"/>
      <c r="J70" s="127">
        <v>33800.0</v>
      </c>
      <c r="K70" s="47">
        <f t="array" ref="K70">if(and(J70&lt;&gt;"",D70&lt;&gt;"Futuros"),
if(F70=Controle!$C$2, M70/xlookup(workday(B70,-1,Feriados!A:A),Controle!$B$10:$B$1000,Controle!$C$10:$C$1000),
if(F70=Controle!$F$2, M70/xlookup(workday(B70,-1,Feriados!A:A),Controle!$B$10:$B$1000,Controle!$F$10:$F$1000),
if(F70=Controle!$I$2, M70/xlookup(workday(B70,-1,Feriados!A:A),Controle!$B$10:$B$1000,Controle!$I$10:$I$1000),
if(F70=Controle!$L$2, M70/xlookup(workday(B70,-1,Feriados!A:A),Controle!$B$10:$B$1000,Controle!$L$10:$L$1000),
)))),
if(and(J70&lt;&gt;"",D70="Futuros"),
if(F70=Controle!$C$2, N70/xlookup(workday(B70,-1,Feriados!A:A),Controle!$B$10:$B$1000,Controle!$C$10:$C$1000),
if(F70=Controle!$F$2, N70/xlookup(workday(B70,-1,Feriados!A:A),Controle!$B$10:$B$1000,Controle!$F$10:$F$1000),
if(F70=Controle!$I$2, N70/xlookup(workday(B70,-1,Feriados!A:A),Controle!$B$10:$B$1000,Controle!$I$10:$I$1000),
if(F70=Controle!$L$2, N70/xlookup(workday(B70,-1,Feriados!A:A),Controle!$B$10:$B$1000,Controle!$L$10:$L$1000),
)))),""))</f>
        <v>0.2534236372</v>
      </c>
      <c r="L70" s="47">
        <f t="array" ref="L70">IF($J70&lt;&gt;"", IF($D70 = "Futuros" , $N70/xlookup(WORKDAY(B70,-1,Feriados!A:A),Controle!$B$10:$B$1000,Controle!$T$10:$T$1000) , $M70/xlookup(WORKDAY(B70,-1,Feriados!A:A),Controle!$B$10:$B$1000,Controle!$T$10:$T$1000)),"")</f>
        <v>0.06408444139</v>
      </c>
      <c r="M70" s="48">
        <f t="shared" si="4"/>
        <v>25887364.8</v>
      </c>
      <c r="N70" s="48" t="str">
        <f>IFERROR(IF(D70="Futuros",
IF(LEFT(C70,3)="DI1",G70*O70,
IF(LEFT(C70,3)="ISP",G70*O70*HLOOKUP("PTAX",'Histórico'!$A$1:$EL$983,MATCH(B70,'Histórico'!A:A),FALSE)*50,
IF(LEFT(C70,3)="WDO",10*G70*O70*HLOOKUP("PTAX",'Histórico'!$A$1:$EL$983,MATCH(B70,'Histórico'!A:A),FALSE),
IF(LEFT(C70,3)="DOL",50*G70*O70,
IF(LEFT(C70,3)="EUR",G70*O70*50,
IF(LEFT(C70,3)="WEU",G70*O70*10,
IF(LEFT(C70,3)="IND",G70*O70,
IF(LEFT(C70,3)="WIN",G70*O70*0.2,
IF(LEFT(C70,3)="T10",G70*O70*1000*HLOOKUP("PTAX",'Histórico'!$A$1:$EL$983,MATCH(B70,'Histórico'!A:A),FALSE),
IF(LEFT(C70,3)="CCM",G70*O70*450,
IF(LEFT(C70,3)="SJC",G70*O70*HLOOKUP("PTAX",'Histórico'!$A$1:$EL$983,MATCH(B70,'Histórico'!A:A),FALSE)*450,
IF(LEFT(C70,3)="BGI",G70*O70*330,
IF(LEFT(C70,3)="OZ1",G70*O70*250,
IF(LEFT(C70,3)="CLP",G70*O70*25,
IF(LEFT(C70,3)="EUP", O70*10000*HLOOKUP("EUR/BRL",'Histórico'!$A$1:$EL$983,MATCH(B70,'Histórico'!A:A),FALSE),
IF(LEFT(C70,3)="JSE", G70*O70*0.4,
IF(LEFT(C70,3)="GBP", O70*10000*HLOOKUP("GBP/BRL",'Histórico'!$A$1:$FG$983,MATCH(B70,'Histórico'!A:A),FALSE),
IF(LEFT(C70,3)="JAP",O70*10000*HLOOKUP("PTAX",'Histórico'!$A$1:$FG$983,MATCH(B70,'Histórico'!A:A),FALSE),
IF(LEFT(C70,3)="CNH",O70*10000*HLOOKUP("PTAX",'Histórico'!$A$1:$FG$983,MATCH(B70,'Histórico'!A:A),FALSE),
IF(LEFT(C70,3)="AUS",O70*10000*HLOOKUP("PTAX",'Histórico'!$A$1:$FG$983,MATCH(B70,'Histórico'!A:A),FALSE),
IF(LEFT(C70,3)="CAN",O70*10000*HLOOKUP("PTAX",'Histórico'!$A$1:$FG$983,MATCH(B70,'Histórico'!A:A),FALSE),
IF(LEFT(C70,3)="GBR",O70*10000*HLOOKUP("GBP/BRL",'Histórico'!$A$1:$FG$983,MATCH(B70,'Histórico'!A:A),FALSE),
IF(LEFT(C70,3)="MEX",O70*10000*HLOOKUP("PTAX",'Histórico'!$A$1:$FG$983,MATCH(B70,'Histórico'!A:A),FALSE),
IF(LEFT(C70,3)="CHL",O70*10000*HLOOKUP("PTAX",'Histórico'!$A$1:$FG$983,MATCH(B70,'Histórico'!A:A),FALSE)
)))))))))))))))))))))))),""))</f>
        <v/>
      </c>
      <c r="O70" s="49">
        <f t="shared" si="2"/>
        <v>-33800</v>
      </c>
      <c r="P70" s="50">
        <f t="shared" si="3"/>
        <v>0</v>
      </c>
      <c r="Q70" s="51">
        <f>IF($C70&lt;&gt;"",SUMIFS($O$3:$O$401, $C$3:$C$401 ,$C70,$B$3:$B$401,"&lt;="&amp;Controle!$B$6),"")</f>
        <v>0</v>
      </c>
      <c r="R70" s="51">
        <f>IF($D70&lt;&gt;"",SUMIFS($O$3:$O$401, $C$3:$C$401 ,$C70,$B$3:$B$401,"&lt;="&amp;Controle!$B$6,$F$3:$F$401,$F70),"")</f>
        <v>0</v>
      </c>
      <c r="S70" s="51">
        <f>IF($D70&lt;&gt;"",SUMIFS($O$3:$O$401, $C$3:$C$401 ,$C70,$B$3:$B$401,"&lt;="&amp;'Controle D-1'!$B$6,$F$3:$F$401,$F70),"")</f>
        <v>0</v>
      </c>
      <c r="T70" s="40"/>
      <c r="U70" s="40"/>
      <c r="V70" s="40"/>
      <c r="W70" s="40"/>
      <c r="X70" s="40"/>
      <c r="Y70" s="40"/>
      <c r="Z70" s="40"/>
      <c r="AA70" s="40"/>
      <c r="AB70" s="40"/>
      <c r="AC70" s="40"/>
    </row>
    <row r="71" ht="15.75" customHeight="1">
      <c r="A71" s="28"/>
      <c r="B71" s="68">
        <v>45048.0</v>
      </c>
      <c r="C71" s="88" t="s">
        <v>90</v>
      </c>
      <c r="D71" s="127" t="s">
        <v>12</v>
      </c>
      <c r="E71" s="88" t="s">
        <v>208</v>
      </c>
      <c r="F71" s="88" t="s">
        <v>201</v>
      </c>
      <c r="G71" s="46">
        <v>135416.822</v>
      </c>
      <c r="H71" s="101" t="str">
        <f>if($D71="Ações Americanas", HLOOKUP("PTAX",'Histórico'!$A$1:$EL$983,(MATCH(B71,'Histórico'!A:A))-1,""),
if($D71="Ações Europeias", HLOOKUP("EUR/BRL",'Histórico'!$A$1:$EL$983,(MATCH(B71,'Histórico'!A:A))-1,""),""))</f>
        <v/>
      </c>
      <c r="I71" s="128">
        <v>45078.0</v>
      </c>
      <c r="J71" s="127">
        <v>500.0</v>
      </c>
      <c r="K71" s="47">
        <f t="array" ref="K71">if(and(J71&lt;&gt;"",D71&lt;&gt;"Futuros"),
if(F71=Controle!$C$2, M71/xlookup(workday(B71,-1,Feriados!A:A),Controle!$B$10:$B$1000,Controle!$C$10:$C$1000),
if(F71=Controle!$F$2, M71/xlookup(workday(B71,-1,Feriados!A:A),Controle!$B$10:$B$1000,Controle!$F$10:$F$1000),
if(F71=Controle!$I$2, M71/xlookup(workday(B71,-1,Feriados!A:A),Controle!$B$10:$B$1000,Controle!$I$10:$I$1000),
if(F71=Controle!$L$2, M71/xlookup(workday(B71,-1,Feriados!A:A),Controle!$B$10:$B$1000,Controle!$L$10:$L$1000),
)))),
if(and(J71&lt;&gt;"",D71="Futuros"),
if(F71=Controle!$C$2, N71/xlookup(workday(B71,-1,Feriados!A:A),Controle!$B$10:$B$1000,Controle!$C$10:$C$1000),
if(F71=Controle!$F$2, N71/xlookup(workday(B71,-1,Feriados!A:A),Controle!$B$10:$B$1000,Controle!$F$10:$F$1000),
if(F71=Controle!$I$2, N71/xlookup(workday(B71,-1,Feriados!A:A),Controle!$B$10:$B$1000,Controle!$I$10:$I$1000),
if(F71=Controle!$L$2, N71/xlookup(workday(B71,-1,Feriados!A:A),Controle!$B$10:$B$1000,Controle!$L$10:$L$1000),
)))),""))</f>
        <v>0.2485208659</v>
      </c>
      <c r="L71" s="47">
        <f t="array" ref="L71">IF($J71&lt;&gt;"", IF($D71 = "Futuros" , $N71/xlookup(WORKDAY(B71,-1,Feriados!A:A),Controle!$B$10:$B$1000,Controle!$T$10:$T$1000) , $M71/xlookup(WORKDAY(B71,-1,Feriados!A:A),Controle!$B$10:$B$1000,Controle!$T$10:$T$1000)),"")</f>
        <v>0.06233582795</v>
      </c>
      <c r="M71" s="48">
        <f t="shared" si="4"/>
        <v>-67708411</v>
      </c>
      <c r="N71" s="48">
        <f>IFERROR(IF(D71="Futuros",
IF(LEFT(C71,3)="DI1",G71*O71,
IF(LEFT(C71,3)="ISP",G71*O71*HLOOKUP("PTAX",'Histórico'!$A$1:$EL$983,MATCH(B71,'Histórico'!A:A),FALSE)*50,
IF(LEFT(C71,3)="WDO",10*G71*O71*HLOOKUP("PTAX",'Histórico'!$A$1:$EL$983,MATCH(B71,'Histórico'!A:A),FALSE),
IF(LEFT(C71,3)="DOL",50*G71*O71,
IF(LEFT(C71,3)="EUR",G71*O71*50,
IF(LEFT(C71,3)="WEU",G71*O71*10,
IF(LEFT(C71,3)="IND",G71*O71,
IF(LEFT(C71,3)="WIN",G71*O71*0.2,
IF(LEFT(C71,3)="T10",G71*O71*1000*HLOOKUP("PTAX",'Histórico'!$A$1:$EL$983,MATCH(B71,'Histórico'!A:A),FALSE),
IF(LEFT(C71,3)="CCM",G71*O71*450,
IF(LEFT(C71,3)="SJC",G71*O71*HLOOKUP("PTAX",'Histórico'!$A$1:$EL$983,MATCH(B71,'Histórico'!A:A),FALSE)*450,
IF(LEFT(C71,3)="BGI",G71*O71*330,
IF(LEFT(C71,3)="OZ1",G71*O71*250,
IF(LEFT(C71,3)="CLP",G71*O71*25,
IF(LEFT(C71,3)="EUP", O71*10000*HLOOKUP("EUR/BRL",'Histórico'!$A$1:$EL$983,MATCH(B71,'Histórico'!A:A),FALSE),
IF(LEFT(C71,3)="JSE", G71*O71*0.4,
IF(LEFT(C71,3)="GBP", O71*10000*HLOOKUP("GBP/BRL",'Histórico'!$A$1:$FG$983,MATCH(B71,'Histórico'!A:A),FALSE),
IF(LEFT(C71,3)="JAP",O71*10000*HLOOKUP("PTAX",'Histórico'!$A$1:$FG$983,MATCH(B71,'Histórico'!A:A),FALSE),
IF(LEFT(C71,3)="CNH",O71*10000*HLOOKUP("PTAX",'Histórico'!$A$1:$FG$983,MATCH(B71,'Histórico'!A:A),FALSE),
IF(LEFT(C71,3)="AUS",O71*10000*HLOOKUP("PTAX",'Histórico'!$A$1:$FG$983,MATCH(B71,'Histórico'!A:A),FALSE),
IF(LEFT(C71,3)="CAN",O71*10000*HLOOKUP("PTAX",'Histórico'!$A$1:$FG$983,MATCH(B71,'Histórico'!A:A),FALSE),
IF(LEFT(C71,3)="GBR",O71*10000*HLOOKUP("GBP/BRL",'Histórico'!$A$1:$FG$983,MATCH(B71,'Histórico'!A:A),FALSE),
IF(LEFT(C71,3)="MEX",O71*10000*HLOOKUP("PTAX",'Histórico'!$A$1:$FG$983,MATCH(B71,'Histórico'!A:A),FALSE),
IF(LEFT(C71,3)="CHL",O71*10000*HLOOKUP("PTAX",'Histórico'!$A$1:$FG$983,MATCH(B71,'Histórico'!A:A),FALSE)
)))))))))))))))))))))))),""))</f>
        <v>25181000</v>
      </c>
      <c r="O71" s="49">
        <f t="shared" si="2"/>
        <v>500</v>
      </c>
      <c r="P71" s="50">
        <f t="shared" si="3"/>
        <v>0</v>
      </c>
      <c r="Q71" s="51">
        <f>IF($C71&lt;&gt;"",SUMIFS($O$3:$O$401, $C$3:$C$401 ,$C71,$B$3:$B$401,"&lt;="&amp;Controle!$B$6),"")</f>
        <v>0</v>
      </c>
      <c r="R71" s="51">
        <f>IF($D71&lt;&gt;"",SUMIFS($O$3:$O$401, $C$3:$C$401 ,$C71,$B$3:$B$401,"&lt;="&amp;Controle!$B$6,$F$3:$F$401,$F71),"")</f>
        <v>0</v>
      </c>
      <c r="S71" s="51">
        <f>IF($D71&lt;&gt;"",SUMIFS($O$3:$O$401, $C$3:$C$401 ,$C71,$B$3:$B$401,"&lt;="&amp;'Controle D-1'!$B$6,$F$3:$F$401,$F71),"")</f>
        <v>0</v>
      </c>
      <c r="T71" s="40"/>
      <c r="U71" s="40"/>
      <c r="V71" s="40"/>
      <c r="W71" s="40"/>
      <c r="X71" s="40"/>
      <c r="Y71" s="40"/>
      <c r="Z71" s="40"/>
      <c r="AA71" s="40"/>
      <c r="AB71" s="40"/>
      <c r="AC71" s="40"/>
    </row>
    <row r="72" ht="15.75" customHeight="1">
      <c r="A72" s="28"/>
      <c r="B72" s="68">
        <v>45048.0</v>
      </c>
      <c r="C72" s="88" t="s">
        <v>73</v>
      </c>
      <c r="D72" s="127" t="s">
        <v>12</v>
      </c>
      <c r="E72" s="88" t="s">
        <v>198</v>
      </c>
      <c r="F72" s="88" t="s">
        <v>201</v>
      </c>
      <c r="G72" s="46">
        <v>52348.07</v>
      </c>
      <c r="H72" s="101" t="str">
        <f>if($D72="Ações Americanas", HLOOKUP("PTAX",'Histórico'!$A$1:$EL$983,(MATCH(B72,'Histórico'!A:A))-1,""),
if($D72="Ações Europeias", HLOOKUP("EUR/BRL",'Histórico'!$A$1:$EL$983,(MATCH(B72,'Histórico'!A:A))-1,""),""))</f>
        <v/>
      </c>
      <c r="I72" s="101">
        <v>47120.0</v>
      </c>
      <c r="J72" s="88">
        <v>300.0</v>
      </c>
      <c r="K72" s="47">
        <f t="array" ref="K72">if(and(J72&lt;&gt;"",D72&lt;&gt;"Futuros"),
if(F72=Controle!$C$2, M72/xlookup(workday(B72,-1,Feriados!A:A),Controle!$B$10:$B$1000,Controle!$C$10:$C$1000),
if(F72=Controle!$F$2, M72/xlookup(workday(B72,-1,Feriados!A:A),Controle!$B$10:$B$1000,Controle!$F$10:$F$1000),
if(F72=Controle!$I$2, M72/xlookup(workday(B72,-1,Feriados!A:A),Controle!$B$10:$B$1000,Controle!$I$10:$I$1000),
if(F72=Controle!$L$2, M72/xlookup(workday(B72,-1,Feriados!A:A),Controle!$B$10:$B$1000,Controle!$L$10:$L$1000),
)))),
if(and(J72&lt;&gt;"",D72="Futuros"),
if(F72=Controle!$C$2, N72/xlookup(workday(B72,-1,Feriados!A:A),Controle!$B$10:$B$1000,Controle!$C$10:$C$1000),
if(F72=Controle!$F$2, N72/xlookup(workday(B72,-1,Feriados!A:A),Controle!$B$10:$B$1000,Controle!$F$10:$F$1000),
if(F72=Controle!$I$2, N72/xlookup(workday(B72,-1,Feriados!A:A),Controle!$B$10:$B$1000,Controle!$I$10:$I$1000),
if(F72=Controle!$L$2, N72/xlookup(workday(B72,-1,Feriados!A:A),Controle!$B$10:$B$1000,Controle!$L$10:$L$1000),
)))),""))</f>
        <v>-0.1549929036</v>
      </c>
      <c r="L72" s="47">
        <f t="array" ref="L72">IF($J72&lt;&gt;"", IF($D72 = "Futuros" , $N72/xlookup(WORKDAY(B72,-1,Feriados!A:A),Controle!$B$10:$B$1000,Controle!$T$10:$T$1000) , $M72/xlookup(WORKDAY(B72,-1,Feriados!A:A),Controle!$B$10:$B$1000,Controle!$T$10:$T$1000)),"")</f>
        <v>-0.03887645787</v>
      </c>
      <c r="M72" s="48">
        <f t="shared" si="4"/>
        <v>15704421</v>
      </c>
      <c r="N72" s="48">
        <f>IFERROR(IF(D72="Futuros",
IF(LEFT(C72,3)="DI1",G72*O72,
IF(LEFT(C72,3)="ISP",G72*O72*HLOOKUP("PTAX",'Histórico'!$A$1:$EL$983,MATCH(B72,'Histórico'!A:A),FALSE)*50,
IF(LEFT(C72,3)="WDO",10*G72*O72*HLOOKUP("PTAX",'Histórico'!$A$1:$EL$983,MATCH(B72,'Histórico'!A:A),FALSE),
IF(LEFT(C72,3)="DOL",50*G72*O72,
IF(LEFT(C72,3)="EUR",G72*O72*50,
IF(LEFT(C72,3)="WEU",G72*O72*10,
IF(LEFT(C72,3)="IND",G72*O72,
IF(LEFT(C72,3)="WIN",G72*O72*0.2,
IF(LEFT(C72,3)="T10",G72*O72*1000*HLOOKUP("PTAX",'Histórico'!$A$1:$EL$983,MATCH(B72,'Histórico'!A:A),FALSE),
IF(LEFT(C72,3)="CCM",G72*O72*450,
IF(LEFT(C72,3)="SJC",G72*O72*HLOOKUP("PTAX",'Histórico'!$A$1:$EL$983,MATCH(B72,'Histórico'!A:A),FALSE)*450,
IF(LEFT(C72,3)="BGI",G72*O72*330,
IF(LEFT(C72,3)="OZ1",G72*O72*250,
IF(LEFT(C72,3)="CLP",G72*O72*25,
IF(LEFT(C72,3)="EUP", O72*10000*HLOOKUP("EUR/BRL",'Histórico'!$A$1:$EL$983,MATCH(B72,'Histórico'!A:A),FALSE),
IF(LEFT(C72,3)="JSE", G72*O72*0.4,
IF(LEFT(C72,3)="GBP", O72*10000*HLOOKUP("GBP/BRL",'Histórico'!$A$1:$FG$983,MATCH(B72,'Histórico'!A:A),FALSE),
IF(LEFT(C72,3)="JAP",O72*10000*HLOOKUP("PTAX",'Histórico'!$A$1:$FG$983,MATCH(B72,'Histórico'!A:A),FALSE),
IF(LEFT(C72,3)="CNH",O72*10000*HLOOKUP("PTAX",'Histórico'!$A$1:$FG$983,MATCH(B72,'Histórico'!A:A),FALSE),
IF(LEFT(C72,3)="AUS",O72*10000*HLOOKUP("PTAX",'Histórico'!$A$1:$FG$983,MATCH(B72,'Histórico'!A:A),FALSE),
IF(LEFT(C72,3)="CAN",O72*10000*HLOOKUP("PTAX",'Histórico'!$A$1:$FG$983,MATCH(B72,'Histórico'!A:A),FALSE),
IF(LEFT(C72,3)="GBR",O72*10000*HLOOKUP("GBP/BRL",'Histórico'!$A$1:$FG$983,MATCH(B72,'Histórico'!A:A),FALSE),
IF(LEFT(C72,3)="MEX",O72*10000*HLOOKUP("PTAX",'Histórico'!$A$1:$FG$983,MATCH(B72,'Histórico'!A:A),FALSE),
IF(LEFT(C72,3)="CHL",O72*10000*HLOOKUP("PTAX",'Histórico'!$A$1:$FG$983,MATCH(B72,'Histórico'!A:A),FALSE)
)))))))))))))))))))))))),""))</f>
        <v>-15704421</v>
      </c>
      <c r="O72" s="49">
        <f t="shared" si="2"/>
        <v>-300</v>
      </c>
      <c r="P72" s="50">
        <f t="shared" si="3"/>
        <v>0</v>
      </c>
      <c r="Q72" s="51">
        <f>IF($C72&lt;&gt;"",SUMIFS($O$3:$O$401, $C$3:$C$401 ,$C72,$B$3:$B$401,"&lt;="&amp;Controle!$B$6),"")</f>
        <v>-50</v>
      </c>
      <c r="R72" s="51">
        <f>IF($D72&lt;&gt;"",SUMIFS($O$3:$O$401, $C$3:$C$401 ,$C72,$B$3:$B$401,"&lt;="&amp;Controle!$B$6,$F$3:$F$401,$F72),"")</f>
        <v>0</v>
      </c>
      <c r="S72" s="51">
        <f>IF($D72&lt;&gt;"",SUMIFS($O$3:$O$401, $C$3:$C$401 ,$C72,$B$3:$B$401,"&lt;="&amp;'Controle D-1'!$B$6,$F$3:$F$401,$F72),"")</f>
        <v>0</v>
      </c>
      <c r="T72" s="40"/>
      <c r="U72" s="40"/>
      <c r="V72" s="40"/>
      <c r="W72" s="40"/>
      <c r="X72" s="40"/>
      <c r="Y72" s="40"/>
      <c r="Z72" s="40"/>
      <c r="AA72" s="40"/>
      <c r="AB72" s="40"/>
      <c r="AC72" s="40"/>
    </row>
    <row r="73" ht="15.75" customHeight="1">
      <c r="A73" s="28"/>
      <c r="B73" s="100">
        <v>45048.0</v>
      </c>
      <c r="C73" s="88" t="s">
        <v>38</v>
      </c>
      <c r="D73" s="127" t="s">
        <v>12</v>
      </c>
      <c r="E73" s="88" t="s">
        <v>198</v>
      </c>
      <c r="F73" s="88" t="s">
        <v>201</v>
      </c>
      <c r="G73" s="46">
        <v>1104.0</v>
      </c>
      <c r="H73" s="101" t="str">
        <f>if($D73="Ações Americanas", HLOOKUP("PTAX",'Histórico'!$A$1:$EL$983,(MATCH(B73,'Histórico'!A:A))-1,""),
if($D73="Ações Europeias", HLOOKUP("EUR/BRL",'Histórico'!$A$1:$EL$983,(MATCH(B73,'Histórico'!A:A))-1,""),""))</f>
        <v/>
      </c>
      <c r="I73" s="130">
        <v>45048.0</v>
      </c>
      <c r="J73" s="88">
        <v>375.0</v>
      </c>
      <c r="K73" s="47">
        <f t="array" ref="K73">if(and(J73&lt;&gt;"",D73&lt;&gt;"Futuros"),
if(F73=Controle!$C$2, M73/xlookup(workday(B73,-1,Feriados!A:A),Controle!$B$10:$B$1000,Controle!$C$10:$C$1000),
if(F73=Controle!$F$2, M73/xlookup(workday(B73,-1,Feriados!A:A),Controle!$B$10:$B$1000,Controle!$F$10:$F$1000),
if(F73=Controle!$I$2, M73/xlookup(workday(B73,-1,Feriados!A:A),Controle!$B$10:$B$1000,Controle!$I$10:$I$1000),
if(F73=Controle!$L$2, M73/xlookup(workday(B73,-1,Feriados!A:A),Controle!$B$10:$B$1000,Controle!$L$10:$L$1000),
)))),
if(and(J73&lt;&gt;"",D73="Futuros"),
if(F73=Controle!$C$2, N73/xlookup(workday(B73,-1,Feriados!A:A),Controle!$B$10:$B$1000,Controle!$C$10:$C$1000),
if(F73=Controle!$F$2, N73/xlookup(workday(B73,-1,Feriados!A:A),Controle!$B$10:$B$1000,Controle!$F$10:$F$1000),
if(F73=Controle!$I$2, N73/xlookup(workday(B73,-1,Feriados!A:A),Controle!$B$10:$B$1000,Controle!$I$10:$I$1000),
if(F73=Controle!$L$2, N73/xlookup(workday(B73,-1,Feriados!A:A),Controle!$B$10:$B$1000,Controle!$L$10:$L$1000),
)))),""))</f>
        <v>-0.205824693</v>
      </c>
      <c r="L73" s="47">
        <f t="array" ref="L73">IF($J73&lt;&gt;"", IF($D73 = "Futuros" , $N73/xlookup(WORKDAY(B73,-1,Feriados!A:A),Controle!$B$10:$B$1000,Controle!$T$10:$T$1000) , $M73/xlookup(WORKDAY(B73,-1,Feriados!A:A),Controle!$B$10:$B$1000,Controle!$T$10:$T$1000)),"")</f>
        <v>-0.05162646042</v>
      </c>
      <c r="M73" s="48">
        <f t="shared" si="4"/>
        <v>414000</v>
      </c>
      <c r="N73" s="48">
        <f>IFERROR(IF(D73="Futuros",
IF(LEFT(C73,3)="DI1",G73*O73,
IF(LEFT(C73,3)="ISP",G73*O73*HLOOKUP("PTAX",'Histórico'!$A$1:$EL$983,MATCH(B73,'Histórico'!A:A),FALSE)*50,
IF(LEFT(C73,3)="WDO",10*G73*O73*HLOOKUP("PTAX",'Histórico'!$A$1:$EL$983,MATCH(B73,'Histórico'!A:A),FALSE),
IF(LEFT(C73,3)="DOL",50*G73*O73,
IF(LEFT(C73,3)="EUR",G73*O73*50,
IF(LEFT(C73,3)="WEU",G73*O73*10,
IF(LEFT(C73,3)="IND",G73*O73,
IF(LEFT(C73,3)="WIN",G73*O73*0.2,
IF(LEFT(C73,3)="T10",G73*O73*1000*HLOOKUP("PTAX",'Histórico'!$A$1:$EL$983,MATCH(B73,'Histórico'!A:A),FALSE),
IF(LEFT(C73,3)="CCM",G73*O73*450,
IF(LEFT(C73,3)="SJC",G73*O73*HLOOKUP("PTAX",'Histórico'!$A$1:$EL$983,MATCH(B73,'Histórico'!A:A),FALSE)*450,
IF(LEFT(C73,3)="BGI",G73*O73*330,
IF(LEFT(C73,3)="OZ1",G73*O73*250,
IF(LEFT(C73,3)="CLP",G73*O73*25,
IF(LEFT(C73,3)="EUP", O73*10000*HLOOKUP("EUR/BRL",'Histórico'!$A$1:$EL$983,MATCH(B73,'Histórico'!A:A),FALSE),
IF(LEFT(C73,3)="JSE", G73*O73*0.4,
IF(LEFT(C73,3)="GBP", O73*10000*HLOOKUP("GBP/BRL",'Histórico'!$A$1:$FG$983,MATCH(B73,'Histórico'!A:A),FALSE),
IF(LEFT(C73,3)="JAP",O73*10000*HLOOKUP("PTAX",'Histórico'!$A$1:$FG$983,MATCH(B73,'Histórico'!A:A),FALSE),
IF(LEFT(C73,3)="CNH",O73*10000*HLOOKUP("PTAX",'Histórico'!$A$1:$FG$983,MATCH(B73,'Histórico'!A:A),FALSE),
IF(LEFT(C73,3)="AUS",O73*10000*HLOOKUP("PTAX",'Histórico'!$A$1:$FG$983,MATCH(B73,'Histórico'!A:A),FALSE),
IF(LEFT(C73,3)="CAN",O73*10000*HLOOKUP("PTAX",'Histórico'!$A$1:$FG$983,MATCH(B73,'Histórico'!A:A),FALSE),
IF(LEFT(C73,3)="GBR",O73*10000*HLOOKUP("GBP/BRL",'Histórico'!$A$1:$FG$983,MATCH(B73,'Histórico'!A:A),FALSE),
IF(LEFT(C73,3)="MEX",O73*10000*HLOOKUP("PTAX",'Histórico'!$A$1:$FG$983,MATCH(B73,'Histórico'!A:A),FALSE),
IF(LEFT(C73,3)="CHL",O73*10000*HLOOKUP("PTAX",'Histórico'!$A$1:$FG$983,MATCH(B73,'Histórico'!A:A),FALSE)
)))))))))))))))))))))))),""))</f>
        <v>-20854875</v>
      </c>
      <c r="O73" s="49">
        <f t="shared" si="2"/>
        <v>-375</v>
      </c>
      <c r="P73" s="50">
        <f t="shared" si="3"/>
        <v>0</v>
      </c>
      <c r="Q73" s="51">
        <f>IF($C73&lt;&gt;"",SUMIFS($O$3:$O$401, $C$3:$C$401 ,$C73,$B$3:$B$401,"&lt;="&amp;Controle!$B$6),"")</f>
        <v>0</v>
      </c>
      <c r="R73" s="51">
        <f>IF($D73&lt;&gt;"",SUMIFS($O$3:$O$401, $C$3:$C$401 ,$C73,$B$3:$B$401,"&lt;="&amp;Controle!$B$6,$F$3:$F$401,$F73),"")</f>
        <v>0</v>
      </c>
      <c r="S73" s="51">
        <f>IF($D73&lt;&gt;"",SUMIFS($O$3:$O$401, $C$3:$C$401 ,$C73,$B$3:$B$401,"&lt;="&amp;'Controle D-1'!$B$6,$F$3:$F$401,$F73),"")</f>
        <v>0</v>
      </c>
      <c r="T73" s="40"/>
      <c r="U73" s="40"/>
      <c r="V73" s="40"/>
      <c r="W73" s="40"/>
      <c r="X73" s="40"/>
      <c r="Y73" s="40"/>
      <c r="Z73" s="40"/>
      <c r="AA73" s="40"/>
      <c r="AB73" s="40"/>
      <c r="AC73" s="40"/>
    </row>
    <row r="74" ht="15.75" customHeight="1">
      <c r="A74" s="28"/>
      <c r="B74" s="100">
        <v>45048.0</v>
      </c>
      <c r="C74" s="88" t="s">
        <v>92</v>
      </c>
      <c r="D74" s="88" t="s">
        <v>12</v>
      </c>
      <c r="E74" s="88" t="s">
        <v>208</v>
      </c>
      <c r="F74" s="88" t="s">
        <v>201</v>
      </c>
      <c r="G74" s="46">
        <v>1106.243</v>
      </c>
      <c r="H74" s="101" t="str">
        <f>if($D74="Ações Americanas", HLOOKUP("PTAX",'Histórico'!$A$1:$EL$983,(MATCH(B74,'Histórico'!A:A))-1,""),
if($D74="Ações Europeias", HLOOKUP("EUR/BRL",'Histórico'!$A$1:$EL$983,(MATCH(B74,'Histórico'!A:A))-1,""),""))</f>
        <v/>
      </c>
      <c r="I74" s="102">
        <v>45078.0</v>
      </c>
      <c r="J74" s="88">
        <v>375.0</v>
      </c>
      <c r="K74" s="47">
        <f t="array" ref="K74">if(and(J74&lt;&gt;"",D74&lt;&gt;"Futuros"),
if(F74=Controle!$C$2, M74/xlookup(workday(B74,-1,Feriados!A:A),Controle!$B$10:$B$1000,Controle!$C$10:$C$1000),
if(F74=Controle!$F$2, M74/xlookup(workday(B74,-1,Feriados!A:A),Controle!$B$10:$B$1000,Controle!$F$10:$F$1000),
if(F74=Controle!$I$2, M74/xlookup(workday(B74,-1,Feriados!A:A),Controle!$B$10:$B$1000,Controle!$I$10:$I$1000),
if(F74=Controle!$L$2, M74/xlookup(workday(B74,-1,Feriados!A:A),Controle!$B$10:$B$1000,Controle!$L$10:$L$1000),
)))),
if(and(J74&lt;&gt;"",D74="Futuros"),
if(F74=Controle!$C$2, N74/xlookup(workday(B74,-1,Feriados!A:A),Controle!$B$10:$B$1000,Controle!$C$10:$C$1000),
if(F74=Controle!$F$2, N74/xlookup(workday(B74,-1,Feriados!A:A),Controle!$B$10:$B$1000,Controle!$F$10:$F$1000),
if(F74=Controle!$I$2, N74/xlookup(workday(B74,-1,Feriados!A:A),Controle!$B$10:$B$1000,Controle!$I$10:$I$1000),
if(F74=Controle!$L$2, N74/xlookup(workday(B74,-1,Feriados!A:A),Controle!$B$10:$B$1000,Controle!$L$10:$L$1000),
)))),""))</f>
        <v>0.205824693</v>
      </c>
      <c r="L74" s="47">
        <f t="array" ref="L74">IF($J74&lt;&gt;"", IF($D74 = "Futuros" , $N74/xlookup(WORKDAY(B74,-1,Feriados!A:A),Controle!$B$10:$B$1000,Controle!$T$10:$T$1000) , $M74/xlookup(WORKDAY(B74,-1,Feriados!A:A),Controle!$B$10:$B$1000,Controle!$T$10:$T$1000)),"")</f>
        <v>0.05162646042</v>
      </c>
      <c r="M74" s="48">
        <f t="shared" si="4"/>
        <v>-414841.125</v>
      </c>
      <c r="N74" s="48">
        <f>IFERROR(IF(D74="Futuros",
IF(LEFT(C74,3)="DI1",G74*O74,
IF(LEFT(C74,3)="ISP",G74*O74*HLOOKUP("PTAX",'Histórico'!$A$1:$EL$983,MATCH(B74,'Histórico'!A:A),FALSE)*50,
IF(LEFT(C74,3)="WDO",10*G74*O74*HLOOKUP("PTAX",'Histórico'!$A$1:$EL$983,MATCH(B74,'Histórico'!A:A),FALSE),
IF(LEFT(C74,3)="DOL",50*G74*O74,
IF(LEFT(C74,3)="EUR",G74*O74*50,
IF(LEFT(C74,3)="WEU",G74*O74*10,
IF(LEFT(C74,3)="IND",G74*O74,
IF(LEFT(C74,3)="WIN",G74*O74*0.2,
IF(LEFT(C74,3)="T10",G74*O74*1000*HLOOKUP("PTAX",'Histórico'!$A$1:$EL$983,MATCH(B74,'Histórico'!A:A),FALSE),
IF(LEFT(C74,3)="CCM",G74*O74*450,
IF(LEFT(C74,3)="SJC",G74*O74*HLOOKUP("PTAX",'Histórico'!$A$1:$EL$983,MATCH(B74,'Histórico'!A:A),FALSE)*450,
IF(LEFT(C74,3)="BGI",G74*O74*330,
IF(LEFT(C74,3)="OZ1",G74*O74*250,
IF(LEFT(C74,3)="CLP",G74*O74*25,
IF(LEFT(C74,3)="EUP", O74*10000*HLOOKUP("EUR/BRL",'Histórico'!$A$1:$EL$983,MATCH(B74,'Histórico'!A:A),FALSE),
IF(LEFT(C74,3)="JSE", G74*O74*0.4,
IF(LEFT(C74,3)="GBP", O74*10000*HLOOKUP("GBP/BRL",'Histórico'!$A$1:$FG$983,MATCH(B74,'Histórico'!A:A),FALSE),
IF(LEFT(C74,3)="JAP",O74*10000*HLOOKUP("PTAX",'Histórico'!$A$1:$FG$983,MATCH(B74,'Histórico'!A:A),FALSE),
IF(LEFT(C74,3)="CNH",O74*10000*HLOOKUP("PTAX",'Histórico'!$A$1:$FG$983,MATCH(B74,'Histórico'!A:A),FALSE),
IF(LEFT(C74,3)="AUS",O74*10000*HLOOKUP("PTAX",'Histórico'!$A$1:$FG$983,MATCH(B74,'Histórico'!A:A),FALSE),
IF(LEFT(C74,3)="CAN",O74*10000*HLOOKUP("PTAX",'Histórico'!$A$1:$FG$983,MATCH(B74,'Histórico'!A:A),FALSE),
IF(LEFT(C74,3)="GBR",O74*10000*HLOOKUP("GBP/BRL",'Histórico'!$A$1:$FG$983,MATCH(B74,'Histórico'!A:A),FALSE),
IF(LEFT(C74,3)="MEX",O74*10000*HLOOKUP("PTAX",'Histórico'!$A$1:$FG$983,MATCH(B74,'Histórico'!A:A),FALSE),
IF(LEFT(C74,3)="CHL",O74*10000*HLOOKUP("PTAX",'Histórico'!$A$1:$FG$983,MATCH(B74,'Histórico'!A:A),FALSE)
)))))))))))))))))))))))),""))</f>
        <v>20854875</v>
      </c>
      <c r="O74" s="49">
        <f t="shared" si="2"/>
        <v>375</v>
      </c>
      <c r="P74" s="50">
        <f t="shared" si="3"/>
        <v>0</v>
      </c>
      <c r="Q74" s="51">
        <f>IF($C74&lt;&gt;"",SUMIFS($O$3:$O$401, $C$3:$C$401 ,$C74,$B$3:$B$401,"&lt;="&amp;Controle!$B$6),"")</f>
        <v>0</v>
      </c>
      <c r="R74" s="51">
        <f>IF($D74&lt;&gt;"",SUMIFS($O$3:$O$401, $C$3:$C$401 ,$C74,$B$3:$B$401,"&lt;="&amp;Controle!$B$6,$F$3:$F$401,$F74),"")</f>
        <v>0</v>
      </c>
      <c r="S74" s="51">
        <f>IF($D74&lt;&gt;"",SUMIFS($O$3:$O$401, $C$3:$C$401 ,$C74,$B$3:$B$401,"&lt;="&amp;'Controle D-1'!$B$6,$F$3:$F$401,$F74),"")</f>
        <v>0</v>
      </c>
      <c r="T74" s="40"/>
      <c r="U74" s="40"/>
      <c r="V74" s="40"/>
      <c r="W74" s="40"/>
      <c r="X74" s="40"/>
      <c r="Y74" s="40"/>
      <c r="Z74" s="40"/>
      <c r="AA74" s="40"/>
      <c r="AB74" s="40"/>
      <c r="AC74" s="40"/>
    </row>
    <row r="75" ht="15.75" customHeight="1">
      <c r="A75" s="28"/>
      <c r="B75" s="68">
        <v>45048.0</v>
      </c>
      <c r="C75" s="88" t="s">
        <v>84</v>
      </c>
      <c r="D75" s="88" t="s">
        <v>6</v>
      </c>
      <c r="E75" s="88" t="s">
        <v>198</v>
      </c>
      <c r="F75" s="88" t="s">
        <v>199</v>
      </c>
      <c r="G75" s="46">
        <v>100.17</v>
      </c>
      <c r="H75" s="101" t="str">
        <f>if($D75="Ações Americanas", HLOOKUP("PTAX",'Histórico'!$A$1:$EL$983,(MATCH(B75,'Histórico'!A:A))-1,""),
if($D75="Ações Europeias", HLOOKUP("EUR/BRL",'Histórico'!$A$1:$EL$983,(MATCH(B75,'Histórico'!A:A))-1,""),""))</f>
        <v/>
      </c>
      <c r="I75" s="103"/>
      <c r="J75" s="88">
        <v>80500.0</v>
      </c>
      <c r="K75" s="47">
        <f t="array" ref="K75">if(and(J75&lt;&gt;"",D75&lt;&gt;"Futuros"),
if(F75=Controle!$C$2, M75/xlookup(workday(B75,-1,Feriados!A:A),Controle!$B$10:$B$1000,Controle!$C$10:$C$1000),
if(F75=Controle!$F$2, M75/xlookup(workday(B75,-1,Feriados!A:A),Controle!$B$10:$B$1000,Controle!$F$10:$F$1000),
if(F75=Controle!$I$2, M75/xlookup(workday(B75,-1,Feriados!A:A),Controle!$B$10:$B$1000,Controle!$I$10:$I$1000),
if(F75=Controle!$L$2, M75/xlookup(workday(B75,-1,Feriados!A:A),Controle!$B$10:$B$1000,Controle!$L$10:$L$1000),
)))),
if(and(J75&lt;&gt;"",D75="Futuros"),
if(F75=Controle!$C$2, N75/xlookup(workday(B75,-1,Feriados!A:A),Controle!$B$10:$B$1000,Controle!$C$10:$C$1000),
if(F75=Controle!$F$2, N75/xlookup(workday(B75,-1,Feriados!A:A),Controle!$B$10:$B$1000,Controle!$F$10:$F$1000),
if(F75=Controle!$I$2, N75/xlookup(workday(B75,-1,Feriados!A:A),Controle!$B$10:$B$1000,Controle!$I$10:$I$1000),
if(F75=Controle!$L$2, N75/xlookup(workday(B75,-1,Feriados!A:A),Controle!$B$10:$B$1000,Controle!$L$10:$L$1000),
)))),""))</f>
        <v>0.07893921985</v>
      </c>
      <c r="L75" s="47">
        <f t="array" ref="L75">IF($J75&lt;&gt;"", IF($D75 = "Futuros" , $N75/xlookup(WORKDAY(B75,-1,Feriados!A:A),Controle!$B$10:$B$1000,Controle!$T$10:$T$1000) , $M75/xlookup(WORKDAY(B75,-1,Feriados!A:A),Controle!$B$10:$B$1000,Controle!$T$10:$T$1000)),"")</f>
        <v>0.01996173626</v>
      </c>
      <c r="M75" s="48">
        <f t="shared" si="4"/>
        <v>8063685</v>
      </c>
      <c r="N75" s="48" t="str">
        <f>IFERROR(IF(D75="Futuros",
IF(LEFT(C75,3)="DI1",G75*O75,
IF(LEFT(C75,3)="ISP",G75*O75*HLOOKUP("PTAX",'Histórico'!$A$1:$EL$983,MATCH(B75,'Histórico'!A:A),FALSE)*50,
IF(LEFT(C75,3)="WDO",10*G75*O75*HLOOKUP("PTAX",'Histórico'!$A$1:$EL$983,MATCH(B75,'Histórico'!A:A),FALSE),
IF(LEFT(C75,3)="DOL",50*G75*O75,
IF(LEFT(C75,3)="EUR",G75*O75*50,
IF(LEFT(C75,3)="WEU",G75*O75*10,
IF(LEFT(C75,3)="IND",G75*O75,
IF(LEFT(C75,3)="WIN",G75*O75*0.2,
IF(LEFT(C75,3)="T10",G75*O75*1000*HLOOKUP("PTAX",'Histórico'!$A$1:$EL$983,MATCH(B75,'Histórico'!A:A),FALSE),
IF(LEFT(C75,3)="CCM",G75*O75*450,
IF(LEFT(C75,3)="SJC",G75*O75*HLOOKUP("PTAX",'Histórico'!$A$1:$EL$983,MATCH(B75,'Histórico'!A:A),FALSE)*450,
IF(LEFT(C75,3)="BGI",G75*O75*330,
IF(LEFT(C75,3)="OZ1",G75*O75*250,
IF(LEFT(C75,3)="CLP",G75*O75*25,
IF(LEFT(C75,3)="EUP", O75*10000*HLOOKUP("EUR/BRL",'Histórico'!$A$1:$EL$983,MATCH(B75,'Histórico'!A:A),FALSE),
IF(LEFT(C75,3)="JSE", G75*O75*0.4,
IF(LEFT(C75,3)="GBP", O75*10000*HLOOKUP("GBP/BRL",'Histórico'!$A$1:$FG$983,MATCH(B75,'Histórico'!A:A),FALSE),
IF(LEFT(C75,3)="JAP",O75*10000*HLOOKUP("PTAX",'Histórico'!$A$1:$FG$983,MATCH(B75,'Histórico'!A:A),FALSE),
IF(LEFT(C75,3)="CNH",O75*10000*HLOOKUP("PTAX",'Histórico'!$A$1:$FG$983,MATCH(B75,'Histórico'!A:A),FALSE),
IF(LEFT(C75,3)="AUS",O75*10000*HLOOKUP("PTAX",'Histórico'!$A$1:$FG$983,MATCH(B75,'Histórico'!A:A),FALSE),
IF(LEFT(C75,3)="CAN",O75*10000*HLOOKUP("PTAX",'Histórico'!$A$1:$FG$983,MATCH(B75,'Histórico'!A:A),FALSE),
IF(LEFT(C75,3)="GBR",O75*10000*HLOOKUP("GBP/BRL",'Histórico'!$A$1:$FG$983,MATCH(B75,'Histórico'!A:A),FALSE),
IF(LEFT(C75,3)="MEX",O75*10000*HLOOKUP("PTAX",'Histórico'!$A$1:$FG$983,MATCH(B75,'Histórico'!A:A),FALSE),
IF(LEFT(C75,3)="CHL",O75*10000*HLOOKUP("PTAX",'Histórico'!$A$1:$FG$983,MATCH(B75,'Histórico'!A:A),FALSE)
)))))))))))))))))))))))),""))</f>
        <v/>
      </c>
      <c r="O75" s="49">
        <f t="shared" si="2"/>
        <v>-80500</v>
      </c>
      <c r="P75" s="50">
        <f t="shared" si="3"/>
        <v>-85000</v>
      </c>
      <c r="Q75" s="51">
        <f>IF($C75&lt;&gt;"",SUMIFS($O$3:$O$401, $C$3:$C$401 ,$C75,$B$3:$B$401,"&lt;="&amp;Controle!$B$6),"")</f>
        <v>-85000</v>
      </c>
      <c r="R75" s="51">
        <f>IF($D75&lt;&gt;"",SUMIFS($O$3:$O$401, $C$3:$C$401 ,$C75,$B$3:$B$401,"&lt;="&amp;Controle!$B$6,$F$3:$F$401,$F75),"")</f>
        <v>-85000</v>
      </c>
      <c r="S75" s="51">
        <f>IF($D75&lt;&gt;"",SUMIFS($O$3:$O$401, $C$3:$C$401 ,$C75,$B$3:$B$401,"&lt;="&amp;'Controle D-1'!$B$6,$F$3:$F$401,$F75),"")</f>
        <v>-85000</v>
      </c>
      <c r="T75" s="40"/>
      <c r="U75" s="40"/>
      <c r="V75" s="40"/>
      <c r="W75" s="40"/>
      <c r="X75" s="40"/>
      <c r="Y75" s="40"/>
      <c r="Z75" s="40"/>
      <c r="AA75" s="40"/>
      <c r="AB75" s="40"/>
      <c r="AC75" s="40"/>
    </row>
    <row r="76" ht="15.75" customHeight="1">
      <c r="A76" s="28"/>
      <c r="B76" s="100">
        <v>45048.0</v>
      </c>
      <c r="C76" s="88" t="s">
        <v>74</v>
      </c>
      <c r="D76" s="88" t="s">
        <v>12</v>
      </c>
      <c r="E76" s="88" t="s">
        <v>198</v>
      </c>
      <c r="F76" s="88" t="s">
        <v>199</v>
      </c>
      <c r="G76" s="46">
        <v>78616.02</v>
      </c>
      <c r="H76" s="101" t="str">
        <f>if($D76="Ações Americanas", HLOOKUP("PTAX",'Histórico'!$A$1:$EL$983,(MATCH(B76,'Histórico'!A:A))-1,""),
if($D76="Ações Europeias", HLOOKUP("EUR/BRL",'Histórico'!$A$1:$EL$983,(MATCH(B76,'Histórico'!A:A))-1,""),""))</f>
        <v/>
      </c>
      <c r="I76" s="110">
        <v>45839.0</v>
      </c>
      <c r="J76" s="88">
        <v>975.0</v>
      </c>
      <c r="K76" s="47">
        <f t="array" ref="K76">if(and(J76&lt;&gt;"",D76&lt;&gt;"Futuros"),
if(F76=Controle!$C$2, M76/xlookup(workday(B76,-1,Feriados!A:A),Controle!$B$10:$B$1000,Controle!$C$10:$C$1000),
if(F76=Controle!$F$2, M76/xlookup(workday(B76,-1,Feriados!A:A),Controle!$B$10:$B$1000,Controle!$F$10:$F$1000),
if(F76=Controle!$I$2, M76/xlookup(workday(B76,-1,Feriados!A:A),Controle!$B$10:$B$1000,Controle!$I$10:$I$1000),
if(F76=Controle!$L$2, M76/xlookup(workday(B76,-1,Feriados!A:A),Controle!$B$10:$B$1000,Controle!$L$10:$L$1000),
)))),
if(and(J76&lt;&gt;"",D76="Futuros"),
if(F76=Controle!$C$2, N76/xlookup(workday(B76,-1,Feriados!A:A),Controle!$B$10:$B$1000,Controle!$C$10:$C$1000),
if(F76=Controle!$F$2, N76/xlookup(workday(B76,-1,Feriados!A:A),Controle!$B$10:$B$1000,Controle!$F$10:$F$1000),
if(F76=Controle!$I$2, N76/xlookup(workday(B76,-1,Feriados!A:A),Controle!$B$10:$B$1000,Controle!$I$10:$I$1000),
if(F76=Controle!$L$2, N76/xlookup(workday(B76,-1,Feriados!A:A),Controle!$B$10:$B$1000,Controle!$L$10:$L$1000),
)))),""))</f>
        <v>-0.750369106</v>
      </c>
      <c r="L76" s="47">
        <f t="array" ref="L76">IF($J76&lt;&gt;"", IF($D76 = "Futuros" , $N76/xlookup(WORKDAY(B76,-1,Feriados!A:A),Controle!$B$10:$B$1000,Controle!$T$10:$T$1000) , $M76/xlookup(WORKDAY(B76,-1,Feriados!A:A),Controle!$B$10:$B$1000,Controle!$T$10:$T$1000)),"")</f>
        <v>-0.1897494075</v>
      </c>
      <c r="M76" s="48">
        <f t="shared" si="4"/>
        <v>76650619.5</v>
      </c>
      <c r="N76" s="48">
        <f>IFERROR(IF(D76="Futuros",
IF(LEFT(C76,3)="DI1",G76*O76,
IF(LEFT(C76,3)="ISP",G76*O76*HLOOKUP("PTAX",'Histórico'!$A$1:$EL$983,MATCH(B76,'Histórico'!A:A),FALSE)*50,
IF(LEFT(C76,3)="WDO",10*G76*O76*HLOOKUP("PTAX",'Histórico'!$A$1:$EL$983,MATCH(B76,'Histórico'!A:A),FALSE),
IF(LEFT(C76,3)="DOL",50*G76*O76,
IF(LEFT(C76,3)="EUR",G76*O76*50,
IF(LEFT(C76,3)="WEU",G76*O76*10,
IF(LEFT(C76,3)="IND",G76*O76,
IF(LEFT(C76,3)="WIN",G76*O76*0.2,
IF(LEFT(C76,3)="T10",G76*O76*1000*HLOOKUP("PTAX",'Histórico'!$A$1:$EL$983,MATCH(B76,'Histórico'!A:A),FALSE),
IF(LEFT(C76,3)="CCM",G76*O76*450,
IF(LEFT(C76,3)="SJC",G76*O76*HLOOKUP("PTAX",'Histórico'!$A$1:$EL$983,MATCH(B76,'Histórico'!A:A),FALSE)*450,
IF(LEFT(C76,3)="BGI",G76*O76*330,
IF(LEFT(C76,3)="OZ1",G76*O76*250,
IF(LEFT(C76,3)="CLP",G76*O76*25,
IF(LEFT(C76,3)="EUP", O76*10000*HLOOKUP("EUR/BRL",'Histórico'!$A$1:$EL$983,MATCH(B76,'Histórico'!A:A),FALSE),
IF(LEFT(C76,3)="JSE", G76*O76*0.4,
IF(LEFT(C76,3)="GBP", O76*10000*HLOOKUP("GBP/BRL",'Histórico'!$A$1:$FG$983,MATCH(B76,'Histórico'!A:A),FALSE),
IF(LEFT(C76,3)="JAP",O76*10000*HLOOKUP("PTAX",'Histórico'!$A$1:$FG$983,MATCH(B76,'Histórico'!A:A),FALSE),
IF(LEFT(C76,3)="CNH",O76*10000*HLOOKUP("PTAX",'Histórico'!$A$1:$FG$983,MATCH(B76,'Histórico'!A:A),FALSE),
IF(LEFT(C76,3)="AUS",O76*10000*HLOOKUP("PTAX",'Histórico'!$A$1:$FG$983,MATCH(B76,'Histórico'!A:A),FALSE),
IF(LEFT(C76,3)="CAN",O76*10000*HLOOKUP("PTAX",'Histórico'!$A$1:$FG$983,MATCH(B76,'Histórico'!A:A),FALSE),
IF(LEFT(C76,3)="GBR",O76*10000*HLOOKUP("GBP/BRL",'Histórico'!$A$1:$FG$983,MATCH(B76,'Histórico'!A:A),FALSE),
IF(LEFT(C76,3)="MEX",O76*10000*HLOOKUP("PTAX",'Histórico'!$A$1:$FG$983,MATCH(B76,'Histórico'!A:A),FALSE),
IF(LEFT(C76,3)="CHL",O76*10000*HLOOKUP("PTAX",'Histórico'!$A$1:$FG$983,MATCH(B76,'Histórico'!A:A),FALSE)
)))))))))))))))))))))))),""))</f>
        <v>-76650619.5</v>
      </c>
      <c r="O76" s="49">
        <f t="shared" si="2"/>
        <v>-975</v>
      </c>
      <c r="P76" s="50">
        <f t="shared" si="3"/>
        <v>0</v>
      </c>
      <c r="Q76" s="51">
        <f>IF($C76&lt;&gt;"",SUMIFS($O$3:$O$401, $C$3:$C$401 ,$C76,$B$3:$B$401,"&lt;="&amp;Controle!$B$6),"")</f>
        <v>0</v>
      </c>
      <c r="R76" s="51">
        <f>IF($D76&lt;&gt;"",SUMIFS($O$3:$O$401, $C$3:$C$401 ,$C76,$B$3:$B$401,"&lt;="&amp;Controle!$B$6,$F$3:$F$401,$F76),"")</f>
        <v>0</v>
      </c>
      <c r="S76" s="51">
        <f>IF($D76&lt;&gt;"",SUMIFS($O$3:$O$401, $C$3:$C$401 ,$C76,$B$3:$B$401,"&lt;="&amp;'Controle D-1'!$B$6,$F$3:$F$401,$F76),"")</f>
        <v>0</v>
      </c>
      <c r="T76" s="40"/>
      <c r="U76" s="40"/>
      <c r="V76" s="40"/>
      <c r="W76" s="40"/>
      <c r="X76" s="40"/>
      <c r="Y76" s="40"/>
      <c r="Z76" s="40"/>
      <c r="AA76" s="40"/>
      <c r="AB76" s="40"/>
      <c r="AC76" s="40"/>
    </row>
    <row r="77" ht="15.75" customHeight="1">
      <c r="A77" s="28"/>
      <c r="B77" s="100">
        <v>45048.0</v>
      </c>
      <c r="C77" s="88" t="s">
        <v>92</v>
      </c>
      <c r="D77" s="88" t="s">
        <v>12</v>
      </c>
      <c r="E77" s="88" t="s">
        <v>208</v>
      </c>
      <c r="F77" s="88" t="s">
        <v>199</v>
      </c>
      <c r="G77" s="46"/>
      <c r="H77" s="101" t="str">
        <f>if($D77="Ações Americanas", HLOOKUP("PTAX",'Histórico'!$A$1:$EL$983,(MATCH(B77,'Histórico'!A:A))-1,""),
if($D77="Ações Europeias", HLOOKUP("EUR/BRL",'Histórico'!$A$1:$EL$983,(MATCH(B77,'Histórico'!A:A))-1,""),""))</f>
        <v/>
      </c>
      <c r="I77" s="130">
        <v>45078.0</v>
      </c>
      <c r="J77" s="88">
        <v>1190.0</v>
      </c>
      <c r="K77" s="47">
        <f t="array" ref="K77">if(and(J77&lt;&gt;"",D77&lt;&gt;"Futuros"),
if(F77=Controle!$C$2, M77/xlookup(workday(B77,-1,Feriados!A:A),Controle!$B$10:$B$1000,Controle!$C$10:$C$1000),
if(F77=Controle!$F$2, M77/xlookup(workday(B77,-1,Feriados!A:A),Controle!$B$10:$B$1000,Controle!$F$10:$F$1000),
if(F77=Controle!$I$2, M77/xlookup(workday(B77,-1,Feriados!A:A),Controle!$B$10:$B$1000,Controle!$I$10:$I$1000),
if(F77=Controle!$L$2, M77/xlookup(workday(B77,-1,Feriados!A:A),Controle!$B$10:$B$1000,Controle!$L$10:$L$1000),
)))),
if(and(J77&lt;&gt;"",D77="Futuros"),
if(F77=Controle!$C$2, N77/xlookup(workday(B77,-1,Feriados!A:A),Controle!$B$10:$B$1000,Controle!$C$10:$C$1000),
if(F77=Controle!$F$2, N77/xlookup(workday(B77,-1,Feriados!A:A),Controle!$B$10:$B$1000,Controle!$F$10:$F$1000),
if(F77=Controle!$I$2, N77/xlookup(workday(B77,-1,Feriados!A:A),Controle!$B$10:$B$1000,Controle!$I$10:$I$1000),
if(F77=Controle!$L$2, N77/xlookup(workday(B77,-1,Feriados!A:A),Controle!$B$10:$B$1000,Controle!$L$10:$L$1000),
)))),""))</f>
        <v>0.6478620794</v>
      </c>
      <c r="L77" s="47">
        <f t="array" ref="L77">IF($J77&lt;&gt;"", IF($D77 = "Futuros" , $N77/xlookup(WORKDAY(B77,-1,Feriados!A:A),Controle!$B$10:$B$1000,Controle!$T$10:$T$1000) , $M77/xlookup(WORKDAY(B77,-1,Feriados!A:A),Controle!$B$10:$B$1000,Controle!$T$10:$T$1000)),"")</f>
        <v>0.1638279677</v>
      </c>
      <c r="M77" s="48" t="str">
        <f t="shared" si="4"/>
        <v/>
      </c>
      <c r="N77" s="48">
        <f>IFERROR(IF(D77="Futuros",
IF(LEFT(C77,3)="DI1",G77*O77,
IF(LEFT(C77,3)="ISP",G77*O77*HLOOKUP("PTAX",'Histórico'!$A$1:$EL$983,MATCH(B77,'Histórico'!A:A),FALSE)*50,
IF(LEFT(C77,3)="WDO",10*G77*O77*HLOOKUP("PTAX",'Histórico'!$A$1:$EL$983,MATCH(B77,'Histórico'!A:A),FALSE),
IF(LEFT(C77,3)="DOL",50*G77*O77,
IF(LEFT(C77,3)="EUR",G77*O77*50,
IF(LEFT(C77,3)="WEU",G77*O77*10,
IF(LEFT(C77,3)="IND",G77*O77,
IF(LEFT(C77,3)="WIN",G77*O77*0.2,
IF(LEFT(C77,3)="T10",G77*O77*1000*HLOOKUP("PTAX",'Histórico'!$A$1:$EL$983,MATCH(B77,'Histórico'!A:A),FALSE),
IF(LEFT(C77,3)="CCM",G77*O77*450,
IF(LEFT(C77,3)="SJC",G77*O77*HLOOKUP("PTAX",'Histórico'!$A$1:$EL$983,MATCH(B77,'Histórico'!A:A),FALSE)*450,
IF(LEFT(C77,3)="BGI",G77*O77*330,
IF(LEFT(C77,3)="OZ1",G77*O77*250,
IF(LEFT(C77,3)="CLP",G77*O77*25,
IF(LEFT(C77,3)="EUP", O77*10000*HLOOKUP("EUR/BRL",'Histórico'!$A$1:$EL$983,MATCH(B77,'Histórico'!A:A),FALSE),
IF(LEFT(C77,3)="JSE", G77*O77*0.4,
IF(LEFT(C77,3)="GBP", O77*10000*HLOOKUP("GBP/BRL",'Histórico'!$A$1:$FG$983,MATCH(B77,'Histórico'!A:A),FALSE),
IF(LEFT(C77,3)="JAP",O77*10000*HLOOKUP("PTAX",'Histórico'!$A$1:$FG$983,MATCH(B77,'Histórico'!A:A),FALSE),
IF(LEFT(C77,3)="CNH",O77*10000*HLOOKUP("PTAX",'Histórico'!$A$1:$FG$983,MATCH(B77,'Histórico'!A:A),FALSE),
IF(LEFT(C77,3)="AUS",O77*10000*HLOOKUP("PTAX",'Histórico'!$A$1:$FG$983,MATCH(B77,'Histórico'!A:A),FALSE),
IF(LEFT(C77,3)="CAN",O77*10000*HLOOKUP("PTAX",'Histórico'!$A$1:$FG$983,MATCH(B77,'Histórico'!A:A),FALSE),
IF(LEFT(C77,3)="GBR",O77*10000*HLOOKUP("GBP/BRL",'Histórico'!$A$1:$FG$983,MATCH(B77,'Histórico'!A:A),FALSE),
IF(LEFT(C77,3)="MEX",O77*10000*HLOOKUP("PTAX",'Histórico'!$A$1:$FG$983,MATCH(B77,'Histórico'!A:A),FALSE),
IF(LEFT(C77,3)="CHL",O77*10000*HLOOKUP("PTAX",'Histórico'!$A$1:$FG$983,MATCH(B77,'Histórico'!A:A),FALSE)
)))))))))))))))))))))))),""))</f>
        <v>66179470</v>
      </c>
      <c r="O77" s="49">
        <f t="shared" si="2"/>
        <v>1190</v>
      </c>
      <c r="P77" s="50">
        <f t="shared" si="3"/>
        <v>0</v>
      </c>
      <c r="Q77" s="51">
        <f>IF($C77&lt;&gt;"",SUMIFS($O$3:$O$401, $C$3:$C$401 ,$C77,$B$3:$B$401,"&lt;="&amp;Controle!$B$6),"")</f>
        <v>0</v>
      </c>
      <c r="R77" s="51">
        <f>IF($D77&lt;&gt;"",SUMIFS($O$3:$O$401, $C$3:$C$401 ,$C77,$B$3:$B$401,"&lt;="&amp;Controle!$B$6,$F$3:$F$401,$F77),"")</f>
        <v>0</v>
      </c>
      <c r="S77" s="51">
        <f>IF($D77&lt;&gt;"",SUMIFS($O$3:$O$401, $C$3:$C$401 ,$C77,$B$3:$B$401,"&lt;="&amp;'Controle D-1'!$B$6,$F$3:$F$401,$F77),"")</f>
        <v>0</v>
      </c>
      <c r="T77" s="40"/>
      <c r="U77" s="40"/>
      <c r="V77" s="40"/>
      <c r="W77" s="40"/>
      <c r="X77" s="40"/>
      <c r="Y77" s="40"/>
      <c r="Z77" s="40"/>
      <c r="AA77" s="40"/>
      <c r="AB77" s="40"/>
      <c r="AC77" s="40"/>
    </row>
    <row r="78" ht="15.75" customHeight="1">
      <c r="A78" s="28"/>
      <c r="B78" s="100">
        <v>45048.0</v>
      </c>
      <c r="C78" s="88" t="s">
        <v>93</v>
      </c>
      <c r="D78" s="88" t="s">
        <v>12</v>
      </c>
      <c r="E78" s="88" t="s">
        <v>198</v>
      </c>
      <c r="F78" s="88" t="s">
        <v>200</v>
      </c>
      <c r="G78" s="46"/>
      <c r="H78" s="101" t="str">
        <f>if($D78="Ações Americanas", HLOOKUP("PTAX",'Histórico'!$A$1:$EL$983,(MATCH(B78,'Histórico'!A:A))-1,""),
if($D78="Ações Europeias", HLOOKUP("EUR/BRL",'Histórico'!$A$1:$EL$983,(MATCH(B78,'Histórico'!A:A))-1,""),""))</f>
        <v/>
      </c>
      <c r="I78" s="110">
        <v>45078.0</v>
      </c>
      <c r="J78" s="88">
        <v>490.0</v>
      </c>
      <c r="K78" s="47">
        <f t="array" ref="K78">if(and(J78&lt;&gt;"",D78&lt;&gt;"Futuros"),
if(F78=Controle!$C$2, M78/xlookup(workday(B78,-1,Feriados!A:A),Controle!$B$10:$B$1000,Controle!$C$10:$C$1000),
if(F78=Controle!$F$2, M78/xlookup(workday(B78,-1,Feriados!A:A),Controle!$B$10:$B$1000,Controle!$F$10:$F$1000),
if(F78=Controle!$I$2, M78/xlookup(workday(B78,-1,Feriados!A:A),Controle!$B$10:$B$1000,Controle!$I$10:$I$1000),
if(F78=Controle!$L$2, M78/xlookup(workday(B78,-1,Feriados!A:A),Controle!$B$10:$B$1000,Controle!$L$10:$L$1000),
)))),
if(and(J78&lt;&gt;"",D78="Futuros"),
if(F78=Controle!$C$2, N78/xlookup(workday(B78,-1,Feriados!A:A),Controle!$B$10:$B$1000,Controle!$C$10:$C$1000),
if(F78=Controle!$F$2, N78/xlookup(workday(B78,-1,Feriados!A:A),Controle!$B$10:$B$1000,Controle!$F$10:$F$1000),
if(F78=Controle!$I$2, N78/xlookup(workday(B78,-1,Feriados!A:A),Controle!$B$10:$B$1000,Controle!$I$10:$I$1000),
if(F78=Controle!$L$2, N78/xlookup(workday(B78,-1,Feriados!A:A),Controle!$B$10:$B$1000,Controle!$L$10:$L$1000),
)))),""))</f>
        <v>-0.2484832854</v>
      </c>
      <c r="L78" s="47">
        <f t="array" ref="L78">IF($J78&lt;&gt;"", IF($D78 = "Futuros" , $N78/xlookup(WORKDAY(B78,-1,Feriados!A:A),Controle!$B$10:$B$1000,Controle!$T$10:$T$1000) , $M78/xlookup(WORKDAY(B78,-1,Feriados!A:A),Controle!$B$10:$B$1000,Controle!$T$10:$T$1000)),"")</f>
        <v>-0.06108911139</v>
      </c>
      <c r="M78" s="48" t="str">
        <f t="shared" si="4"/>
        <v/>
      </c>
      <c r="N78" s="48">
        <f>IFERROR(IF(D78="Futuros",
IF(LEFT(C78,3)="DI1",G78*O78,
IF(LEFT(C78,3)="ISP",G78*O78*HLOOKUP("PTAX",'Histórico'!$A$1:$EL$983,MATCH(B78,'Histórico'!A:A),FALSE)*50,
IF(LEFT(C78,3)="WDO",10*G78*O78*HLOOKUP("PTAX",'Histórico'!$A$1:$EL$983,MATCH(B78,'Histórico'!A:A),FALSE),
IF(LEFT(C78,3)="DOL",50*G78*O78,
IF(LEFT(C78,3)="EUR",G78*O78*50,
IF(LEFT(C78,3)="WEU",G78*O78*10,
IF(LEFT(C78,3)="IND",G78*O78,
IF(LEFT(C78,3)="WIN",G78*O78*0.2,
IF(LEFT(C78,3)="T10",G78*O78*1000*HLOOKUP("PTAX",'Histórico'!$A$1:$EL$983,MATCH(B78,'Histórico'!A:A),FALSE),
IF(LEFT(C78,3)="CCM",G78*O78*450,
IF(LEFT(C78,3)="SJC",G78*O78*HLOOKUP("PTAX",'Histórico'!$A$1:$EL$983,MATCH(B78,'Histórico'!A:A),FALSE)*450,
IF(LEFT(C78,3)="BGI",G78*O78*330,
IF(LEFT(C78,3)="OZ1",G78*O78*250,
IF(LEFT(C78,3)="CLP",G78*O78*25,
IF(LEFT(C78,3)="EUP", O78*10000*HLOOKUP("EUR/BRL",'Histórico'!$A$1:$EL$983,MATCH(B78,'Histórico'!A:A),FALSE),
IF(LEFT(C78,3)="JSE", G78*O78*0.4,
IF(LEFT(C78,3)="GBP", O78*10000*HLOOKUP("GBP/BRL",'Histórico'!$A$1:$FG$983,MATCH(B78,'Histórico'!A:A),FALSE),
IF(LEFT(C78,3)="JAP",O78*10000*HLOOKUP("PTAX",'Histórico'!$A$1:$FG$983,MATCH(B78,'Histórico'!A:A),FALSE),
IF(LEFT(C78,3)="CNH",O78*10000*HLOOKUP("PTAX",'Histórico'!$A$1:$FG$983,MATCH(B78,'Histórico'!A:A),FALSE),
IF(LEFT(C78,3)="AUS",O78*10000*HLOOKUP("PTAX",'Histórico'!$A$1:$FG$983,MATCH(B78,'Histórico'!A:A),FALSE),
IF(LEFT(C78,3)="CAN",O78*10000*HLOOKUP("PTAX",'Histórico'!$A$1:$FG$983,MATCH(B78,'Histórico'!A:A),FALSE),
IF(LEFT(C78,3)="GBR",O78*10000*HLOOKUP("GBP/BRL",'Histórico'!$A$1:$FG$983,MATCH(B78,'Histórico'!A:A),FALSE),
IF(LEFT(C78,3)="MEX",O78*10000*HLOOKUP("PTAX",'Histórico'!$A$1:$FG$983,MATCH(B78,'Histórico'!A:A),FALSE),
IF(LEFT(C78,3)="CHL",O78*10000*HLOOKUP("PTAX",'Histórico'!$A$1:$FG$983,MATCH(B78,'Histórico'!A:A),FALSE)
)))))))))))))))))))))))),""))</f>
        <v>-24677380</v>
      </c>
      <c r="O78" s="49">
        <f t="shared" si="2"/>
        <v>-490</v>
      </c>
      <c r="P78" s="50">
        <f t="shared" si="3"/>
        <v>0</v>
      </c>
      <c r="Q78" s="51">
        <f>IF($C78&lt;&gt;"",SUMIFS($O$3:$O$401, $C$3:$C$401 ,$C78,$B$3:$B$401,"&lt;="&amp;Controle!$B$6),"")</f>
        <v>0</v>
      </c>
      <c r="R78" s="51">
        <f>IF($D78&lt;&gt;"",SUMIFS($O$3:$O$401, $C$3:$C$401 ,$C78,$B$3:$B$401,"&lt;="&amp;Controle!$B$6,$F$3:$F$401,$F78),"")</f>
        <v>0</v>
      </c>
      <c r="S78" s="51">
        <f>IF($D78&lt;&gt;"",SUMIFS($O$3:$O$401, $C$3:$C$401 ,$C78,$B$3:$B$401,"&lt;="&amp;'Controle D-1'!$B$6,$F$3:$F$401,$F78),"")</f>
        <v>0</v>
      </c>
      <c r="T78" s="40"/>
      <c r="U78" s="40"/>
      <c r="V78" s="40"/>
      <c r="W78" s="40"/>
      <c r="X78" s="40"/>
      <c r="Y78" s="40"/>
      <c r="Z78" s="40"/>
      <c r="AA78" s="40"/>
      <c r="AB78" s="40"/>
      <c r="AC78" s="40"/>
    </row>
    <row r="79" ht="15.75" customHeight="1">
      <c r="A79" s="28"/>
      <c r="B79" s="68">
        <v>45048.0</v>
      </c>
      <c r="C79" s="88" t="s">
        <v>92</v>
      </c>
      <c r="D79" s="88" t="s">
        <v>12</v>
      </c>
      <c r="E79" s="88" t="s">
        <v>208</v>
      </c>
      <c r="F79" s="88" t="s">
        <v>200</v>
      </c>
      <c r="G79" s="46"/>
      <c r="H79" s="101" t="str">
        <f>if($D79="Ações Americanas", HLOOKUP("PTAX",'Histórico'!$A$1:$EL$983,(MATCH(B79,'Histórico'!A:A))-1,""),
if($D79="Ações Europeias", HLOOKUP("EUR/BRL",'Histórico'!$A$1:$EL$983,(MATCH(B79,'Histórico'!A:A))-1,""),""))</f>
        <v/>
      </c>
      <c r="I79" s="103">
        <v>45078.0</v>
      </c>
      <c r="J79" s="88">
        <v>1389.0</v>
      </c>
      <c r="K79" s="47">
        <f t="array" ref="K79">if(and(J79&lt;&gt;"",D79&lt;&gt;"Futuros"),
if(F79=Controle!$C$2, M79/xlookup(workday(B79,-1,Feriados!A:A),Controle!$B$10:$B$1000,Controle!$C$10:$C$1000),
if(F79=Controle!$F$2, M79/xlookup(workday(B79,-1,Feriados!A:A),Controle!$B$10:$B$1000,Controle!$F$10:$F$1000),
if(F79=Controle!$I$2, M79/xlookup(workday(B79,-1,Feriados!A:A),Controle!$B$10:$B$1000,Controle!$I$10:$I$1000),
if(F79=Controle!$L$2, M79/xlookup(workday(B79,-1,Feriados!A:A),Controle!$B$10:$B$1000,Controle!$L$10:$L$1000),
)))),
if(and(J79&lt;&gt;"",D79="Futuros"),
if(F79=Controle!$C$2, N79/xlookup(workday(B79,-1,Feriados!A:A),Controle!$B$10:$B$1000,Controle!$C$10:$C$1000),
if(F79=Controle!$F$2, N79/xlookup(workday(B79,-1,Feriados!A:A),Controle!$B$10:$B$1000,Controle!$F$10:$F$1000),
if(F79=Controle!$I$2, N79/xlookup(workday(B79,-1,Feriados!A:A),Controle!$B$10:$B$1000,Controle!$I$10:$I$1000),
if(F79=Controle!$L$2, N79/xlookup(workday(B79,-1,Feriados!A:A),Controle!$B$10:$B$1000,Controle!$L$10:$L$1000),
)))),""))</f>
        <v>0.7778156929</v>
      </c>
      <c r="L79" s="47">
        <f t="array" ref="L79">IF($J79&lt;&gt;"", IF($D79 = "Futuros" , $N79/xlookup(WORKDAY(B79,-1,Feriados!A:A),Controle!$B$10:$B$1000,Controle!$T$10:$T$1000) , $M79/xlookup(WORKDAY(B79,-1,Feriados!A:A),Controle!$B$10:$B$1000,Controle!$T$10:$T$1000)),"")</f>
        <v>0.1912244094</v>
      </c>
      <c r="M79" s="48" t="str">
        <f t="shared" si="4"/>
        <v/>
      </c>
      <c r="N79" s="48">
        <f>IFERROR(IF(D79="Futuros",
IF(LEFT(C79,3)="DI1",G79*O79,
IF(LEFT(C79,3)="ISP",G79*O79*HLOOKUP("PTAX",'Histórico'!$A$1:$EL$983,MATCH(B79,'Histórico'!A:A),FALSE)*50,
IF(LEFT(C79,3)="WDO",10*G79*O79*HLOOKUP("PTAX",'Histórico'!$A$1:$EL$983,MATCH(B79,'Histórico'!A:A),FALSE),
IF(LEFT(C79,3)="DOL",50*G79*O79,
IF(LEFT(C79,3)="EUR",G79*O79*50,
IF(LEFT(C79,3)="WEU",G79*O79*10,
IF(LEFT(C79,3)="IND",G79*O79,
IF(LEFT(C79,3)="WIN",G79*O79*0.2,
IF(LEFT(C79,3)="T10",G79*O79*1000*HLOOKUP("PTAX",'Histórico'!$A$1:$EL$983,MATCH(B79,'Histórico'!A:A),FALSE),
IF(LEFT(C79,3)="CCM",G79*O79*450,
IF(LEFT(C79,3)="SJC",G79*O79*HLOOKUP("PTAX",'Histórico'!$A$1:$EL$983,MATCH(B79,'Histórico'!A:A),FALSE)*450,
IF(LEFT(C79,3)="BGI",G79*O79*330,
IF(LEFT(C79,3)="OZ1",G79*O79*250,
IF(LEFT(C79,3)="CLP",G79*O79*25,
IF(LEFT(C79,3)="EUP", O79*10000*HLOOKUP("EUR/BRL",'Histórico'!$A$1:$EL$983,MATCH(B79,'Histórico'!A:A),FALSE),
IF(LEFT(C79,3)="JSE", G79*O79*0.4,
IF(LEFT(C79,3)="GBP", O79*10000*HLOOKUP("GBP/BRL",'Histórico'!$A$1:$FG$983,MATCH(B79,'Histórico'!A:A),FALSE),
IF(LEFT(C79,3)="JAP",O79*10000*HLOOKUP("PTAX",'Histórico'!$A$1:$FG$983,MATCH(B79,'Histórico'!A:A),FALSE),
IF(LEFT(C79,3)="CNH",O79*10000*HLOOKUP("PTAX",'Histórico'!$A$1:$FG$983,MATCH(B79,'Histórico'!A:A),FALSE),
IF(LEFT(C79,3)="AUS",O79*10000*HLOOKUP("PTAX",'Histórico'!$A$1:$FG$983,MATCH(B79,'Histórico'!A:A),FALSE),
IF(LEFT(C79,3)="CAN",O79*10000*HLOOKUP("PTAX",'Histórico'!$A$1:$FG$983,MATCH(B79,'Histórico'!A:A),FALSE),
IF(LEFT(C79,3)="GBR",O79*10000*HLOOKUP("GBP/BRL",'Histórico'!$A$1:$FG$983,MATCH(B79,'Histórico'!A:A),FALSE),
IF(LEFT(C79,3)="MEX",O79*10000*HLOOKUP("PTAX",'Histórico'!$A$1:$FG$983,MATCH(B79,'Histórico'!A:A),FALSE),
IF(LEFT(C79,3)="CHL",O79*10000*HLOOKUP("PTAX",'Histórico'!$A$1:$FG$983,MATCH(B79,'Histórico'!A:A),FALSE)
)))))))))))))))))))))))),""))</f>
        <v>77246457</v>
      </c>
      <c r="O79" s="49">
        <f t="shared" si="2"/>
        <v>1389</v>
      </c>
      <c r="P79" s="50">
        <f t="shared" si="3"/>
        <v>0</v>
      </c>
      <c r="Q79" s="51">
        <f>IF($C79&lt;&gt;"",SUMIFS($O$3:$O$401, $C$3:$C$401 ,$C79,$B$3:$B$401,"&lt;="&amp;Controle!$B$6),"")</f>
        <v>0</v>
      </c>
      <c r="R79" s="51">
        <f>IF($D79&lt;&gt;"",SUMIFS($O$3:$O$401, $C$3:$C$401 ,$C79,$B$3:$B$401,"&lt;="&amp;Controle!$B$6,$F$3:$F$401,$F79),"")</f>
        <v>0</v>
      </c>
      <c r="S79" s="51">
        <f>IF($D79&lt;&gt;"",SUMIFS($O$3:$O$401, $C$3:$C$401 ,$C79,$B$3:$B$401,"&lt;="&amp;'Controle D-1'!$B$6,$F$3:$F$401,$F79),"")</f>
        <v>0</v>
      </c>
      <c r="T79" s="40"/>
      <c r="U79" s="40"/>
      <c r="V79" s="40"/>
      <c r="W79" s="40"/>
      <c r="X79" s="40"/>
      <c r="Y79" s="40"/>
      <c r="Z79" s="40"/>
      <c r="AA79" s="40"/>
      <c r="AB79" s="40"/>
      <c r="AC79" s="40"/>
    </row>
    <row r="80" ht="15.75" customHeight="1">
      <c r="A80" s="28"/>
      <c r="B80" s="68">
        <v>45048.0</v>
      </c>
      <c r="C80" s="45" t="s">
        <v>90</v>
      </c>
      <c r="D80" s="45" t="s">
        <v>12</v>
      </c>
      <c r="E80" s="45" t="s">
        <v>198</v>
      </c>
      <c r="F80" s="45" t="s">
        <v>200</v>
      </c>
      <c r="G80" s="46"/>
      <c r="H80" s="101" t="str">
        <f>if($D80="Ações Americanas", HLOOKUP("PTAX",'Histórico'!$A$1:$EL$983,(MATCH(B80,'Histórico'!A:A))-1,""),
if($D80="Ações Europeias", HLOOKUP("EUR/BRL",'Histórico'!$A$1:$EL$983,(MATCH(B80,'Histórico'!A:A))-1,""),""))</f>
        <v/>
      </c>
      <c r="I80" s="44">
        <v>45078.0</v>
      </c>
      <c r="J80" s="45">
        <v>1490.0</v>
      </c>
      <c r="K80" s="47">
        <f t="array" ref="K80">if(and(J80&lt;&gt;"",D80&lt;&gt;"Futuros"),
if(F80=Controle!$C$2, M80/xlookup(workday(B80,-1,Feriados!A:A),Controle!$B$10:$B$1000,Controle!$C$10:$C$1000),
if(F80=Controle!$F$2, M80/xlookup(workday(B80,-1,Feriados!A:A),Controle!$B$10:$B$1000,Controle!$F$10:$F$1000),
if(F80=Controle!$I$2, M80/xlookup(workday(B80,-1,Feriados!A:A),Controle!$B$10:$B$1000,Controle!$I$10:$I$1000),
if(F80=Controle!$L$2, M80/xlookup(workday(B80,-1,Feriados!A:A),Controle!$B$10:$B$1000,Controle!$L$10:$L$1000),
)))),
if(and(J80&lt;&gt;"",D80="Futuros"),
if(F80=Controle!$C$2, N80/xlookup(workday(B80,-1,Feriados!A:A),Controle!$B$10:$B$1000,Controle!$C$10:$C$1000),
if(F80=Controle!$F$2, N80/xlookup(workday(B80,-1,Feriados!A:A),Controle!$B$10:$B$1000,Controle!$F$10:$F$1000),
if(F80=Controle!$I$2, N80/xlookup(workday(B80,-1,Feriados!A:A),Controle!$B$10:$B$1000,Controle!$I$10:$I$1000),
if(F80=Controle!$L$2, N80/xlookup(workday(B80,-1,Feriados!A:A),Controle!$B$10:$B$1000,Controle!$L$10:$L$1000),
)))),""))</f>
        <v>-0.7555920312</v>
      </c>
      <c r="L80" s="47">
        <f t="array" ref="L80">IF($J80&lt;&gt;"", IF($D80 = "Futuros" , $N80/xlookup(WORKDAY(B80,-1,Feriados!A:A),Controle!$B$10:$B$1000,Controle!$T$10:$T$1000) , $M80/xlookup(WORKDAY(B80,-1,Feriados!A:A),Controle!$B$10:$B$1000,Controle!$T$10:$T$1000)),"")</f>
        <v>-0.1857607673</v>
      </c>
      <c r="M80" s="48" t="str">
        <f t="shared" si="4"/>
        <v/>
      </c>
      <c r="N80" s="48">
        <f>IFERROR(IF(D80="Futuros",
IF(LEFT(C80,3)="DI1",G80*O80,
IF(LEFT(C80,3)="ISP",G80*O80*HLOOKUP("PTAX",'Histórico'!$A$1:$EL$983,MATCH(B80,'Histórico'!A:A),FALSE)*50,
IF(LEFT(C80,3)="WDO",10*G80*O80*HLOOKUP("PTAX",'Histórico'!$A$1:$EL$983,MATCH(B80,'Histórico'!A:A),FALSE),
IF(LEFT(C80,3)="DOL",50*G80*O80,
IF(LEFT(C80,3)="EUR",G80*O80*50,
IF(LEFT(C80,3)="WEU",G80*O80*10,
IF(LEFT(C80,3)="IND",G80*O80,
IF(LEFT(C80,3)="WIN",G80*O80*0.2,
IF(LEFT(C80,3)="T10",G80*O80*1000*HLOOKUP("PTAX",'Histórico'!$A$1:$EL$983,MATCH(B80,'Histórico'!A:A),FALSE),
IF(LEFT(C80,3)="CCM",G80*O80*450,
IF(LEFT(C80,3)="SJC",G80*O80*HLOOKUP("PTAX",'Histórico'!$A$1:$EL$983,MATCH(B80,'Histórico'!A:A),FALSE)*450,
IF(LEFT(C80,3)="BGI",G80*O80*330,
IF(LEFT(C80,3)="OZ1",G80*O80*250,
IF(LEFT(C80,3)="CLP",G80*O80*25,
IF(LEFT(C80,3)="EUP", O80*10000*HLOOKUP("EUR/BRL",'Histórico'!$A$1:$EL$983,MATCH(B80,'Histórico'!A:A),FALSE),
IF(LEFT(C80,3)="JSE", G80*O80*0.4,
IF(LEFT(C80,3)="GBP", O80*10000*HLOOKUP("GBP/BRL",'Histórico'!$A$1:$FG$983,MATCH(B80,'Histórico'!A:A),FALSE),
IF(LEFT(C80,3)="JAP",O80*10000*HLOOKUP("PTAX",'Histórico'!$A$1:$FG$983,MATCH(B80,'Histórico'!A:A),FALSE),
IF(LEFT(C80,3)="CNH",O80*10000*HLOOKUP("PTAX",'Histórico'!$A$1:$FG$983,MATCH(B80,'Histórico'!A:A),FALSE),
IF(LEFT(C80,3)="AUS",O80*10000*HLOOKUP("PTAX",'Histórico'!$A$1:$FG$983,MATCH(B80,'Histórico'!A:A),FALSE),
IF(LEFT(C80,3)="CAN",O80*10000*HLOOKUP("PTAX",'Histórico'!$A$1:$FG$983,MATCH(B80,'Histórico'!A:A),FALSE),
IF(LEFT(C80,3)="GBR",O80*10000*HLOOKUP("GBP/BRL",'Histórico'!$A$1:$FG$983,MATCH(B80,'Histórico'!A:A),FALSE),
IF(LEFT(C80,3)="MEX",O80*10000*HLOOKUP("PTAX",'Histórico'!$A$1:$FG$983,MATCH(B80,'Histórico'!A:A),FALSE),
IF(LEFT(C80,3)="CHL",O80*10000*HLOOKUP("PTAX",'Histórico'!$A$1:$FG$983,MATCH(B80,'Histórico'!A:A),FALSE)
)))))))))))))))))))))))),""))</f>
        <v>-75039380</v>
      </c>
      <c r="O80" s="49">
        <f t="shared" si="2"/>
        <v>-1490</v>
      </c>
      <c r="P80" s="50">
        <f t="shared" si="3"/>
        <v>0</v>
      </c>
      <c r="Q80" s="51">
        <f>IF($C80&lt;&gt;"",SUMIFS($O$3:$O$401, $C$3:$C$401 ,$C80,$B$3:$B$401,"&lt;="&amp;Controle!$B$6),"")</f>
        <v>0</v>
      </c>
      <c r="R80" s="51">
        <f>IF($D80&lt;&gt;"",SUMIFS($O$3:$O$401, $C$3:$C$401 ,$C80,$B$3:$B$401,"&lt;="&amp;Controle!$B$6,$F$3:$F$401,$F80),"")</f>
        <v>0</v>
      </c>
      <c r="S80" s="51">
        <f>IF($D80&lt;&gt;"",SUMIFS($O$3:$O$401, $C$3:$C$401 ,$C80,$B$3:$B$401,"&lt;="&amp;'Controle D-1'!$B$6,$F$3:$F$401,$F80),"")</f>
        <v>0</v>
      </c>
      <c r="T80" s="40"/>
      <c r="U80" s="40"/>
      <c r="V80" s="40"/>
      <c r="W80" s="40"/>
      <c r="X80" s="40"/>
      <c r="Y80" s="40"/>
      <c r="Z80" s="40"/>
      <c r="AA80" s="40"/>
      <c r="AB80" s="40"/>
      <c r="AC80" s="40"/>
    </row>
    <row r="81" ht="15.75" customHeight="1">
      <c r="A81" s="28"/>
      <c r="B81" s="68">
        <v>45049.0</v>
      </c>
      <c r="C81" s="88" t="s">
        <v>94</v>
      </c>
      <c r="D81" s="88" t="s">
        <v>12</v>
      </c>
      <c r="E81" s="88" t="s">
        <v>208</v>
      </c>
      <c r="F81" s="88" t="s">
        <v>200</v>
      </c>
      <c r="G81" s="46"/>
      <c r="H81" s="101" t="str">
        <f>if($D81="Ações Americanas", HLOOKUP("PTAX",'Histórico'!$A$1:$EL$983,(MATCH(B81,'Histórico'!A:A))-1,""),
if($D81="Ações Europeias", HLOOKUP("EUR/BRL",'Histórico'!$A$1:$EL$983,(MATCH(B81,'Histórico'!A:A))-1,""),""))</f>
        <v/>
      </c>
      <c r="I81" s="103">
        <v>45078.0</v>
      </c>
      <c r="J81" s="88">
        <v>885.0</v>
      </c>
      <c r="K81" s="47">
        <f t="array" ref="K81">if(and(J81&lt;&gt;"",D81&lt;&gt;"Futuros"),
if(F81=Controle!$C$2, M81/xlookup(workday(B81,-1,Feriados!A:A),Controle!$B$10:$B$1000,Controle!$C$10:$C$1000),
if(F81=Controle!$F$2, M81/xlookup(workday(B81,-1,Feriados!A:A),Controle!$B$10:$B$1000,Controle!$F$10:$F$1000),
if(F81=Controle!$I$2, M81/xlookup(workday(B81,-1,Feriados!A:A),Controle!$B$10:$B$1000,Controle!$I$10:$I$1000),
if(F81=Controle!$L$2, M81/xlookup(workday(B81,-1,Feriados!A:A),Controle!$B$10:$B$1000,Controle!$L$10:$L$1000),
)))),
if(and(J81&lt;&gt;"",D81="Futuros"),
if(F81=Controle!$C$2, N81/xlookup(workday(B81,-1,Feriados!A:A),Controle!$B$10:$B$1000,Controle!$C$10:$C$1000),
if(F81=Controle!$F$2, N81/xlookup(workday(B81,-1,Feriados!A:A),Controle!$B$10:$B$1000,Controle!$F$10:$F$1000),
if(F81=Controle!$I$2, N81/xlookup(workday(B81,-1,Feriados!A:A),Controle!$B$10:$B$1000,Controle!$I$10:$I$1000),
if(F81=Controle!$L$2, N81/xlookup(workday(B81,-1,Feriados!A:A),Controle!$B$10:$B$1000,Controle!$L$10:$L$1000),
)))),""))</f>
        <v>0.5595996265</v>
      </c>
      <c r="L81" s="47">
        <f t="array" ref="L81">IF($J81&lt;&gt;"", IF($D81 = "Futuros" , $N81/xlookup(WORKDAY(B81,-1,Feriados!A:A),Controle!$B$10:$B$1000,Controle!$T$10:$T$1000) , $M81/xlookup(WORKDAY(B81,-1,Feriados!A:A),Controle!$B$10:$B$1000,Controle!$T$10:$T$1000)),"")</f>
        <v>0.1375099312</v>
      </c>
      <c r="M81" s="48" t="str">
        <f t="shared" si="4"/>
        <v/>
      </c>
      <c r="N81" s="48">
        <f>IFERROR(IF(D81="Futuros",
IF(LEFT(C81,3)="DI1",G81*O81,
IF(LEFT(C81,3)="ISP",G81*O81*HLOOKUP("PTAX",'Histórico'!$A$1:$EL$983,MATCH(B81,'Histórico'!A:A),FALSE)*50,
IF(LEFT(C81,3)="WDO",10*G81*O81*HLOOKUP("PTAX",'Histórico'!$A$1:$EL$983,MATCH(B81,'Histórico'!A:A),FALSE),
IF(LEFT(C81,3)="DOL",50*G81*O81,
IF(LEFT(C81,3)="EUR",G81*O81*50,
IF(LEFT(C81,3)="WEU",G81*O81*10,
IF(LEFT(C81,3)="IND",G81*O81,
IF(LEFT(C81,3)="WIN",G81*O81*0.2,
IF(LEFT(C81,3)="T10",G81*O81*1000*HLOOKUP("PTAX",'Histórico'!$A$1:$EL$983,MATCH(B81,'Histórico'!A:A),FALSE),
IF(LEFT(C81,3)="CCM",G81*O81*450,
IF(LEFT(C81,3)="SJC",G81*O81*HLOOKUP("PTAX",'Histórico'!$A$1:$EL$983,MATCH(B81,'Histórico'!A:A),FALSE)*450,
IF(LEFT(C81,3)="BGI",G81*O81*330,
IF(LEFT(C81,3)="OZ1",G81*O81*250,
IF(LEFT(C81,3)="CLP",G81*O81*25,
IF(LEFT(C81,3)="EUP", O81*10000*HLOOKUP("EUR/BRL",'Histórico'!$A$1:$EL$983,MATCH(B81,'Histórico'!A:A),FALSE),
IF(LEFT(C81,3)="JSE", G81*O81*0.4,
IF(LEFT(C81,3)="GBP", O81*10000*HLOOKUP("GBP/BRL",'Histórico'!$A$1:$FG$983,MATCH(B81,'Histórico'!A:A),FALSE),
IF(LEFT(C81,3)="JAP",O81*10000*HLOOKUP("PTAX",'Histórico'!$A$1:$FG$983,MATCH(B81,'Histórico'!A:A),FALSE),
IF(LEFT(C81,3)="CNH",O81*10000*HLOOKUP("PTAX",'Histórico'!$A$1:$FG$983,MATCH(B81,'Histórico'!A:A),FALSE),
IF(LEFT(C81,3)="AUS",O81*10000*HLOOKUP("PTAX",'Histórico'!$A$1:$FG$983,MATCH(B81,'Histórico'!A:A),FALSE),
IF(LEFT(C81,3)="CAN",O81*10000*HLOOKUP("PTAX",'Histórico'!$A$1:$FG$983,MATCH(B81,'Histórico'!A:A),FALSE),
IF(LEFT(C81,3)="GBR",O81*10000*HLOOKUP("GBP/BRL",'Histórico'!$A$1:$FG$983,MATCH(B81,'Histórico'!A:A),FALSE),
IF(LEFT(C81,3)="MEX",O81*10000*HLOOKUP("PTAX",'Histórico'!$A$1:$FG$983,MATCH(B81,'Histórico'!A:A),FALSE),
IF(LEFT(C81,3)="CHL",O81*10000*HLOOKUP("PTAX",'Histórico'!$A$1:$FG$983,MATCH(B81,'Histórico'!A:A),FALSE)
)))))))))))))))))))))))),""))</f>
        <v>55587735</v>
      </c>
      <c r="O81" s="49">
        <f t="shared" si="2"/>
        <v>885</v>
      </c>
      <c r="P81" s="50">
        <f t="shared" si="3"/>
        <v>0</v>
      </c>
      <c r="Q81" s="51">
        <f>IF($C81&lt;&gt;"",SUMIFS($O$3:$O$401, $C$3:$C$401 ,$C81,$B$3:$B$401,"&lt;="&amp;Controle!$B$6),"")</f>
        <v>0</v>
      </c>
      <c r="R81" s="51">
        <f>IF($D81&lt;&gt;"",SUMIFS($O$3:$O$401, $C$3:$C$401 ,$C81,$B$3:$B$401,"&lt;="&amp;Controle!$B$6,$F$3:$F$401,$F81),"")</f>
        <v>0</v>
      </c>
      <c r="S81" s="51">
        <f>IF($D81&lt;&gt;"",SUMIFS($O$3:$O$401, $C$3:$C$401 ,$C81,$B$3:$B$401,"&lt;="&amp;'Controle D-1'!$B$6,$F$3:$F$401,$F81),"")</f>
        <v>0</v>
      </c>
      <c r="T81" s="40"/>
      <c r="U81" s="40"/>
      <c r="V81" s="40"/>
      <c r="W81" s="40"/>
      <c r="X81" s="40"/>
      <c r="Y81" s="40"/>
      <c r="Z81" s="40"/>
      <c r="AA81" s="40"/>
      <c r="AB81" s="40"/>
      <c r="AC81" s="40"/>
    </row>
    <row r="82" ht="15.75" customHeight="1">
      <c r="A82" s="28"/>
      <c r="B82" s="68">
        <v>45049.0</v>
      </c>
      <c r="C82" s="88" t="s">
        <v>93</v>
      </c>
      <c r="D82" s="88" t="s">
        <v>12</v>
      </c>
      <c r="E82" s="88" t="s">
        <v>198</v>
      </c>
      <c r="F82" s="88" t="s">
        <v>200</v>
      </c>
      <c r="G82" s="46"/>
      <c r="H82" s="101" t="str">
        <f>if($D82="Ações Americanas", HLOOKUP("PTAX",'Histórico'!$A$1:$EL$983,(MATCH(B82,'Histórico'!A:A))-1,""),
if($D82="Ações Europeias", HLOOKUP("EUR/BRL",'Histórico'!$A$1:$EL$983,(MATCH(B82,'Histórico'!A:A))-1,""),""))</f>
        <v/>
      </c>
      <c r="I82" s="44">
        <v>45078.0</v>
      </c>
      <c r="J82" s="88">
        <v>490.0</v>
      </c>
      <c r="K82" s="47">
        <f t="array" ref="K82">if(and(J82&lt;&gt;"",D82&lt;&gt;"Futuros"),
if(F82=Controle!$C$2, M82/xlookup(workday(B82,-1,Feriados!A:A),Controle!$B$10:$B$1000,Controle!$C$10:$C$1000),
if(F82=Controle!$F$2, M82/xlookup(workday(B82,-1,Feriados!A:A),Controle!$B$10:$B$1000,Controle!$F$10:$F$1000),
if(F82=Controle!$I$2, M82/xlookup(workday(B82,-1,Feriados!A:A),Controle!$B$10:$B$1000,Controle!$I$10:$I$1000),
if(F82=Controle!$L$2, M82/xlookup(workday(B82,-1,Feriados!A:A),Controle!$B$10:$B$1000,Controle!$L$10:$L$1000),
)))),
if(and(J82&lt;&gt;"",D82="Futuros"),
if(F82=Controle!$C$2, N82/xlookup(workday(B82,-1,Feriados!A:A),Controle!$B$10:$B$1000,Controle!$C$10:$C$1000),
if(F82=Controle!$F$2, N82/xlookup(workday(B82,-1,Feriados!A:A),Controle!$B$10:$B$1000,Controle!$F$10:$F$1000),
if(F82=Controle!$I$2, N82/xlookup(workday(B82,-1,Feriados!A:A),Controle!$B$10:$B$1000,Controle!$I$10:$I$1000),
if(F82=Controle!$L$2, N82/xlookup(workday(B82,-1,Feriados!A:A),Controle!$B$10:$B$1000,Controle!$L$10:$L$1000),
)))),""))</f>
        <v>-0.2482684015</v>
      </c>
      <c r="L82" s="47">
        <f t="array" ref="L82">IF($J82&lt;&gt;"", IF($D82 = "Futuros" , $N82/xlookup(WORKDAY(B82,-1,Feriados!A:A),Controle!$B$10:$B$1000,Controle!$T$10:$T$1000) , $M82/xlookup(WORKDAY(B82,-1,Feriados!A:A),Controle!$B$10:$B$1000,Controle!$T$10:$T$1000)),"")</f>
        <v>-0.0610067791</v>
      </c>
      <c r="M82" s="48" t="str">
        <f t="shared" si="4"/>
        <v/>
      </c>
      <c r="N82" s="48">
        <f>IFERROR(IF(D82="Futuros",
IF(LEFT(C82,3)="DI1",G82*O82,
IF(LEFT(C82,3)="ISP",G82*O82*HLOOKUP("PTAX",'Histórico'!$A$1:$EL$983,MATCH(B82,'Histórico'!A:A),FALSE)*50,
IF(LEFT(C82,3)="WDO",10*G82*O82*HLOOKUP("PTAX",'Histórico'!$A$1:$EL$983,MATCH(B82,'Histórico'!A:A),FALSE),
IF(LEFT(C82,3)="DOL",50*G82*O82,
IF(LEFT(C82,3)="EUR",G82*O82*50,
IF(LEFT(C82,3)="WEU",G82*O82*10,
IF(LEFT(C82,3)="IND",G82*O82,
IF(LEFT(C82,3)="WIN",G82*O82*0.2,
IF(LEFT(C82,3)="T10",G82*O82*1000*HLOOKUP("PTAX",'Histórico'!$A$1:$EL$983,MATCH(B82,'Histórico'!A:A),FALSE),
IF(LEFT(C82,3)="CCM",G82*O82*450,
IF(LEFT(C82,3)="SJC",G82*O82*HLOOKUP("PTAX",'Histórico'!$A$1:$EL$983,MATCH(B82,'Histórico'!A:A),FALSE)*450,
IF(LEFT(C82,3)="BGI",G82*O82*330,
IF(LEFT(C82,3)="OZ1",G82*O82*250,
IF(LEFT(C82,3)="CLP",G82*O82*25,
IF(LEFT(C82,3)="EUP", O82*10000*HLOOKUP("EUR/BRL",'Histórico'!$A$1:$EL$983,MATCH(B82,'Histórico'!A:A),FALSE),
IF(LEFT(C82,3)="JSE", G82*O82*0.4,
IF(LEFT(C82,3)="GBP", O82*10000*HLOOKUP("GBP/BRL",'Histórico'!$A$1:$FG$983,MATCH(B82,'Histórico'!A:A),FALSE),
IF(LEFT(C82,3)="JAP",O82*10000*HLOOKUP("PTAX",'Histórico'!$A$1:$FG$983,MATCH(B82,'Histórico'!A:A),FALSE),
IF(LEFT(C82,3)="CNH",O82*10000*HLOOKUP("PTAX",'Histórico'!$A$1:$FG$983,MATCH(B82,'Histórico'!A:A),FALSE),
IF(LEFT(C82,3)="AUS",O82*10000*HLOOKUP("PTAX",'Histórico'!$A$1:$FG$983,MATCH(B82,'Histórico'!A:A),FALSE),
IF(LEFT(C82,3)="CAN",O82*10000*HLOOKUP("PTAX",'Histórico'!$A$1:$FG$983,MATCH(B82,'Histórico'!A:A),FALSE),
IF(LEFT(C82,3)="GBR",O82*10000*HLOOKUP("GBP/BRL",'Histórico'!$A$1:$FG$983,MATCH(B82,'Histórico'!A:A),FALSE),
IF(LEFT(C82,3)="MEX",O82*10000*HLOOKUP("PTAX",'Histórico'!$A$1:$FG$983,MATCH(B82,'Histórico'!A:A),FALSE),
IF(LEFT(C82,3)="CHL",O82*10000*HLOOKUP("PTAX",'Histórico'!$A$1:$FG$983,MATCH(B82,'Histórico'!A:A),FALSE)
)))))))))))))))))))))))),""))</f>
        <v>-24661700</v>
      </c>
      <c r="O82" s="49">
        <f t="shared" si="2"/>
        <v>-490</v>
      </c>
      <c r="P82" s="50">
        <f t="shared" si="3"/>
        <v>0</v>
      </c>
      <c r="Q82" s="51">
        <f>IF($C82&lt;&gt;"",SUMIFS($O$3:$O$401, $C$3:$C$401 ,$C82,$B$3:$B$401,"&lt;="&amp;Controle!$B$6),"")</f>
        <v>0</v>
      </c>
      <c r="R82" s="51">
        <f>IF($D82&lt;&gt;"",SUMIFS($O$3:$O$401, $C$3:$C$401 ,$C82,$B$3:$B$401,"&lt;="&amp;Controle!$B$6,$F$3:$F$401,$F82),"")</f>
        <v>0</v>
      </c>
      <c r="S82" s="51">
        <f>IF($D82&lt;&gt;"",SUMIFS($O$3:$O$401, $C$3:$C$401 ,$C82,$B$3:$B$401,"&lt;="&amp;'Controle D-1'!$B$6,$F$3:$F$401,$F82),"")</f>
        <v>0</v>
      </c>
      <c r="T82" s="40"/>
      <c r="U82" s="40"/>
      <c r="V82" s="40"/>
      <c r="W82" s="40"/>
      <c r="X82" s="40"/>
      <c r="Y82" s="40"/>
      <c r="Z82" s="40"/>
      <c r="AA82" s="40"/>
      <c r="AB82" s="40"/>
      <c r="AC82" s="40"/>
    </row>
    <row r="83" ht="15.75" customHeight="1">
      <c r="A83" s="28"/>
      <c r="B83" s="68">
        <v>45050.0</v>
      </c>
      <c r="C83" s="88" t="s">
        <v>73</v>
      </c>
      <c r="D83" s="88" t="s">
        <v>12</v>
      </c>
      <c r="E83" s="88" t="s">
        <v>198</v>
      </c>
      <c r="F83" s="88" t="s">
        <v>200</v>
      </c>
      <c r="G83" s="46">
        <v>52822.81</v>
      </c>
      <c r="H83" s="101" t="str">
        <f>if($D83="Ações Americanas", HLOOKUP("PTAX",'Histórico'!$A$1:$EL$983,(MATCH(B83,'Histórico'!A:A))-1,""),
if($D83="Ações Europeias", HLOOKUP("EUR/BRL",'Histórico'!$A$1:$EL$983,(MATCH(B83,'Histórico'!A:A))-1,""),""))</f>
        <v/>
      </c>
      <c r="I83" s="102">
        <v>47120.0</v>
      </c>
      <c r="J83" s="88">
        <v>2272.0</v>
      </c>
      <c r="K83" s="47">
        <f t="array" ref="K83">if(and(J83&lt;&gt;"",D83&lt;&gt;"Futuros"),
if(F83=Controle!$C$2, M83/xlookup(workday(B83,-1,Feriados!A:A),Controle!$B$10:$B$1000,Controle!$C$10:$C$1000),
if(F83=Controle!$F$2, M83/xlookup(workday(B83,-1,Feriados!A:A),Controle!$B$10:$B$1000,Controle!$F$10:$F$1000),
if(F83=Controle!$I$2, M83/xlookup(workday(B83,-1,Feriados!A:A),Controle!$B$10:$B$1000,Controle!$I$10:$I$1000),
if(F83=Controle!$L$2, M83/xlookup(workday(B83,-1,Feriados!A:A),Controle!$B$10:$B$1000,Controle!$L$10:$L$1000),
)))),
if(and(J83&lt;&gt;"",D83="Futuros"),
if(F83=Controle!$C$2, N83/xlookup(workday(B83,-1,Feriados!A:A),Controle!$B$10:$B$1000,Controle!$C$10:$C$1000),
if(F83=Controle!$F$2, N83/xlookup(workday(B83,-1,Feriados!A:A),Controle!$B$10:$B$1000,Controle!$F$10:$F$1000),
if(F83=Controle!$I$2, N83/xlookup(workday(B83,-1,Feriados!A:A),Controle!$B$10:$B$1000,Controle!$I$10:$I$1000),
if(F83=Controle!$L$2, N83/xlookup(workday(B83,-1,Feriados!A:A),Controle!$B$10:$B$1000,Controle!$L$10:$L$1000),
)))),""))</f>
        <v>-1.184362249</v>
      </c>
      <c r="L83" s="47">
        <f t="array" ref="L83">IF($J83&lt;&gt;"", IF($D83 = "Futuros" , $N83/xlookup(WORKDAY(B83,-1,Feriados!A:A),Controle!$B$10:$B$1000,Controle!$T$10:$T$1000) , $M83/xlookup(WORKDAY(B83,-1,Feriados!A:A),Controle!$B$10:$B$1000,Controle!$T$10:$T$1000)),"")</f>
        <v>-0.2951124667</v>
      </c>
      <c r="M83" s="48">
        <f t="shared" si="4"/>
        <v>120013424.3</v>
      </c>
      <c r="N83" s="48">
        <f>IFERROR(IF(D83="Futuros",
IF(LEFT(C83,3)="DI1",G83*O83,
IF(LEFT(C83,3)="ISP",G83*O83*HLOOKUP("PTAX",'Histórico'!$A$1:$EL$983,MATCH(B83,'Histórico'!A:A),FALSE)*50,
IF(LEFT(C83,3)="WDO",10*G83*O83*HLOOKUP("PTAX",'Histórico'!$A$1:$EL$983,MATCH(B83,'Histórico'!A:A),FALSE),
IF(LEFT(C83,3)="DOL",50*G83*O83,
IF(LEFT(C83,3)="EUR",G83*O83*50,
IF(LEFT(C83,3)="WEU",G83*O83*10,
IF(LEFT(C83,3)="IND",G83*O83,
IF(LEFT(C83,3)="WIN",G83*O83*0.2,
IF(LEFT(C83,3)="T10",G83*O83*1000*HLOOKUP("PTAX",'Histórico'!$A$1:$EL$983,MATCH(B83,'Histórico'!A:A),FALSE),
IF(LEFT(C83,3)="CCM",G83*O83*450,
IF(LEFT(C83,3)="SJC",G83*O83*HLOOKUP("PTAX",'Histórico'!$A$1:$EL$983,MATCH(B83,'Histórico'!A:A),FALSE)*450,
IF(LEFT(C83,3)="BGI",G83*O83*330,
IF(LEFT(C83,3)="OZ1",G83*O83*250,
IF(LEFT(C83,3)="CLP",G83*O83*25,
IF(LEFT(C83,3)="EUP", O83*10000*HLOOKUP("EUR/BRL",'Histórico'!$A$1:$EL$983,MATCH(B83,'Histórico'!A:A),FALSE),
IF(LEFT(C83,3)="JSE", G83*O83*0.4,
IF(LEFT(C83,3)="GBP", O83*10000*HLOOKUP("GBP/BRL",'Histórico'!$A$1:$FG$983,MATCH(B83,'Histórico'!A:A),FALSE),
IF(LEFT(C83,3)="JAP",O83*10000*HLOOKUP("PTAX",'Histórico'!$A$1:$FG$983,MATCH(B83,'Histórico'!A:A),FALSE),
IF(LEFT(C83,3)="CNH",O83*10000*HLOOKUP("PTAX",'Histórico'!$A$1:$FG$983,MATCH(B83,'Histórico'!A:A),FALSE),
IF(LEFT(C83,3)="AUS",O83*10000*HLOOKUP("PTAX",'Histórico'!$A$1:$FG$983,MATCH(B83,'Histórico'!A:A),FALSE),
IF(LEFT(C83,3)="CAN",O83*10000*HLOOKUP("PTAX",'Histórico'!$A$1:$FG$983,MATCH(B83,'Histórico'!A:A),FALSE),
IF(LEFT(C83,3)="GBR",O83*10000*HLOOKUP("GBP/BRL",'Histórico'!$A$1:$FG$983,MATCH(B83,'Histórico'!A:A),FALSE),
IF(LEFT(C83,3)="MEX",O83*10000*HLOOKUP("PTAX",'Histórico'!$A$1:$FG$983,MATCH(B83,'Histórico'!A:A),FALSE),
IF(LEFT(C83,3)="CHL",O83*10000*HLOOKUP("PTAX",'Histórico'!$A$1:$FG$983,MATCH(B83,'Histórico'!A:A),FALSE)
)))))))))))))))))))))))),""))</f>
        <v>-120013424.3</v>
      </c>
      <c r="O83" s="49">
        <f t="shared" si="2"/>
        <v>-2272</v>
      </c>
      <c r="P83" s="50">
        <f t="shared" si="3"/>
        <v>0</v>
      </c>
      <c r="Q83" s="51">
        <f>IF($C83&lt;&gt;"",SUMIFS($O$3:$O$401, $C$3:$C$401 ,$C83,$B$3:$B$401,"&lt;="&amp;Controle!$B$6),"")</f>
        <v>-50</v>
      </c>
      <c r="R83" s="51">
        <f>IF($D83&lt;&gt;"",SUMIFS($O$3:$O$401, $C$3:$C$401 ,$C83,$B$3:$B$401,"&lt;="&amp;Controle!$B$6,$F$3:$F$401,$F83),"")</f>
        <v>0</v>
      </c>
      <c r="S83" s="51">
        <f>IF($D83&lt;&gt;"",SUMIFS($O$3:$O$401, $C$3:$C$401 ,$C83,$B$3:$B$401,"&lt;="&amp;'Controle D-1'!$B$6,$F$3:$F$401,$F83),"")</f>
        <v>0</v>
      </c>
      <c r="T83" s="40"/>
      <c r="U83" s="40"/>
      <c r="V83" s="40"/>
      <c r="W83" s="40"/>
      <c r="X83" s="40"/>
      <c r="Y83" s="40"/>
      <c r="Z83" s="40"/>
      <c r="AA83" s="40"/>
      <c r="AB83" s="40"/>
      <c r="AC83" s="40"/>
    </row>
    <row r="84" ht="15.75" customHeight="1">
      <c r="A84" s="28"/>
      <c r="B84" s="68">
        <v>45050.0</v>
      </c>
      <c r="C84" s="88" t="s">
        <v>7</v>
      </c>
      <c r="D84" s="88" t="s">
        <v>9</v>
      </c>
      <c r="E84" s="88" t="s">
        <v>208</v>
      </c>
      <c r="F84" s="88" t="s">
        <v>200</v>
      </c>
      <c r="G84" s="46">
        <v>408.02</v>
      </c>
      <c r="H84" s="101">
        <f>if($D84="Ações Americanas", HLOOKUP("PTAX",'Histórico'!$A$1:$EL$983,(MATCH(B84,'Histórico'!A:A))-1,""),
if($D84="Ações Europeias", HLOOKUP("EUR/BRL",'Histórico'!$A$1:$EL$983,(MATCH(B84,'Histórico'!A:A))-1,""),""))</f>
        <v>5.033</v>
      </c>
      <c r="I84" s="88" t="str">
        <f t="array" ref="I84">IF(ISTEXT(C84),xlookup(C84,'Cadastro dos Ativos'!$A$2:$A$1000,'Cadastro dos Ativos'!$D$2:$D$1000),"")</f>
        <v/>
      </c>
      <c r="J84" s="88">
        <v>10000.0</v>
      </c>
      <c r="K84" s="47">
        <f t="array" ref="K84">if(and(J84&lt;&gt;"",D84&lt;&gt;"Futuros"),
if(F84=Controle!$C$2, M84/xlookup(workday(B84,-1,Feriados!A:A),Controle!$B$10:$B$1000,Controle!$C$10:$C$1000),
if(F84=Controle!$F$2, M84/xlookup(workday(B84,-1,Feriados!A:A),Controle!$B$10:$B$1000,Controle!$F$10:$F$1000),
if(F84=Controle!$I$2, M84/xlookup(workday(B84,-1,Feriados!A:A),Controle!$B$10:$B$1000,Controle!$I$10:$I$1000),
if(F84=Controle!$L$2, M84/xlookup(workday(B84,-1,Feriados!A:A),Controle!$B$10:$B$1000,Controle!$L$10:$L$1000),
)))),
if(and(J84&lt;&gt;"",D84="Futuros"),
if(F84=Controle!$C$2, N84/xlookup(workday(B84,-1,Feriados!A:A),Controle!$B$10:$B$1000,Controle!$C$10:$C$1000),
if(F84=Controle!$F$2, N84/xlookup(workday(B84,-1,Feriados!A:A),Controle!$B$10:$B$1000,Controle!$F$10:$F$1000),
if(F84=Controle!$I$2, N84/xlookup(workday(B84,-1,Feriados!A:A),Controle!$B$10:$B$1000,Controle!$I$10:$I$1000),
if(F84=Controle!$L$2, N84/xlookup(workday(B84,-1,Feriados!A:A),Controle!$B$10:$B$1000,Controle!$L$10:$L$1000),
)))),""))</f>
        <v>-0.2026577005</v>
      </c>
      <c r="L84" s="47">
        <f t="array" ref="L84">IF($J84&lt;&gt;"", IF($D84 = "Futuros" , $N84/xlookup(WORKDAY(B84,-1,Feriados!A:A),Controle!$B$10:$B$1000,Controle!$T$10:$T$1000) , $M84/xlookup(WORKDAY(B84,-1,Feriados!A:A),Controle!$B$10:$B$1000,Controle!$T$10:$T$1000)),"")</f>
        <v>-0.05049706195</v>
      </c>
      <c r="M84" s="48">
        <f t="shared" si="4"/>
        <v>-20535646.6</v>
      </c>
      <c r="N84" s="48" t="str">
        <f>IFERROR(IF(D84="Futuros",
IF(LEFT(C84,3)="DI1",G84*O84,
IF(LEFT(C84,3)="ISP",G84*O84*HLOOKUP("PTAX",'Histórico'!$A$1:$EL$983,MATCH(B84,'Histórico'!A:A),FALSE)*50,
IF(LEFT(C84,3)="WDO",10*G84*O84*HLOOKUP("PTAX",'Histórico'!$A$1:$EL$983,MATCH(B84,'Histórico'!A:A),FALSE),
IF(LEFT(C84,3)="DOL",50*G84*O84,
IF(LEFT(C84,3)="EUR",G84*O84*50,
IF(LEFT(C84,3)="WEU",G84*O84*10,
IF(LEFT(C84,3)="IND",G84*O84,
IF(LEFT(C84,3)="WIN",G84*O84*0.2,
IF(LEFT(C84,3)="T10",G84*O84*1000*HLOOKUP("PTAX",'Histórico'!$A$1:$EL$983,MATCH(B84,'Histórico'!A:A),FALSE),
IF(LEFT(C84,3)="CCM",G84*O84*450,
IF(LEFT(C84,3)="SJC",G84*O84*HLOOKUP("PTAX",'Histórico'!$A$1:$EL$983,MATCH(B84,'Histórico'!A:A),FALSE)*450,
IF(LEFT(C84,3)="BGI",G84*O84*330,
IF(LEFT(C84,3)="OZ1",G84*O84*250,
IF(LEFT(C84,3)="CLP",G84*O84*25,
IF(LEFT(C84,3)="EUP", O84*10000*HLOOKUP("EUR/BRL",'Histórico'!$A$1:$EL$983,MATCH(B84,'Histórico'!A:A),FALSE),
IF(LEFT(C84,3)="JSE", G84*O84*0.4,
IF(LEFT(C84,3)="GBP", O84*10000*HLOOKUP("GBP/BRL",'Histórico'!$A$1:$FG$983,MATCH(B84,'Histórico'!A:A),FALSE),
IF(LEFT(C84,3)="JAP",O84*10000*HLOOKUP("PTAX",'Histórico'!$A$1:$FG$983,MATCH(B84,'Histórico'!A:A),FALSE),
IF(LEFT(C84,3)="CNH",O84*10000*HLOOKUP("PTAX",'Histórico'!$A$1:$FG$983,MATCH(B84,'Histórico'!A:A),FALSE),
IF(LEFT(C84,3)="AUS",O84*10000*HLOOKUP("PTAX",'Histórico'!$A$1:$FG$983,MATCH(B84,'Histórico'!A:A),FALSE),
IF(LEFT(C84,3)="CAN",O84*10000*HLOOKUP("PTAX",'Histórico'!$A$1:$FG$983,MATCH(B84,'Histórico'!A:A),FALSE),
IF(LEFT(C84,3)="GBR",O84*10000*HLOOKUP("GBP/BRL",'Histórico'!$A$1:$FG$983,MATCH(B84,'Histórico'!A:A),FALSE),
IF(LEFT(C84,3)="MEX",O84*10000*HLOOKUP("PTAX",'Histórico'!$A$1:$FG$983,MATCH(B84,'Histórico'!A:A),FALSE),
IF(LEFT(C84,3)="CHL",O84*10000*HLOOKUP("PTAX",'Histórico'!$A$1:$FG$983,MATCH(B84,'Histórico'!A:A),FALSE)
)))))))))))))))))))))))),""))</f>
        <v/>
      </c>
      <c r="O84" s="49">
        <f t="shared" si="2"/>
        <v>10000</v>
      </c>
      <c r="P84" s="50">
        <f t="shared" si="3"/>
        <v>0</v>
      </c>
      <c r="Q84" s="51">
        <f>IF($C84&lt;&gt;"",SUMIFS($O$3:$O$401, $C$3:$C$401 ,$C84,$B$3:$B$401,"&lt;="&amp;Controle!$B$6),"")</f>
        <v>0</v>
      </c>
      <c r="R84" s="51">
        <f>IF($D84&lt;&gt;"",SUMIFS($O$3:$O$401, $C$3:$C$401 ,$C84,$B$3:$B$401,"&lt;="&amp;Controle!$B$6,$F$3:$F$401,$F84),"")</f>
        <v>0</v>
      </c>
      <c r="S84" s="51">
        <f>IF($D84&lt;&gt;"",SUMIFS($O$3:$O$401, $C$3:$C$401 ,$C84,$B$3:$B$401,"&lt;="&amp;'Controle D-1'!$B$6,$F$3:$F$401,$F84),"")</f>
        <v>0</v>
      </c>
      <c r="T84" s="40"/>
      <c r="U84" s="40"/>
      <c r="V84" s="40"/>
      <c r="W84" s="40"/>
      <c r="X84" s="40"/>
      <c r="Y84" s="40"/>
      <c r="Z84" s="40"/>
      <c r="AA84" s="40"/>
      <c r="AB84" s="40"/>
      <c r="AC84" s="40"/>
    </row>
    <row r="85" ht="15.75" customHeight="1">
      <c r="A85" s="28"/>
      <c r="B85" s="68">
        <v>45054.0</v>
      </c>
      <c r="C85" s="88" t="s">
        <v>94</v>
      </c>
      <c r="D85" s="88" t="s">
        <v>12</v>
      </c>
      <c r="E85" s="88" t="s">
        <v>208</v>
      </c>
      <c r="F85" s="88" t="s">
        <v>199</v>
      </c>
      <c r="G85" s="46">
        <v>1262.8</v>
      </c>
      <c r="H85" s="101" t="str">
        <f>if($D85="Ações Americanas", HLOOKUP("PTAX",'Histórico'!$A$1:$EL$983,(MATCH(B85,'Histórico'!A:A))-1,""),
if($D85="Ações Europeias", HLOOKUP("EUR/BRL",'Histórico'!$A$1:$EL$983,(MATCH(B85,'Histórico'!A:A))-1,""),""))</f>
        <v/>
      </c>
      <c r="I85" s="102">
        <f t="array" ref="I85">IF(ISTEXT(C85),xlookup(C85,'Cadastro dos Ativos'!$A$2:$A$1000,'Cadastro dos Ativos'!$D$2:$D$1000),"")</f>
        <v>45078</v>
      </c>
      <c r="J85" s="88">
        <v>960.0</v>
      </c>
      <c r="K85" s="47">
        <f t="array" ref="K85">if(and(J85&lt;&gt;"",D85&lt;&gt;"Futuros"),
if(F85=Controle!$C$2, M85/xlookup(workday(B85,-1,Feriados!A:A),Controle!$B$10:$B$1000,Controle!$C$10:$C$1000),
if(F85=Controle!$F$2, M85/xlookup(workday(B85,-1,Feriados!A:A),Controle!$B$10:$B$1000,Controle!$F$10:$F$1000),
if(F85=Controle!$I$2, M85/xlookup(workday(B85,-1,Feriados!A:A),Controle!$B$10:$B$1000,Controle!$I$10:$I$1000),
if(F85=Controle!$L$2, M85/xlookup(workday(B85,-1,Feriados!A:A),Controle!$B$10:$B$1000,Controle!$L$10:$L$1000),
)))),
if(and(J85&lt;&gt;"",D85="Futuros"),
if(F85=Controle!$C$2, N85/xlookup(workday(B85,-1,Feriados!A:A),Controle!$B$10:$B$1000,Controle!$C$10:$C$1000),
if(F85=Controle!$F$2, N85/xlookup(workday(B85,-1,Feriados!A:A),Controle!$B$10:$B$1000,Controle!$F$10:$F$1000),
if(F85=Controle!$I$2, N85/xlookup(workday(B85,-1,Feriados!A:A),Controle!$B$10:$B$1000,Controle!$I$10:$I$1000),
if(F85=Controle!$L$2, N85/xlookup(workday(B85,-1,Feriados!A:A),Controle!$B$10:$B$1000,Controle!$L$10:$L$1000),
)))),""))</f>
        <v>0.58604016</v>
      </c>
      <c r="L85" s="47">
        <f t="array" ref="L85">IF($J85&lt;&gt;"", IF($D85 = "Futuros" , $N85/xlookup(WORKDAY(B85,-1,Feriados!A:A),Controle!$B$10:$B$1000,Controle!$T$10:$T$1000) , $M85/xlookup(WORKDAY(B85,-1,Feriados!A:A),Controle!$B$10:$B$1000,Controle!$T$10:$T$1000)),"")</f>
        <v>0.1475282337</v>
      </c>
      <c r="M85" s="48">
        <f t="shared" si="4"/>
        <v>-1212288</v>
      </c>
      <c r="N85" s="48">
        <f>IFERROR(IF(D85="Futuros",
IF(LEFT(C85,3)="DI1",G85*O85,
IF(LEFT(C85,3)="ISP",G85*O85*HLOOKUP("PTAX",'Histórico'!$A$1:$EL$983,MATCH(B85,'Histórico'!A:A),FALSE)*50,
IF(LEFT(C85,3)="WDO",10*G85*O85*HLOOKUP("PTAX",'Histórico'!$A$1:$EL$983,MATCH(B85,'Histórico'!A:A),FALSE),
IF(LEFT(C85,3)="DOL",50*G85*O85,
IF(LEFT(C85,3)="EUR",G85*O85*50,
IF(LEFT(C85,3)="WEU",G85*O85*10,
IF(LEFT(C85,3)="IND",G85*O85,
IF(LEFT(C85,3)="WIN",G85*O85*0.2,
IF(LEFT(C85,3)="T10",G85*O85*1000*HLOOKUP("PTAX",'Histórico'!$A$1:$EL$983,MATCH(B85,'Histórico'!A:A),FALSE),
IF(LEFT(C85,3)="CCM",G85*O85*450,
IF(LEFT(C85,3)="SJC",G85*O85*HLOOKUP("PTAX",'Histórico'!$A$1:$EL$983,MATCH(B85,'Histórico'!A:A),FALSE)*450,
IF(LEFT(C85,3)="BGI",G85*O85*330,
IF(LEFT(C85,3)="OZ1",G85*O85*250,
IF(LEFT(C85,3)="CLP",G85*O85*25,
IF(LEFT(C85,3)="EUP", O85*10000*HLOOKUP("EUR/BRL",'Histórico'!$A$1:$EL$983,MATCH(B85,'Histórico'!A:A),FALSE),
IF(LEFT(C85,3)="JSE", G85*O85*0.4,
IF(LEFT(C85,3)="GBP", O85*10000*HLOOKUP("GBP/BRL",'Histórico'!$A$1:$FG$983,MATCH(B85,'Histórico'!A:A),FALSE),
IF(LEFT(C85,3)="JAP",O85*10000*HLOOKUP("PTAX",'Histórico'!$A$1:$FG$983,MATCH(B85,'Histórico'!A:A),FALSE),
IF(LEFT(C85,3)="CNH",O85*10000*HLOOKUP("PTAX",'Histórico'!$A$1:$FG$983,MATCH(B85,'Histórico'!A:A),FALSE),
IF(LEFT(C85,3)="AUS",O85*10000*HLOOKUP("PTAX",'Histórico'!$A$1:$FG$983,MATCH(B85,'Histórico'!A:A),FALSE),
IF(LEFT(C85,3)="CAN",O85*10000*HLOOKUP("PTAX",'Histórico'!$A$1:$FG$983,MATCH(B85,'Histórico'!A:A),FALSE),
IF(LEFT(C85,3)="GBR",O85*10000*HLOOKUP("GBP/BRL",'Histórico'!$A$1:$FG$983,MATCH(B85,'Histórico'!A:A),FALSE),
IF(LEFT(C85,3)="MEX",O85*10000*HLOOKUP("PTAX",'Histórico'!$A$1:$FG$983,MATCH(B85,'Histórico'!A:A),FALSE),
IF(LEFT(C85,3)="CHL",O85*10000*HLOOKUP("PTAX",'Histórico'!$A$1:$FG$983,MATCH(B85,'Histórico'!A:A),FALSE)
)))))))))))))))))))))))),""))</f>
        <v>60000000</v>
      </c>
      <c r="O85" s="49">
        <f t="shared" si="2"/>
        <v>960</v>
      </c>
      <c r="P85" s="50">
        <f t="shared" si="3"/>
        <v>0</v>
      </c>
      <c r="Q85" s="51">
        <f>IF($C85&lt;&gt;"",SUMIFS($O$3:$O$401, $C$3:$C$401 ,$C85,$B$3:$B$401,"&lt;="&amp;Controle!$B$6),"")</f>
        <v>0</v>
      </c>
      <c r="R85" s="51">
        <f>IF($D85&lt;&gt;"",SUMIFS($O$3:$O$401, $C$3:$C$401 ,$C85,$B$3:$B$401,"&lt;="&amp;Controle!$B$6,$F$3:$F$401,$F85),"")</f>
        <v>0</v>
      </c>
      <c r="S85" s="51">
        <f>IF($D85&lt;&gt;"",SUMIFS($O$3:$O$401, $C$3:$C$401 ,$C85,$B$3:$B$401,"&lt;="&amp;'Controle D-1'!$B$6,$F$3:$F$401,$F85),"")</f>
        <v>0</v>
      </c>
      <c r="T85" s="40"/>
      <c r="U85" s="40"/>
      <c r="V85" s="40"/>
      <c r="W85" s="40"/>
      <c r="X85" s="40"/>
      <c r="Y85" s="40"/>
      <c r="Z85" s="40"/>
      <c r="AA85" s="40"/>
      <c r="AB85" s="40"/>
      <c r="AC85" s="40"/>
    </row>
    <row r="86" ht="15.75" customHeight="1">
      <c r="A86" s="28"/>
      <c r="B86" s="68">
        <v>45054.0</v>
      </c>
      <c r="C86" s="88" t="s">
        <v>74</v>
      </c>
      <c r="D86" s="88" t="s">
        <v>12</v>
      </c>
      <c r="E86" s="88" t="s">
        <v>208</v>
      </c>
      <c r="F86" s="88" t="s">
        <v>199</v>
      </c>
      <c r="G86" s="46">
        <v>79230.76</v>
      </c>
      <c r="H86" s="101" t="str">
        <f>if($D86="Ações Americanas", HLOOKUP("PTAX",'Histórico'!$A$1:$EL$983,(MATCH(B86,'Histórico'!A:A))-1,""),
if($D86="Ações Europeias", HLOOKUP("EUR/BRL",'Histórico'!$A$1:$EL$983,(MATCH(B86,'Histórico'!A:A))-1,""),""))</f>
        <v/>
      </c>
      <c r="I86" s="110">
        <f t="array" ref="I86">IF(ISTEXT(C86),xlookup(C86,'Cadastro dos Ativos'!$A$2:$A$1000,'Cadastro dos Ativos'!$D$2:$D$1000),"")</f>
        <v>45839</v>
      </c>
      <c r="J86" s="88">
        <v>970.0</v>
      </c>
      <c r="K86" s="47">
        <f t="array" ref="K86">if(and(J86&lt;&gt;"",D86&lt;&gt;"Futuros"),
if(F86=Controle!$C$2, M86/xlookup(workday(B86,-1,Feriados!A:A),Controle!$B$10:$B$1000,Controle!$C$10:$C$1000),
if(F86=Controle!$F$2, M86/xlookup(workday(B86,-1,Feriados!A:A),Controle!$B$10:$B$1000,Controle!$F$10:$F$1000),
if(F86=Controle!$I$2, M86/xlookup(workday(B86,-1,Feriados!A:A),Controle!$B$10:$B$1000,Controle!$I$10:$I$1000),
if(F86=Controle!$L$2, M86/xlookup(workday(B86,-1,Feriados!A:A),Controle!$B$10:$B$1000,Controle!$L$10:$L$1000),
)))),
if(and(J86&lt;&gt;"",D86="Futuros"),
if(F86=Controle!$C$2, N86/xlookup(workday(B86,-1,Feriados!A:A),Controle!$B$10:$B$1000,Controle!$C$10:$C$1000),
if(F86=Controle!$F$2, N86/xlookup(workday(B86,-1,Feriados!A:A),Controle!$B$10:$B$1000,Controle!$F$10:$F$1000),
if(F86=Controle!$I$2, N86/xlookup(workday(B86,-1,Feriados!A:A),Controle!$B$10:$B$1000,Controle!$I$10:$I$1000),
if(F86=Controle!$L$2, N86/xlookup(workday(B86,-1,Feriados!A:A),Controle!$B$10:$B$1000,Controle!$L$10:$L$1000),
)))),""))</f>
        <v>0.7506572508</v>
      </c>
      <c r="L86" s="47">
        <f t="array" ref="L86">IF($J86&lt;&gt;"", IF($D86 = "Futuros" , $N86/xlookup(WORKDAY(B86,-1,Feriados!A:A),Controle!$B$10:$B$1000,Controle!$T$10:$T$1000) , $M86/xlookup(WORKDAY(B86,-1,Feriados!A:A),Controle!$B$10:$B$1000,Controle!$T$10:$T$1000)),"")</f>
        <v>0.1889685142</v>
      </c>
      <c r="M86" s="48">
        <f t="shared" si="4"/>
        <v>-76853837.2</v>
      </c>
      <c r="N86" s="48">
        <f>IFERROR(IF(D86="Futuros",
IF(LEFT(C86,3)="DI1",G86*O86,
IF(LEFT(C86,3)="ISP",G86*O86*HLOOKUP("PTAX",'Histórico'!$A$1:$EL$983,MATCH(B86,'Histórico'!A:A),FALSE)*50,
IF(LEFT(C86,3)="WDO",10*G86*O86*HLOOKUP("PTAX",'Histórico'!$A$1:$EL$983,MATCH(B86,'Histórico'!A:A),FALSE),
IF(LEFT(C86,3)="DOL",50*G86*O86,
IF(LEFT(C86,3)="EUR",G86*O86*50,
IF(LEFT(C86,3)="WEU",G86*O86*10,
IF(LEFT(C86,3)="IND",G86*O86,
IF(LEFT(C86,3)="WIN",G86*O86*0.2,
IF(LEFT(C86,3)="T10",G86*O86*1000*HLOOKUP("PTAX",'Histórico'!$A$1:$EL$983,MATCH(B86,'Histórico'!A:A),FALSE),
IF(LEFT(C86,3)="CCM",G86*O86*450,
IF(LEFT(C86,3)="SJC",G86*O86*HLOOKUP("PTAX",'Histórico'!$A$1:$EL$983,MATCH(B86,'Histórico'!A:A),FALSE)*450,
IF(LEFT(C86,3)="BGI",G86*O86*330,
IF(LEFT(C86,3)="OZ1",G86*O86*250,
IF(LEFT(C86,3)="CLP",G86*O86*25,
IF(LEFT(C86,3)="EUP", O86*10000*HLOOKUP("EUR/BRL",'Histórico'!$A$1:$EL$983,MATCH(B86,'Histórico'!A:A),FALSE),
IF(LEFT(C86,3)="JSE", G86*O86*0.4,
IF(LEFT(C86,3)="GBP", O86*10000*HLOOKUP("GBP/BRL",'Histórico'!$A$1:$FG$983,MATCH(B86,'Histórico'!A:A),FALSE),
IF(LEFT(C86,3)="JAP",O86*10000*HLOOKUP("PTAX",'Histórico'!$A$1:$FG$983,MATCH(B86,'Histórico'!A:A),FALSE),
IF(LEFT(C86,3)="CNH",O86*10000*HLOOKUP("PTAX",'Histórico'!$A$1:$FG$983,MATCH(B86,'Histórico'!A:A),FALSE),
IF(LEFT(C86,3)="AUS",O86*10000*HLOOKUP("PTAX",'Histórico'!$A$1:$FG$983,MATCH(B86,'Histórico'!A:A),FALSE),
IF(LEFT(C86,3)="CAN",O86*10000*HLOOKUP("PTAX",'Histórico'!$A$1:$FG$983,MATCH(B86,'Histórico'!A:A),FALSE),
IF(LEFT(C86,3)="GBR",O86*10000*HLOOKUP("GBP/BRL",'Histórico'!$A$1:$FG$983,MATCH(B86,'Histórico'!A:A),FALSE),
IF(LEFT(C86,3)="MEX",O86*10000*HLOOKUP("PTAX",'Histórico'!$A$1:$FG$983,MATCH(B86,'Histórico'!A:A),FALSE),
IF(LEFT(C86,3)="CHL",O86*10000*HLOOKUP("PTAX",'Histórico'!$A$1:$FG$983,MATCH(B86,'Histórico'!A:A),FALSE)
)))))))))))))))))))))))),""))</f>
        <v>76853837.2</v>
      </c>
      <c r="O86" s="49">
        <f t="shared" si="2"/>
        <v>970</v>
      </c>
      <c r="P86" s="50">
        <f t="shared" si="3"/>
        <v>0</v>
      </c>
      <c r="Q86" s="51">
        <f>IF($C86&lt;&gt;"",SUMIFS($O$3:$O$401, $C$3:$C$401 ,$C86,$B$3:$B$401,"&lt;="&amp;Controle!$B$6),"")</f>
        <v>0</v>
      </c>
      <c r="R86" s="51">
        <f>IF($D86&lt;&gt;"",SUMIFS($O$3:$O$401, $C$3:$C$401 ,$C86,$B$3:$B$401,"&lt;="&amp;Controle!$B$6,$F$3:$F$401,$F86),"")</f>
        <v>0</v>
      </c>
      <c r="S86" s="51">
        <f>IF($D86&lt;&gt;"",SUMIFS($O$3:$O$401, $C$3:$C$401 ,$C86,$B$3:$B$401,"&lt;="&amp;'Controle D-1'!$B$6,$F$3:$F$401,$F86),"")</f>
        <v>0</v>
      </c>
      <c r="T86" s="40"/>
      <c r="U86" s="40"/>
      <c r="V86" s="40"/>
      <c r="W86" s="40"/>
      <c r="X86" s="40"/>
      <c r="Y86" s="40"/>
      <c r="Z86" s="40"/>
      <c r="AA86" s="40"/>
      <c r="AB86" s="40"/>
      <c r="AC86" s="40"/>
    </row>
    <row r="87" ht="15.75" customHeight="1">
      <c r="A87" s="28"/>
      <c r="B87" s="68">
        <v>45054.0</v>
      </c>
      <c r="C87" s="88" t="s">
        <v>95</v>
      </c>
      <c r="D87" s="88" t="s">
        <v>12</v>
      </c>
      <c r="E87" s="88" t="s">
        <v>208</v>
      </c>
      <c r="F87" s="88" t="s">
        <v>199</v>
      </c>
      <c r="G87" s="46">
        <v>4983.5</v>
      </c>
      <c r="H87" s="101" t="str">
        <f>if($D87="Ações Americanas", HLOOKUP("PTAX",'Histórico'!$A$1:$EL$983,(MATCH(B87,'Histórico'!A:A))-1,""),
if($D87="Ações Europeias", HLOOKUP("EUR/BRL",'Histórico'!$A$1:$EL$983,(MATCH(B87,'Histórico'!A:A))-1,""),""))</f>
        <v/>
      </c>
      <c r="I87" s="102">
        <f t="array" ref="I87">IF(ISTEXT(C87),xlookup(C87,'Cadastro dos Ativos'!$A$2:$A$1000,'Cadastro dos Ativos'!$D$2:$D$1000),"")</f>
        <v>45078</v>
      </c>
      <c r="J87" s="88">
        <v>175.0</v>
      </c>
      <c r="K87" s="47">
        <f t="array" ref="K87">if(and(J87&lt;&gt;"",D87&lt;&gt;"Futuros"),
if(F87=Controle!$C$2, M87/xlookup(workday(B87,-1,Feriados!A:A),Controle!$B$10:$B$1000,Controle!$C$10:$C$1000),
if(F87=Controle!$F$2, M87/xlookup(workday(B87,-1,Feriados!A:A),Controle!$B$10:$B$1000,Controle!$F$10:$F$1000),
if(F87=Controle!$I$2, M87/xlookup(workday(B87,-1,Feriados!A:A),Controle!$B$10:$B$1000,Controle!$I$10:$I$1000),
if(F87=Controle!$L$2, M87/xlookup(workday(B87,-1,Feriados!A:A),Controle!$B$10:$B$1000,Controle!$L$10:$L$1000),
)))),
if(and(J87&lt;&gt;"",D87="Futuros"),
if(F87=Controle!$C$2, N87/xlookup(workday(B87,-1,Feriados!A:A),Controle!$B$10:$B$1000,Controle!$C$10:$C$1000),
if(F87=Controle!$F$2, N87/xlookup(workday(B87,-1,Feriados!A:A),Controle!$B$10:$B$1000,Controle!$F$10:$F$1000),
if(F87=Controle!$I$2, N87/xlookup(workday(B87,-1,Feriados!A:A),Controle!$B$10:$B$1000,Controle!$I$10:$I$1000),
if(F87=Controle!$L$2, N87/xlookup(workday(B87,-1,Feriados!A:A),Controle!$B$10:$B$1000,Controle!$L$10:$L$1000),
)))),""))</f>
        <v>0.4259107908</v>
      </c>
      <c r="L87" s="47">
        <f t="array" ref="L87">IF($J87&lt;&gt;"", IF($D87 = "Futuros" , $N87/xlookup(WORKDAY(B87,-1,Feriados!A:A),Controle!$B$10:$B$1000,Controle!$T$10:$T$1000) , $M87/xlookup(WORKDAY(B87,-1,Feriados!A:A),Controle!$B$10:$B$1000,Controle!$T$10:$T$1000)),"")</f>
        <v>0.1072176806</v>
      </c>
      <c r="M87" s="48">
        <f t="shared" si="4"/>
        <v>-872112.5</v>
      </c>
      <c r="N87" s="48">
        <f>IFERROR(IF(D87="Futuros",
IF(LEFT(C87,3)="DI1",G87*O87,
IF(LEFT(C87,3)="ISP",G87*O87*HLOOKUP("PTAX",'Histórico'!$A$1:$EL$983,MATCH(B87,'Histórico'!A:A),FALSE)*50,
IF(LEFT(C87,3)="WDO",10*G87*O87*HLOOKUP("PTAX",'Histórico'!$A$1:$EL$983,MATCH(B87,'Histórico'!A:A),FALSE),
IF(LEFT(C87,3)="DOL",50*G87*O87,
IF(LEFT(C87,3)="EUR",G87*O87*50,
IF(LEFT(C87,3)="WEU",G87*O87*10,
IF(LEFT(C87,3)="IND",G87*O87,
IF(LEFT(C87,3)="WIN",G87*O87*0.2,
IF(LEFT(C87,3)="T10",G87*O87*1000*HLOOKUP("PTAX",'Histórico'!$A$1:$EL$983,MATCH(B87,'Histórico'!A:A),FALSE),
IF(LEFT(C87,3)="CCM",G87*O87*450,
IF(LEFT(C87,3)="SJC",G87*O87*HLOOKUP("PTAX",'Histórico'!$A$1:$EL$983,MATCH(B87,'Histórico'!A:A),FALSE)*450,
IF(LEFT(C87,3)="BGI",G87*O87*330,
IF(LEFT(C87,3)="OZ1",G87*O87*250,
IF(LEFT(C87,3)="CLP",G87*O87*25,
IF(LEFT(C87,3)="EUP", O87*10000*HLOOKUP("EUR/BRL",'Histórico'!$A$1:$EL$983,MATCH(B87,'Histórico'!A:A),FALSE),
IF(LEFT(C87,3)="JSE", G87*O87*0.4,
IF(LEFT(C87,3)="GBP", O87*10000*HLOOKUP("GBP/BRL",'Histórico'!$A$1:$FG$983,MATCH(B87,'Histórico'!A:A),FALSE),
IF(LEFT(C87,3)="JAP",O87*10000*HLOOKUP("PTAX",'Histórico'!$A$1:$FG$983,MATCH(B87,'Histórico'!A:A),FALSE),
IF(LEFT(C87,3)="CNH",O87*10000*HLOOKUP("PTAX",'Histórico'!$A$1:$FG$983,MATCH(B87,'Histórico'!A:A),FALSE),
IF(LEFT(C87,3)="AUS",O87*10000*HLOOKUP("PTAX",'Histórico'!$A$1:$FG$983,MATCH(B87,'Histórico'!A:A),FALSE),
IF(LEFT(C87,3)="CAN",O87*10000*HLOOKUP("PTAX",'Histórico'!$A$1:$FG$983,MATCH(B87,'Histórico'!A:A),FALSE),
IF(LEFT(C87,3)="GBR",O87*10000*HLOOKUP("GBP/BRL",'Histórico'!$A$1:$FG$983,MATCH(B87,'Histórico'!A:A),FALSE),
IF(LEFT(C87,3)="MEX",O87*10000*HLOOKUP("PTAX",'Histórico'!$A$1:$FG$983,MATCH(B87,'Histórico'!A:A),FALSE),
IF(LEFT(C87,3)="CHL",O87*10000*HLOOKUP("PTAX",'Histórico'!$A$1:$FG$983,MATCH(B87,'Histórico'!A:A),FALSE)
)))))))))))))))))))))))),""))</f>
        <v>43605625</v>
      </c>
      <c r="O87" s="49">
        <f t="shared" si="2"/>
        <v>175</v>
      </c>
      <c r="P87" s="50">
        <f t="shared" si="3"/>
        <v>0</v>
      </c>
      <c r="Q87" s="51">
        <f>IF($C87&lt;&gt;"",SUMIFS($O$3:$O$401, $C$3:$C$401 ,$C87,$B$3:$B$401,"&lt;="&amp;Controle!$B$6),"")</f>
        <v>0</v>
      </c>
      <c r="R87" s="51">
        <f>IF($D87&lt;&gt;"",SUMIFS($O$3:$O$401, $C$3:$C$401 ,$C87,$B$3:$B$401,"&lt;="&amp;Controle!$B$6,$F$3:$F$401,$F87),"")</f>
        <v>0</v>
      </c>
      <c r="S87" s="51">
        <f>IF($D87&lt;&gt;"",SUMIFS($O$3:$O$401, $C$3:$C$401 ,$C87,$B$3:$B$401,"&lt;="&amp;'Controle D-1'!$B$6,$F$3:$F$401,$F87),"")</f>
        <v>0</v>
      </c>
      <c r="T87" s="40"/>
      <c r="U87" s="40"/>
      <c r="V87" s="40"/>
      <c r="W87" s="40"/>
      <c r="X87" s="40"/>
      <c r="Y87" s="40"/>
      <c r="Z87" s="40"/>
      <c r="AA87" s="40"/>
      <c r="AB87" s="40"/>
      <c r="AC87" s="40"/>
    </row>
    <row r="88" ht="15.75" customHeight="1">
      <c r="A88" s="28"/>
      <c r="B88" s="68">
        <v>45054.0</v>
      </c>
      <c r="C88" s="88" t="s">
        <v>96</v>
      </c>
      <c r="D88" s="88" t="str">
        <f>IF(ISTEXT(C88),VLOOKUP(C88,'Cadastro dos Ativos'!$A$2:$C$1000,3,0),"")</f>
        <v>Futuros</v>
      </c>
      <c r="E88" s="88" t="s">
        <v>208</v>
      </c>
      <c r="F88" s="88" t="s">
        <v>199</v>
      </c>
      <c r="G88" s="46">
        <v>799666.9</v>
      </c>
      <c r="H88" s="101" t="str">
        <f>if($D88="Ações Americanas", HLOOKUP("PTAX",'Histórico'!$A$1:$EL$983,(MATCH(B88,'Histórico'!A:A))-1,""),
if($D88="Ações Europeias", HLOOKUP("EUR/BRL",'Histórico'!$A$1:$EL$983,(MATCH(B88,'Histórico'!A:A))-1,""),""))</f>
        <v/>
      </c>
      <c r="I88" s="102">
        <f t="array" ref="I88">IF(ISTEXT(C88),xlookup(C88,'Cadastro dos Ativos'!$A$2:$A$1000,'Cadastro dos Ativos'!$D$2:$D$1000),"")</f>
        <v>45078</v>
      </c>
      <c r="J88" s="88">
        <v>700.0</v>
      </c>
      <c r="K88" s="47">
        <f t="array" ref="K88">if(and(J88&lt;&gt;"",D88&lt;&gt;"Futuros"),
if(F88=Controle!$C$2, M88/xlookup(workday(B88,-1,Feriados!A:A),Controle!$B$10:$B$1000,Controle!$C$10:$C$1000),
if(F88=Controle!$F$2, M88/xlookup(workday(B88,-1,Feriados!A:A),Controle!$B$10:$B$1000,Controle!$F$10:$F$1000),
if(F88=Controle!$I$2, M88/xlookup(workday(B88,-1,Feriados!A:A),Controle!$B$10:$B$1000,Controle!$I$10:$I$1000),
if(F88=Controle!$L$2, M88/xlookup(workday(B88,-1,Feriados!A:A),Controle!$B$10:$B$1000,Controle!$L$10:$L$1000),
)))),
if(and(J88&lt;&gt;"",D88="Futuros"),
if(F88=Controle!$C$2, N88/xlookup(workday(B88,-1,Feriados!A:A),Controle!$B$10:$B$1000,Controle!$C$10:$C$1000),
if(F88=Controle!$F$2, N88/xlookup(workday(B88,-1,Feriados!A:A),Controle!$B$10:$B$1000,Controle!$F$10:$F$1000),
if(F88=Controle!$I$2, N88/xlookup(workday(B88,-1,Feriados!A:A),Controle!$B$10:$B$1000,Controle!$I$10:$I$1000),
if(F88=Controle!$L$2, N88/xlookup(workday(B88,-1,Feriados!A:A),Controle!$B$10:$B$1000,Controle!$L$10:$L$1000),
)))),""))</f>
        <v>0.3385544237</v>
      </c>
      <c r="L88" s="47">
        <f t="array" ref="L88">IF($J88&lt;&gt;"", IF($D88 = "Futuros" , $N88/xlookup(WORKDAY(B88,-1,Feriados!A:A),Controle!$B$10:$B$1000,Controle!$T$10:$T$1000) , $M88/xlookup(WORKDAY(B88,-1,Feriados!A:A),Controle!$B$10:$B$1000,Controle!$T$10:$T$1000)),"")</f>
        <v>0.08522681471</v>
      </c>
      <c r="M88" s="48">
        <f t="shared" si="4"/>
        <v>-559766830</v>
      </c>
      <c r="N88" s="48">
        <f>IFERROR(IF(D88="Futuros",
IF(LEFT(C88,3)="DI1",G88*O88,
IF(LEFT(C88,3)="ISP",G88*O88*HLOOKUP("PTAX",'Histórico'!$A$1:$EL$983,MATCH(B88,'Histórico'!A:A),FALSE)*50,
IF(LEFT(C88,3)="WDO",10*G88*O88*HLOOKUP("PTAX",'Histórico'!$A$1:$EL$983,MATCH(B88,'Histórico'!A:A),FALSE),
IF(LEFT(C88,3)="DOL",50*G88*O88,
IF(LEFT(C88,3)="EUR",G88*O88*50,
IF(LEFT(C88,3)="WEU",G88*O88*10,
IF(LEFT(C88,3)="IND",G88*O88,
IF(LEFT(C88,3)="WIN",G88*O88*0.2,
IF(LEFT(C88,3)="T10",G88*O88*1000*HLOOKUP("PTAX",'Histórico'!$A$1:$EL$983,MATCH(B88,'Histórico'!A:A),FALSE),
IF(LEFT(C88,3)="CCM",G88*O88*450,
IF(LEFT(C88,3)="SJC",G88*O88*HLOOKUP("PTAX",'Histórico'!$A$1:$EL$983,MATCH(B88,'Histórico'!A:A),FALSE)*450,
IF(LEFT(C88,3)="BGI",G88*O88*330,
IF(LEFT(C88,3)="OZ1",G88*O88*250,
IF(LEFT(C88,3)="CLP",G88*O88*25,
IF(LEFT(C88,3)="EUP", O88*10000*HLOOKUP("EUR/BRL",'Histórico'!$A$1:$EL$983,MATCH(B88,'Histórico'!A:A),FALSE),
IF(LEFT(C88,3)="JSE", G88*O88*0.4,
IF(LEFT(C88,3)="GBP", O88*10000*HLOOKUP("GBP/BRL",'Histórico'!$A$1:$FG$983,MATCH(B88,'Histórico'!A:A),FALSE),
IF(LEFT(C88,3)="JAP",O88*10000*HLOOKUP("PTAX",'Histórico'!$A$1:$FG$983,MATCH(B88,'Histórico'!A:A),FALSE),
IF(LEFT(C88,3)="CNH",O88*10000*HLOOKUP("PTAX",'Histórico'!$A$1:$FG$983,MATCH(B88,'Histórico'!A:A),FALSE),
IF(LEFT(C88,3)="AUS",O88*10000*HLOOKUP("PTAX",'Histórico'!$A$1:$FG$983,MATCH(B88,'Histórico'!A:A),FALSE),
IF(LEFT(C88,3)="CAN",O88*10000*HLOOKUP("PTAX",'Histórico'!$A$1:$FG$983,MATCH(B88,'Histórico'!A:A),FALSE),
IF(LEFT(C88,3)="GBR",O88*10000*HLOOKUP("GBP/BRL",'Histórico'!$A$1:$FG$983,MATCH(B88,'Histórico'!A:A),FALSE),
IF(LEFT(C88,3)="MEX",O88*10000*HLOOKUP("PTAX",'Histórico'!$A$1:$FG$983,MATCH(B88,'Histórico'!A:A),FALSE),
IF(LEFT(C88,3)="CHL",O88*10000*HLOOKUP("PTAX",'Histórico'!$A$1:$FG$983,MATCH(B88,'Histórico'!A:A),FALSE)
)))))))))))))))))))))))),""))</f>
        <v>34661900</v>
      </c>
      <c r="O88" s="49">
        <f t="shared" si="2"/>
        <v>700</v>
      </c>
      <c r="P88" s="50">
        <f t="shared" si="3"/>
        <v>0</v>
      </c>
      <c r="Q88" s="51">
        <f>IF($C88&lt;&gt;"",SUMIFS($O$3:$O$401, $C$3:$C$401 ,$C88,$B$3:$B$401,"&lt;="&amp;Controle!$B$6),"")</f>
        <v>0</v>
      </c>
      <c r="R88" s="51">
        <f>IF($D88&lt;&gt;"",SUMIFS($O$3:$O$401, $C$3:$C$401 ,$C88,$B$3:$B$401,"&lt;="&amp;Controle!$B$6,$F$3:$F$401,$F88),"")</f>
        <v>0</v>
      </c>
      <c r="S88" s="51">
        <f>IF($D88&lt;&gt;"",SUMIFS($O$3:$O$401, $C$3:$C$401 ,$C88,$B$3:$B$401,"&lt;="&amp;'Controle D-1'!$B$6,$F$3:$F$401,$F88),"")</f>
        <v>0</v>
      </c>
      <c r="T88" s="40"/>
      <c r="U88" s="40"/>
      <c r="V88" s="40"/>
      <c r="W88" s="40"/>
      <c r="X88" s="40"/>
      <c r="Y88" s="40"/>
      <c r="Z88" s="40"/>
      <c r="AA88" s="40"/>
      <c r="AB88" s="40"/>
      <c r="AC88" s="40"/>
    </row>
    <row r="89" ht="15.75" customHeight="1">
      <c r="A89" s="28"/>
      <c r="B89" s="68">
        <v>45055.0</v>
      </c>
      <c r="C89" s="88" t="s">
        <v>73</v>
      </c>
      <c r="D89" s="88" t="s">
        <v>12</v>
      </c>
      <c r="E89" s="88" t="s">
        <v>208</v>
      </c>
      <c r="F89" s="88" t="s">
        <v>200</v>
      </c>
      <c r="G89" s="46">
        <v>52822.81</v>
      </c>
      <c r="H89" s="101"/>
      <c r="I89" s="88">
        <v>47120.0</v>
      </c>
      <c r="J89" s="88">
        <v>2272.0</v>
      </c>
      <c r="K89" s="47">
        <f t="array" ref="K89">if(and(J89&lt;&gt;"",D89&lt;&gt;"Futuros"),
if(F89=Controle!$C$2, M89/xlookup(workday(B89,-1,Feriados!A:A),Controle!$B$10:$B$1000,Controle!$C$10:$C$1000),
if(F89=Controle!$F$2, M89/xlookup(workday(B89,-1,Feriados!A:A),Controle!$B$10:$B$1000,Controle!$F$10:$F$1000),
if(F89=Controle!$I$2, M89/xlookup(workday(B89,-1,Feriados!A:A),Controle!$B$10:$B$1000,Controle!$I$10:$I$1000),
if(F89=Controle!$L$2, M89/xlookup(workday(B89,-1,Feriados!A:A),Controle!$B$10:$B$1000,Controle!$L$10:$L$1000),
)))),
if(and(J89&lt;&gt;"",D89="Futuros"),
if(F89=Controle!$C$2, N89/xlookup(workday(B89,-1,Feriados!A:A),Controle!$B$10:$B$1000,Controle!$C$10:$C$1000),
if(F89=Controle!$F$2, N89/xlookup(workday(B89,-1,Feriados!A:A),Controle!$B$10:$B$1000,Controle!$F$10:$F$1000),
if(F89=Controle!$I$2, N89/xlookup(workday(B89,-1,Feriados!A:A),Controle!$B$10:$B$1000,Controle!$I$10:$I$1000),
if(F89=Controle!$L$2, N89/xlookup(workday(B89,-1,Feriados!A:A),Controle!$B$10:$B$1000,Controle!$L$10:$L$1000),
)))),""))</f>
        <v>1.173047684</v>
      </c>
      <c r="L89" s="47">
        <f t="array" ref="L89">IF($J89&lt;&gt;"", IF($D89 = "Futuros" , $N89/xlookup(WORKDAY(B89,-1,Feriados!A:A),Controle!$B$10:$B$1000,Controle!$T$10:$T$1000) , $M89/xlookup(WORKDAY(B89,-1,Feriados!A:A),Controle!$B$10:$B$1000,Controle!$T$10:$T$1000)),"")</f>
        <v>0.2939718494</v>
      </c>
      <c r="M89" s="48">
        <f t="shared" si="4"/>
        <v>-120013424.3</v>
      </c>
      <c r="N89" s="48">
        <f>IFERROR(IF(D89="Futuros",
IF(LEFT(C89,3)="DI1",G89*O89,
IF(LEFT(C89,3)="ISP",G89*O89*HLOOKUP("PTAX",'Histórico'!$A$1:$EL$983,MATCH(B89,'Histórico'!A:A),FALSE)*50,
IF(LEFT(C89,3)="WDO",10*G89*O89*HLOOKUP("PTAX",'Histórico'!$A$1:$EL$983,MATCH(B89,'Histórico'!A:A),FALSE),
IF(LEFT(C89,3)="DOL",50*G89*O89,
IF(LEFT(C89,3)="EUR",G89*O89*50,
IF(LEFT(C89,3)="WEU",G89*O89*10,
IF(LEFT(C89,3)="IND",G89*O89,
IF(LEFT(C89,3)="WIN",G89*O89*0.2,
IF(LEFT(C89,3)="T10",G89*O89*1000*HLOOKUP("PTAX",'Histórico'!$A$1:$EL$983,MATCH(B89,'Histórico'!A:A),FALSE),
IF(LEFT(C89,3)="CCM",G89*O89*450,
IF(LEFT(C89,3)="SJC",G89*O89*HLOOKUP("PTAX",'Histórico'!$A$1:$EL$983,MATCH(B89,'Histórico'!A:A),FALSE)*450,
IF(LEFT(C89,3)="BGI",G89*O89*330,
IF(LEFT(C89,3)="OZ1",G89*O89*250,
IF(LEFT(C89,3)="CLP",G89*O89*25,
IF(LEFT(C89,3)="EUP", O89*10000*HLOOKUP("EUR/BRL",'Histórico'!$A$1:$EL$983,MATCH(B89,'Histórico'!A:A),FALSE),
IF(LEFT(C89,3)="JSE", G89*O89*0.4,
IF(LEFT(C89,3)="GBP", O89*10000*HLOOKUP("GBP/BRL",'Histórico'!$A$1:$FG$983,MATCH(B89,'Histórico'!A:A),FALSE),
IF(LEFT(C89,3)="JAP",O89*10000*HLOOKUP("PTAX",'Histórico'!$A$1:$FG$983,MATCH(B89,'Histórico'!A:A),FALSE),
IF(LEFT(C89,3)="CNH",O89*10000*HLOOKUP("PTAX",'Histórico'!$A$1:$FG$983,MATCH(B89,'Histórico'!A:A),FALSE),
IF(LEFT(C89,3)="AUS",O89*10000*HLOOKUP("PTAX",'Histórico'!$A$1:$FG$983,MATCH(B89,'Histórico'!A:A),FALSE),
IF(LEFT(C89,3)="CAN",O89*10000*HLOOKUP("PTAX",'Histórico'!$A$1:$FG$983,MATCH(B89,'Histórico'!A:A),FALSE),
IF(LEFT(C89,3)="GBR",O89*10000*HLOOKUP("GBP/BRL",'Histórico'!$A$1:$FG$983,MATCH(B89,'Histórico'!A:A),FALSE),
IF(LEFT(C89,3)="MEX",O89*10000*HLOOKUP("PTAX",'Histórico'!$A$1:$FG$983,MATCH(B89,'Histórico'!A:A),FALSE),
IF(LEFT(C89,3)="CHL",O89*10000*HLOOKUP("PTAX",'Histórico'!$A$1:$FG$983,MATCH(B89,'Histórico'!A:A),FALSE)
)))))))))))))))))))))))),""))</f>
        <v>120013424.3</v>
      </c>
      <c r="O89" s="49">
        <f t="shared" si="2"/>
        <v>2272</v>
      </c>
      <c r="P89" s="50">
        <f t="shared" si="3"/>
        <v>0</v>
      </c>
      <c r="Q89" s="51">
        <f>IF($C89&lt;&gt;"",SUMIFS($O$3:$O$401, $C$3:$C$401 ,$C89,$B$3:$B$401,"&lt;="&amp;Controle!$B$6),"")</f>
        <v>-50</v>
      </c>
      <c r="R89" s="51">
        <f>IF($D89&lt;&gt;"",SUMIFS($O$3:$O$401, $C$3:$C$401 ,$C89,$B$3:$B$401,"&lt;="&amp;Controle!$B$6,$F$3:$F$401,$F89),"")</f>
        <v>0</v>
      </c>
      <c r="S89" s="51">
        <f>IF($D89&lt;&gt;"",SUMIFS($O$3:$O$401, $C$3:$C$401 ,$C89,$B$3:$B$401,"&lt;="&amp;'Controle D-1'!$B$6,$F$3:$F$401,$F89),"")</f>
        <v>0</v>
      </c>
      <c r="T89" s="40"/>
      <c r="U89" s="40"/>
      <c r="V89" s="40"/>
      <c r="W89" s="40"/>
      <c r="X89" s="40"/>
      <c r="Y89" s="40"/>
      <c r="Z89" s="40"/>
      <c r="AA89" s="40"/>
      <c r="AB89" s="40"/>
      <c r="AC89" s="40"/>
    </row>
    <row r="90" ht="15.75" customHeight="1">
      <c r="A90" s="28"/>
      <c r="B90" s="68">
        <v>45055.0</v>
      </c>
      <c r="C90" s="88" t="s">
        <v>65</v>
      </c>
      <c r="D90" s="88" t="str">
        <f>IF(ISTEXT(C90),VLOOKUP(C90,'Cadastro dos Ativos'!$A$2:$C$1000,3,0),"")</f>
        <v>Futuros</v>
      </c>
      <c r="E90" s="88" t="s">
        <v>208</v>
      </c>
      <c r="F90" s="88" t="s">
        <v>201</v>
      </c>
      <c r="G90" s="46">
        <v>90568.56</v>
      </c>
      <c r="H90" s="101" t="str">
        <f>if($D90="Ações Americanas", HLOOKUP("PTAX",'Histórico'!$A$1:$EL$983,(MATCH(B90,'Histórico'!A:A))-1,""),
if($D90="Ações Europeias", HLOOKUP("EUR/BRL",'Histórico'!$A$1:$EL$983,(MATCH(B90,'Histórico'!A:A))-1,""),""))</f>
        <v/>
      </c>
      <c r="I90" s="110">
        <f t="array" ref="I90">IF(ISTEXT(C90),xlookup(C90,'Cadastro dos Ativos'!$A$2:$A$1000,'Cadastro dos Ativos'!$D$2:$D$1000),"")</f>
        <v>45352</v>
      </c>
      <c r="J90" s="88">
        <v>980.0</v>
      </c>
      <c r="K90" s="47">
        <f t="array" ref="K90">if(and(J90&lt;&gt;"",D90&lt;&gt;"Futuros"),
if(F90=Controle!$C$2, M90/xlookup(workday(B90,-1,Feriados!A:A),Controle!$B$10:$B$1000,Controle!$C$10:$C$1000),
if(F90=Controle!$F$2, M90/xlookup(workday(B90,-1,Feriados!A:A),Controle!$B$10:$B$1000,Controle!$F$10:$F$1000),
if(F90=Controle!$I$2, M90/xlookup(workday(B90,-1,Feriados!A:A),Controle!$B$10:$B$1000,Controle!$I$10:$I$1000),
if(F90=Controle!$L$2, M90/xlookup(workday(B90,-1,Feriados!A:A),Controle!$B$10:$B$1000,Controle!$L$10:$L$1000),
)))),
if(and(J90&lt;&gt;"",D90="Futuros"),
if(F90=Controle!$C$2, N90/xlookup(workday(B90,-1,Feriados!A:A),Controle!$B$10:$B$1000,Controle!$C$10:$C$1000),
if(F90=Controle!$F$2, N90/xlookup(workday(B90,-1,Feriados!A:A),Controle!$B$10:$B$1000,Controle!$F$10:$F$1000),
if(F90=Controle!$I$2, N90/xlookup(workday(B90,-1,Feriados!A:A),Controle!$B$10:$B$1000,Controle!$I$10:$I$1000),
if(F90=Controle!$L$2, N90/xlookup(workday(B90,-1,Feriados!A:A),Controle!$B$10:$B$1000,Controle!$L$10:$L$1000),
)))),""))</f>
        <v>0.8726991338</v>
      </c>
      <c r="L90" s="47">
        <f t="array" ref="L90">IF($J90&lt;&gt;"", IF($D90 = "Futuros" , $N90/xlookup(WORKDAY(B90,-1,Feriados!A:A),Controle!$B$10:$B$1000,Controle!$T$10:$T$1000) , $M90/xlookup(WORKDAY(B90,-1,Feriados!A:A),Controle!$B$10:$B$1000,Controle!$T$10:$T$1000)),"")</f>
        <v>0.2174099697</v>
      </c>
      <c r="M90" s="48">
        <f t="shared" si="4"/>
        <v>-88757188.8</v>
      </c>
      <c r="N90" s="48">
        <f>IFERROR(IF(D90="Futuros",
IF(LEFT(C90,3)="DI1",G90*O90,
IF(LEFT(C90,3)="ISP",G90*O90*HLOOKUP("PTAX",'Histórico'!$A$1:$EL$983,MATCH(B90,'Histórico'!A:A),FALSE)*50,
IF(LEFT(C90,3)="WDO",10*G90*O90*HLOOKUP("PTAX",'Histórico'!$A$1:$EL$983,MATCH(B90,'Histórico'!A:A),FALSE),
IF(LEFT(C90,3)="DOL",50*G90*O90,
IF(LEFT(C90,3)="EUR",G90*O90*50,
IF(LEFT(C90,3)="WEU",G90*O90*10,
IF(LEFT(C90,3)="IND",G90*O90,
IF(LEFT(C90,3)="WIN",G90*O90*0.2,
IF(LEFT(C90,3)="T10",G90*O90*1000*HLOOKUP("PTAX",'Histórico'!$A$1:$EL$983,MATCH(B90,'Histórico'!A:A),FALSE),
IF(LEFT(C90,3)="CCM",G90*O90*450,
IF(LEFT(C90,3)="SJC",G90*O90*HLOOKUP("PTAX",'Histórico'!$A$1:$EL$983,MATCH(B90,'Histórico'!A:A),FALSE)*450,
IF(LEFT(C90,3)="BGI",G90*O90*330,
IF(LEFT(C90,3)="OZ1",G90*O90*250,
IF(LEFT(C90,3)="CLP",G90*O90*25,
IF(LEFT(C90,3)="EUP", O90*10000*HLOOKUP("EUR/BRL",'Histórico'!$A$1:$EL$983,MATCH(B90,'Histórico'!A:A),FALSE),
IF(LEFT(C90,3)="JSE", G90*O90*0.4,
IF(LEFT(C90,3)="GBP", O90*10000*HLOOKUP("GBP/BRL",'Histórico'!$A$1:$FG$983,MATCH(B90,'Histórico'!A:A),FALSE),
IF(LEFT(C90,3)="JAP",O90*10000*HLOOKUP("PTAX",'Histórico'!$A$1:$FG$983,MATCH(B90,'Histórico'!A:A),FALSE),
IF(LEFT(C90,3)="CNH",O90*10000*HLOOKUP("PTAX",'Histórico'!$A$1:$FG$983,MATCH(B90,'Histórico'!A:A),FALSE),
IF(LEFT(C90,3)="AUS",O90*10000*HLOOKUP("PTAX",'Histórico'!$A$1:$FG$983,MATCH(B90,'Histórico'!A:A),FALSE),
IF(LEFT(C90,3)="CAN",O90*10000*HLOOKUP("PTAX",'Histórico'!$A$1:$FG$983,MATCH(B90,'Histórico'!A:A),FALSE),
IF(LEFT(C90,3)="GBR",O90*10000*HLOOKUP("GBP/BRL",'Histórico'!$A$1:$FG$983,MATCH(B90,'Histórico'!A:A),FALSE),
IF(LEFT(C90,3)="MEX",O90*10000*HLOOKUP("PTAX",'Histórico'!$A$1:$FG$983,MATCH(B90,'Histórico'!A:A),FALSE),
IF(LEFT(C90,3)="CHL",O90*10000*HLOOKUP("PTAX",'Histórico'!$A$1:$FG$983,MATCH(B90,'Histórico'!A:A),FALSE)
)))))))))))))))))))))))),""))</f>
        <v>88757188.8</v>
      </c>
      <c r="O90" s="49">
        <f t="shared" si="2"/>
        <v>980</v>
      </c>
      <c r="P90" s="50">
        <f t="shared" si="3"/>
        <v>0</v>
      </c>
      <c r="Q90" s="51">
        <f>IF($C90&lt;&gt;"",SUMIFS($O$3:$O$401, $C$3:$C$401 ,$C90,$B$3:$B$401,"&lt;="&amp;Controle!$B$6),"")</f>
        <v>0</v>
      </c>
      <c r="R90" s="51">
        <f>IF($D90&lt;&gt;"",SUMIFS($O$3:$O$401, $C$3:$C$401 ,$C90,$B$3:$B$401,"&lt;="&amp;Controle!$B$6,$F$3:$F$401,$F90),"")</f>
        <v>0</v>
      </c>
      <c r="S90" s="51">
        <f>IF($D90&lt;&gt;"",SUMIFS($O$3:$O$401, $C$3:$C$401 ,$C90,$B$3:$B$401,"&lt;="&amp;'Controle D-1'!$B$6,$F$3:$F$401,$F90),"")</f>
        <v>0</v>
      </c>
      <c r="T90" s="40"/>
      <c r="U90" s="40"/>
      <c r="V90" s="40"/>
      <c r="W90" s="40"/>
      <c r="X90" s="40"/>
      <c r="Y90" s="40"/>
      <c r="Z90" s="40"/>
      <c r="AA90" s="40"/>
      <c r="AB90" s="40"/>
      <c r="AC90" s="40"/>
    </row>
    <row r="91" ht="15.75" customHeight="1">
      <c r="A91" s="28"/>
      <c r="B91" s="68">
        <v>45055.0</v>
      </c>
      <c r="C91" s="88" t="s">
        <v>90</v>
      </c>
      <c r="D91" s="88" t="str">
        <f>IF(ISTEXT(C91),VLOOKUP(C91,'Cadastro dos Ativos'!$A$2:$C$1000,3,0),"")</f>
        <v>Futuros</v>
      </c>
      <c r="E91" s="88" t="s">
        <v>208</v>
      </c>
      <c r="F91" s="88" t="s">
        <v>201</v>
      </c>
      <c r="G91" s="46">
        <v>134314.154</v>
      </c>
      <c r="H91" s="101" t="str">
        <f>if($D91="Ações Americanas", HLOOKUP("PTAX",'Histórico'!$A$1:$EL$983,(MATCH(B91,'Histórico'!A:A))-1,""),
if($D91="Ações Europeias", HLOOKUP("EUR/BRL",'Histórico'!$A$1:$EL$983,(MATCH(B91,'Histórico'!A:A))-1,""),""))</f>
        <v/>
      </c>
      <c r="I91" s="110">
        <f t="array" ref="I91">IF(ISTEXT(C91),xlookup(C91,'Cadastro dos Ativos'!$A$2:$A$1000,'Cadastro dos Ativos'!$D$2:$D$1000),"")</f>
        <v>45078</v>
      </c>
      <c r="J91" s="88">
        <v>1050.0</v>
      </c>
      <c r="K91" s="47">
        <f t="array" ref="K91">if(and(J91&lt;&gt;"",D91&lt;&gt;"Futuros"),
if(F91=Controle!$C$2, M91/xlookup(workday(B91,-1,Feriados!A:A),Controle!$B$10:$B$1000,Controle!$C$10:$C$1000),
if(F91=Controle!$F$2, M91/xlookup(workday(B91,-1,Feriados!A:A),Controle!$B$10:$B$1000,Controle!$F$10:$F$1000),
if(F91=Controle!$I$2, M91/xlookup(workday(B91,-1,Feriados!A:A),Controle!$B$10:$B$1000,Controle!$I$10:$I$1000),
if(F91=Controle!$L$2, M91/xlookup(workday(B91,-1,Feriados!A:A),Controle!$B$10:$B$1000,Controle!$L$10:$L$1000),
)))),
if(and(J91&lt;&gt;"",D91="Futuros"),
if(F91=Controle!$C$2, N91/xlookup(workday(B91,-1,Feriados!A:A),Controle!$B$10:$B$1000,Controle!$C$10:$C$1000),
if(F91=Controle!$F$2, N91/xlookup(workday(B91,-1,Feriados!A:A),Controle!$B$10:$B$1000,Controle!$F$10:$F$1000),
if(F91=Controle!$I$2, N91/xlookup(workday(B91,-1,Feriados!A:A),Controle!$B$10:$B$1000,Controle!$I$10:$I$1000),
if(F91=Controle!$L$2, N91/xlookup(workday(B91,-1,Feriados!A:A),Controle!$B$10:$B$1000,Controle!$L$10:$L$1000),
)))),""))</f>
        <v>0.5149638587</v>
      </c>
      <c r="L91" s="47">
        <f t="array" ref="L91">IF($J91&lt;&gt;"", IF($D91 = "Futuros" , $N91/xlookup(WORKDAY(B91,-1,Feriados!A:A),Controle!$B$10:$B$1000,Controle!$T$10:$T$1000) , $M91/xlookup(WORKDAY(B91,-1,Feriados!A:A),Controle!$B$10:$B$1000,Controle!$T$10:$T$1000)),"")</f>
        <v>0.128289662</v>
      </c>
      <c r="M91" s="48">
        <f t="shared" si="4"/>
        <v>-141029861.7</v>
      </c>
      <c r="N91" s="48">
        <f>IFERROR(IF(D91="Futuros",
IF(LEFT(C91,3)="DI1",G91*O91,
IF(LEFT(C91,3)="ISP",G91*O91*HLOOKUP("PTAX",'Histórico'!$A$1:$EL$983,MATCH(B91,'Histórico'!A:A),FALSE)*50,
IF(LEFT(C91,3)="WDO",10*G91*O91*HLOOKUP("PTAX",'Histórico'!$A$1:$EL$983,MATCH(B91,'Histórico'!A:A),FALSE),
IF(LEFT(C91,3)="DOL",50*G91*O91,
IF(LEFT(C91,3)="EUR",G91*O91*50,
IF(LEFT(C91,3)="WEU",G91*O91*10,
IF(LEFT(C91,3)="IND",G91*O91,
IF(LEFT(C91,3)="WIN",G91*O91*0.2,
IF(LEFT(C91,3)="T10",G91*O91*1000*HLOOKUP("PTAX",'Histórico'!$A$1:$EL$983,MATCH(B91,'Histórico'!A:A),FALSE),
IF(LEFT(C91,3)="CCM",G91*O91*450,
IF(LEFT(C91,3)="SJC",G91*O91*HLOOKUP("PTAX",'Histórico'!$A$1:$EL$983,MATCH(B91,'Histórico'!A:A),FALSE)*450,
IF(LEFT(C91,3)="BGI",G91*O91*330,
IF(LEFT(C91,3)="OZ1",G91*O91*250,
IF(LEFT(C91,3)="CLP",G91*O91*25,
IF(LEFT(C91,3)="EUP", O91*10000*HLOOKUP("EUR/BRL",'Histórico'!$A$1:$EL$983,MATCH(B91,'Histórico'!A:A),FALSE),
IF(LEFT(C91,3)="JSE", G91*O91*0.4,
IF(LEFT(C91,3)="GBP", O91*10000*HLOOKUP("GBP/BRL",'Histórico'!$A$1:$FG$983,MATCH(B91,'Histórico'!A:A),FALSE),
IF(LEFT(C91,3)="JAP",O91*10000*HLOOKUP("PTAX",'Histórico'!$A$1:$FG$983,MATCH(B91,'Histórico'!A:A),FALSE),
IF(LEFT(C91,3)="CNH",O91*10000*HLOOKUP("PTAX",'Histórico'!$A$1:$FG$983,MATCH(B91,'Histórico'!A:A),FALSE),
IF(LEFT(C91,3)="AUS",O91*10000*HLOOKUP("PTAX",'Histórico'!$A$1:$FG$983,MATCH(B91,'Histórico'!A:A),FALSE),
IF(LEFT(C91,3)="CAN",O91*10000*HLOOKUP("PTAX",'Histórico'!$A$1:$FG$983,MATCH(B91,'Histórico'!A:A),FALSE),
IF(LEFT(C91,3)="GBR",O91*10000*HLOOKUP("GBP/BRL",'Histórico'!$A$1:$FG$983,MATCH(B91,'Histórico'!A:A),FALSE),
IF(LEFT(C91,3)="MEX",O91*10000*HLOOKUP("PTAX",'Histórico'!$A$1:$FG$983,MATCH(B91,'Histórico'!A:A),FALSE),
IF(LEFT(C91,3)="CHL",O91*10000*HLOOKUP("PTAX",'Histórico'!$A$1:$FG$983,MATCH(B91,'Histórico'!A:A),FALSE)
)))))))))))))))))))))))),""))</f>
        <v>52374000</v>
      </c>
      <c r="O91" s="49">
        <f t="shared" si="2"/>
        <v>1050</v>
      </c>
      <c r="P91" s="50">
        <f t="shared" si="3"/>
        <v>0</v>
      </c>
      <c r="Q91" s="51">
        <f>IF($C91&lt;&gt;"",SUMIFS($O$3:$O$401, $C$3:$C$401 ,$C91,$B$3:$B$401,"&lt;="&amp;Controle!$B$6),"")</f>
        <v>0</v>
      </c>
      <c r="R91" s="51">
        <f>IF($D91&lt;&gt;"",SUMIFS($O$3:$O$401, $C$3:$C$401 ,$C91,$B$3:$B$401,"&lt;="&amp;Controle!$B$6,$F$3:$F$401,$F91),"")</f>
        <v>0</v>
      </c>
      <c r="S91" s="51">
        <f>IF($D91&lt;&gt;"",SUMIFS($O$3:$O$401, $C$3:$C$401 ,$C91,$B$3:$B$401,"&lt;="&amp;'Controle D-1'!$B$6,$F$3:$F$401,$F91),"")</f>
        <v>0</v>
      </c>
      <c r="T91" s="40"/>
      <c r="U91" s="40"/>
      <c r="V91" s="40"/>
      <c r="W91" s="40"/>
      <c r="X91" s="40"/>
      <c r="Y91" s="40"/>
      <c r="Z91" s="40"/>
      <c r="AA91" s="40"/>
      <c r="AB91" s="40"/>
      <c r="AC91" s="40"/>
    </row>
    <row r="92" ht="15.75" customHeight="1">
      <c r="A92" s="28"/>
      <c r="B92" s="68">
        <v>45055.0</v>
      </c>
      <c r="C92" s="88" t="s">
        <v>73</v>
      </c>
      <c r="D92" s="88" t="str">
        <f>IF(ISTEXT(C92),VLOOKUP(C92,'Cadastro dos Ativos'!$A$2:$C$1000,3,0),"")</f>
        <v>Futuros</v>
      </c>
      <c r="E92" s="88" t="s">
        <v>198</v>
      </c>
      <c r="F92" s="88" t="s">
        <v>201</v>
      </c>
      <c r="G92" s="46">
        <v>52907.2</v>
      </c>
      <c r="H92" s="101" t="str">
        <f>if($D92="Ações Americanas", HLOOKUP("PTAX",'Histórico'!$A$1:$EL$983,(MATCH(B92,'Histórico'!A:A))-1,""),
if($D92="Ações Europeias", HLOOKUP("EUR/BRL",'Histórico'!$A$1:$EL$983,(MATCH(B92,'Histórico'!A:A))-1,""),""))</f>
        <v/>
      </c>
      <c r="I92" s="102">
        <f t="array" ref="I92">IF(ISTEXT(C92),xlookup(C92,'Cadastro dos Ativos'!$A$2:$A$1000,'Cadastro dos Ativos'!$D$2:$D$1000),"")</f>
        <v>47120</v>
      </c>
      <c r="J92" s="88">
        <v>1830.0</v>
      </c>
      <c r="K92" s="47">
        <f t="array" ref="K92">if(and(J92&lt;&gt;"",D92&lt;&gt;"Futuros"),
if(F92=Controle!$C$2, M92/xlookup(workday(B92,-1,Feriados!A:A),Controle!$B$10:$B$1000,Controle!$C$10:$C$1000),
if(F92=Controle!$F$2, M92/xlookup(workday(B92,-1,Feriados!A:A),Controle!$B$10:$B$1000,Controle!$F$10:$F$1000),
if(F92=Controle!$I$2, M92/xlookup(workday(B92,-1,Feriados!A:A),Controle!$B$10:$B$1000,Controle!$I$10:$I$1000),
if(F92=Controle!$L$2, M92/xlookup(workday(B92,-1,Feriados!A:A),Controle!$B$10:$B$1000,Controle!$L$10:$L$1000),
)))),
if(and(J92&lt;&gt;"",D92="Futuros"),
if(F92=Controle!$C$2, N92/xlookup(workday(B92,-1,Feriados!A:A),Controle!$B$10:$B$1000,Controle!$C$10:$C$1000),
if(F92=Controle!$F$2, N92/xlookup(workday(B92,-1,Feriados!A:A),Controle!$B$10:$B$1000,Controle!$F$10:$F$1000),
if(F92=Controle!$I$2, N92/xlookup(workday(B92,-1,Feriados!A:A),Controle!$B$10:$B$1000,Controle!$I$10:$I$1000),
if(F92=Controle!$L$2, N92/xlookup(workday(B92,-1,Feriados!A:A),Controle!$B$10:$B$1000,Controle!$L$10:$L$1000),
)))),""))</f>
        <v>-0.9519779172</v>
      </c>
      <c r="L92" s="47">
        <f t="array" ref="L92">IF($J92&lt;&gt;"", IF($D92 = "Futuros" , $N92/xlookup(WORKDAY(B92,-1,Feriados!A:A),Controle!$B$10:$B$1000,Controle!$T$10:$T$1000) , $M92/xlookup(WORKDAY(B92,-1,Feriados!A:A),Controle!$B$10:$B$1000,Controle!$T$10:$T$1000)),"")</f>
        <v>-0.2371601874</v>
      </c>
      <c r="M92" s="48">
        <f t="shared" si="4"/>
        <v>96820176</v>
      </c>
      <c r="N92" s="48">
        <f>IFERROR(IF(D92="Futuros",
IF(LEFT(C92,3)="DI1",G92*O92,
IF(LEFT(C92,3)="ISP",G92*O92*HLOOKUP("PTAX",'Histórico'!$A$1:$EL$983,MATCH(B92,'Histórico'!A:A),FALSE)*50,
IF(LEFT(C92,3)="WDO",10*G92*O92*HLOOKUP("PTAX",'Histórico'!$A$1:$EL$983,MATCH(B92,'Histórico'!A:A),FALSE),
IF(LEFT(C92,3)="DOL",50*G92*O92,
IF(LEFT(C92,3)="EUR",G92*O92*50,
IF(LEFT(C92,3)="WEU",G92*O92*10,
IF(LEFT(C92,3)="IND",G92*O92,
IF(LEFT(C92,3)="WIN",G92*O92*0.2,
IF(LEFT(C92,3)="T10",G92*O92*1000*HLOOKUP("PTAX",'Histórico'!$A$1:$EL$983,MATCH(B92,'Histórico'!A:A),FALSE),
IF(LEFT(C92,3)="CCM",G92*O92*450,
IF(LEFT(C92,3)="SJC",G92*O92*HLOOKUP("PTAX",'Histórico'!$A$1:$EL$983,MATCH(B92,'Histórico'!A:A),FALSE)*450,
IF(LEFT(C92,3)="BGI",G92*O92*330,
IF(LEFT(C92,3)="OZ1",G92*O92*250,
IF(LEFT(C92,3)="CLP",G92*O92*25,
IF(LEFT(C92,3)="EUP", O92*10000*HLOOKUP("EUR/BRL",'Histórico'!$A$1:$EL$983,MATCH(B92,'Histórico'!A:A),FALSE),
IF(LEFT(C92,3)="JSE", G92*O92*0.4,
IF(LEFT(C92,3)="GBP", O92*10000*HLOOKUP("GBP/BRL",'Histórico'!$A$1:$FG$983,MATCH(B92,'Histórico'!A:A),FALSE),
IF(LEFT(C92,3)="JAP",O92*10000*HLOOKUP("PTAX",'Histórico'!$A$1:$FG$983,MATCH(B92,'Histórico'!A:A),FALSE),
IF(LEFT(C92,3)="CNH",O92*10000*HLOOKUP("PTAX",'Histórico'!$A$1:$FG$983,MATCH(B92,'Histórico'!A:A),FALSE),
IF(LEFT(C92,3)="AUS",O92*10000*HLOOKUP("PTAX",'Histórico'!$A$1:$FG$983,MATCH(B92,'Histórico'!A:A),FALSE),
IF(LEFT(C92,3)="CAN",O92*10000*HLOOKUP("PTAX",'Histórico'!$A$1:$FG$983,MATCH(B92,'Histórico'!A:A),FALSE),
IF(LEFT(C92,3)="GBR",O92*10000*HLOOKUP("GBP/BRL",'Histórico'!$A$1:$FG$983,MATCH(B92,'Histórico'!A:A),FALSE),
IF(LEFT(C92,3)="MEX",O92*10000*HLOOKUP("PTAX",'Histórico'!$A$1:$FG$983,MATCH(B92,'Histórico'!A:A),FALSE),
IF(LEFT(C92,3)="CHL",O92*10000*HLOOKUP("PTAX",'Histórico'!$A$1:$FG$983,MATCH(B92,'Histórico'!A:A),FALSE)
)))))))))))))))))))))))),""))</f>
        <v>-96820176</v>
      </c>
      <c r="O92" s="49">
        <f t="shared" si="2"/>
        <v>-1830</v>
      </c>
      <c r="P92" s="50">
        <f t="shared" si="3"/>
        <v>0</v>
      </c>
      <c r="Q92" s="51">
        <f>IF($C92&lt;&gt;"",SUMIFS($O$3:$O$401, $C$3:$C$401 ,$C92,$B$3:$B$401,"&lt;="&amp;Controle!$B$6),"")</f>
        <v>-50</v>
      </c>
      <c r="R92" s="51">
        <f>IF($D92&lt;&gt;"",SUMIFS($O$3:$O$401, $C$3:$C$401 ,$C92,$B$3:$B$401,"&lt;="&amp;Controle!$B$6,$F$3:$F$401,$F92),"")</f>
        <v>0</v>
      </c>
      <c r="S92" s="51">
        <f>IF($D92&lt;&gt;"",SUMIFS($O$3:$O$401, $C$3:$C$401 ,$C92,$B$3:$B$401,"&lt;="&amp;'Controle D-1'!$B$6,$F$3:$F$401,$F92),"")</f>
        <v>0</v>
      </c>
      <c r="T92" s="40"/>
      <c r="U92" s="40"/>
      <c r="V92" s="40"/>
      <c r="W92" s="40"/>
      <c r="X92" s="40"/>
      <c r="Y92" s="40"/>
      <c r="Z92" s="40"/>
      <c r="AA92" s="40"/>
      <c r="AB92" s="40"/>
      <c r="AC92" s="40"/>
    </row>
    <row r="93" ht="15.75" customHeight="1">
      <c r="A93" s="28"/>
      <c r="B93" s="68">
        <v>45055.0</v>
      </c>
      <c r="C93" s="88" t="s">
        <v>92</v>
      </c>
      <c r="D93" s="88" t="str">
        <f>IF(ISTEXT(C93),VLOOKUP(C93,'Cadastro dos Ativos'!$A$2:$C$1000,3,0),"")</f>
        <v>Futuros</v>
      </c>
      <c r="E93" s="88" t="s">
        <v>208</v>
      </c>
      <c r="F93" s="88" t="s">
        <v>201</v>
      </c>
      <c r="G93" s="46">
        <v>1102.817</v>
      </c>
      <c r="H93" s="101" t="str">
        <f>if($D93="Ações Americanas", HLOOKUP("PTAX",'Histórico'!$A$1:$EL$983,(MATCH(B93,'Histórico'!A:A))-1,""),
if($D93="Ações Europeias", HLOOKUP("EUR/BRL",'Histórico'!$A$1:$EL$983,(MATCH(B93,'Histórico'!A:A))-1,""),""))</f>
        <v/>
      </c>
      <c r="I93" s="110">
        <f t="array" ref="I93">IF(ISTEXT(C93),xlookup(C93,'Cadastro dos Ativos'!$A$2:$A$1000,'Cadastro dos Ativos'!$D$2:$D$1000),"")</f>
        <v>45078</v>
      </c>
      <c r="J93" s="88">
        <v>1030.0</v>
      </c>
      <c r="K93" s="47">
        <f t="array" ref="K93">if(and(J93&lt;&gt;"",D93&lt;&gt;"Futuros"),
if(F93=Controle!$C$2, M93/xlookup(workday(B93,-1,Feriados!A:A),Controle!$B$10:$B$1000,Controle!$C$10:$C$1000),
if(F93=Controle!$F$2, M93/xlookup(workday(B93,-1,Feriados!A:A),Controle!$B$10:$B$1000,Controle!$F$10:$F$1000),
if(F93=Controle!$I$2, M93/xlookup(workday(B93,-1,Feriados!A:A),Controle!$B$10:$B$1000,Controle!$I$10:$I$1000),
if(F93=Controle!$L$2, M93/xlookup(workday(B93,-1,Feriados!A:A),Controle!$B$10:$B$1000,Controle!$L$10:$L$1000),
)))),
if(and(J93&lt;&gt;"",D93="Futuros"),
if(F93=Controle!$C$2, N93/xlookup(workday(B93,-1,Feriados!A:A),Controle!$B$10:$B$1000,Controle!$C$10:$C$1000),
if(F93=Controle!$F$2, N93/xlookup(workday(B93,-1,Feriados!A:A),Controle!$B$10:$B$1000,Controle!$F$10:$F$1000),
if(F93=Controle!$I$2, N93/xlookup(workday(B93,-1,Feriados!A:A),Controle!$B$10:$B$1000,Controle!$I$10:$I$1000),
if(F93=Controle!$L$2, N93/xlookup(workday(B93,-1,Feriados!A:A),Controle!$B$10:$B$1000,Controle!$L$10:$L$1000),
)))),""))</f>
        <v>0.5575542415</v>
      </c>
      <c r="L93" s="47">
        <f t="array" ref="L93">IF($J93&lt;&gt;"", IF($D93 = "Futuros" , $N93/xlookup(WORKDAY(B93,-1,Feriados!A:A),Controle!$B$10:$B$1000,Controle!$T$10:$T$1000) , $M93/xlookup(WORKDAY(B93,-1,Feriados!A:A),Controle!$B$10:$B$1000,Controle!$T$10:$T$1000)),"")</f>
        <v>0.1388999325</v>
      </c>
      <c r="M93" s="48">
        <f t="shared" si="4"/>
        <v>-1135901.51</v>
      </c>
      <c r="N93" s="48">
        <f>IFERROR(IF(D93="Futuros",
IF(LEFT(C93,3)="DI1",G93*O93,
IF(LEFT(C93,3)="ISP",G93*O93*HLOOKUP("PTAX",'Histórico'!$A$1:$EL$983,MATCH(B93,'Histórico'!A:A),FALSE)*50,
IF(LEFT(C93,3)="WDO",10*G93*O93*HLOOKUP("PTAX",'Histórico'!$A$1:$EL$983,MATCH(B93,'Histórico'!A:A),FALSE),
IF(LEFT(C93,3)="DOL",50*G93*O93,
IF(LEFT(C93,3)="EUR",G93*O93*50,
IF(LEFT(C93,3)="WEU",G93*O93*10,
IF(LEFT(C93,3)="IND",G93*O93,
IF(LEFT(C93,3)="WIN",G93*O93*0.2,
IF(LEFT(C93,3)="T10",G93*O93*1000*HLOOKUP("PTAX",'Histórico'!$A$1:$EL$983,MATCH(B93,'Histórico'!A:A),FALSE),
IF(LEFT(C93,3)="CCM",G93*O93*450,
IF(LEFT(C93,3)="SJC",G93*O93*HLOOKUP("PTAX",'Histórico'!$A$1:$EL$983,MATCH(B93,'Histórico'!A:A),FALSE)*450,
IF(LEFT(C93,3)="BGI",G93*O93*330,
IF(LEFT(C93,3)="OZ1",G93*O93*250,
IF(LEFT(C93,3)="CLP",G93*O93*25,
IF(LEFT(C93,3)="EUP", O93*10000*HLOOKUP("EUR/BRL",'Histórico'!$A$1:$EL$983,MATCH(B93,'Histórico'!A:A),FALSE),
IF(LEFT(C93,3)="JSE", G93*O93*0.4,
IF(LEFT(C93,3)="GBP", O93*10000*HLOOKUP("GBP/BRL",'Histórico'!$A$1:$FG$983,MATCH(B93,'Histórico'!A:A),FALSE),
IF(LEFT(C93,3)="JAP",O93*10000*HLOOKUP("PTAX",'Histórico'!$A$1:$FG$983,MATCH(B93,'Histórico'!A:A),FALSE),
IF(LEFT(C93,3)="CNH",O93*10000*HLOOKUP("PTAX",'Histórico'!$A$1:$FG$983,MATCH(B93,'Histórico'!A:A),FALSE),
IF(LEFT(C93,3)="AUS",O93*10000*HLOOKUP("PTAX",'Histórico'!$A$1:$FG$983,MATCH(B93,'Histórico'!A:A),FALSE),
IF(LEFT(C93,3)="CAN",O93*10000*HLOOKUP("PTAX",'Histórico'!$A$1:$FG$983,MATCH(B93,'Histórico'!A:A),FALSE),
IF(LEFT(C93,3)="GBR",O93*10000*HLOOKUP("GBP/BRL",'Histórico'!$A$1:$FG$983,MATCH(B93,'Histórico'!A:A),FALSE),
IF(LEFT(C93,3)="MEX",O93*10000*HLOOKUP("PTAX",'Histórico'!$A$1:$FG$983,MATCH(B93,'Histórico'!A:A),FALSE),
IF(LEFT(C93,3)="CHL",O93*10000*HLOOKUP("PTAX",'Histórico'!$A$1:$FG$983,MATCH(B93,'Histórico'!A:A),FALSE)
)))))))))))))))))))))))),""))</f>
        <v>56705621.86</v>
      </c>
      <c r="O93" s="49">
        <f t="shared" si="2"/>
        <v>1030</v>
      </c>
      <c r="P93" s="50">
        <f t="shared" si="3"/>
        <v>0</v>
      </c>
      <c r="Q93" s="51">
        <f>IF($C93&lt;&gt;"",SUMIFS($O$3:$O$401, $C$3:$C$401 ,$C93,$B$3:$B$401,"&lt;="&amp;Controle!$B$6),"")</f>
        <v>0</v>
      </c>
      <c r="R93" s="51">
        <f>IF($D93&lt;&gt;"",SUMIFS($O$3:$O$401, $C$3:$C$401 ,$C93,$B$3:$B$401,"&lt;="&amp;Controle!$B$6,$F$3:$F$401,$F93),"")</f>
        <v>0</v>
      </c>
      <c r="S93" s="51">
        <f>IF($D93&lt;&gt;"",SUMIFS($O$3:$O$401, $C$3:$C$401 ,$C93,$B$3:$B$401,"&lt;="&amp;'Controle D-1'!$B$6,$F$3:$F$401,$F93),"")</f>
        <v>0</v>
      </c>
      <c r="T93" s="40"/>
      <c r="U93" s="40"/>
      <c r="V93" s="40"/>
      <c r="W93" s="40"/>
      <c r="X93" s="40"/>
      <c r="Y93" s="40"/>
      <c r="Z93" s="40"/>
      <c r="AA93" s="40"/>
      <c r="AB93" s="40"/>
      <c r="AC93" s="40"/>
    </row>
    <row r="94" ht="15.75" customHeight="1">
      <c r="A94" s="28"/>
      <c r="B94" s="100">
        <v>45056.0</v>
      </c>
      <c r="C94" s="88" t="s">
        <v>86</v>
      </c>
      <c r="D94" s="88" t="str">
        <f>IF(ISTEXT(C94),VLOOKUP(C94,'Cadastro dos Ativos'!$A$2:$C$1000,3,0),"")</f>
        <v>Ações Americanas</v>
      </c>
      <c r="E94" s="88" t="s">
        <v>208</v>
      </c>
      <c r="F94" s="88" t="s">
        <v>200</v>
      </c>
      <c r="G94" s="46">
        <v>58.98</v>
      </c>
      <c r="H94" s="46">
        <f>if($D94="Ações Americanas", HLOOKUP("PTAX",'Histórico'!$A$1:$EL$983,(MATCH(B94,'Histórico'!A:A))-1,""),
if($D94="Ações Europeias", HLOOKUP("EUR/BRL",'Histórico'!$A$1:$EL$983,(MATCH(B94,'Histórico'!A:A))-1,""),""))</f>
        <v>4.988</v>
      </c>
      <c r="I94" s="102" t="str">
        <f t="array" ref="I94">IF(ISTEXT(C94),xlookup(C94,'Cadastro dos Ativos'!$A$2:$A$1000,'Cadastro dos Ativos'!$D$2:$D$1000),"")</f>
        <v/>
      </c>
      <c r="J94" s="88">
        <v>14500.0</v>
      </c>
      <c r="K94" s="47">
        <f t="array" ref="K94">if(and(J94&lt;&gt;"",D94&lt;&gt;"Futuros"),
if(F94=Controle!$C$2, M94/xlookup(workday(B94,-1,Feriados!A:A),Controle!$B$10:$B$1000,Controle!$C$10:$C$1000),
if(F94=Controle!$F$2, M94/xlookup(workday(B94,-1,Feriados!A:A),Controle!$B$10:$B$1000,Controle!$F$10:$F$1000),
if(F94=Controle!$I$2, M94/xlookup(workday(B94,-1,Feriados!A:A),Controle!$B$10:$B$1000,Controle!$I$10:$I$1000),
if(F94=Controle!$L$2, M94/xlookup(workday(B94,-1,Feriados!A:A),Controle!$B$10:$B$1000,Controle!$L$10:$L$1000),
)))),
if(and(J94&lt;&gt;"",D94="Futuros"),
if(F94=Controle!$C$2, N94/xlookup(workday(B94,-1,Feriados!A:A),Controle!$B$10:$B$1000,Controle!$C$10:$C$1000),
if(F94=Controle!$F$2, N94/xlookup(workday(B94,-1,Feriados!A:A),Controle!$B$10:$B$1000,Controle!$F$10:$F$1000),
if(F94=Controle!$I$2, N94/xlookup(workday(B94,-1,Feriados!A:A),Controle!$B$10:$B$1000,Controle!$I$10:$I$1000),
if(F94=Controle!$L$2, N94/xlookup(workday(B94,-1,Feriados!A:A),Controle!$B$10:$B$1000,Controle!$L$10:$L$1000),
)))),""))</f>
        <v>-0.04202226262</v>
      </c>
      <c r="L94" s="47">
        <f t="array" ref="L94">IF($J94&lt;&gt;"", IF($D94 = "Futuros" , $N94/xlookup(WORKDAY(B94,-1,Feriados!A:A),Controle!$B$10:$B$1000,Controle!$T$10:$T$1000) , $M94/xlookup(WORKDAY(B94,-1,Feriados!A:A),Controle!$B$10:$B$1000,Controle!$T$10:$T$1000)),"")</f>
        <v>-0.01047883993</v>
      </c>
      <c r="M94" s="48">
        <f t="shared" si="4"/>
        <v>-4265787.48</v>
      </c>
      <c r="N94" s="48" t="str">
        <f>IFERROR(IF(D94="Futuros",
IF(LEFT(C94,3)="DI1",G94*O94,
IF(LEFT(C94,3)="ISP",G94*O94*HLOOKUP("PTAX",'Histórico'!$A$1:$EL$983,MATCH(B94,'Histórico'!A:A),FALSE)*50,
IF(LEFT(C94,3)="WDO",10*G94*O94*HLOOKUP("PTAX",'Histórico'!$A$1:$EL$983,MATCH(B94,'Histórico'!A:A),FALSE),
IF(LEFT(C94,3)="DOL",50*G94*O94,
IF(LEFT(C94,3)="EUR",G94*O94*50,
IF(LEFT(C94,3)="WEU",G94*O94*10,
IF(LEFT(C94,3)="IND",G94*O94,
IF(LEFT(C94,3)="WIN",G94*O94*0.2,
IF(LEFT(C94,3)="T10",G94*O94*1000*HLOOKUP("PTAX",'Histórico'!$A$1:$EL$983,MATCH(B94,'Histórico'!A:A),FALSE),
IF(LEFT(C94,3)="CCM",G94*O94*450,
IF(LEFT(C94,3)="SJC",G94*O94*HLOOKUP("PTAX",'Histórico'!$A$1:$EL$983,MATCH(B94,'Histórico'!A:A),FALSE)*450,
IF(LEFT(C94,3)="BGI",G94*O94*330,
IF(LEFT(C94,3)="OZ1",G94*O94*250,
IF(LEFT(C94,3)="CLP",G94*O94*25,
IF(LEFT(C94,3)="EUP", O94*10000*HLOOKUP("EUR/BRL",'Histórico'!$A$1:$EL$983,MATCH(B94,'Histórico'!A:A),FALSE),
IF(LEFT(C94,3)="JSE", G94*O94*0.4,
IF(LEFT(C94,3)="GBP", O94*10000*HLOOKUP("GBP/BRL",'Histórico'!$A$1:$FG$983,MATCH(B94,'Histórico'!A:A),FALSE),
IF(LEFT(C94,3)="JAP",O94*10000*HLOOKUP("PTAX",'Histórico'!$A$1:$FG$983,MATCH(B94,'Histórico'!A:A),FALSE),
IF(LEFT(C94,3)="CNH",O94*10000*HLOOKUP("PTAX",'Histórico'!$A$1:$FG$983,MATCH(B94,'Histórico'!A:A),FALSE),
IF(LEFT(C94,3)="AUS",O94*10000*HLOOKUP("PTAX",'Histórico'!$A$1:$FG$983,MATCH(B94,'Histórico'!A:A),FALSE),
IF(LEFT(C94,3)="CAN",O94*10000*HLOOKUP("PTAX",'Histórico'!$A$1:$FG$983,MATCH(B94,'Histórico'!A:A),FALSE),
IF(LEFT(C94,3)="GBR",O94*10000*HLOOKUP("GBP/BRL",'Histórico'!$A$1:$FG$983,MATCH(B94,'Histórico'!A:A),FALSE),
IF(LEFT(C94,3)="MEX",O94*10000*HLOOKUP("PTAX",'Histórico'!$A$1:$FG$983,MATCH(B94,'Histórico'!A:A),FALSE),
IF(LEFT(C94,3)="CHL",O94*10000*HLOOKUP("PTAX",'Histórico'!$A$1:$FG$983,MATCH(B94,'Histórico'!A:A),FALSE)
)))))))))))))))))))))))),""))</f>
        <v/>
      </c>
      <c r="O94" s="49">
        <f t="shared" si="2"/>
        <v>14500</v>
      </c>
      <c r="P94" s="50">
        <f t="shared" si="3"/>
        <v>0</v>
      </c>
      <c r="Q94" s="51">
        <f>IF($C94&lt;&gt;"",SUMIFS($O$3:$O$401, $C$3:$C$401 ,$C94,$B$3:$B$401,"&lt;="&amp;Controle!$B$6),"")</f>
        <v>0</v>
      </c>
      <c r="R94" s="51">
        <f>IF($D94&lt;&gt;"",SUMIFS($O$3:$O$401, $C$3:$C$401 ,$C94,$B$3:$B$401,"&lt;="&amp;Controle!$B$6,$F$3:$F$401,$F94),"")</f>
        <v>0</v>
      </c>
      <c r="S94" s="51">
        <f>IF($D94&lt;&gt;"",SUMIFS($O$3:$O$401, $C$3:$C$401 ,$C94,$B$3:$B$401,"&lt;="&amp;'Controle D-1'!$B$6,$F$3:$F$401,$F94),"")</f>
        <v>0</v>
      </c>
      <c r="T94" s="40"/>
      <c r="U94" s="40"/>
      <c r="V94" s="40"/>
      <c r="W94" s="40"/>
      <c r="X94" s="40"/>
      <c r="Y94" s="40"/>
      <c r="Z94" s="40"/>
      <c r="AA94" s="40"/>
      <c r="AB94" s="40"/>
      <c r="AC94" s="40"/>
    </row>
    <row r="95" ht="15.75" customHeight="1">
      <c r="A95" s="28"/>
      <c r="B95" s="68">
        <v>45056.0</v>
      </c>
      <c r="C95" s="88" t="s">
        <v>7</v>
      </c>
      <c r="D95" s="88" t="str">
        <f>IF(ISTEXT(C95),VLOOKUP(C95,'Cadastro dos Ativos'!$A$2:$C$1000,3,0),"")</f>
        <v>Ações Americanas</v>
      </c>
      <c r="E95" s="88" t="s">
        <v>208</v>
      </c>
      <c r="F95" s="88" t="s">
        <v>200</v>
      </c>
      <c r="G95" s="46">
        <v>408.02</v>
      </c>
      <c r="H95" s="101">
        <f>if($D95="Ações Americanas", HLOOKUP("PTAX",'Histórico'!$A$1:$EL$983,(MATCH(B95,'Histórico'!A:A))-1,""),
if($D95="Ações Europeias", HLOOKUP("EUR/BRL",'Histórico'!$A$1:$EL$983,(MATCH(B95,'Histórico'!A:A))-1,""),""))</f>
        <v>4.988</v>
      </c>
      <c r="I95" s="110" t="str">
        <f t="array" ref="I95">IF(ISTEXT(C95),xlookup(C95,'Cadastro dos Ativos'!$A$2:$A$1000,'Cadastro dos Ativos'!$D$2:$D$1000),"")</f>
        <v/>
      </c>
      <c r="J95" s="88">
        <v>1200.0</v>
      </c>
      <c r="K95" s="47">
        <f t="array" ref="K95">if(and(J95&lt;&gt;"",D95&lt;&gt;"Futuros"),
if(F95=Controle!$C$2, M95/xlookup(workday(B95,-1,Feriados!A:A),Controle!$B$10:$B$1000,Controle!$C$10:$C$1000),
if(F95=Controle!$F$2, M95/xlookup(workday(B95,-1,Feriados!A:A),Controle!$B$10:$B$1000,Controle!$F$10:$F$1000),
if(F95=Controle!$I$2, M95/xlookup(workday(B95,-1,Feriados!A:A),Controle!$B$10:$B$1000,Controle!$I$10:$I$1000),
if(F95=Controle!$L$2, M95/xlookup(workday(B95,-1,Feriados!A:A),Controle!$B$10:$B$1000,Controle!$L$10:$L$1000),
)))),
if(and(J95&lt;&gt;"",D95="Futuros"),
if(F95=Controle!$C$2, N95/xlookup(workday(B95,-1,Feriados!A:A),Controle!$B$10:$B$1000,Controle!$C$10:$C$1000),
if(F95=Controle!$F$2, N95/xlookup(workday(B95,-1,Feriados!A:A),Controle!$B$10:$B$1000,Controle!$F$10:$F$1000),
if(F95=Controle!$I$2, N95/xlookup(workday(B95,-1,Feriados!A:A),Controle!$B$10:$B$1000,Controle!$I$10:$I$1000),
if(F95=Controle!$L$2, N95/xlookup(workday(B95,-1,Feriados!A:A),Controle!$B$10:$B$1000,Controle!$L$10:$L$1000),
)))),""))</f>
        <v>-0.02405854505</v>
      </c>
      <c r="L95" s="47">
        <f t="array" ref="L95">IF($J95&lt;&gt;"", IF($D95 = "Futuros" , $N95/xlookup(WORKDAY(B95,-1,Feriados!A:A),Controle!$B$10:$B$1000,Controle!$T$10:$T$1000) , $M95/xlookup(WORKDAY(B95,-1,Feriados!A:A),Controle!$B$10:$B$1000,Controle!$T$10:$T$1000)),"")</f>
        <v>-0.005999335276</v>
      </c>
      <c r="M95" s="48">
        <f t="shared" si="4"/>
        <v>-2442244.512</v>
      </c>
      <c r="N95" s="48" t="str">
        <f>IFERROR(IF(D95="Futuros",
IF(LEFT(C95,3)="DI1",G95*O95,
IF(LEFT(C95,3)="ISP",G95*O95*HLOOKUP("PTAX",'Histórico'!$A$1:$EL$983,MATCH(B95,'Histórico'!A:A),FALSE)*50,
IF(LEFT(C95,3)="WDO",10*G95*O95*HLOOKUP("PTAX",'Histórico'!$A$1:$EL$983,MATCH(B95,'Histórico'!A:A),FALSE),
IF(LEFT(C95,3)="DOL",50*G95*O95,
IF(LEFT(C95,3)="EUR",G95*O95*50,
IF(LEFT(C95,3)="WEU",G95*O95*10,
IF(LEFT(C95,3)="IND",G95*O95,
IF(LEFT(C95,3)="WIN",G95*O95*0.2,
IF(LEFT(C95,3)="T10",G95*O95*1000*HLOOKUP("PTAX",'Histórico'!$A$1:$EL$983,MATCH(B95,'Histórico'!A:A),FALSE),
IF(LEFT(C95,3)="CCM",G95*O95*450,
IF(LEFT(C95,3)="SJC",G95*O95*HLOOKUP("PTAX",'Histórico'!$A$1:$EL$983,MATCH(B95,'Histórico'!A:A),FALSE)*450,
IF(LEFT(C95,3)="BGI",G95*O95*330,
IF(LEFT(C95,3)="OZ1",G95*O95*250,
IF(LEFT(C95,3)="CLP",G95*O95*25,
IF(LEFT(C95,3)="EUP", O95*10000*HLOOKUP("EUR/BRL",'Histórico'!$A$1:$EL$983,MATCH(B95,'Histórico'!A:A),FALSE),
IF(LEFT(C95,3)="JSE", G95*O95*0.4,
IF(LEFT(C95,3)="GBP", O95*10000*HLOOKUP("GBP/BRL",'Histórico'!$A$1:$FG$983,MATCH(B95,'Histórico'!A:A),FALSE),
IF(LEFT(C95,3)="JAP",O95*10000*HLOOKUP("PTAX",'Histórico'!$A$1:$FG$983,MATCH(B95,'Histórico'!A:A),FALSE),
IF(LEFT(C95,3)="CNH",O95*10000*HLOOKUP("PTAX",'Histórico'!$A$1:$FG$983,MATCH(B95,'Histórico'!A:A),FALSE),
IF(LEFT(C95,3)="AUS",O95*10000*HLOOKUP("PTAX",'Histórico'!$A$1:$FG$983,MATCH(B95,'Histórico'!A:A),FALSE),
IF(LEFT(C95,3)="CAN",O95*10000*HLOOKUP("PTAX",'Histórico'!$A$1:$FG$983,MATCH(B95,'Histórico'!A:A),FALSE),
IF(LEFT(C95,3)="GBR",O95*10000*HLOOKUP("GBP/BRL",'Histórico'!$A$1:$FG$983,MATCH(B95,'Histórico'!A:A),FALSE),
IF(LEFT(C95,3)="MEX",O95*10000*HLOOKUP("PTAX",'Histórico'!$A$1:$FG$983,MATCH(B95,'Histórico'!A:A),FALSE),
IF(LEFT(C95,3)="CHL",O95*10000*HLOOKUP("PTAX",'Histórico'!$A$1:$FG$983,MATCH(B95,'Histórico'!A:A),FALSE)
)))))))))))))))))))))))),""))</f>
        <v/>
      </c>
      <c r="O95" s="49">
        <f t="shared" si="2"/>
        <v>1200</v>
      </c>
      <c r="P95" s="50">
        <f t="shared" si="3"/>
        <v>0</v>
      </c>
      <c r="Q95" s="51">
        <f>IF($C95&lt;&gt;"",SUMIFS($O$3:$O$401, $C$3:$C$401 ,$C95,$B$3:$B$401,"&lt;="&amp;Controle!$B$6),"")</f>
        <v>0</v>
      </c>
      <c r="R95" s="51">
        <f>IF($D95&lt;&gt;"",SUMIFS($O$3:$O$401, $C$3:$C$401 ,$C95,$B$3:$B$401,"&lt;="&amp;Controle!$B$6,$F$3:$F$401,$F95),"")</f>
        <v>0</v>
      </c>
      <c r="S95" s="51">
        <f>IF($D95&lt;&gt;"",SUMIFS($O$3:$O$401, $C$3:$C$401 ,$C95,$B$3:$B$401,"&lt;="&amp;'Controle D-1'!$B$6,$F$3:$F$401,$F95),"")</f>
        <v>0</v>
      </c>
      <c r="T95" s="40"/>
      <c r="U95" s="40"/>
      <c r="V95" s="40"/>
      <c r="W95" s="40"/>
      <c r="X95" s="40"/>
      <c r="Y95" s="40"/>
      <c r="Z95" s="40"/>
      <c r="AA95" s="40"/>
      <c r="AB95" s="40"/>
      <c r="AC95" s="40"/>
    </row>
    <row r="96" ht="15.75" customHeight="1">
      <c r="A96" s="28"/>
      <c r="B96" s="100">
        <v>45056.0</v>
      </c>
      <c r="C96" s="88" t="s">
        <v>90</v>
      </c>
      <c r="D96" s="131" t="str">
        <f>IF(ISTEXT(C96),VLOOKUP(C96,'Cadastro dos Ativos'!$A$2:$C$1000,3,0),"")</f>
        <v>Futuros</v>
      </c>
      <c r="E96" s="131" t="s">
        <v>208</v>
      </c>
      <c r="F96" s="131" t="s">
        <v>200</v>
      </c>
      <c r="G96" s="46"/>
      <c r="H96" s="132" t="str">
        <f>IF($D96="Ações Americanas", HLOOKUP("PTAX",'Histórico'!$A$1:$EL$983,(MATCH(B96,'Histórico'!A:A))-1,""),
IF($D96="Ações Europeias", HLOOKUP("EUR/BRL",'Histórico'!$A$1:$EL$983,(MATCH(B96,'Histórico'!A:A))-1,""),""))</f>
        <v/>
      </c>
      <c r="I96" s="133">
        <f t="array" ref="I96">IF(ISTEXT(C96),XLOOKUP(C96,'Cadastro dos Ativos'!$A$2:$A$1000,'Cadastro dos Ativos'!$D$2:$D$1000),"")</f>
        <v>45078</v>
      </c>
      <c r="J96" s="131">
        <v>1490.0</v>
      </c>
      <c r="K96" s="47">
        <f t="array" ref="K96">if(and(J96&lt;&gt;"",D96&lt;&gt;"Futuros"),
if(F96=Controle!$C$2, M96/xlookup(workday(B96,-1,Feriados!A:A),Controle!$B$10:$B$1000,Controle!$C$10:$C$1000),
if(F96=Controle!$F$2, M96/xlookup(workday(B96,-1,Feriados!A:A),Controle!$B$10:$B$1000,Controle!$F$10:$F$1000),
if(F96=Controle!$I$2, M96/xlookup(workday(B96,-1,Feriados!A:A),Controle!$B$10:$B$1000,Controle!$I$10:$I$1000),
if(F96=Controle!$L$2, M96/xlookup(workday(B96,-1,Feriados!A:A),Controle!$B$10:$B$1000,Controle!$L$10:$L$1000),
)))),
if(and(J96&lt;&gt;"",D96="Futuros"),
if(F96=Controle!$C$2, N96/xlookup(workday(B96,-1,Feriados!A:A),Controle!$B$10:$B$1000,Controle!$C$10:$C$1000),
if(F96=Controle!$F$2, N96/xlookup(workday(B96,-1,Feriados!A:A),Controle!$B$10:$B$1000,Controle!$F$10:$F$1000),
if(F96=Controle!$I$2, N96/xlookup(workday(B96,-1,Feriados!A:A),Controle!$B$10:$B$1000,Controle!$I$10:$I$1000),
if(F96=Controle!$L$2, N96/xlookup(workday(B96,-1,Feriados!A:A),Controle!$B$10:$B$1000,Controle!$L$10:$L$1000),
)))),""))</f>
        <v>0.727308912</v>
      </c>
      <c r="L96" s="47">
        <f t="array" ref="L96">IF($J96&lt;&gt;"", IF($D96 = "Futuros" , $N96/xlookup(WORKDAY(B96,-1,Feriados!A:A),Controle!$B$10:$B$1000,Controle!$T$10:$T$1000) , $M96/xlookup(WORKDAY(B96,-1,Feriados!A:A),Controle!$B$10:$B$1000,Controle!$T$10:$T$1000)),"")</f>
        <v>0.181364667</v>
      </c>
      <c r="M96" s="48" t="str">
        <f t="shared" si="4"/>
        <v/>
      </c>
      <c r="N96" s="48">
        <f>IFERROR(IF(D96="Futuros",
IF(LEFT(C96,3)="DI1",G96*O96,
IF(LEFT(C96,3)="ISP",G96*O96*HLOOKUP("PTAX",'Histórico'!$A$1:$EL$983,MATCH(B96,'Histórico'!A:A),FALSE)*50,
IF(LEFT(C96,3)="WDO",10*G96*O96*HLOOKUP("PTAX",'Histórico'!$A$1:$EL$983,MATCH(B96,'Histórico'!A:A),FALSE),
IF(LEFT(C96,3)="DOL",50*G96*O96,
IF(LEFT(C96,3)="EUR",G96*O96*50,
IF(LEFT(C96,3)="WEU",G96*O96*10,
IF(LEFT(C96,3)="IND",G96*O96,
IF(LEFT(C96,3)="WIN",G96*O96*0.2,
IF(LEFT(C96,3)="T10",G96*O96*1000*HLOOKUP("PTAX",'Histórico'!$A$1:$EL$983,MATCH(B96,'Histórico'!A:A),FALSE),
IF(LEFT(C96,3)="CCM",G96*O96*450,
IF(LEFT(C96,3)="SJC",G96*O96*HLOOKUP("PTAX",'Histórico'!$A$1:$EL$983,MATCH(B96,'Histórico'!A:A),FALSE)*450,
IF(LEFT(C96,3)="BGI",G96*O96*330,
IF(LEFT(C96,3)="OZ1",G96*O96*250,
IF(LEFT(C96,3)="CLP",G96*O96*25,
IF(LEFT(C96,3)="EUP", O96*10000*HLOOKUP("EUR/BRL",'Histórico'!$A$1:$EL$983,MATCH(B96,'Histórico'!A:A),FALSE),
IF(LEFT(C96,3)="JSE", G96*O96*0.4,
IF(LEFT(C96,3)="GBP", O96*10000*HLOOKUP("GBP/BRL",'Histórico'!$A$1:$FG$983,MATCH(B96,'Histórico'!A:A),FALSE),
IF(LEFT(C96,3)="JAP",O96*10000*HLOOKUP("PTAX",'Histórico'!$A$1:$FG$983,MATCH(B96,'Histórico'!A:A),FALSE),
IF(LEFT(C96,3)="CNH",O96*10000*HLOOKUP("PTAX",'Histórico'!$A$1:$FG$983,MATCH(B96,'Histórico'!A:A),FALSE),
IF(LEFT(C96,3)="AUS",O96*10000*HLOOKUP("PTAX",'Histórico'!$A$1:$FG$983,MATCH(B96,'Histórico'!A:A),FALSE),
IF(LEFT(C96,3)="CAN",O96*10000*HLOOKUP("PTAX",'Histórico'!$A$1:$FG$983,MATCH(B96,'Histórico'!A:A),FALSE),
IF(LEFT(C96,3)="GBR",O96*10000*HLOOKUP("GBP/BRL",'Histórico'!$A$1:$FG$983,MATCH(B96,'Histórico'!A:A),FALSE),
IF(LEFT(C96,3)="MEX",O96*10000*HLOOKUP("PTAX",'Histórico'!$A$1:$FG$983,MATCH(B96,'Histórico'!A:A),FALSE),
IF(LEFT(C96,3)="CHL",O96*10000*HLOOKUP("PTAX",'Histórico'!$A$1:$FG$983,MATCH(B96,'Histórico'!A:A),FALSE)
)))))))))))))))))))))))),""))</f>
        <v>73830990</v>
      </c>
      <c r="O96" s="49">
        <f t="shared" si="2"/>
        <v>1490</v>
      </c>
      <c r="P96" s="50">
        <f t="shared" si="3"/>
        <v>0</v>
      </c>
      <c r="Q96" s="51">
        <f>IF($C96&lt;&gt;"",SUMIFS($O$3:$O$401, $C$3:$C$401 ,$C96,$B$3:$B$401,"&lt;="&amp;Controle!$B$6),"")</f>
        <v>0</v>
      </c>
      <c r="R96" s="51">
        <f>IF($D96&lt;&gt;"",SUMIFS($O$3:$O$401, $C$3:$C$401 ,$C96,$B$3:$B$401,"&lt;="&amp;Controle!$B$6,$F$3:$F$401,$F96),"")</f>
        <v>0</v>
      </c>
      <c r="S96" s="51">
        <f>IF($D96&lt;&gt;"",SUMIFS($O$3:$O$401, $C$3:$C$401 ,$C96,$B$3:$B$401,"&lt;="&amp;'Controle D-1'!$B$6,$F$3:$F$401,$F96),"")</f>
        <v>0</v>
      </c>
      <c r="T96" s="40"/>
      <c r="U96" s="40"/>
      <c r="V96" s="40"/>
      <c r="W96" s="40"/>
      <c r="X96" s="40"/>
      <c r="Y96" s="40"/>
      <c r="Z96" s="40"/>
      <c r="AA96" s="40"/>
      <c r="AB96" s="40"/>
      <c r="AC96" s="40"/>
    </row>
    <row r="97" ht="15.75" customHeight="1">
      <c r="A97" s="28"/>
      <c r="B97" s="68">
        <v>45056.0</v>
      </c>
      <c r="C97" s="88" t="s">
        <v>94</v>
      </c>
      <c r="D97" s="134" t="str">
        <f>IF(ISTEXT(C97),VLOOKUP(C97,'Cadastro dos Ativos'!$A$2:$C$1000,3,0),"")</f>
        <v>Futuros</v>
      </c>
      <c r="E97" s="134" t="s">
        <v>198</v>
      </c>
      <c r="F97" s="134" t="s">
        <v>200</v>
      </c>
      <c r="G97" s="46"/>
      <c r="H97" s="135" t="str">
        <f>IF($D97="Ações Americanas", HLOOKUP("PTAX",'Histórico'!$A$1:$EL$983,(MATCH(B97,'Histórico'!A:A))-1,""),
IF($D97="Ações Europeias", HLOOKUP("EUR/BRL",'Histórico'!$A$1:$EL$983,(MATCH(B97,'Histórico'!A:A))-1,""),""))</f>
        <v/>
      </c>
      <c r="I97" s="136">
        <f t="array" ref="I97">IF(ISTEXT(C97),XLOOKUP(C97,'Cadastro dos Ativos'!$A$2:$A$1000,'Cadastro dos Ativos'!$D$2:$D$1000),"")</f>
        <v>45078</v>
      </c>
      <c r="J97" s="134">
        <v>885.0</v>
      </c>
      <c r="K97" s="47">
        <f t="array" ref="K97">if(and(J97&lt;&gt;"",D97&lt;&gt;"Futuros"),
if(F97=Controle!$C$2, M97/xlookup(workday(B97,-1,Feriados!A:A),Controle!$B$10:$B$1000,Controle!$C$10:$C$1000),
if(F97=Controle!$F$2, M97/xlookup(workday(B97,-1,Feriados!A:A),Controle!$B$10:$B$1000,Controle!$F$10:$F$1000),
if(F97=Controle!$I$2, M97/xlookup(workday(B97,-1,Feriados!A:A),Controle!$B$10:$B$1000,Controle!$I$10:$I$1000),
if(F97=Controle!$L$2, M97/xlookup(workday(B97,-1,Feriados!A:A),Controle!$B$10:$B$1000,Controle!$L$10:$L$1000),
)))),
if(and(J97&lt;&gt;"",D97="Futuros"),
if(F97=Controle!$C$2, N97/xlookup(workday(B97,-1,Feriados!A:A),Controle!$B$10:$B$1000,Controle!$C$10:$C$1000),
if(F97=Controle!$F$2, N97/xlookup(workday(B97,-1,Feriados!A:A),Controle!$B$10:$B$1000,Controle!$F$10:$F$1000),
if(F97=Controle!$I$2, N97/xlookup(workday(B97,-1,Feriados!A:A),Controle!$B$10:$B$1000,Controle!$I$10:$I$1000),
if(F97=Controle!$L$2, N97/xlookup(workday(B97,-1,Feriados!A:A),Controle!$B$10:$B$1000,Controle!$L$10:$L$1000),
)))),""))</f>
        <v>-0.5488004484</v>
      </c>
      <c r="L97" s="47">
        <f t="array" ref="L97">IF($J97&lt;&gt;"", IF($D97 = "Futuros" , $N97/xlookup(WORKDAY(B97,-1,Feriados!A:A),Controle!$B$10:$B$1000,Controle!$T$10:$T$1000) , $M97/xlookup(WORKDAY(B97,-1,Feriados!A:A),Controle!$B$10:$B$1000,Controle!$T$10:$T$1000)),"")</f>
        <v>-0.1368510807</v>
      </c>
      <c r="M97" s="48" t="str">
        <f t="shared" si="4"/>
        <v/>
      </c>
      <c r="N97" s="48">
        <f>IFERROR(IF(D97="Futuros",
IF(LEFT(C97,3)="DI1",G97*O97,
IF(LEFT(C97,3)="ISP",G97*O97*HLOOKUP("PTAX",'Histórico'!$A$1:$EL$983,MATCH(B97,'Histórico'!A:A),FALSE)*50,
IF(LEFT(C97,3)="WDO",10*G97*O97*HLOOKUP("PTAX",'Histórico'!$A$1:$EL$983,MATCH(B97,'Histórico'!A:A),FALSE),
IF(LEFT(C97,3)="DOL",50*G97*O97,
IF(LEFT(C97,3)="EUR",G97*O97*50,
IF(LEFT(C97,3)="WEU",G97*O97*10,
IF(LEFT(C97,3)="IND",G97*O97,
IF(LEFT(C97,3)="WIN",G97*O97*0.2,
IF(LEFT(C97,3)="T10",G97*O97*1000*HLOOKUP("PTAX",'Histórico'!$A$1:$EL$983,MATCH(B97,'Histórico'!A:A),FALSE),
IF(LEFT(C97,3)="CCM",G97*O97*450,
IF(LEFT(C97,3)="SJC",G97*O97*HLOOKUP("PTAX",'Histórico'!$A$1:$EL$983,MATCH(B97,'Histórico'!A:A),FALSE)*450,
IF(LEFT(C97,3)="BGI",G97*O97*330,
IF(LEFT(C97,3)="OZ1",G97*O97*250,
IF(LEFT(C97,3)="CLP",G97*O97*25,
IF(LEFT(C97,3)="EUP", O97*10000*HLOOKUP("EUR/BRL",'Histórico'!$A$1:$EL$983,MATCH(B97,'Histórico'!A:A),FALSE),
IF(LEFT(C97,3)="JSE", G97*O97*0.4,
IF(LEFT(C97,3)="GBP", O97*10000*HLOOKUP("GBP/BRL",'Histórico'!$A$1:$FG$983,MATCH(B97,'Histórico'!A:A),FALSE),
IF(LEFT(C97,3)="JAP",O97*10000*HLOOKUP("PTAX",'Histórico'!$A$1:$FG$983,MATCH(B97,'Histórico'!A:A),FALSE),
IF(LEFT(C97,3)="CNH",O97*10000*HLOOKUP("PTAX",'Histórico'!$A$1:$FG$983,MATCH(B97,'Histórico'!A:A),FALSE),
IF(LEFT(C97,3)="AUS",O97*10000*HLOOKUP("PTAX",'Histórico'!$A$1:$FG$983,MATCH(B97,'Histórico'!A:A),FALSE),
IF(LEFT(C97,3)="CAN",O97*10000*HLOOKUP("PTAX",'Histórico'!$A$1:$FG$983,MATCH(B97,'Histórico'!A:A),FALSE),
IF(LEFT(C97,3)="GBR",O97*10000*HLOOKUP("GBP/BRL",'Histórico'!$A$1:$FG$983,MATCH(B97,'Histórico'!A:A),FALSE),
IF(LEFT(C97,3)="MEX",O97*10000*HLOOKUP("PTAX",'Histórico'!$A$1:$FG$983,MATCH(B97,'Histórico'!A:A),FALSE),
IF(LEFT(C97,3)="CHL",O97*10000*HLOOKUP("PTAX",'Histórico'!$A$1:$FG$983,MATCH(B97,'Histórico'!A:A),FALSE)
)))))))))))))))))))))))),""))</f>
        <v>-55710138.77</v>
      </c>
      <c r="O97" s="49">
        <f t="shared" si="2"/>
        <v>-885</v>
      </c>
      <c r="P97" s="50">
        <f t="shared" si="3"/>
        <v>0</v>
      </c>
      <c r="Q97" s="51">
        <f>IF($C97&lt;&gt;"",SUMIFS($O$3:$O$401, $C$3:$C$401 ,$C97,$B$3:$B$401,"&lt;="&amp;Controle!$B$6),"")</f>
        <v>0</v>
      </c>
      <c r="R97" s="51">
        <f>IF($D97&lt;&gt;"",SUMIFS($O$3:$O$401, $C$3:$C$401 ,$C97,$B$3:$B$401,"&lt;="&amp;Controle!$B$6,$F$3:$F$401,$F97),"")</f>
        <v>0</v>
      </c>
      <c r="S97" s="51">
        <f>IF($D97&lt;&gt;"",SUMIFS($O$3:$O$401, $C$3:$C$401 ,$C97,$B$3:$B$401,"&lt;="&amp;'Controle D-1'!$B$6,$F$3:$F$401,$F97),"")</f>
        <v>0</v>
      </c>
      <c r="T97" s="40"/>
      <c r="U97" s="40"/>
      <c r="V97" s="40"/>
      <c r="W97" s="40"/>
      <c r="X97" s="40"/>
      <c r="Y97" s="40"/>
      <c r="Z97" s="40"/>
      <c r="AA97" s="40"/>
      <c r="AB97" s="40"/>
      <c r="AC97" s="40"/>
    </row>
    <row r="98" ht="15.75" customHeight="1">
      <c r="A98" s="28"/>
      <c r="B98" s="100">
        <v>45056.0</v>
      </c>
      <c r="C98" s="88" t="s">
        <v>92</v>
      </c>
      <c r="D98" s="134" t="str">
        <f>IF(ISTEXT(C98),VLOOKUP(C98,'Cadastro dos Ativos'!$A$2:$C$1000,3,0),"")</f>
        <v>Futuros</v>
      </c>
      <c r="E98" s="134" t="s">
        <v>198</v>
      </c>
      <c r="F98" s="134" t="s">
        <v>200</v>
      </c>
      <c r="G98" s="46"/>
      <c r="H98" s="135" t="str">
        <f>IF($D98="Ações Americanas", HLOOKUP("PTAX",'Histórico'!$A$1:$EL$983,(MATCH(B98,'Histórico'!A:A))-1,""),
IF($D98="Ações Europeias", HLOOKUP("EUR/BRL",'Histórico'!$A$1:$EL$983,(MATCH(B98,'Histórico'!A:A))-1,""),""))</f>
        <v/>
      </c>
      <c r="I98" s="137">
        <f t="array" ref="I98">IF(ISTEXT(C98),XLOOKUP(C98,'Cadastro dos Ativos'!$A$2:$A$1000,'Cadastro dos Ativos'!$D$2:$D$1000),"")</f>
        <v>45078</v>
      </c>
      <c r="J98" s="134">
        <v>1389.0</v>
      </c>
      <c r="K98" s="47">
        <f t="array" ref="K98">if(and(J98&lt;&gt;"",D98&lt;&gt;"Futuros"),
if(F98=Controle!$C$2, M98/xlookup(workday(B98,-1,Feriados!A:A),Controle!$B$10:$B$1000,Controle!$C$10:$C$1000),
if(F98=Controle!$F$2, M98/xlookup(workday(B98,-1,Feriados!A:A),Controle!$B$10:$B$1000,Controle!$F$10:$F$1000),
if(F98=Controle!$I$2, M98/xlookup(workday(B98,-1,Feriados!A:A),Controle!$B$10:$B$1000,Controle!$I$10:$I$1000),
if(F98=Controle!$L$2, M98/xlookup(workday(B98,-1,Feriados!A:A),Controle!$B$10:$B$1000,Controle!$L$10:$L$1000),
)))),
if(and(J98&lt;&gt;"",D98="Futuros"),
if(F98=Controle!$C$2, N98/xlookup(workday(B98,-1,Feriados!A:A),Controle!$B$10:$B$1000,Controle!$C$10:$C$1000),
if(F98=Controle!$F$2, N98/xlookup(workday(B98,-1,Feriados!A:A),Controle!$B$10:$B$1000,Controle!$F$10:$F$1000),
if(F98=Controle!$I$2, N98/xlookup(workday(B98,-1,Feriados!A:A),Controle!$B$10:$B$1000,Controle!$I$10:$I$1000),
if(F98=Controle!$L$2, N98/xlookup(workday(B98,-1,Feriados!A:A),Controle!$B$10:$B$1000,Controle!$L$10:$L$1000),
)))),""))</f>
        <v>-0.7477094841</v>
      </c>
      <c r="L98" s="47">
        <f t="array" ref="L98">IF($J98&lt;&gt;"", IF($D98 = "Futuros" , $N98/xlookup(WORKDAY(B98,-1,Feriados!A:A),Controle!$B$10:$B$1000,Controle!$T$10:$T$1000) , $M98/xlookup(WORKDAY(B98,-1,Feriados!A:A),Controle!$B$10:$B$1000,Controle!$T$10:$T$1000)),"")</f>
        <v>-0.1864518355</v>
      </c>
      <c r="M98" s="48" t="str">
        <f t="shared" si="4"/>
        <v/>
      </c>
      <c r="N98" s="48">
        <f>IFERROR(IF(D98="Futuros",
IF(LEFT(C98,3)="DI1",G98*O98,
IF(LEFT(C98,3)="ISP",G98*O98*HLOOKUP("PTAX",'Histórico'!$A$1:$EL$983,MATCH(B98,'Histórico'!A:A),FALSE)*50,
IF(LEFT(C98,3)="WDO",10*G98*O98*HLOOKUP("PTAX",'Histórico'!$A$1:$EL$983,MATCH(B98,'Histórico'!A:A),FALSE),
IF(LEFT(C98,3)="DOL",50*G98*O98,
IF(LEFT(C98,3)="EUR",G98*O98*50,
IF(LEFT(C98,3)="WEU",G98*O98*10,
IF(LEFT(C98,3)="IND",G98*O98,
IF(LEFT(C98,3)="WIN",G98*O98*0.2,
IF(LEFT(C98,3)="T10",G98*O98*1000*HLOOKUP("PTAX",'Histórico'!$A$1:$EL$983,MATCH(B98,'Histórico'!A:A),FALSE),
IF(LEFT(C98,3)="CCM",G98*O98*450,
IF(LEFT(C98,3)="SJC",G98*O98*HLOOKUP("PTAX",'Histórico'!$A$1:$EL$983,MATCH(B98,'Histórico'!A:A),FALSE)*450,
IF(LEFT(C98,3)="BGI",G98*O98*330,
IF(LEFT(C98,3)="OZ1",G98*O98*250,
IF(LEFT(C98,3)="CLP",G98*O98*25,
IF(LEFT(C98,3)="EUP", O98*10000*HLOOKUP("EUR/BRL",'Histórico'!$A$1:$EL$983,MATCH(B98,'Histórico'!A:A),FALSE),
IF(LEFT(C98,3)="JSE", G98*O98*0.4,
IF(LEFT(C98,3)="GBP", O98*10000*HLOOKUP("GBP/BRL",'Histórico'!$A$1:$FG$983,MATCH(B98,'Histórico'!A:A),FALSE),
IF(LEFT(C98,3)="JAP",O98*10000*HLOOKUP("PTAX",'Histórico'!$A$1:$FG$983,MATCH(B98,'Histórico'!A:A),FALSE),
IF(LEFT(C98,3)="CNH",O98*10000*HLOOKUP("PTAX",'Histórico'!$A$1:$FG$983,MATCH(B98,'Histórico'!A:A),FALSE),
IF(LEFT(C98,3)="AUS",O98*10000*HLOOKUP("PTAX",'Histórico'!$A$1:$FG$983,MATCH(B98,'Histórico'!A:A),FALSE),
IF(LEFT(C98,3)="CAN",O98*10000*HLOOKUP("PTAX",'Histórico'!$A$1:$FG$983,MATCH(B98,'Histórico'!A:A),FALSE),
IF(LEFT(C98,3)="GBR",O98*10000*HLOOKUP("GBP/BRL",'Histórico'!$A$1:$FG$983,MATCH(B98,'Histórico'!A:A),FALSE),
IF(LEFT(C98,3)="MEX",O98*10000*HLOOKUP("PTAX",'Histórico'!$A$1:$FG$983,MATCH(B98,'Histórico'!A:A),FALSE),
IF(LEFT(C98,3)="CHL",O98*10000*HLOOKUP("PTAX",'Histórico'!$A$1:$FG$983,MATCH(B98,'Histórico'!A:A),FALSE)
)))))))))))))))))))))))),""))</f>
        <v>-75901904.31</v>
      </c>
      <c r="O98" s="49">
        <f t="shared" si="2"/>
        <v>-1389</v>
      </c>
      <c r="P98" s="50">
        <f t="shared" si="3"/>
        <v>0</v>
      </c>
      <c r="Q98" s="51">
        <f>IF($C98&lt;&gt;"",SUMIFS($O$3:$O$401, $C$3:$C$401 ,$C98,$B$3:$B$401,"&lt;="&amp;Controle!$B$6),"")</f>
        <v>0</v>
      </c>
      <c r="R98" s="51">
        <f>IF($D98&lt;&gt;"",SUMIFS($O$3:$O$401, $C$3:$C$401 ,$C98,$B$3:$B$401,"&lt;="&amp;Controle!$B$6,$F$3:$F$401,$F98),"")</f>
        <v>0</v>
      </c>
      <c r="S98" s="51">
        <f>IF($D98&lt;&gt;"",SUMIFS($O$3:$O$401, $C$3:$C$401 ,$C98,$B$3:$B$401,"&lt;="&amp;'Controle D-1'!$B$6,$F$3:$F$401,$F98),"")</f>
        <v>0</v>
      </c>
      <c r="T98" s="40"/>
      <c r="U98" s="40"/>
      <c r="V98" s="40"/>
      <c r="W98" s="40"/>
      <c r="X98" s="40"/>
      <c r="Y98" s="40"/>
      <c r="Z98" s="40"/>
      <c r="AA98" s="40"/>
      <c r="AB98" s="40"/>
      <c r="AC98" s="40"/>
    </row>
    <row r="99" ht="15.75" customHeight="1">
      <c r="A99" s="28"/>
      <c r="B99" s="138">
        <v>45056.0</v>
      </c>
      <c r="C99" s="88" t="s">
        <v>95</v>
      </c>
      <c r="D99" s="134" t="str">
        <f>IF(ISTEXT(C99),VLOOKUP(C99,'Cadastro dos Ativos'!$A$2:$C$1000,3,0),"")</f>
        <v>Futuros</v>
      </c>
      <c r="E99" s="134" t="s">
        <v>198</v>
      </c>
      <c r="F99" s="134" t="s">
        <v>199</v>
      </c>
      <c r="G99" s="46">
        <v>5010.5</v>
      </c>
      <c r="H99" s="135" t="str">
        <f>IF($D99="Ações Americanas", HLOOKUP("PTAX",'Histórico'!$A$1:$EL$983,(MATCH(B99,'Histórico'!A:A))-1,""),
IF($D99="Ações Europeias", HLOOKUP("EUR/BRL",'Histórico'!$A$1:$EL$983,(MATCH(B99,'Histórico'!A:A))-1,""),""))</f>
        <v/>
      </c>
      <c r="I99" s="136">
        <f t="array" ref="I99">IF(ISTEXT(C99),XLOOKUP(C99,'Cadastro dos Ativos'!$A$2:$A$1000,'Cadastro dos Ativos'!$D$2:$D$1000),"")</f>
        <v>45078</v>
      </c>
      <c r="J99" s="134">
        <v>175.0</v>
      </c>
      <c r="K99" s="47">
        <f t="array" ref="K99">if(and(J99&lt;&gt;"",D99&lt;&gt;"Futuros"),
if(F99=Controle!$C$2, M99/xlookup(workday(B99,-1,Feriados!A:A),Controle!$B$10:$B$1000,Controle!$C$10:$C$1000),
if(F99=Controle!$F$2, M99/xlookup(workday(B99,-1,Feriados!A:A),Controle!$B$10:$B$1000,Controle!$F$10:$F$1000),
if(F99=Controle!$I$2, M99/xlookup(workday(B99,-1,Feriados!A:A),Controle!$B$10:$B$1000,Controle!$I$10:$I$1000),
if(F99=Controle!$L$2, M99/xlookup(workday(B99,-1,Feriados!A:A),Controle!$B$10:$B$1000,Controle!$L$10:$L$1000),
)))),
if(and(J99&lt;&gt;"",D99="Futuros"),
if(F99=Controle!$C$2, N99/xlookup(workday(B99,-1,Feriados!A:A),Controle!$B$10:$B$1000,Controle!$C$10:$C$1000),
if(F99=Controle!$F$2, N99/xlookup(workday(B99,-1,Feriados!A:A),Controle!$B$10:$B$1000,Controle!$F$10:$F$1000),
if(F99=Controle!$I$2, N99/xlookup(workday(B99,-1,Feriados!A:A),Controle!$B$10:$B$1000,Controle!$I$10:$I$1000),
if(F99=Controle!$L$2, N99/xlookup(workday(B99,-1,Feriados!A:A),Controle!$B$10:$B$1000,Controle!$L$10:$L$1000),
)))),""))</f>
        <v>-0.4285990292</v>
      </c>
      <c r="L99" s="47">
        <f t="array" ref="L99">IF($J99&lt;&gt;"", IF($D99 = "Futuros" , $N99/xlookup(WORKDAY(B99,-1,Feriados!A:A),Controle!$B$10:$B$1000,Controle!$T$10:$T$1000) , $M99/xlookup(WORKDAY(B99,-1,Feriados!A:A),Controle!$B$10:$B$1000,Controle!$T$10:$T$1000)),"")</f>
        <v>-0.1076968772</v>
      </c>
      <c r="M99" s="48">
        <f t="shared" si="4"/>
        <v>876837.5</v>
      </c>
      <c r="N99" s="48">
        <f>IFERROR(IF(D99="Futuros",
IF(LEFT(C99,3)="DI1",G99*O99,
IF(LEFT(C99,3)="ISP",G99*O99*HLOOKUP("PTAX",'Histórico'!$A$1:$EL$983,MATCH(B99,'Histórico'!A:A),FALSE)*50,
IF(LEFT(C99,3)="WDO",10*G99*O99*HLOOKUP("PTAX",'Histórico'!$A$1:$EL$983,MATCH(B99,'Histórico'!A:A),FALSE),
IF(LEFT(C99,3)="DOL",50*G99*O99,
IF(LEFT(C99,3)="EUR",G99*O99*50,
IF(LEFT(C99,3)="WEU",G99*O99*10,
IF(LEFT(C99,3)="IND",G99*O99,
IF(LEFT(C99,3)="WIN",G99*O99*0.2,
IF(LEFT(C99,3)="T10",G99*O99*1000*HLOOKUP("PTAX",'Histórico'!$A$1:$EL$983,MATCH(B99,'Histórico'!A:A),FALSE),
IF(LEFT(C99,3)="CCM",G99*O99*450,
IF(LEFT(C99,3)="SJC",G99*O99*HLOOKUP("PTAX",'Histórico'!$A$1:$EL$983,MATCH(B99,'Histórico'!A:A),FALSE)*450,
IF(LEFT(C99,3)="BGI",G99*O99*330,
IF(LEFT(C99,3)="OZ1",G99*O99*250,
IF(LEFT(C99,3)="CLP",G99*O99*25,
IF(LEFT(C99,3)="EUP", O99*10000*HLOOKUP("EUR/BRL",'Histórico'!$A$1:$EL$983,MATCH(B99,'Histórico'!A:A),FALSE),
IF(LEFT(C99,3)="JSE", G99*O99*0.4,
IF(LEFT(C99,3)="GBP", O99*10000*HLOOKUP("GBP/BRL",'Histórico'!$A$1:$FG$983,MATCH(B99,'Histórico'!A:A),FALSE),
IF(LEFT(C99,3)="JAP",O99*10000*HLOOKUP("PTAX",'Histórico'!$A$1:$FG$983,MATCH(B99,'Histórico'!A:A),FALSE),
IF(LEFT(C99,3)="CNH",O99*10000*HLOOKUP("PTAX",'Histórico'!$A$1:$FG$983,MATCH(B99,'Histórico'!A:A),FALSE),
IF(LEFT(C99,3)="AUS",O99*10000*HLOOKUP("PTAX",'Histórico'!$A$1:$FG$983,MATCH(B99,'Histórico'!A:A),FALSE),
IF(LEFT(C99,3)="CAN",O99*10000*HLOOKUP("PTAX",'Histórico'!$A$1:$FG$983,MATCH(B99,'Histórico'!A:A),FALSE),
IF(LEFT(C99,3)="GBR",O99*10000*HLOOKUP("GBP/BRL",'Histórico'!$A$1:$FG$983,MATCH(B99,'Histórico'!A:A),FALSE),
IF(LEFT(C99,3)="MEX",O99*10000*HLOOKUP("PTAX",'Histórico'!$A$1:$FG$983,MATCH(B99,'Histórico'!A:A),FALSE),
IF(LEFT(C99,3)="CHL",O99*10000*HLOOKUP("PTAX",'Histórico'!$A$1:$FG$983,MATCH(B99,'Histórico'!A:A),FALSE)
)))))))))))))))))))))))),""))</f>
        <v>-43841875</v>
      </c>
      <c r="O99" s="49">
        <f t="shared" si="2"/>
        <v>-175</v>
      </c>
      <c r="P99" s="50">
        <f t="shared" si="3"/>
        <v>0</v>
      </c>
      <c r="Q99" s="51">
        <f>IF($C99&lt;&gt;"",SUMIFS($O$3:$O$401, $C$3:$C$401 ,$C99,$B$3:$B$401,"&lt;="&amp;Controle!$B$6),"")</f>
        <v>0</v>
      </c>
      <c r="R99" s="51">
        <f>IF($D99&lt;&gt;"",SUMIFS($O$3:$O$401, $C$3:$C$401 ,$C99,$B$3:$B$401,"&lt;="&amp;Controle!$B$6,$F$3:$F$401,$F99),"")</f>
        <v>0</v>
      </c>
      <c r="S99" s="51">
        <f>IF($D99&lt;&gt;"",SUMIFS($O$3:$O$401, $C$3:$C$401 ,$C99,$B$3:$B$401,"&lt;="&amp;'Controle D-1'!$B$6,$F$3:$F$401,$F99),"")</f>
        <v>0</v>
      </c>
      <c r="T99" s="40"/>
      <c r="U99" s="40"/>
      <c r="V99" s="40"/>
      <c r="W99" s="40"/>
      <c r="X99" s="40"/>
      <c r="Y99" s="40"/>
      <c r="Z99" s="40"/>
      <c r="AA99" s="40"/>
      <c r="AB99" s="40"/>
      <c r="AC99" s="40"/>
    </row>
    <row r="100" ht="15.75" customHeight="1">
      <c r="A100" s="28"/>
      <c r="B100" s="68">
        <v>45057.0</v>
      </c>
      <c r="C100" s="88" t="s">
        <v>272</v>
      </c>
      <c r="D100" s="88" t="str">
        <f>IF(ISTEXT(C100),VLOOKUP(C100,'Cadastro dos Ativos'!$A$2:$C$1000,3,0),"")</f>
        <v>Títulos</v>
      </c>
      <c r="E100" s="88" t="s">
        <v>208</v>
      </c>
      <c r="F100" s="88" t="s">
        <v>200</v>
      </c>
      <c r="G100" s="46">
        <v>4131.185688</v>
      </c>
      <c r="H100" s="46" t="str">
        <f>if($D100="Ações Americanas", HLOOKUP("PTAX",'Histórico'!$A$1:$EL$983,(MATCH(B100,'Histórico'!A:A))-1,""),
if($D100="Ações Europeias", HLOOKUP("EUR/BRL",'Histórico'!$A$1:$EL$983,(MATCH(B100,'Histórico'!A:A))-1,""),""))</f>
        <v/>
      </c>
      <c r="I100" s="102">
        <f t="array" ref="I100">IF(ISTEXT(C100),xlookup(C100,'Cadastro dos Ativos'!$A$2:$A$1000,'Cadastro dos Ativos'!$D$2:$D$1000),"")</f>
        <v>45519</v>
      </c>
      <c r="J100" s="88">
        <v>29774.0</v>
      </c>
      <c r="K100" s="47">
        <f t="array" ref="K100">if(and(J100&lt;&gt;"",D100&lt;&gt;"Futuros"),
if(F100=Controle!$C$2, M100/xlookup(workday(B100,-1,Feriados!A:A),Controle!$B$10:$B$1000,Controle!$C$10:$C$1000),
if(F100=Controle!$F$2, M100/xlookup(workday(B100,-1,Feriados!A:A),Controle!$B$10:$B$1000,Controle!$F$10:$F$1000),
if(F100=Controle!$I$2, M100/xlookup(workday(B100,-1,Feriados!A:A),Controle!$B$10:$B$1000,Controle!$I$10:$I$1000),
if(F100=Controle!$L$2, M100/xlookup(workday(B100,-1,Feriados!A:A),Controle!$B$10:$B$1000,Controle!$L$10:$L$1000),
)))),
if(and(J100&lt;&gt;"",D100="Futuros"),
if(F100=Controle!$C$2, N100/xlookup(workday(B100,-1,Feriados!A:A),Controle!$B$10:$B$1000,Controle!$C$10:$C$1000),
if(F100=Controle!$F$2, N100/xlookup(workday(B100,-1,Feriados!A:A),Controle!$B$10:$B$1000,Controle!$F$10:$F$1000),
if(F100=Controle!$I$2, N100/xlookup(workday(B100,-1,Feriados!A:A),Controle!$B$10:$B$1000,Controle!$I$10:$I$1000),
if(F100=Controle!$L$2, N100/xlookup(workday(B100,-1,Feriados!A:A),Controle!$B$10:$B$1000,Controle!$L$10:$L$1000),
)))),""))</f>
        <v>-1.200007344</v>
      </c>
      <c r="L100" s="47">
        <f t="array" ref="L100">IF($J100&lt;&gt;"", IF($D100 = "Futuros" , $N100/xlookup(WORKDAY(B100,-1,Feriados!A:A),Controle!$B$10:$B$1000,Controle!$T$10:$T$1000) , $M100/xlookup(WORKDAY(B100,-1,Feriados!A:A),Controle!$B$10:$B$1000,Controle!$T$10:$T$1000)),"")</f>
        <v>-0.3019453106</v>
      </c>
      <c r="M100" s="48">
        <f t="shared" si="4"/>
        <v>-123001922.7</v>
      </c>
      <c r="N100" s="48" t="str">
        <f>IFERROR(IF(D100="Futuros",
IF(LEFT(C100,3)="DI1",G100*O100,
IF(LEFT(C100,3)="ISP",G100*O100*HLOOKUP("PTAX",'Histórico'!$A$1:$EL$983,MATCH(B100,'Histórico'!A:A),FALSE)*50,
IF(LEFT(C100,3)="WDO",10*G100*O100*HLOOKUP("PTAX",'Histórico'!$A$1:$EL$983,MATCH(B100,'Histórico'!A:A),FALSE),
IF(LEFT(C100,3)="DOL",50*G100*O100,
IF(LEFT(C100,3)="EUR",G100*O100*50,
IF(LEFT(C100,3)="WEU",G100*O100*10,
IF(LEFT(C100,3)="IND",G100*O100,
IF(LEFT(C100,3)="WIN",G100*O100*0.2,
IF(LEFT(C100,3)="T10",G100*O100*1000*HLOOKUP("PTAX",'Histórico'!$A$1:$EL$983,MATCH(B100,'Histórico'!A:A),FALSE),
IF(LEFT(C100,3)="CCM",G100*O100*450,
IF(LEFT(C100,3)="SJC",G100*O100*HLOOKUP("PTAX",'Histórico'!$A$1:$EL$983,MATCH(B100,'Histórico'!A:A),FALSE)*450,
IF(LEFT(C100,3)="BGI",G100*O100*330,
IF(LEFT(C100,3)="OZ1",G100*O100*250,
IF(LEFT(C100,3)="CLP",G100*O100*25,
IF(LEFT(C100,3)="EUP", O100*10000*HLOOKUP("EUR/BRL",'Histórico'!$A$1:$EL$983,MATCH(B100,'Histórico'!A:A),FALSE),
IF(LEFT(C100,3)="JSE", G100*O100*0.4,
IF(LEFT(C100,3)="GBP", O100*10000*HLOOKUP("GBP/BRL",'Histórico'!$A$1:$FG$983,MATCH(B100,'Histórico'!A:A),FALSE),
IF(LEFT(C100,3)="JAP",O100*10000*HLOOKUP("PTAX",'Histórico'!$A$1:$FG$983,MATCH(B100,'Histórico'!A:A),FALSE),
IF(LEFT(C100,3)="CNH",O100*10000*HLOOKUP("PTAX",'Histórico'!$A$1:$FG$983,MATCH(B100,'Histórico'!A:A),FALSE),
IF(LEFT(C100,3)="AUS",O100*10000*HLOOKUP("PTAX",'Histórico'!$A$1:$FG$983,MATCH(B100,'Histórico'!A:A),FALSE),
IF(LEFT(C100,3)="CAN",O100*10000*HLOOKUP("PTAX",'Histórico'!$A$1:$FG$983,MATCH(B100,'Histórico'!A:A),FALSE),
IF(LEFT(C100,3)="GBR",O100*10000*HLOOKUP("GBP/BRL",'Histórico'!$A$1:$FG$983,MATCH(B100,'Histórico'!A:A),FALSE),
IF(LEFT(C100,3)="MEX",O100*10000*HLOOKUP("PTAX",'Histórico'!$A$1:$FG$983,MATCH(B100,'Histórico'!A:A),FALSE),
IF(LEFT(C100,3)="CHL",O100*10000*HLOOKUP("PTAX",'Histórico'!$A$1:$FG$983,MATCH(B100,'Histórico'!A:A),FALSE)
)))))))))))))))))))))))),""))</f>
        <v/>
      </c>
      <c r="O100" s="49">
        <f t="shared" si="2"/>
        <v>29774</v>
      </c>
      <c r="P100" s="50">
        <f t="shared" si="3"/>
        <v>0</v>
      </c>
      <c r="Q100" s="51">
        <f>IF($C100&lt;&gt;"",SUMIFS($O$3:$O$401, $C$3:$C$401 ,$C100,$B$3:$B$401,"&lt;="&amp;Controle!$B$6),"")</f>
        <v>0</v>
      </c>
      <c r="R100" s="51">
        <f>IF($D100&lt;&gt;"",SUMIFS($O$3:$O$401, $C$3:$C$401 ,$C100,$B$3:$B$401,"&lt;="&amp;Controle!$B$6,$F$3:$F$401,$F100),"")</f>
        <v>0</v>
      </c>
      <c r="S100" s="51">
        <f>IF($D100&lt;&gt;"",SUMIFS($O$3:$O$401, $C$3:$C$401 ,$C100,$B$3:$B$401,"&lt;="&amp;'Controle D-1'!$B$6,$F$3:$F$401,$F100),"")</f>
        <v>0</v>
      </c>
      <c r="T100" s="40"/>
      <c r="U100" s="40"/>
      <c r="V100" s="40"/>
      <c r="W100" s="40"/>
      <c r="X100" s="40"/>
      <c r="Y100" s="40"/>
      <c r="Z100" s="40"/>
      <c r="AA100" s="40"/>
      <c r="AB100" s="40"/>
      <c r="AC100" s="40"/>
    </row>
    <row r="101" ht="15.75" customHeight="1">
      <c r="A101" s="28"/>
      <c r="B101" s="68">
        <v>45057.0</v>
      </c>
      <c r="C101" s="88" t="s">
        <v>92</v>
      </c>
      <c r="D101" s="88" t="str">
        <f>IF(ISTEXT(C101),VLOOKUP(C101,'Cadastro dos Ativos'!$A$2:$C$1000,3,0),"")</f>
        <v>Futuros</v>
      </c>
      <c r="E101" s="88" t="s">
        <v>198</v>
      </c>
      <c r="F101" s="88" t="s">
        <v>201</v>
      </c>
      <c r="G101" s="46">
        <v>1098.614</v>
      </c>
      <c r="H101" s="101" t="str">
        <f>if($D101="Ações Americanas", HLOOKUP("PTAX",'Histórico'!$A$1:$EL$983,(MATCH(B101,'Histórico'!A:A))-1,""),
if($D101="Ações Europeias", HLOOKUP("EUR/BRL",'Histórico'!$A$1:$EL$983,(MATCH(B101,'Histórico'!A:A))-1,""),""))</f>
        <v/>
      </c>
      <c r="I101" s="110">
        <f t="array" ref="I101">IF(ISTEXT(C101),xlookup(C101,'Cadastro dos Ativos'!$A$2:$A$1000,'Cadastro dos Ativos'!$D$2:$D$1000),"")</f>
        <v>45078</v>
      </c>
      <c r="J101" s="88">
        <v>1405.0</v>
      </c>
      <c r="K101" s="47">
        <f t="array" ref="K101">if(and(J101&lt;&gt;"",D101&lt;&gt;"Futuros"),
if(F101=Controle!$C$2, M101/xlookup(workday(B101,-1,Feriados!A:A),Controle!$B$10:$B$1000,Controle!$C$10:$C$1000),
if(F101=Controle!$F$2, M101/xlookup(workday(B101,-1,Feriados!A:A),Controle!$B$10:$B$1000,Controle!$F$10:$F$1000),
if(F101=Controle!$I$2, M101/xlookup(workday(B101,-1,Feriados!A:A),Controle!$B$10:$B$1000,Controle!$I$10:$I$1000),
if(F101=Controle!$L$2, M101/xlookup(workday(B101,-1,Feriados!A:A),Controle!$B$10:$B$1000,Controle!$L$10:$L$1000),
)))),
if(and(J101&lt;&gt;"",D101="Futuros"),
if(F101=Controle!$C$2, N101/xlookup(workday(B101,-1,Feriados!A:A),Controle!$B$10:$B$1000,Controle!$C$10:$C$1000),
if(F101=Controle!$F$2, N101/xlookup(workday(B101,-1,Feriados!A:A),Controle!$B$10:$B$1000,Controle!$F$10:$F$1000),
if(F101=Controle!$I$2, N101/xlookup(workday(B101,-1,Feriados!A:A),Controle!$B$10:$B$1000,Controle!$I$10:$I$1000),
if(F101=Controle!$L$2, N101/xlookup(workday(B101,-1,Feriados!A:A),Controle!$B$10:$B$1000,Controle!$L$10:$L$1000),
)))),""))</f>
        <v>-0.753745525</v>
      </c>
      <c r="L101" s="47">
        <f t="array" ref="L101">IF($J101&lt;&gt;"", IF($D101 = "Futuros" , $N101/xlookup(WORKDAY(B101,-1,Feriados!A:A),Controle!$B$10:$B$1000,Controle!$T$10:$T$1000) , $M101/xlookup(WORKDAY(B101,-1,Feriados!A:A),Controle!$B$10:$B$1000,Controle!$T$10:$T$1000)),"")</f>
        <v>-0.1871632259</v>
      </c>
      <c r="M101" s="48">
        <f t="shared" si="4"/>
        <v>1543552.67</v>
      </c>
      <c r="N101" s="48">
        <f>IFERROR(IF(D101="Futuros",
IF(LEFT(C101,3)="DI1",G101*O101,
IF(LEFT(C101,3)="ISP",G101*O101*HLOOKUP("PTAX",'Histórico'!$A$1:$EL$983,MATCH(B101,'Histórico'!A:A),FALSE)*50,
IF(LEFT(C101,3)="WDO",10*G101*O101*HLOOKUP("PTAX",'Histórico'!$A$1:$EL$983,MATCH(B101,'Histórico'!A:A),FALSE),
IF(LEFT(C101,3)="DOL",50*G101*O101,
IF(LEFT(C101,3)="EUR",G101*O101*50,
IF(LEFT(C101,3)="WEU",G101*O101*10,
IF(LEFT(C101,3)="IND",G101*O101,
IF(LEFT(C101,3)="WIN",G101*O101*0.2,
IF(LEFT(C101,3)="T10",G101*O101*1000*HLOOKUP("PTAX",'Histórico'!$A$1:$EL$983,MATCH(B101,'Histórico'!A:A),FALSE),
IF(LEFT(C101,3)="CCM",G101*O101*450,
IF(LEFT(C101,3)="SJC",G101*O101*HLOOKUP("PTAX",'Histórico'!$A$1:$EL$983,MATCH(B101,'Histórico'!A:A),FALSE)*450,
IF(LEFT(C101,3)="BGI",G101*O101*330,
IF(LEFT(C101,3)="OZ1",G101*O101*250,
IF(LEFT(C101,3)="CLP",G101*O101*25,
IF(LEFT(C101,3)="EUP", O101*10000*HLOOKUP("EUR/BRL",'Histórico'!$A$1:$EL$983,MATCH(B101,'Histórico'!A:A),FALSE),
IF(LEFT(C101,3)="JSE", G101*O101*0.4,
IF(LEFT(C101,3)="GBP", O101*10000*HLOOKUP("GBP/BRL",'Histórico'!$A$1:$FG$983,MATCH(B101,'Histórico'!A:A),FALSE),
IF(LEFT(C101,3)="JAP",O101*10000*HLOOKUP("PTAX",'Histórico'!$A$1:$FG$983,MATCH(B101,'Histórico'!A:A),FALSE),
IF(LEFT(C101,3)="CNH",O101*10000*HLOOKUP("PTAX",'Histórico'!$A$1:$FG$983,MATCH(B101,'Histórico'!A:A),FALSE),
IF(LEFT(C101,3)="AUS",O101*10000*HLOOKUP("PTAX",'Histórico'!$A$1:$FG$983,MATCH(B101,'Histórico'!A:A),FALSE),
IF(LEFT(C101,3)="CAN",O101*10000*HLOOKUP("PTAX",'Histórico'!$A$1:$FG$983,MATCH(B101,'Histórico'!A:A),FALSE),
IF(LEFT(C101,3)="GBR",O101*10000*HLOOKUP("GBP/BRL",'Histórico'!$A$1:$FG$983,MATCH(B101,'Histórico'!A:A),FALSE),
IF(LEFT(C101,3)="MEX",O101*10000*HLOOKUP("PTAX",'Histórico'!$A$1:$FG$983,MATCH(B101,'Histórico'!A:A),FALSE),
IF(LEFT(C101,3)="CHL",O101*10000*HLOOKUP("PTAX",'Histórico'!$A$1:$FG$983,MATCH(B101,'Histórico'!A:A),FALSE)
)))))))))))))))))))))))),""))</f>
        <v>-76243729.71</v>
      </c>
      <c r="O101" s="49">
        <f t="shared" si="2"/>
        <v>-1405</v>
      </c>
      <c r="P101" s="50">
        <f t="shared" si="3"/>
        <v>0</v>
      </c>
      <c r="Q101" s="51">
        <f>IF($C101&lt;&gt;"",SUMIFS($O$3:$O$401, $C$3:$C$401 ,$C101,$B$3:$B$401,"&lt;="&amp;Controle!$B$6),"")</f>
        <v>0</v>
      </c>
      <c r="R101" s="51">
        <f>IF($D101&lt;&gt;"",SUMIFS($O$3:$O$401, $C$3:$C$401 ,$C101,$B$3:$B$401,"&lt;="&amp;Controle!$B$6,$F$3:$F$401,$F101),"")</f>
        <v>0</v>
      </c>
      <c r="S101" s="51">
        <f>IF($D101&lt;&gt;"",SUMIFS($O$3:$O$401, $C$3:$C$401 ,$C101,$B$3:$B$401,"&lt;="&amp;'Controle D-1'!$B$6,$F$3:$F$401,$F101),"")</f>
        <v>0</v>
      </c>
      <c r="T101" s="40"/>
      <c r="U101" s="40"/>
      <c r="V101" s="40"/>
      <c r="W101" s="40"/>
      <c r="X101" s="40"/>
      <c r="Y101" s="40"/>
      <c r="Z101" s="40"/>
      <c r="AA101" s="40"/>
      <c r="AB101" s="40"/>
      <c r="AC101" s="40"/>
    </row>
    <row r="102" ht="15.75" customHeight="1">
      <c r="A102" s="28"/>
      <c r="B102" s="100">
        <v>45057.0</v>
      </c>
      <c r="C102" s="88" t="s">
        <v>19</v>
      </c>
      <c r="D102" s="88" t="str">
        <f>IF(ISTEXT(C102),VLOOKUP(C102,'Cadastro dos Ativos'!$A$2:$C$1000,3,0),"")</f>
        <v>Ações Americanas</v>
      </c>
      <c r="E102" s="88" t="s">
        <v>208</v>
      </c>
      <c r="F102" s="88" t="s">
        <v>201</v>
      </c>
      <c r="G102" s="46">
        <v>32.08</v>
      </c>
      <c r="H102" s="101">
        <f>if($D102="Ações Americanas", HLOOKUP("PTAX",'Histórico'!$A$1:$EL$983,(MATCH(B102,'Histórico'!A:A))-1,""),
if($D102="Ações Europeias", HLOOKUP("EUR/BRL",'Histórico'!$A$1:$EL$983,(MATCH(B102,'Histórico'!A:A))-1,""),""))</f>
        <v>4.9551</v>
      </c>
      <c r="I102" s="102" t="str">
        <f t="array" ref="I102">IF(ISTEXT(C102),xlookup(C102,'Cadastro dos Ativos'!$A$2:$A$1000,'Cadastro dos Ativos'!$D$2:$D$1000),"")</f>
        <v/>
      </c>
      <c r="J102" s="88">
        <v>65000.0</v>
      </c>
      <c r="K102" s="47">
        <f t="array" ref="K102">if(and(J102&lt;&gt;"",D102&lt;&gt;"Futuros"),
if(F102=Controle!$C$2, M102/xlookup(workday(B102,-1,Feriados!A:A),Controle!$B$10:$B$1000,Controle!$C$10:$C$1000),
if(F102=Controle!$F$2, M102/xlookup(workday(B102,-1,Feriados!A:A),Controle!$B$10:$B$1000,Controle!$F$10:$F$1000),
if(F102=Controle!$I$2, M102/xlookup(workday(B102,-1,Feriados!A:A),Controle!$B$10:$B$1000,Controle!$I$10:$I$1000),
if(F102=Controle!$L$2, M102/xlookup(workday(B102,-1,Feriados!A:A),Controle!$B$10:$B$1000,Controle!$L$10:$L$1000),
)))),
if(and(J102&lt;&gt;"",D102="Futuros"),
if(F102=Controle!$C$2, N102/xlookup(workday(B102,-1,Feriados!A:A),Controle!$B$10:$B$1000,Controle!$C$10:$C$1000),
if(F102=Controle!$F$2, N102/xlookup(workday(B102,-1,Feriados!A:A),Controle!$B$10:$B$1000,Controle!$F$10:$F$1000),
if(F102=Controle!$I$2, N102/xlookup(workday(B102,-1,Feriados!A:A),Controle!$B$10:$B$1000,Controle!$I$10:$I$1000),
if(F102=Controle!$L$2, N102/xlookup(workday(B102,-1,Feriados!A:A),Controle!$B$10:$B$1000,Controle!$L$10:$L$1000),
)))),""))</f>
        <v>-0.1021458563</v>
      </c>
      <c r="L102" s="47">
        <f t="array" ref="L102">IF($J102&lt;&gt;"", IF($D102 = "Futuros" , $N102/xlookup(WORKDAY(B102,-1,Feriados!A:A),Controle!$B$10:$B$1000,Controle!$T$10:$T$1000) , $M102/xlookup(WORKDAY(B102,-1,Feriados!A:A),Controle!$B$10:$B$1000,Controle!$T$10:$T$1000)),"")</f>
        <v>-0.025363929</v>
      </c>
      <c r="M102" s="48">
        <f t="shared" si="4"/>
        <v>-10332374.52</v>
      </c>
      <c r="N102" s="48" t="str">
        <f>IFERROR(IF(D102="Futuros",
IF(LEFT(C102,3)="DI1",G102*O102,
IF(LEFT(C102,3)="ISP",G102*O102*HLOOKUP("PTAX",'Histórico'!$A$1:$EL$983,MATCH(B102,'Histórico'!A:A),FALSE)*50,
IF(LEFT(C102,3)="WDO",10*G102*O102*HLOOKUP("PTAX",'Histórico'!$A$1:$EL$983,MATCH(B102,'Histórico'!A:A),FALSE),
IF(LEFT(C102,3)="DOL",50*G102*O102,
IF(LEFT(C102,3)="EUR",G102*O102*50,
IF(LEFT(C102,3)="WEU",G102*O102*10,
IF(LEFT(C102,3)="IND",G102*O102,
IF(LEFT(C102,3)="WIN",G102*O102*0.2,
IF(LEFT(C102,3)="T10",G102*O102*1000*HLOOKUP("PTAX",'Histórico'!$A$1:$EL$983,MATCH(B102,'Histórico'!A:A),FALSE),
IF(LEFT(C102,3)="CCM",G102*O102*450,
IF(LEFT(C102,3)="SJC",G102*O102*HLOOKUP("PTAX",'Histórico'!$A$1:$EL$983,MATCH(B102,'Histórico'!A:A),FALSE)*450,
IF(LEFT(C102,3)="BGI",G102*O102*330,
IF(LEFT(C102,3)="OZ1",G102*O102*250,
IF(LEFT(C102,3)="CLP",G102*O102*25,
IF(LEFT(C102,3)="EUP", O102*10000*HLOOKUP("EUR/BRL",'Histórico'!$A$1:$EL$983,MATCH(B102,'Histórico'!A:A),FALSE),
IF(LEFT(C102,3)="JSE", G102*O102*0.4,
IF(LEFT(C102,3)="GBP", O102*10000*HLOOKUP("GBP/BRL",'Histórico'!$A$1:$FG$983,MATCH(B102,'Histórico'!A:A),FALSE),
IF(LEFT(C102,3)="JAP",O102*10000*HLOOKUP("PTAX",'Histórico'!$A$1:$FG$983,MATCH(B102,'Histórico'!A:A),FALSE),
IF(LEFT(C102,3)="CNH",O102*10000*HLOOKUP("PTAX",'Histórico'!$A$1:$FG$983,MATCH(B102,'Histórico'!A:A),FALSE),
IF(LEFT(C102,3)="AUS",O102*10000*HLOOKUP("PTAX",'Histórico'!$A$1:$FG$983,MATCH(B102,'Histórico'!A:A),FALSE),
IF(LEFT(C102,3)="CAN",O102*10000*HLOOKUP("PTAX",'Histórico'!$A$1:$FG$983,MATCH(B102,'Histórico'!A:A),FALSE),
IF(LEFT(C102,3)="GBR",O102*10000*HLOOKUP("GBP/BRL",'Histórico'!$A$1:$FG$983,MATCH(B102,'Histórico'!A:A),FALSE),
IF(LEFT(C102,3)="MEX",O102*10000*HLOOKUP("PTAX",'Histórico'!$A$1:$FG$983,MATCH(B102,'Histórico'!A:A),FALSE),
IF(LEFT(C102,3)="CHL",O102*10000*HLOOKUP("PTAX",'Histórico'!$A$1:$FG$983,MATCH(B102,'Histórico'!A:A),FALSE)
)))))))))))))))))))))))),""))</f>
        <v/>
      </c>
      <c r="O102" s="49">
        <f t="shared" si="2"/>
        <v>65000</v>
      </c>
      <c r="P102" s="50">
        <f t="shared" si="3"/>
        <v>0</v>
      </c>
      <c r="Q102" s="51">
        <f>IF($C102&lt;&gt;"",SUMIFS($O$3:$O$401, $C$3:$C$401 ,$C102,$B$3:$B$401,"&lt;="&amp;Controle!$B$6),"")</f>
        <v>0</v>
      </c>
      <c r="R102" s="51">
        <f>IF($D102&lt;&gt;"",SUMIFS($O$3:$O$401, $C$3:$C$401 ,$C102,$B$3:$B$401,"&lt;="&amp;Controle!$B$6,$F$3:$F$401,$F102),"")</f>
        <v>0</v>
      </c>
      <c r="S102" s="51">
        <f>IF($D102&lt;&gt;"",SUMIFS($O$3:$O$401, $C$3:$C$401 ,$C102,$B$3:$B$401,"&lt;="&amp;'Controle D-1'!$B$6,$F$3:$F$401,$F102),"")</f>
        <v>0</v>
      </c>
      <c r="T102" s="40"/>
      <c r="U102" s="40"/>
      <c r="V102" s="40"/>
      <c r="W102" s="40"/>
      <c r="X102" s="40"/>
      <c r="Y102" s="40"/>
      <c r="Z102" s="40"/>
      <c r="AA102" s="40"/>
      <c r="AB102" s="40"/>
      <c r="AC102" s="40"/>
    </row>
    <row r="103" ht="15.75" customHeight="1">
      <c r="A103" s="28"/>
      <c r="B103" s="100">
        <v>45057.0</v>
      </c>
      <c r="C103" s="88" t="s">
        <v>99</v>
      </c>
      <c r="D103" s="88" t="str">
        <f>IF(ISTEXT(C103),VLOOKUP(C103,'Cadastro dos Ativos'!$A$2:$C$1000,3,0),"")</f>
        <v>Ações Americanas</v>
      </c>
      <c r="E103" s="88" t="s">
        <v>208</v>
      </c>
      <c r="F103" s="88" t="s">
        <v>201</v>
      </c>
      <c r="G103" s="46">
        <v>39.15</v>
      </c>
      <c r="H103" s="101">
        <f>if($D103="Ações Americanas", HLOOKUP("PTAX",'Histórico'!$A$1:$EL$983,(MATCH(B103,'Histórico'!A:A))-1,""),
if($D103="Ações Europeias", HLOOKUP("EUR/BRL",'Histórico'!$A$1:$EL$983,(MATCH(B103,'Histórico'!A:A))-1,""),""))</f>
        <v>4.9551</v>
      </c>
      <c r="I103" s="110" t="str">
        <f t="array" ref="I103">IF(ISTEXT(C103),xlookup(C103,'Cadastro dos Ativos'!$A$2:$A$1000,'Cadastro dos Ativos'!$D$2:$D$1000),"")</f>
        <v/>
      </c>
      <c r="J103" s="88">
        <v>28000.0</v>
      </c>
      <c r="K103" s="47">
        <f t="array" ref="K103">if(and(J103&lt;&gt;"",D103&lt;&gt;"Futuros"),
if(F103=Controle!$C$2, M103/xlookup(workday(B103,-1,Feriados!A:A),Controle!$B$10:$B$1000,Controle!$C$10:$C$1000),
if(F103=Controle!$F$2, M103/xlookup(workday(B103,-1,Feriados!A:A),Controle!$B$10:$B$1000,Controle!$F$10:$F$1000),
if(F103=Controle!$I$2, M103/xlookup(workday(B103,-1,Feriados!A:A),Controle!$B$10:$B$1000,Controle!$I$10:$I$1000),
if(F103=Controle!$L$2, M103/xlookup(workday(B103,-1,Feriados!A:A),Controle!$B$10:$B$1000,Controle!$L$10:$L$1000),
)))),
if(and(J103&lt;&gt;"",D103="Futuros"),
if(F103=Controle!$C$2, N103/xlookup(workday(B103,-1,Feriados!A:A),Controle!$B$10:$B$1000,Controle!$C$10:$C$1000),
if(F103=Controle!$F$2, N103/xlookup(workday(B103,-1,Feriados!A:A),Controle!$B$10:$B$1000,Controle!$F$10:$F$1000),
if(F103=Controle!$I$2, N103/xlookup(workday(B103,-1,Feriados!A:A),Controle!$B$10:$B$1000,Controle!$I$10:$I$1000),
if(F103=Controle!$L$2, N103/xlookup(workday(B103,-1,Feriados!A:A),Controle!$B$10:$B$1000,Controle!$L$10:$L$1000),
)))),""))</f>
        <v>-0.05369858414</v>
      </c>
      <c r="L103" s="47">
        <f t="array" ref="L103">IF($J103&lt;&gt;"", IF($D103 = "Futuros" , $N103/xlookup(WORKDAY(B103,-1,Feriados!A:A),Controle!$B$10:$B$1000,Controle!$T$10:$T$1000) , $M103/xlookup(WORKDAY(B103,-1,Feriados!A:A),Controle!$B$10:$B$1000,Controle!$T$10:$T$1000)),"")</f>
        <v>-0.01333394349</v>
      </c>
      <c r="M103" s="48">
        <f t="shared" si="4"/>
        <v>-5431780.62</v>
      </c>
      <c r="N103" s="48" t="str">
        <f>IFERROR(IF(D103="Futuros",
IF(LEFT(C103,3)="DI1",G103*O103,
IF(LEFT(C103,3)="ISP",G103*O103*HLOOKUP("PTAX",'Histórico'!$A$1:$EL$983,MATCH(B103,'Histórico'!A:A),FALSE)*50,
IF(LEFT(C103,3)="WDO",10*G103*O103*HLOOKUP("PTAX",'Histórico'!$A$1:$EL$983,MATCH(B103,'Histórico'!A:A),FALSE),
IF(LEFT(C103,3)="DOL",50*G103*O103,
IF(LEFT(C103,3)="EUR",G103*O103*50,
IF(LEFT(C103,3)="WEU",G103*O103*10,
IF(LEFT(C103,3)="IND",G103*O103,
IF(LEFT(C103,3)="WIN",G103*O103*0.2,
IF(LEFT(C103,3)="T10",G103*O103*1000*HLOOKUP("PTAX",'Histórico'!$A$1:$EL$983,MATCH(B103,'Histórico'!A:A),FALSE),
IF(LEFT(C103,3)="CCM",G103*O103*450,
IF(LEFT(C103,3)="SJC",G103*O103*HLOOKUP("PTAX",'Histórico'!$A$1:$EL$983,MATCH(B103,'Histórico'!A:A),FALSE)*450,
IF(LEFT(C103,3)="BGI",G103*O103*330,
IF(LEFT(C103,3)="OZ1",G103*O103*250,
IF(LEFT(C103,3)="CLP",G103*O103*25,
IF(LEFT(C103,3)="EUP", O103*10000*HLOOKUP("EUR/BRL",'Histórico'!$A$1:$EL$983,MATCH(B103,'Histórico'!A:A),FALSE),
IF(LEFT(C103,3)="JSE", G103*O103*0.4,
IF(LEFT(C103,3)="GBP", O103*10000*HLOOKUP("GBP/BRL",'Histórico'!$A$1:$FG$983,MATCH(B103,'Histórico'!A:A),FALSE),
IF(LEFT(C103,3)="JAP",O103*10000*HLOOKUP("PTAX",'Histórico'!$A$1:$FG$983,MATCH(B103,'Histórico'!A:A),FALSE),
IF(LEFT(C103,3)="CNH",O103*10000*HLOOKUP("PTAX",'Histórico'!$A$1:$FG$983,MATCH(B103,'Histórico'!A:A),FALSE),
IF(LEFT(C103,3)="AUS",O103*10000*HLOOKUP("PTAX",'Histórico'!$A$1:$FG$983,MATCH(B103,'Histórico'!A:A),FALSE),
IF(LEFT(C103,3)="CAN",O103*10000*HLOOKUP("PTAX",'Histórico'!$A$1:$FG$983,MATCH(B103,'Histórico'!A:A),FALSE),
IF(LEFT(C103,3)="GBR",O103*10000*HLOOKUP("GBP/BRL",'Histórico'!$A$1:$FG$983,MATCH(B103,'Histórico'!A:A),FALSE),
IF(LEFT(C103,3)="MEX",O103*10000*HLOOKUP("PTAX",'Histórico'!$A$1:$FG$983,MATCH(B103,'Histórico'!A:A),FALSE),
IF(LEFT(C103,3)="CHL",O103*10000*HLOOKUP("PTAX",'Histórico'!$A$1:$FG$983,MATCH(B103,'Histórico'!A:A),FALSE)
)))))))))))))))))))))))),""))</f>
        <v/>
      </c>
      <c r="O103" s="49">
        <f t="shared" si="2"/>
        <v>28000</v>
      </c>
      <c r="P103" s="50">
        <f t="shared" si="3"/>
        <v>0</v>
      </c>
      <c r="Q103" s="51">
        <f>IF($C103&lt;&gt;"",SUMIFS($O$3:$O$401, $C$3:$C$401 ,$C103,$B$3:$B$401,"&lt;="&amp;Controle!$B$6),"")</f>
        <v>0</v>
      </c>
      <c r="R103" s="51">
        <f>IF($D103&lt;&gt;"",SUMIFS($O$3:$O$401, $C$3:$C$401 ,$C103,$B$3:$B$401,"&lt;="&amp;Controle!$B$6,$F$3:$F$401,$F103),"")</f>
        <v>0</v>
      </c>
      <c r="S103" s="51">
        <f>IF($D103&lt;&gt;"",SUMIFS($O$3:$O$401, $C$3:$C$401 ,$C103,$B$3:$B$401,"&lt;="&amp;'Controle D-1'!$B$6,$F$3:$F$401,$F103),"")</f>
        <v>0</v>
      </c>
      <c r="T103" s="40"/>
      <c r="U103" s="40"/>
      <c r="V103" s="40"/>
      <c r="W103" s="40"/>
      <c r="X103" s="40"/>
      <c r="Y103" s="40"/>
      <c r="Z103" s="40"/>
      <c r="AA103" s="40"/>
      <c r="AB103" s="40"/>
      <c r="AC103" s="40"/>
    </row>
    <row r="104" ht="15.75" customHeight="1">
      <c r="A104" s="28"/>
      <c r="B104" s="100">
        <v>45057.0</v>
      </c>
      <c r="C104" s="45" t="s">
        <v>15</v>
      </c>
      <c r="D104" s="45" t="str">
        <f>IF(ISTEXT(C104),VLOOKUP(C104,'Cadastro dos Ativos'!$A$2:$C$1000,3,0),"")</f>
        <v>Ações Listadas na B3</v>
      </c>
      <c r="E104" s="45" t="s">
        <v>198</v>
      </c>
      <c r="F104" s="45" t="s">
        <v>273</v>
      </c>
      <c r="G104" s="46">
        <v>12.97</v>
      </c>
      <c r="H104" s="46" t="str">
        <f>if($D104="Ações Americanas", HLOOKUP("PTAX",'Histórico'!$A$1:$EL$983,MATCH(B104,'Histórico'!A:A)-1,""),"")</f>
        <v/>
      </c>
      <c r="I104" s="46" t="str">
        <f t="array" ref="I104">IF(ISTEXT(C104),xlookup(C104,'Cadastro dos Ativos'!$A$2:$A$1000,'Cadastro dos Ativos'!$D$2:$D$1000),"")</f>
        <v/>
      </c>
      <c r="J104" s="45">
        <v>1.0</v>
      </c>
      <c r="K104" s="47">
        <f t="array" ref="K104">if(and(J104&lt;&gt;"",D104&lt;&gt;"Futuros"),
if(F104=Controle!$C$2, M104/xlookup(workday(B104,-1,Feriados!A:A),Controle!$B$10:$B$1000,Controle!$C$10:$C$1000),
if(F104=Controle!$F$2, M104/xlookup(workday(B104,-1,Feriados!A:A),Controle!$B$10:$B$1000,Controle!$F$10:$F$1000),
if(F104=Controle!$I$2, M104/xlookup(workday(B104,-1,Feriados!A:A),Controle!$B$10:$B$1000,Controle!$I$10:$I$1000),
if(F104=Controle!$L$2, M104/xlookup(workday(B104,-1,Feriados!A:A),Controle!$B$10:$B$1000,Controle!$L$10:$L$1000),
)))),
if(and(J104&lt;&gt;"",D104="Futuros"),
if(F104=Controle!$C$2, N104/xlookup(workday(B104,-1,Feriados!A:A),Controle!$B$10:$B$1000,Controle!$C$10:$C$1000),
if(F104=Controle!$F$2, N104/xlookup(workday(B104,-1,Feriados!A:A),Controle!$B$10:$B$1000,Controle!$F$10:$F$1000),
if(F104=Controle!$I$2, N104/xlookup(workday(B104,-1,Feriados!A:A),Controle!$B$10:$B$1000,Controle!$I$10:$I$1000),
if(F104=Controle!$L$2, N104/xlookup(workday(B104,-1,Feriados!A:A),Controle!$B$10:$B$1000,Controle!$L$10:$L$1000),
)))),""))</f>
        <v>0.0000001278123935</v>
      </c>
      <c r="L104" s="47">
        <f t="array" ref="L104">IF($J104&lt;&gt;"", IF($D104 = "Futuros" , $N104/xlookup(WORKDAY(B104,-1,Feriados!A:A),Controle!$B$10:$B$1000,Controle!$T$10:$T$1000) , $M104/xlookup(WORKDAY(B104,-1,Feriados!A:A),Controle!$B$10:$B$1000,Controle!$T$10:$T$1000)),"")</f>
        <v>0.00000003183877612</v>
      </c>
      <c r="M104" s="48">
        <f t="shared" si="4"/>
        <v>12.97</v>
      </c>
      <c r="N104" s="48" t="str">
        <f>IFERROR(IF(D104="Futuros",
IF(LEFT(C104,3)="DI1",G104*O104,
IF(LEFT(C104,3)="ISP",G104*O104*HLOOKUP("PTAX",'Histórico'!$A$1:$EL$983,MATCH(B104,'Histórico'!A:A),FALSE)*50,
IF(LEFT(C104,3)="WDO",10*G104*O104*HLOOKUP("PTAX",'Histórico'!$A$1:$EL$983,MATCH(B104,'Histórico'!A:A),FALSE),
IF(LEFT(C104,3)="DOL",50*G104*O104,
IF(LEFT(C104,3)="EUR",G104*O104*50,
IF(LEFT(C104,3)="WEU",G104*O104*10,
IF(LEFT(C104,3)="IND",G104*O104,
IF(LEFT(C104,3)="WIN",G104*O104*0.2,
IF(LEFT(C104,3)="T10",G104*O104*1000*HLOOKUP("PTAX",'Histórico'!$A$1:$EL$983,MATCH(B104,'Histórico'!A:A),FALSE),
IF(LEFT(C104,3)="CCM",G104*O104*450,
IF(LEFT(C104,3)="SJC",G104*O104*HLOOKUP("PTAX",'Histórico'!$A$1:$EL$983,MATCH(B104,'Histórico'!A:A),FALSE)*450,
IF(LEFT(C104,3)="BGI",G104*O104*330,
IF(LEFT(C104,3)="OZ1",G104*O104*250,
IF(LEFT(C104,3)="CLP",G104*O104*25,
IF(LEFT(C104,3)="EUP", O104*10000*HLOOKUP("EUR/BRL",'Histórico'!$A$1:$EL$983,MATCH(B104,'Histórico'!A:A),FALSE),
IF(LEFT(C104,3)="JSE", G104*O104*0.4,
IF(LEFT(C104,3)="GBP", O104*10000*HLOOKUP("GBP/BRL",'Histórico'!$A$1:$FG$983,MATCH(B104,'Histórico'!A:A),FALSE),
IF(LEFT(C104,3)="JAP",O104*10000*HLOOKUP("PTAX",'Histórico'!$A$1:$FG$983,MATCH(B104,'Histórico'!A:A),FALSE),
IF(LEFT(C104,3)="CNH",O104*10000*HLOOKUP("PTAX",'Histórico'!$A$1:$FG$983,MATCH(B104,'Histórico'!A:A),FALSE),
IF(LEFT(C104,3)="AUS",O104*10000*HLOOKUP("PTAX",'Histórico'!$A$1:$FG$983,MATCH(B104,'Histórico'!A:A),FALSE),
IF(LEFT(C104,3)="CAN",O104*10000*HLOOKUP("PTAX",'Histórico'!$A$1:$FG$983,MATCH(B104,'Histórico'!A:A),FALSE),
IF(LEFT(C104,3)="GBR",O104*10000*HLOOKUP("GBP/BRL",'Histórico'!$A$1:$FG$983,MATCH(B104,'Histórico'!A:A),FALSE),
IF(LEFT(C104,3)="MEX",O104*10000*HLOOKUP("PTAX",'Histórico'!$A$1:$FG$983,MATCH(B104,'Histórico'!A:A),FALSE),
IF(LEFT(C104,3)="CHL",O104*10000*HLOOKUP("PTAX",'Histórico'!$A$1:$FG$983,MATCH(B104,'Histórico'!A:A),FALSE)
)))))))))))))))))))))))),""))</f>
        <v/>
      </c>
      <c r="O104" s="49">
        <f t="shared" si="2"/>
        <v>-1</v>
      </c>
      <c r="P104" s="50">
        <f t="shared" si="3"/>
        <v>-1</v>
      </c>
      <c r="Q104" s="51">
        <f>IF($C104&lt;&gt;"",SUMIFS($O$3:$O$401, $C$3:$C$401 ,$C104,$B$3:$B$401,"&lt;="&amp;Controle!$B$6),"")</f>
        <v>-4</v>
      </c>
      <c r="R104" s="51">
        <f>IF($D104&lt;&gt;"",SUMIFS($O$3:$O$401, $C$3:$C$401 ,$C104,$B$3:$B$401,"&lt;="&amp;Controle!$B$6,$F$3:$F$401,$F104),"")</f>
        <v>-1</v>
      </c>
      <c r="S104" s="51">
        <f>IF($D104&lt;&gt;"",SUMIFS($O$3:$O$401, $C$3:$C$401 ,$C104,$B$3:$B$401,"&lt;="&amp;'Controle D-1'!$B$6,$F$3:$F$401,$F104),"")</f>
        <v>-1</v>
      </c>
      <c r="T104" s="139">
        <f t="array" ref="T104">M104/xlookup(workday(B104,-1,Feriados!A:A),Controle!$B$10:$B$1000,Controle!$L$10:$L$1000)</f>
        <v>0.0000001278123935</v>
      </c>
      <c r="U104" s="40"/>
      <c r="V104" s="40"/>
      <c r="W104" s="40"/>
      <c r="X104" s="40"/>
      <c r="Y104" s="40"/>
      <c r="Z104" s="40"/>
      <c r="AA104" s="40"/>
      <c r="AB104" s="40"/>
      <c r="AC104" s="40"/>
    </row>
    <row r="105" ht="15.75" customHeight="1">
      <c r="A105" s="28"/>
      <c r="B105" s="100">
        <v>45058.0</v>
      </c>
      <c r="C105" s="88" t="s">
        <v>92</v>
      </c>
      <c r="D105" s="88" t="str">
        <f>IF(ISTEXT(C105),VLOOKUP(C105,'Cadastro dos Ativos'!$A$2:$C$1000,3,0),"")</f>
        <v>Futuros</v>
      </c>
      <c r="E105" s="88" t="s">
        <v>198</v>
      </c>
      <c r="F105" s="88" t="s">
        <v>199</v>
      </c>
      <c r="G105" s="46">
        <v>1093.017</v>
      </c>
      <c r="H105" s="101" t="str">
        <f>if($D105="Ações Americanas", HLOOKUP("PTAX",'Histórico'!$A$1:$EL$983,(MATCH(B105,'Histórico'!A:A))-1,""),
if($D105="Ações Europeias", HLOOKUP("EUR/BRL",'Histórico'!$A$1:$EL$983,(MATCH(B105,'Histórico'!A:A))-1,""),""))</f>
        <v/>
      </c>
      <c r="I105" s="110">
        <f t="array" ref="I105">IF(ISTEXT(C105),xlookup(C105,'Cadastro dos Ativos'!$A$2:$A$1000,'Cadastro dos Ativos'!$D$2:$D$1000),"")</f>
        <v>45078</v>
      </c>
      <c r="J105" s="88">
        <v>1190.0</v>
      </c>
      <c r="K105" s="47">
        <f t="array" ref="K105">if(and(J105&lt;&gt;"",D105&lt;&gt;"Futuros"),
if(F105=Controle!$C$2, M105/xlookup(workday(B105,-1,Feriados!A:A),Controle!$B$10:$B$1000,Controle!$C$10:$C$1000),
if(F105=Controle!$F$2, M105/xlookup(workday(B105,-1,Feriados!A:A),Controle!$B$10:$B$1000,Controle!$F$10:$F$1000),
if(F105=Controle!$I$2, M105/xlookup(workday(B105,-1,Feriados!A:A),Controle!$B$10:$B$1000,Controle!$I$10:$I$1000),
if(F105=Controle!$L$2, M105/xlookup(workday(B105,-1,Feriados!A:A),Controle!$B$10:$B$1000,Controle!$L$10:$L$1000),
)))),
if(and(J105&lt;&gt;"",D105="Futuros"),
if(F105=Controle!$C$2, N105/xlookup(workday(B105,-1,Feriados!A:A),Controle!$B$10:$B$1000,Controle!$C$10:$C$1000),
if(F105=Controle!$F$2, N105/xlookup(workday(B105,-1,Feriados!A:A),Controle!$B$10:$B$1000,Controle!$F$10:$F$1000),
if(F105=Controle!$I$2, N105/xlookup(workday(B105,-1,Feriados!A:A),Controle!$B$10:$B$1000,Controle!$I$10:$I$1000),
if(F105=Controle!$L$2, N105/xlookup(workday(B105,-1,Feriados!A:A),Controle!$B$10:$B$1000,Controle!$L$10:$L$1000),
)))),""))</f>
        <v>-0.6231959736</v>
      </c>
      <c r="L105" s="47">
        <f t="array" ref="L105">IF($J105&lt;&gt;"", IF($D105 = "Futuros" , $N105/xlookup(WORKDAY(B105,-1,Feriados!A:A),Controle!$B$10:$B$1000,Controle!$T$10:$T$1000) , $M105/xlookup(WORKDAY(B105,-1,Feriados!A:A),Controle!$B$10:$B$1000,Controle!$T$10:$T$1000)),"")</f>
        <v>-0.1564733461</v>
      </c>
      <c r="M105" s="48">
        <f t="shared" si="4"/>
        <v>1300690.23</v>
      </c>
      <c r="N105" s="48">
        <f>IFERROR(IF(D105="Futuros",
IF(LEFT(C105,3)="DI1",G105*O105,
IF(LEFT(C105,3)="ISP",G105*O105*HLOOKUP("PTAX",'Histórico'!$A$1:$EL$983,MATCH(B105,'Histórico'!A:A),FALSE)*50,
IF(LEFT(C105,3)="WDO",10*G105*O105*HLOOKUP("PTAX",'Histórico'!$A$1:$EL$983,MATCH(B105,'Histórico'!A:A),FALSE),
IF(LEFT(C105,3)="DOL",50*G105*O105,
IF(LEFT(C105,3)="EUR",G105*O105*50,
IF(LEFT(C105,3)="WEU",G105*O105*10,
IF(LEFT(C105,3)="IND",G105*O105,
IF(LEFT(C105,3)="WIN",G105*O105*0.2,
IF(LEFT(C105,3)="T10",G105*O105*1000*HLOOKUP("PTAX",'Histórico'!$A$1:$EL$983,MATCH(B105,'Histórico'!A:A),FALSE),
IF(LEFT(C105,3)="CCM",G105*O105*450,
IF(LEFT(C105,3)="SJC",G105*O105*HLOOKUP("PTAX",'Histórico'!$A$1:$EL$983,MATCH(B105,'Histórico'!A:A),FALSE)*450,
IF(LEFT(C105,3)="BGI",G105*O105*330,
IF(LEFT(C105,3)="OZ1",G105*O105*250,
IF(LEFT(C105,3)="CLP",G105*O105*25,
IF(LEFT(C105,3)="EUP", O105*10000*HLOOKUP("EUR/BRL",'Histórico'!$A$1:$EL$983,MATCH(B105,'Histórico'!A:A),FALSE),
IF(LEFT(C105,3)="JSE", G105*O105*0.4,
IF(LEFT(C105,3)="GBP", O105*10000*HLOOKUP("GBP/BRL",'Histórico'!$A$1:$FG$983,MATCH(B105,'Histórico'!A:A),FALSE),
IF(LEFT(C105,3)="JAP",O105*10000*HLOOKUP("PTAX",'Histórico'!$A$1:$FG$983,MATCH(B105,'Histórico'!A:A),FALSE),
IF(LEFT(C105,3)="CNH",O105*10000*HLOOKUP("PTAX",'Histórico'!$A$1:$FG$983,MATCH(B105,'Histórico'!A:A),FALSE),
IF(LEFT(C105,3)="AUS",O105*10000*HLOOKUP("PTAX",'Histórico'!$A$1:$FG$983,MATCH(B105,'Histórico'!A:A),FALSE),
IF(LEFT(C105,3)="CAN",O105*10000*HLOOKUP("PTAX",'Histórico'!$A$1:$FG$983,MATCH(B105,'Histórico'!A:A),FALSE),
IF(LEFT(C105,3)="GBR",O105*10000*HLOOKUP("GBP/BRL",'Histórico'!$A$1:$FG$983,MATCH(B105,'Histórico'!A:A),FALSE),
IF(LEFT(C105,3)="MEX",O105*10000*HLOOKUP("PTAX",'Histórico'!$A$1:$FG$983,MATCH(B105,'Histórico'!A:A),FALSE),
IF(LEFT(C105,3)="CHL",O105*10000*HLOOKUP("PTAX",'Histórico'!$A$1:$FG$983,MATCH(B105,'Histórico'!A:A),FALSE)
)))))))))))))))))))))))),""))</f>
        <v>-63588837.58</v>
      </c>
      <c r="O105" s="49">
        <f t="shared" si="2"/>
        <v>-1190</v>
      </c>
      <c r="P105" s="50">
        <f t="shared" si="3"/>
        <v>0</v>
      </c>
      <c r="Q105" s="51">
        <f>IF($C105&lt;&gt;"",SUMIFS($O$3:$O$401, $C$3:$C$401 ,$C105,$B$3:$B$401,"&lt;="&amp;Controle!$B$6),"")</f>
        <v>0</v>
      </c>
      <c r="R105" s="51">
        <f>IF($D105&lt;&gt;"",SUMIFS($O$3:$O$401, $C$3:$C$401 ,$C105,$B$3:$B$401,"&lt;="&amp;Controle!$B$6,$F$3:$F$401,$F105),"")</f>
        <v>0</v>
      </c>
      <c r="S105" s="51">
        <f>IF($D105&lt;&gt;"",SUMIFS($O$3:$O$401, $C$3:$C$401 ,$C105,$B$3:$B$401,"&lt;="&amp;'Controle D-1'!$B$6,$F$3:$F$401,$F105),"")</f>
        <v>0</v>
      </c>
      <c r="T105" s="40"/>
      <c r="U105" s="40"/>
      <c r="V105" s="40"/>
      <c r="W105" s="40"/>
      <c r="X105" s="40"/>
      <c r="Y105" s="40"/>
      <c r="Z105" s="40"/>
      <c r="AA105" s="40"/>
      <c r="AB105" s="40"/>
      <c r="AC105" s="40"/>
    </row>
    <row r="106" ht="15.75" customHeight="1">
      <c r="A106" s="28"/>
      <c r="B106" s="100">
        <v>45058.0</v>
      </c>
      <c r="C106" s="88" t="s">
        <v>94</v>
      </c>
      <c r="D106" s="88" t="str">
        <f>IF(ISTEXT(C106),VLOOKUP(C106,'Cadastro dos Ativos'!$A$2:$C$1000,3,0),"")</f>
        <v>Futuros</v>
      </c>
      <c r="E106" s="88" t="s">
        <v>198</v>
      </c>
      <c r="F106" s="88" t="s">
        <v>199</v>
      </c>
      <c r="G106" s="46">
        <v>1252.569</v>
      </c>
      <c r="H106" s="101" t="str">
        <f>if($D106="Ações Americanas", HLOOKUP("PTAX",'Histórico'!$A$1:$EL$983,(MATCH(B106,'Histórico'!A:A))-1,""),
if($D106="Ações Europeias", HLOOKUP("EUR/BRL",'Histórico'!$A$1:$EL$983,(MATCH(B106,'Histórico'!A:A))-1,""),""))</f>
        <v/>
      </c>
      <c r="I106" s="102">
        <f t="array" ref="I106">IF(ISTEXT(C106),xlookup(C106,'Cadastro dos Ativos'!$A$2:$A$1000,'Cadastro dos Ativos'!$D$2:$D$1000),"")</f>
        <v>45078</v>
      </c>
      <c r="J106" s="88">
        <v>960.0</v>
      </c>
      <c r="K106" s="47">
        <f t="array" ref="K106">if(and(J106&lt;&gt;"",D106&lt;&gt;"Futuros"),
if(F106=Controle!$C$2, M106/xlookup(workday(B106,-1,Feriados!A:A),Controle!$B$10:$B$1000,Controle!$C$10:$C$1000),
if(F106=Controle!$F$2, M106/xlookup(workday(B106,-1,Feriados!A:A),Controle!$B$10:$B$1000,Controle!$F$10:$F$1000),
if(F106=Controle!$I$2, M106/xlookup(workday(B106,-1,Feriados!A:A),Controle!$B$10:$B$1000,Controle!$I$10:$I$1000),
if(F106=Controle!$L$2, M106/xlookup(workday(B106,-1,Feriados!A:A),Controle!$B$10:$B$1000,Controle!$L$10:$L$1000),
)))),
if(and(J106&lt;&gt;"",D106="Futuros"),
if(F106=Controle!$C$2, N106/xlookup(workday(B106,-1,Feriados!A:A),Controle!$B$10:$B$1000,Controle!$C$10:$C$1000),
if(F106=Controle!$F$2, N106/xlookup(workday(B106,-1,Feriados!A:A),Controle!$B$10:$B$1000,Controle!$F$10:$F$1000),
if(F106=Controle!$I$2, N106/xlookup(workday(B106,-1,Feriados!A:A),Controle!$B$10:$B$1000,Controle!$I$10:$I$1000),
if(F106=Controle!$L$2, N106/xlookup(workday(B106,-1,Feriados!A:A),Controle!$B$10:$B$1000,Controle!$L$10:$L$1000),
)))),""))</f>
        <v>-0.5796908282</v>
      </c>
      <c r="L106" s="47">
        <f t="array" ref="L106">IF($J106&lt;&gt;"", IF($D106 = "Futuros" , $N106/xlookup(WORKDAY(B106,-1,Feriados!A:A),Controle!$B$10:$B$1000,Controle!$T$10:$T$1000) , $M106/xlookup(WORKDAY(B106,-1,Feriados!A:A),Controle!$B$10:$B$1000,Controle!$T$10:$T$1000)),"")</f>
        <v>-0.1455499834</v>
      </c>
      <c r="M106" s="48">
        <f t="shared" si="4"/>
        <v>1202466.24</v>
      </c>
      <c r="N106" s="48">
        <f>IFERROR(IF(D106="Futuros",
IF(LEFT(C106,3)="DI1",G106*O106,
IF(LEFT(C106,3)="ISP",G106*O106*HLOOKUP("PTAX",'Histórico'!$A$1:$EL$983,MATCH(B106,'Histórico'!A:A),FALSE)*50,
IF(LEFT(C106,3)="WDO",10*G106*O106*HLOOKUP("PTAX",'Histórico'!$A$1:$EL$983,MATCH(B106,'Histórico'!A:A),FALSE),
IF(LEFT(C106,3)="DOL",50*G106*O106,
IF(LEFT(C106,3)="EUR",G106*O106*50,
IF(LEFT(C106,3)="WEU",G106*O106*10,
IF(LEFT(C106,3)="IND",G106*O106,
IF(LEFT(C106,3)="WIN",G106*O106*0.2,
IF(LEFT(C106,3)="T10",G106*O106*1000*HLOOKUP("PTAX",'Histórico'!$A$1:$EL$983,MATCH(B106,'Histórico'!A:A),FALSE),
IF(LEFT(C106,3)="CCM",G106*O106*450,
IF(LEFT(C106,3)="SJC",G106*O106*HLOOKUP("PTAX",'Histórico'!$A$1:$EL$983,MATCH(B106,'Histórico'!A:A),FALSE)*450,
IF(LEFT(C106,3)="BGI",G106*O106*330,
IF(LEFT(C106,3)="OZ1",G106*O106*250,
IF(LEFT(C106,3)="CLP",G106*O106*25,
IF(LEFT(C106,3)="EUP", O106*10000*HLOOKUP("EUR/BRL",'Histórico'!$A$1:$EL$983,MATCH(B106,'Histórico'!A:A),FALSE),
IF(LEFT(C106,3)="JSE", G106*O106*0.4,
IF(LEFT(C106,3)="GBP", O106*10000*HLOOKUP("GBP/BRL",'Histórico'!$A$1:$FG$983,MATCH(B106,'Histórico'!A:A),FALSE),
IF(LEFT(C106,3)="JAP",O106*10000*HLOOKUP("PTAX",'Histórico'!$A$1:$FG$983,MATCH(B106,'Histórico'!A:A),FALSE),
IF(LEFT(C106,3)="CNH",O106*10000*HLOOKUP("PTAX",'Histórico'!$A$1:$FG$983,MATCH(B106,'Histórico'!A:A),FALSE),
IF(LEFT(C106,3)="AUS",O106*10000*HLOOKUP("PTAX",'Histórico'!$A$1:$FG$983,MATCH(B106,'Histórico'!A:A),FALSE),
IF(LEFT(C106,3)="CAN",O106*10000*HLOOKUP("PTAX",'Histórico'!$A$1:$FG$983,MATCH(B106,'Histórico'!A:A),FALSE),
IF(LEFT(C106,3)="GBR",O106*10000*HLOOKUP("GBP/BRL",'Histórico'!$A$1:$FG$983,MATCH(B106,'Histórico'!A:A),FALSE),
IF(LEFT(C106,3)="MEX",O106*10000*HLOOKUP("PTAX",'Histórico'!$A$1:$FG$983,MATCH(B106,'Histórico'!A:A),FALSE),
IF(LEFT(C106,3)="CHL",O106*10000*HLOOKUP("PTAX",'Histórico'!$A$1:$FG$983,MATCH(B106,'Histórico'!A:A),FALSE)
)))))))))))))))))))))))),""))</f>
        <v>-59149717.71</v>
      </c>
      <c r="O106" s="49">
        <f t="shared" si="2"/>
        <v>-960</v>
      </c>
      <c r="P106" s="50">
        <f t="shared" si="3"/>
        <v>0</v>
      </c>
      <c r="Q106" s="51">
        <f>IF($C106&lt;&gt;"",SUMIFS($O$3:$O$401, $C$3:$C$401 ,$C106,$B$3:$B$401,"&lt;="&amp;Controle!$B$6),"")</f>
        <v>0</v>
      </c>
      <c r="R106" s="51">
        <f>IF($D106&lt;&gt;"",SUMIFS($O$3:$O$401, $C$3:$C$401 ,$C106,$B$3:$B$401,"&lt;="&amp;Controle!$B$6,$F$3:$F$401,$F106),"")</f>
        <v>0</v>
      </c>
      <c r="S106" s="51">
        <f>IF($D106&lt;&gt;"",SUMIFS($O$3:$O$401, $C$3:$C$401 ,$C106,$B$3:$B$401,"&lt;="&amp;'Controle D-1'!$B$6,$F$3:$F$401,$F106),"")</f>
        <v>0</v>
      </c>
      <c r="T106" s="40"/>
      <c r="U106" s="40"/>
      <c r="V106" s="40"/>
      <c r="W106" s="40"/>
      <c r="X106" s="40"/>
      <c r="Y106" s="40"/>
      <c r="Z106" s="40"/>
      <c r="AA106" s="40"/>
      <c r="AB106" s="40"/>
      <c r="AC106" s="40"/>
    </row>
    <row r="107" ht="15.75" customHeight="1">
      <c r="A107" s="28"/>
      <c r="B107" s="100">
        <v>45058.0</v>
      </c>
      <c r="C107" s="88" t="s">
        <v>101</v>
      </c>
      <c r="D107" s="88" t="s">
        <v>6</v>
      </c>
      <c r="E107" s="88" t="s">
        <v>208</v>
      </c>
      <c r="F107" s="88" t="s">
        <v>273</v>
      </c>
      <c r="G107" s="46">
        <v>25.22</v>
      </c>
      <c r="H107" s="101"/>
      <c r="I107" s="110"/>
      <c r="J107" s="88">
        <v>100000.0</v>
      </c>
      <c r="K107" s="47">
        <f t="array" ref="K107">if(and(J107&lt;&gt;"",D107&lt;&gt;"Futuros"),
if(F107=Controle!$C$2, M107/xlookup(workday(B107,-1,Feriados!A:A),Controle!$B$10:$B$1000,Controle!$C$10:$C$1000),
if(F107=Controle!$F$2, M107/xlookup(workday(B107,-1,Feriados!A:A),Controle!$B$10:$B$1000,Controle!$F$10:$F$1000),
if(F107=Controle!$I$2, M107/xlookup(workday(B107,-1,Feriados!A:A),Controle!$B$10:$B$1000,Controle!$I$10:$I$1000),
if(F107=Controle!$L$2, M107/xlookup(workday(B107,-1,Feriados!A:A),Controle!$B$10:$B$1000,Controle!$L$10:$L$1000),
)))),
if(and(J107&lt;&gt;"",D107="Futuros"),
if(F107=Controle!$C$2, N107/xlookup(workday(B107,-1,Feriados!A:A),Controle!$B$10:$B$1000,Controle!$C$10:$C$1000),
if(F107=Controle!$F$2, N107/xlookup(workday(B107,-1,Feriados!A:A),Controle!$B$10:$B$1000,Controle!$F$10:$F$1000),
if(F107=Controle!$I$2, N107/xlookup(workday(B107,-1,Feriados!A:A),Controle!$B$10:$B$1000,Controle!$I$10:$I$1000),
if(F107=Controle!$L$2, N107/xlookup(workday(B107,-1,Feriados!A:A),Controle!$B$10:$B$1000,Controle!$L$10:$L$1000),
)))),""))</f>
        <v>-0.02482702998</v>
      </c>
      <c r="L107" s="47">
        <f t="array" ref="L107">IF($J107&lt;&gt;"", IF($D107 = "Futuros" , $N107/xlookup(WORKDAY(B107,-1,Feriados!A:A),Controle!$B$10:$B$1000,Controle!$T$10:$T$1000) , $M107/xlookup(WORKDAY(B107,-1,Feriados!A:A),Controle!$B$10:$B$1000,Controle!$T$10:$T$1000)),"")</f>
        <v>-0.00620589704</v>
      </c>
      <c r="M107" s="48">
        <f t="shared" si="4"/>
        <v>-2522000</v>
      </c>
      <c r="N107" s="48" t="str">
        <f>IFERROR(IF(D107="Futuros",
IF(LEFT(C107,3)="DI1",G107*O107,
IF(LEFT(C107,3)="ISP",G107*O107*HLOOKUP("PTAX",'Histórico'!$A$1:$EL$983,MATCH(B107,'Histórico'!A:A),FALSE)*50,
IF(LEFT(C107,3)="WDO",10*G107*O107*HLOOKUP("PTAX",'Histórico'!$A$1:$EL$983,MATCH(B107,'Histórico'!A:A),FALSE),
IF(LEFT(C107,3)="DOL",50*G107*O107,
IF(LEFT(C107,3)="EUR",G107*O107*50,
IF(LEFT(C107,3)="WEU",G107*O107*10,
IF(LEFT(C107,3)="IND",G107*O107,
IF(LEFT(C107,3)="WIN",G107*O107*0.2,
IF(LEFT(C107,3)="T10",G107*O107*1000*HLOOKUP("PTAX",'Histórico'!$A$1:$EL$983,MATCH(B107,'Histórico'!A:A),FALSE),
IF(LEFT(C107,3)="CCM",G107*O107*450,
IF(LEFT(C107,3)="SJC",G107*O107*HLOOKUP("PTAX",'Histórico'!$A$1:$EL$983,MATCH(B107,'Histórico'!A:A),FALSE)*450,
IF(LEFT(C107,3)="BGI",G107*O107*330,
IF(LEFT(C107,3)="OZ1",G107*O107*250,
IF(LEFT(C107,3)="CLP",G107*O107*25,
IF(LEFT(C107,3)="EUP", O107*10000*HLOOKUP("EUR/BRL",'Histórico'!$A$1:$EL$983,MATCH(B107,'Histórico'!A:A),FALSE),
IF(LEFT(C107,3)="JSE", G107*O107*0.4,
IF(LEFT(C107,3)="GBP", O107*10000*HLOOKUP("GBP/BRL",'Histórico'!$A$1:$FG$983,MATCH(B107,'Histórico'!A:A),FALSE),
IF(LEFT(C107,3)="JAP",O107*10000*HLOOKUP("PTAX",'Histórico'!$A$1:$FG$983,MATCH(B107,'Histórico'!A:A),FALSE),
IF(LEFT(C107,3)="CNH",O107*10000*HLOOKUP("PTAX",'Histórico'!$A$1:$FG$983,MATCH(B107,'Histórico'!A:A),FALSE),
IF(LEFT(C107,3)="AUS",O107*10000*HLOOKUP("PTAX",'Histórico'!$A$1:$FG$983,MATCH(B107,'Histórico'!A:A),FALSE),
IF(LEFT(C107,3)="CAN",O107*10000*HLOOKUP("PTAX",'Histórico'!$A$1:$FG$983,MATCH(B107,'Histórico'!A:A),FALSE),
IF(LEFT(C107,3)="GBR",O107*10000*HLOOKUP("GBP/BRL",'Histórico'!$A$1:$FG$983,MATCH(B107,'Histórico'!A:A),FALSE),
IF(LEFT(C107,3)="MEX",O107*10000*HLOOKUP("PTAX",'Histórico'!$A$1:$FG$983,MATCH(B107,'Histórico'!A:A),FALSE),
IF(LEFT(C107,3)="CHL",O107*10000*HLOOKUP("PTAX",'Histórico'!$A$1:$FG$983,MATCH(B107,'Histórico'!A:A),FALSE)
)))))))))))))))))))))))),""))</f>
        <v/>
      </c>
      <c r="O107" s="49">
        <f t="shared" si="2"/>
        <v>100000</v>
      </c>
      <c r="P107" s="50">
        <f t="shared" si="3"/>
        <v>355000</v>
      </c>
      <c r="Q107" s="51">
        <f>IF($C107&lt;&gt;"",SUMIFS($O$3:$O$401, $C$3:$C$401 ,$C107,$B$3:$B$401,"&lt;="&amp;Controle!$B$6),"")</f>
        <v>355000</v>
      </c>
      <c r="R107" s="51">
        <f>IF($D107&lt;&gt;"",SUMIFS($O$3:$O$401, $C$3:$C$401 ,$C107,$B$3:$B$401,"&lt;="&amp;Controle!$B$6,$F$3:$F$401,$F107),"")</f>
        <v>355000</v>
      </c>
      <c r="S107" s="51">
        <f>IF($D107&lt;&gt;"",SUMIFS($O$3:$O$401, $C$3:$C$401 ,$C107,$B$3:$B$401,"&lt;="&amp;'Controle D-1'!$B$6,$F$3:$F$401,$F107),"")</f>
        <v>355000</v>
      </c>
      <c r="T107" s="40"/>
      <c r="U107" s="40"/>
      <c r="V107" s="40"/>
      <c r="W107" s="40"/>
      <c r="X107" s="40"/>
      <c r="Y107" s="40"/>
      <c r="Z107" s="40"/>
      <c r="AA107" s="40"/>
      <c r="AB107" s="40"/>
      <c r="AC107" s="40"/>
    </row>
    <row r="108" ht="15.75" customHeight="1">
      <c r="A108" s="28"/>
      <c r="B108" s="100">
        <v>45058.0</v>
      </c>
      <c r="C108" s="88" t="s">
        <v>103</v>
      </c>
      <c r="D108" s="88" t="s">
        <v>6</v>
      </c>
      <c r="E108" s="88" t="s">
        <v>208</v>
      </c>
      <c r="F108" s="88" t="s">
        <v>273</v>
      </c>
      <c r="G108" s="46">
        <v>22.62</v>
      </c>
      <c r="H108" s="101"/>
      <c r="I108" s="102"/>
      <c r="J108" s="88">
        <v>110000.0</v>
      </c>
      <c r="K108" s="47">
        <f t="array" ref="K108">if(and(J108&lt;&gt;"",D108&lt;&gt;"Futuros"),
if(F108=Controle!$C$2, M108/xlookup(workday(B108,-1,Feriados!A:A),Controle!$B$10:$B$1000,Controle!$C$10:$C$1000),
if(F108=Controle!$F$2, M108/xlookup(workday(B108,-1,Feriados!A:A),Controle!$B$10:$B$1000,Controle!$F$10:$F$1000),
if(F108=Controle!$I$2, M108/xlookup(workday(B108,-1,Feriados!A:A),Controle!$B$10:$B$1000,Controle!$I$10:$I$1000),
if(F108=Controle!$L$2, M108/xlookup(workday(B108,-1,Feriados!A:A),Controle!$B$10:$B$1000,Controle!$L$10:$L$1000),
)))),
if(and(J108&lt;&gt;"",D108="Futuros"),
if(F108=Controle!$C$2, N108/xlookup(workday(B108,-1,Feriados!A:A),Controle!$B$10:$B$1000,Controle!$C$10:$C$1000),
if(F108=Controle!$F$2, N108/xlookup(workday(B108,-1,Feriados!A:A),Controle!$B$10:$B$1000,Controle!$F$10:$F$1000),
if(F108=Controle!$I$2, N108/xlookup(workday(B108,-1,Feriados!A:A),Controle!$B$10:$B$1000,Controle!$I$10:$I$1000),
if(F108=Controle!$L$2, N108/xlookup(workday(B108,-1,Feriados!A:A),Controle!$B$10:$B$1000,Controle!$L$10:$L$1000),
)))),""))</f>
        <v>-0.02449429659</v>
      </c>
      <c r="L108" s="47">
        <f t="array" ref="L108">IF($J108&lt;&gt;"", IF($D108 = "Futuros" , $N108/xlookup(WORKDAY(B108,-1,Feriados!A:A),Controle!$B$10:$B$1000,Controle!$T$10:$T$1000) , $M108/xlookup(WORKDAY(B108,-1,Feriados!A:A),Controle!$B$10:$B$1000,Controle!$T$10:$T$1000)),"")</f>
        <v>-0.006122725224</v>
      </c>
      <c r="M108" s="48">
        <f t="shared" si="4"/>
        <v>-2488200</v>
      </c>
      <c r="N108" s="48" t="str">
        <f>IFERROR(IF(D108="Futuros",
IF(LEFT(C108,3)="DI1",G108*O108,
IF(LEFT(C108,3)="ISP",G108*O108*HLOOKUP("PTAX",'Histórico'!$A$1:$EL$983,MATCH(B108,'Histórico'!A:A),FALSE)*50,
IF(LEFT(C108,3)="WDO",10*G108*O108*HLOOKUP("PTAX",'Histórico'!$A$1:$EL$983,MATCH(B108,'Histórico'!A:A),FALSE),
IF(LEFT(C108,3)="DOL",50*G108*O108,
IF(LEFT(C108,3)="EUR",G108*O108*50,
IF(LEFT(C108,3)="WEU",G108*O108*10,
IF(LEFT(C108,3)="IND",G108*O108,
IF(LEFT(C108,3)="WIN",G108*O108*0.2,
IF(LEFT(C108,3)="T10",G108*O108*1000*HLOOKUP("PTAX",'Histórico'!$A$1:$EL$983,MATCH(B108,'Histórico'!A:A),FALSE),
IF(LEFT(C108,3)="CCM",G108*O108*450,
IF(LEFT(C108,3)="SJC",G108*O108*HLOOKUP("PTAX",'Histórico'!$A$1:$EL$983,MATCH(B108,'Histórico'!A:A),FALSE)*450,
IF(LEFT(C108,3)="BGI",G108*O108*330,
IF(LEFT(C108,3)="OZ1",G108*O108*250,
IF(LEFT(C108,3)="CLP",G108*O108*25,
IF(LEFT(C108,3)="EUP", O108*10000*HLOOKUP("EUR/BRL",'Histórico'!$A$1:$EL$983,MATCH(B108,'Histórico'!A:A),FALSE),
IF(LEFT(C108,3)="JSE", G108*O108*0.4,
IF(LEFT(C108,3)="GBP", O108*10000*HLOOKUP("GBP/BRL",'Histórico'!$A$1:$FG$983,MATCH(B108,'Histórico'!A:A),FALSE),
IF(LEFT(C108,3)="JAP",O108*10000*HLOOKUP("PTAX",'Histórico'!$A$1:$FG$983,MATCH(B108,'Histórico'!A:A),FALSE),
IF(LEFT(C108,3)="CNH",O108*10000*HLOOKUP("PTAX",'Histórico'!$A$1:$FG$983,MATCH(B108,'Histórico'!A:A),FALSE),
IF(LEFT(C108,3)="AUS",O108*10000*HLOOKUP("PTAX",'Histórico'!$A$1:$FG$983,MATCH(B108,'Histórico'!A:A),FALSE),
IF(LEFT(C108,3)="CAN",O108*10000*HLOOKUP("PTAX",'Histórico'!$A$1:$FG$983,MATCH(B108,'Histórico'!A:A),FALSE),
IF(LEFT(C108,3)="GBR",O108*10000*HLOOKUP("GBP/BRL",'Histórico'!$A$1:$FG$983,MATCH(B108,'Histórico'!A:A),FALSE),
IF(LEFT(C108,3)="MEX",O108*10000*HLOOKUP("PTAX",'Histórico'!$A$1:$FG$983,MATCH(B108,'Histórico'!A:A),FALSE),
IF(LEFT(C108,3)="CHL",O108*10000*HLOOKUP("PTAX",'Histórico'!$A$1:$FG$983,MATCH(B108,'Histórico'!A:A),FALSE)
)))))))))))))))))))))))),""))</f>
        <v/>
      </c>
      <c r="O108" s="49">
        <f t="shared" si="2"/>
        <v>110000</v>
      </c>
      <c r="P108" s="50">
        <f t="shared" si="3"/>
        <v>0</v>
      </c>
      <c r="Q108" s="51">
        <f>IF($C108&lt;&gt;"",SUMIFS($O$3:$O$401, $C$3:$C$401 ,$C108,$B$3:$B$401,"&lt;="&amp;Controle!$B$6),"")</f>
        <v>410000</v>
      </c>
      <c r="R108" s="51">
        <f>IF($D108&lt;&gt;"",SUMIFS($O$3:$O$401, $C$3:$C$401 ,$C108,$B$3:$B$401,"&lt;="&amp;Controle!$B$6,$F$3:$F$401,$F108),"")</f>
        <v>410000</v>
      </c>
      <c r="S108" s="51">
        <f>IF($D108&lt;&gt;"",SUMIFS($O$3:$O$401, $C$3:$C$401 ,$C108,$B$3:$B$401,"&lt;="&amp;'Controle D-1'!$B$6,$F$3:$F$401,$F108),"")</f>
        <v>410000</v>
      </c>
      <c r="T108" s="40"/>
      <c r="U108" s="40"/>
      <c r="V108" s="40"/>
      <c r="W108" s="40"/>
      <c r="X108" s="40"/>
      <c r="Y108" s="40"/>
      <c r="Z108" s="40"/>
      <c r="AA108" s="40"/>
      <c r="AB108" s="40"/>
      <c r="AC108" s="40"/>
    </row>
    <row r="109" ht="15.75" customHeight="1">
      <c r="A109" s="28"/>
      <c r="B109" s="100">
        <v>45058.0</v>
      </c>
      <c r="C109" s="88" t="s">
        <v>105</v>
      </c>
      <c r="D109" s="88" t="s">
        <v>6</v>
      </c>
      <c r="E109" s="88" t="s">
        <v>208</v>
      </c>
      <c r="F109" s="88" t="s">
        <v>273</v>
      </c>
      <c r="G109" s="46">
        <v>7.37</v>
      </c>
      <c r="H109" s="101"/>
      <c r="I109" s="110"/>
      <c r="J109" s="88">
        <v>340000.0</v>
      </c>
      <c r="K109" s="47">
        <f t="array" ref="K109">if(and(J109&lt;&gt;"",D109&lt;&gt;"Futuros"),
if(F109=Controle!$C$2, M109/xlookup(workday(B109,-1,Feriados!A:A),Controle!$B$10:$B$1000,Controle!$C$10:$C$1000),
if(F109=Controle!$F$2, M109/xlookup(workday(B109,-1,Feriados!A:A),Controle!$B$10:$B$1000,Controle!$F$10:$F$1000),
if(F109=Controle!$I$2, M109/xlookup(workday(B109,-1,Feriados!A:A),Controle!$B$10:$B$1000,Controle!$I$10:$I$1000),
if(F109=Controle!$L$2, M109/xlookup(workday(B109,-1,Feriados!A:A),Controle!$B$10:$B$1000,Controle!$L$10:$L$1000),
)))),
if(and(J109&lt;&gt;"",D109="Futuros"),
if(F109=Controle!$C$2, N109/xlookup(workday(B109,-1,Feriados!A:A),Controle!$B$10:$B$1000,Controle!$C$10:$C$1000),
if(F109=Controle!$F$2, N109/xlookup(workday(B109,-1,Feriados!A:A),Controle!$B$10:$B$1000,Controle!$F$10:$F$1000),
if(F109=Controle!$I$2, N109/xlookup(workday(B109,-1,Feriados!A:A),Controle!$B$10:$B$1000,Controle!$I$10:$I$1000),
if(F109=Controle!$L$2, N109/xlookup(workday(B109,-1,Feriados!A:A),Controle!$B$10:$B$1000,Controle!$L$10:$L$1000),
)))),""))</f>
        <v>-0.02466755421</v>
      </c>
      <c r="L109" s="47">
        <f t="array" ref="L109">IF($J109&lt;&gt;"", IF($D109 = "Futuros" , $N109/xlookup(WORKDAY(B109,-1,Feriados!A:A),Controle!$B$10:$B$1000,Controle!$T$10:$T$1000) , $M109/xlookup(WORKDAY(B109,-1,Feriados!A:A),Controle!$B$10:$B$1000,Controle!$T$10:$T$1000)),"")</f>
        <v>-0.006166033625</v>
      </c>
      <c r="M109" s="48">
        <f t="shared" si="4"/>
        <v>-2505800</v>
      </c>
      <c r="N109" s="48" t="str">
        <f>IFERROR(IF(D109="Futuros",
IF(LEFT(C109,3)="DI1",G109*O109,
IF(LEFT(C109,3)="ISP",G109*O109*HLOOKUP("PTAX",'Histórico'!$A$1:$EL$983,MATCH(B109,'Histórico'!A:A),FALSE)*50,
IF(LEFT(C109,3)="WDO",10*G109*O109*HLOOKUP("PTAX",'Histórico'!$A$1:$EL$983,MATCH(B109,'Histórico'!A:A),FALSE),
IF(LEFT(C109,3)="DOL",50*G109*O109,
IF(LEFT(C109,3)="EUR",G109*O109*50,
IF(LEFT(C109,3)="WEU",G109*O109*10,
IF(LEFT(C109,3)="IND",G109*O109,
IF(LEFT(C109,3)="WIN",G109*O109*0.2,
IF(LEFT(C109,3)="T10",G109*O109*1000*HLOOKUP("PTAX",'Histórico'!$A$1:$EL$983,MATCH(B109,'Histórico'!A:A),FALSE),
IF(LEFT(C109,3)="CCM",G109*O109*450,
IF(LEFT(C109,3)="SJC",G109*O109*HLOOKUP("PTAX",'Histórico'!$A$1:$EL$983,MATCH(B109,'Histórico'!A:A),FALSE)*450,
IF(LEFT(C109,3)="BGI",G109*O109*330,
IF(LEFT(C109,3)="OZ1",G109*O109*250,
IF(LEFT(C109,3)="CLP",G109*O109*25,
IF(LEFT(C109,3)="EUP", O109*10000*HLOOKUP("EUR/BRL",'Histórico'!$A$1:$EL$983,MATCH(B109,'Histórico'!A:A),FALSE),
IF(LEFT(C109,3)="JSE", G109*O109*0.4,
IF(LEFT(C109,3)="GBP", O109*10000*HLOOKUP("GBP/BRL",'Histórico'!$A$1:$FG$983,MATCH(B109,'Histórico'!A:A),FALSE),
IF(LEFT(C109,3)="JAP",O109*10000*HLOOKUP("PTAX",'Histórico'!$A$1:$FG$983,MATCH(B109,'Histórico'!A:A),FALSE),
IF(LEFT(C109,3)="CNH",O109*10000*HLOOKUP("PTAX",'Histórico'!$A$1:$FG$983,MATCH(B109,'Histórico'!A:A),FALSE),
IF(LEFT(C109,3)="AUS",O109*10000*HLOOKUP("PTAX",'Histórico'!$A$1:$FG$983,MATCH(B109,'Histórico'!A:A),FALSE),
IF(LEFT(C109,3)="CAN",O109*10000*HLOOKUP("PTAX",'Histórico'!$A$1:$FG$983,MATCH(B109,'Histórico'!A:A),FALSE),
IF(LEFT(C109,3)="GBR",O109*10000*HLOOKUP("GBP/BRL",'Histórico'!$A$1:$FG$983,MATCH(B109,'Histórico'!A:A),FALSE),
IF(LEFT(C109,3)="MEX",O109*10000*HLOOKUP("PTAX",'Histórico'!$A$1:$FG$983,MATCH(B109,'Histórico'!A:A),FALSE),
IF(LEFT(C109,3)="CHL",O109*10000*HLOOKUP("PTAX",'Histórico'!$A$1:$FG$983,MATCH(B109,'Histórico'!A:A),FALSE)
)))))))))))))))))))))))),""))</f>
        <v/>
      </c>
      <c r="O109" s="49">
        <f t="shared" si="2"/>
        <v>340000</v>
      </c>
      <c r="P109" s="50">
        <f t="shared" si="3"/>
        <v>0</v>
      </c>
      <c r="Q109" s="51">
        <f>IF($C109&lt;&gt;"",SUMIFS($O$3:$O$401, $C$3:$C$401 ,$C109,$B$3:$B$401,"&lt;="&amp;Controle!$B$6),"")</f>
        <v>1360000</v>
      </c>
      <c r="R109" s="51">
        <f>IF($D109&lt;&gt;"",SUMIFS($O$3:$O$401, $C$3:$C$401 ,$C109,$B$3:$B$401,"&lt;="&amp;Controle!$B$6,$F$3:$F$401,$F109),"")</f>
        <v>1360000</v>
      </c>
      <c r="S109" s="51">
        <f>IF($D109&lt;&gt;"",SUMIFS($O$3:$O$401, $C$3:$C$401 ,$C109,$B$3:$B$401,"&lt;="&amp;'Controle D-1'!$B$6,$F$3:$F$401,$F109),"")</f>
        <v>1360000</v>
      </c>
      <c r="T109" s="40"/>
      <c r="U109" s="40"/>
      <c r="V109" s="40"/>
      <c r="W109" s="40"/>
      <c r="X109" s="40"/>
      <c r="Y109" s="40"/>
      <c r="Z109" s="40"/>
      <c r="AA109" s="40"/>
      <c r="AB109" s="40"/>
      <c r="AC109" s="40"/>
    </row>
    <row r="110" ht="15.75" customHeight="1">
      <c r="A110" s="28"/>
      <c r="B110" s="100">
        <v>45061.0</v>
      </c>
      <c r="C110" s="88" t="s">
        <v>96</v>
      </c>
      <c r="D110" s="88" t="str">
        <f>IF(ISTEXT(C110),VLOOKUP(C110,'Cadastro dos Ativos'!$A$2:$C$1000,3,0),"")</f>
        <v>Futuros</v>
      </c>
      <c r="E110" s="88" t="s">
        <v>198</v>
      </c>
      <c r="F110" s="88" t="s">
        <v>199</v>
      </c>
      <c r="G110" s="46">
        <v>784663.7</v>
      </c>
      <c r="H110" s="101" t="str">
        <f>if($D110="Ações Americanas", HLOOKUP("PTAX",'Histórico'!$A$1:$EL$983,(MATCH(B110,'Histórico'!A:A))-1,""),
if($D110="Ações Europeias", HLOOKUP("EUR/BRL",'Histórico'!$A$1:$EL$983,(MATCH(B110,'Histórico'!A:A))-1,""),""))</f>
        <v/>
      </c>
      <c r="I110" s="102">
        <f t="array" ref="I110">IF(ISTEXT(C110),xlookup(C110,'Cadastro dos Ativos'!$A$2:$A$1000,'Cadastro dos Ativos'!$D$2:$D$1000),"")</f>
        <v>45078</v>
      </c>
      <c r="J110" s="88">
        <v>700.0</v>
      </c>
      <c r="K110" s="47">
        <f t="array" ref="K110">if(and(J110&lt;&gt;"",D110&lt;&gt;"Futuros"),
if(F110=Controle!$C$2, M110/xlookup(workday(B110,-1,Feriados!A:A),Controle!$B$10:$B$1000,Controle!$C$10:$C$1000),
if(F110=Controle!$F$2, M110/xlookup(workday(B110,-1,Feriados!A:A),Controle!$B$10:$B$1000,Controle!$F$10:$F$1000),
if(F110=Controle!$I$2, M110/xlookup(workday(B110,-1,Feriados!A:A),Controle!$B$10:$B$1000,Controle!$I$10:$I$1000),
if(F110=Controle!$L$2, M110/xlookup(workday(B110,-1,Feriados!A:A),Controle!$B$10:$B$1000,Controle!$L$10:$L$1000),
)))),
if(and(J110&lt;&gt;"",D110="Futuros"),
if(F110=Controle!$C$2, N110/xlookup(workday(B110,-1,Feriados!A:A),Controle!$B$10:$B$1000,Controle!$C$10:$C$1000),
if(F110=Controle!$F$2, N110/xlookup(workday(B110,-1,Feriados!A:A),Controle!$B$10:$B$1000,Controle!$F$10:$F$1000),
if(F110=Controle!$I$2, N110/xlookup(workday(B110,-1,Feriados!A:A),Controle!$B$10:$B$1000,Controle!$I$10:$I$1000),
if(F110=Controle!$L$2, N110/xlookup(workday(B110,-1,Feriados!A:A),Controle!$B$10:$B$1000,Controle!$L$10:$L$1000),
)))),""))</f>
        <v>-0.338638821</v>
      </c>
      <c r="L110" s="47">
        <f t="array" ref="L110">IF($J110&lt;&gt;"", IF($D110 = "Futuros" , $N110/xlookup(WORKDAY(B110,-1,Feriados!A:A),Controle!$B$10:$B$1000,Controle!$T$10:$T$1000) , $M110/xlookup(WORKDAY(B110,-1,Feriados!A:A),Controle!$B$10:$B$1000,Controle!$T$10:$T$1000)),"")</f>
        <v>-0.08489658044</v>
      </c>
      <c r="M110" s="48">
        <f t="shared" si="4"/>
        <v>549264590</v>
      </c>
      <c r="N110" s="48">
        <f>IFERROR(IF(D110="Futuros",
IF(LEFT(C110,3)="DI1",G110*O110,
IF(LEFT(C110,3)="ISP",G110*O110*HLOOKUP("PTAX",'Histórico'!$A$1:$EL$983,MATCH(B110,'Histórico'!A:A),FALSE)*50,
IF(LEFT(C110,3)="WDO",10*G110*O110*HLOOKUP("PTAX",'Histórico'!$A$1:$EL$983,MATCH(B110,'Histórico'!A:A),FALSE),
IF(LEFT(C110,3)="DOL",50*G110*O110,
IF(LEFT(C110,3)="EUR",G110*O110*50,
IF(LEFT(C110,3)="WEU",G110*O110*10,
IF(LEFT(C110,3)="IND",G110*O110,
IF(LEFT(C110,3)="WIN",G110*O110*0.2,
IF(LEFT(C110,3)="T10",G110*O110*1000*HLOOKUP("PTAX",'Histórico'!$A$1:$EL$983,MATCH(B110,'Histórico'!A:A),FALSE),
IF(LEFT(C110,3)="CCM",G110*O110*450,
IF(LEFT(C110,3)="SJC",G110*O110*HLOOKUP("PTAX",'Histórico'!$A$1:$EL$983,MATCH(B110,'Histórico'!A:A),FALSE)*450,
IF(LEFT(C110,3)="BGI",G110*O110*330,
IF(LEFT(C110,3)="OZ1",G110*O110*250,
IF(LEFT(C110,3)="CLP",G110*O110*25,
IF(LEFT(C110,3)="EUP", O110*10000*HLOOKUP("EUR/BRL",'Histórico'!$A$1:$EL$983,MATCH(B110,'Histórico'!A:A),FALSE),
IF(LEFT(C110,3)="JSE", G110*O110*0.4,
IF(LEFT(C110,3)="GBP", O110*10000*HLOOKUP("GBP/BRL",'Histórico'!$A$1:$FG$983,MATCH(B110,'Histórico'!A:A),FALSE),
IF(LEFT(C110,3)="JAP",O110*10000*HLOOKUP("PTAX",'Histórico'!$A$1:$FG$983,MATCH(B110,'Histórico'!A:A),FALSE),
IF(LEFT(C110,3)="CNH",O110*10000*HLOOKUP("PTAX",'Histórico'!$A$1:$FG$983,MATCH(B110,'Histórico'!A:A),FALSE),
IF(LEFT(C110,3)="AUS",O110*10000*HLOOKUP("PTAX",'Histórico'!$A$1:$FG$983,MATCH(B110,'Histórico'!A:A),FALSE),
IF(LEFT(C110,3)="CAN",O110*10000*HLOOKUP("PTAX",'Histórico'!$A$1:$FG$983,MATCH(B110,'Histórico'!A:A),FALSE),
IF(LEFT(C110,3)="GBR",O110*10000*HLOOKUP("GBP/BRL",'Histórico'!$A$1:$FG$983,MATCH(B110,'Histórico'!A:A),FALSE),
IF(LEFT(C110,3)="MEX",O110*10000*HLOOKUP("PTAX",'Histórico'!$A$1:$FG$983,MATCH(B110,'Histórico'!A:A),FALSE),
IF(LEFT(C110,3)="CHL",O110*10000*HLOOKUP("PTAX",'Histórico'!$A$1:$FG$983,MATCH(B110,'Histórico'!A:A),FALSE)
)))))))))))))))))))))))),""))</f>
        <v>-34463800</v>
      </c>
      <c r="O110" s="49">
        <f t="shared" si="2"/>
        <v>-700</v>
      </c>
      <c r="P110" s="50">
        <f t="shared" si="3"/>
        <v>0</v>
      </c>
      <c r="Q110" s="51">
        <f>IF($C110&lt;&gt;"",SUMIFS($O$3:$O$401, $C$3:$C$401 ,$C110,$B$3:$B$401,"&lt;="&amp;Controle!$B$6),"")</f>
        <v>0</v>
      </c>
      <c r="R110" s="51">
        <f>IF($D110&lt;&gt;"",SUMIFS($O$3:$O$401, $C$3:$C$401 ,$C110,$B$3:$B$401,"&lt;="&amp;Controle!$B$6,$F$3:$F$401,$F110),"")</f>
        <v>0</v>
      </c>
      <c r="S110" s="51">
        <f>IF($D110&lt;&gt;"",SUMIFS($O$3:$O$401, $C$3:$C$401 ,$C110,$B$3:$B$401,"&lt;="&amp;'Controle D-1'!$B$6,$F$3:$F$401,$F110),"")</f>
        <v>0</v>
      </c>
      <c r="T110" s="40"/>
      <c r="U110" s="40"/>
      <c r="V110" s="40"/>
      <c r="W110" s="40"/>
      <c r="X110" s="40"/>
      <c r="Y110" s="40"/>
      <c r="Z110" s="40"/>
      <c r="AA110" s="40"/>
      <c r="AB110" s="40"/>
      <c r="AC110" s="40"/>
    </row>
    <row r="111" ht="15.75" customHeight="1">
      <c r="A111" s="28"/>
      <c r="B111" s="100">
        <v>45062.0</v>
      </c>
      <c r="C111" s="88" t="s">
        <v>4</v>
      </c>
      <c r="D111" s="88" t="s">
        <v>6</v>
      </c>
      <c r="E111" s="88" t="s">
        <v>198</v>
      </c>
      <c r="F111" s="88" t="s">
        <v>200</v>
      </c>
      <c r="G111" s="46">
        <v>25.66</v>
      </c>
      <c r="H111" s="101"/>
      <c r="I111" s="88"/>
      <c r="J111" s="88">
        <v>200000.0</v>
      </c>
      <c r="K111" s="47">
        <f t="array" ref="K111">if(and(J111&lt;&gt;"",D111&lt;&gt;"Futuros"),
if(F111=Controle!$C$2, M111/xlookup(workday(B111,-1,Feriados!A:A),Controle!$B$10:$B$1000,Controle!$C$10:$C$1000),
if(F111=Controle!$F$2, M111/xlookup(workday(B111,-1,Feriados!A:A),Controle!$B$10:$B$1000,Controle!$F$10:$F$1000),
if(F111=Controle!$I$2, M111/xlookup(workday(B111,-1,Feriados!A:A),Controle!$B$10:$B$1000,Controle!$I$10:$I$1000),
if(F111=Controle!$L$2, M111/xlookup(workday(B111,-1,Feriados!A:A),Controle!$B$10:$B$1000,Controle!$L$10:$L$1000),
)))),
if(and(J111&lt;&gt;"",D111="Futuros"),
if(F111=Controle!$C$2, N111/xlookup(workday(B111,-1,Feriados!A:A),Controle!$B$10:$B$1000,Controle!$C$10:$C$1000),
if(F111=Controle!$F$2, N111/xlookup(workday(B111,-1,Feriados!A:A),Controle!$B$10:$B$1000,Controle!$F$10:$F$1000),
if(F111=Controle!$I$2, N111/xlookup(workday(B111,-1,Feriados!A:A),Controle!$B$10:$B$1000,Controle!$I$10:$I$1000),
if(F111=Controle!$L$2, N111/xlookup(workday(B111,-1,Feriados!A:A),Controle!$B$10:$B$1000,Controle!$L$10:$L$1000),
)))),""))</f>
        <v>0.04995443834</v>
      </c>
      <c r="L111" s="47">
        <f t="array" ref="L111">IF($J111&lt;&gt;"", IF($D111 = "Futuros" , $N111/xlookup(WORKDAY(B111,-1,Feriados!A:A),Controle!$B$10:$B$1000,Controle!$T$10:$T$1000) , $M111/xlookup(WORKDAY(B111,-1,Feriados!A:A),Controle!$B$10:$B$1000,Controle!$T$10:$T$1000)),"")</f>
        <v>0.01264222207</v>
      </c>
      <c r="M111" s="48">
        <f t="shared" si="4"/>
        <v>5132000</v>
      </c>
      <c r="N111" s="48" t="str">
        <f>IFERROR(IF(D111="Futuros",
IF(LEFT(C111,3)="DI1",G111*O111,
IF(LEFT(C111,3)="ISP",G111*O111*HLOOKUP("PTAX",'Histórico'!$A$1:$EL$983,MATCH(B111,'Histórico'!A:A),FALSE)*50,
IF(LEFT(C111,3)="WDO",10*G111*O111*HLOOKUP("PTAX",'Histórico'!$A$1:$EL$983,MATCH(B111,'Histórico'!A:A),FALSE),
IF(LEFT(C111,3)="DOL",50*G111*O111,
IF(LEFT(C111,3)="EUR",G111*O111*50,
IF(LEFT(C111,3)="WEU",G111*O111*10,
IF(LEFT(C111,3)="IND",G111*O111,
IF(LEFT(C111,3)="WIN",G111*O111*0.2,
IF(LEFT(C111,3)="T10",G111*O111*1000*HLOOKUP("PTAX",'Histórico'!$A$1:$EL$983,MATCH(B111,'Histórico'!A:A),FALSE),
IF(LEFT(C111,3)="CCM",G111*O111*450,
IF(LEFT(C111,3)="SJC",G111*O111*HLOOKUP("PTAX",'Histórico'!$A$1:$EL$983,MATCH(B111,'Histórico'!A:A),FALSE)*450,
IF(LEFT(C111,3)="BGI",G111*O111*330,
IF(LEFT(C111,3)="OZ1",G111*O111*250,
IF(LEFT(C111,3)="CLP",G111*O111*25,
IF(LEFT(C111,3)="EUP", O111*10000*HLOOKUP("EUR/BRL",'Histórico'!$A$1:$EL$983,MATCH(B111,'Histórico'!A:A),FALSE),
IF(LEFT(C111,3)="JSE", G111*O111*0.4,
IF(LEFT(C111,3)="GBP", O111*10000*HLOOKUP("GBP/BRL",'Histórico'!$A$1:$FG$983,MATCH(B111,'Histórico'!A:A),FALSE),
IF(LEFT(C111,3)="JAP",O111*10000*HLOOKUP("PTAX",'Histórico'!$A$1:$FG$983,MATCH(B111,'Histórico'!A:A),FALSE),
IF(LEFT(C111,3)="CNH",O111*10000*HLOOKUP("PTAX",'Histórico'!$A$1:$FG$983,MATCH(B111,'Histórico'!A:A),FALSE),
IF(LEFT(C111,3)="AUS",O111*10000*HLOOKUP("PTAX",'Histórico'!$A$1:$FG$983,MATCH(B111,'Histórico'!A:A),FALSE),
IF(LEFT(C111,3)="CAN",O111*10000*HLOOKUP("PTAX",'Histórico'!$A$1:$FG$983,MATCH(B111,'Histórico'!A:A),FALSE),
IF(LEFT(C111,3)="GBR",O111*10000*HLOOKUP("GBP/BRL",'Histórico'!$A$1:$FG$983,MATCH(B111,'Histórico'!A:A),FALSE),
IF(LEFT(C111,3)="MEX",O111*10000*HLOOKUP("PTAX",'Histórico'!$A$1:$FG$983,MATCH(B111,'Histórico'!A:A),FALSE),
IF(LEFT(C111,3)="CHL",O111*10000*HLOOKUP("PTAX",'Histórico'!$A$1:$FG$983,MATCH(B111,'Histórico'!A:A),FALSE)
)))))))))))))))))))))))),""))</f>
        <v/>
      </c>
      <c r="O111" s="49">
        <f t="shared" si="2"/>
        <v>-200000</v>
      </c>
      <c r="P111" s="50">
        <f t="shared" si="3"/>
        <v>0</v>
      </c>
      <c r="Q111" s="51">
        <f>IF($C111&lt;&gt;"",SUMIFS($O$3:$O$401, $C$3:$C$401 ,$C111,$B$3:$B$401,"&lt;="&amp;Controle!$B$6),"")</f>
        <v>0</v>
      </c>
      <c r="R111" s="51">
        <f>IF($D111&lt;&gt;"",SUMIFS($O$3:$O$401, $C$3:$C$401 ,$C111,$B$3:$B$401,"&lt;="&amp;Controle!$B$6,$F$3:$F$401,$F111),"")</f>
        <v>0</v>
      </c>
      <c r="S111" s="51">
        <f>IF($D111&lt;&gt;"",SUMIFS($O$3:$O$401, $C$3:$C$401 ,$C111,$B$3:$B$401,"&lt;="&amp;'Controle D-1'!$B$6,$F$3:$F$401,$F111),"")</f>
        <v>0</v>
      </c>
      <c r="T111" s="40"/>
      <c r="U111" s="40"/>
      <c r="V111" s="40"/>
      <c r="W111" s="40"/>
      <c r="X111" s="40"/>
      <c r="Y111" s="40"/>
      <c r="Z111" s="40"/>
      <c r="AA111" s="40"/>
      <c r="AB111" s="40"/>
      <c r="AC111" s="40"/>
    </row>
    <row r="112" ht="15.75" customHeight="1">
      <c r="A112" s="28"/>
      <c r="B112" s="100">
        <v>45062.0</v>
      </c>
      <c r="C112" s="88" t="s">
        <v>272</v>
      </c>
      <c r="D112" s="88" t="str">
        <f>IF(ISTEXT(C112),VLOOKUP(C112,'Cadastro dos Ativos'!$A$2:$C$1000,3,0),"")</f>
        <v>Títulos</v>
      </c>
      <c r="E112" s="88" t="s">
        <v>198</v>
      </c>
      <c r="F112" s="88" t="s">
        <v>200</v>
      </c>
      <c r="G112" s="46">
        <v>4128.725257</v>
      </c>
      <c r="H112" s="101" t="str">
        <f>if($D112="Ações Americanas", HLOOKUP("PTAX",'Histórico'!$A$1:$EL$983,(MATCH(B112,'Histórico'!A:A))-1,""),
if($D112="Ações Europeias", HLOOKUP("EUR/BRL",'Histórico'!$A$1:$EL$983,(MATCH(B112,'Histórico'!A:A))-1,""),""))</f>
        <v/>
      </c>
      <c r="I112" s="102">
        <f t="array" ref="I112">IF(ISTEXT(C112),xlookup(C112,'Cadastro dos Ativos'!$A$2:$A$1000,'Cadastro dos Ativos'!$D$2:$D$1000),"")</f>
        <v>45519</v>
      </c>
      <c r="J112" s="88">
        <v>29774.0</v>
      </c>
      <c r="K112" s="47">
        <f t="array" ref="K112">if(and(J112&lt;&gt;"",D112&lt;&gt;"Futuros"),
if(F112=Controle!$C$2, M112/xlookup(workday(B112,-1,Feriados!A:A),Controle!$B$10:$B$1000,Controle!$C$10:$C$1000),
if(F112=Controle!$F$2, M112/xlookup(workday(B112,-1,Feriados!A:A),Controle!$B$10:$B$1000,Controle!$F$10:$F$1000),
if(F112=Controle!$I$2, M112/xlookup(workday(B112,-1,Feriados!A:A),Controle!$B$10:$B$1000,Controle!$I$10:$I$1000),
if(F112=Controle!$L$2, M112/xlookup(workday(B112,-1,Feriados!A:A),Controle!$B$10:$B$1000,Controle!$L$10:$L$1000),
)))),
if(and(J112&lt;&gt;"",D112="Futuros"),
if(F112=Controle!$C$2, N112/xlookup(workday(B112,-1,Feriados!A:A),Controle!$B$10:$B$1000,Controle!$C$10:$C$1000),
if(F112=Controle!$F$2, N112/xlookup(workday(B112,-1,Feriados!A:A),Controle!$B$10:$B$1000,Controle!$F$10:$F$1000),
if(F112=Controle!$I$2, N112/xlookup(workday(B112,-1,Feriados!A:A),Controle!$B$10:$B$1000,Controle!$I$10:$I$1000),
if(F112=Controle!$L$2, N112/xlookup(workday(B112,-1,Feriados!A:A),Controle!$B$10:$B$1000,Controle!$L$10:$L$1000),
)))),""))</f>
        <v>1.196576862</v>
      </c>
      <c r="L112" s="47">
        <f t="array" ref="L112">IF($J112&lt;&gt;"", IF($D112 = "Futuros" , $N112/xlookup(WORKDAY(B112,-1,Feriados!A:A),Controle!$B$10:$B$1000,Controle!$T$10:$T$1000) , $M112/xlookup(WORKDAY(B112,-1,Feriados!A:A),Controle!$B$10:$B$1000,Controle!$T$10:$T$1000)),"")</f>
        <v>0.3028237513</v>
      </c>
      <c r="M112" s="48">
        <f t="shared" si="4"/>
        <v>122928665.8</v>
      </c>
      <c r="N112" s="48" t="str">
        <f>IFERROR(IF(D112="Futuros",
IF(LEFT(C112,3)="DI1",G112*O112,
IF(LEFT(C112,3)="ISP",G112*O112*HLOOKUP("PTAX",'Histórico'!$A$1:$EL$983,MATCH(B112,'Histórico'!A:A),FALSE)*50,
IF(LEFT(C112,3)="WDO",10*G112*O112*HLOOKUP("PTAX",'Histórico'!$A$1:$EL$983,MATCH(B112,'Histórico'!A:A),FALSE),
IF(LEFT(C112,3)="DOL",50*G112*O112,
IF(LEFT(C112,3)="EUR",G112*O112*50,
IF(LEFT(C112,3)="WEU",G112*O112*10,
IF(LEFT(C112,3)="IND",G112*O112,
IF(LEFT(C112,3)="WIN",G112*O112*0.2,
IF(LEFT(C112,3)="T10",G112*O112*1000*HLOOKUP("PTAX",'Histórico'!$A$1:$EL$983,MATCH(B112,'Histórico'!A:A),FALSE),
IF(LEFT(C112,3)="CCM",G112*O112*450,
IF(LEFT(C112,3)="SJC",G112*O112*HLOOKUP("PTAX",'Histórico'!$A$1:$EL$983,MATCH(B112,'Histórico'!A:A),FALSE)*450,
IF(LEFT(C112,3)="BGI",G112*O112*330,
IF(LEFT(C112,3)="OZ1",G112*O112*250,
IF(LEFT(C112,3)="CLP",G112*O112*25,
IF(LEFT(C112,3)="EUP", O112*10000*HLOOKUP("EUR/BRL",'Histórico'!$A$1:$EL$983,MATCH(B112,'Histórico'!A:A),FALSE),
IF(LEFT(C112,3)="JSE", G112*O112*0.4,
IF(LEFT(C112,3)="GBP", O112*10000*HLOOKUP("GBP/BRL",'Histórico'!$A$1:$FG$983,MATCH(B112,'Histórico'!A:A),FALSE),
IF(LEFT(C112,3)="JAP",O112*10000*HLOOKUP("PTAX",'Histórico'!$A$1:$FG$983,MATCH(B112,'Histórico'!A:A),FALSE),
IF(LEFT(C112,3)="CNH",O112*10000*HLOOKUP("PTAX",'Histórico'!$A$1:$FG$983,MATCH(B112,'Histórico'!A:A),FALSE),
IF(LEFT(C112,3)="AUS",O112*10000*HLOOKUP("PTAX",'Histórico'!$A$1:$FG$983,MATCH(B112,'Histórico'!A:A),FALSE),
IF(LEFT(C112,3)="CAN",O112*10000*HLOOKUP("PTAX",'Histórico'!$A$1:$FG$983,MATCH(B112,'Histórico'!A:A),FALSE),
IF(LEFT(C112,3)="GBR",O112*10000*HLOOKUP("GBP/BRL",'Histórico'!$A$1:$FG$983,MATCH(B112,'Histórico'!A:A),FALSE),
IF(LEFT(C112,3)="MEX",O112*10000*HLOOKUP("PTAX",'Histórico'!$A$1:$FG$983,MATCH(B112,'Histórico'!A:A),FALSE),
IF(LEFT(C112,3)="CHL",O112*10000*HLOOKUP("PTAX",'Histórico'!$A$1:$FG$983,MATCH(B112,'Histórico'!A:A),FALSE)
)))))))))))))))))))))))),""))</f>
        <v/>
      </c>
      <c r="O112" s="49">
        <f t="shared" si="2"/>
        <v>-29774</v>
      </c>
      <c r="P112" s="50">
        <f t="shared" si="3"/>
        <v>0</v>
      </c>
      <c r="Q112" s="51">
        <f>IF($C112&lt;&gt;"",SUMIFS($O$3:$O$401, $C$3:$C$401 ,$C112,$B$3:$B$401,"&lt;="&amp;Controle!$B$6),"")</f>
        <v>0</v>
      </c>
      <c r="R112" s="51">
        <f>IF($D112&lt;&gt;"",SUMIFS($O$3:$O$401, $C$3:$C$401 ,$C112,$B$3:$B$401,"&lt;="&amp;Controle!$B$6,$F$3:$F$401,$F112),"")</f>
        <v>0</v>
      </c>
      <c r="S112" s="51">
        <f>IF($D112&lt;&gt;"",SUMIFS($O$3:$O$401, $C$3:$C$401 ,$C112,$B$3:$B$401,"&lt;="&amp;'Controle D-1'!$B$6,$F$3:$F$401,$F112),"")</f>
        <v>0</v>
      </c>
      <c r="T112" s="40"/>
      <c r="U112" s="40"/>
      <c r="V112" s="40"/>
      <c r="W112" s="40"/>
      <c r="X112" s="40"/>
      <c r="Y112" s="40"/>
      <c r="Z112" s="40"/>
      <c r="AA112" s="40"/>
      <c r="AB112" s="40"/>
      <c r="AC112" s="40"/>
    </row>
    <row r="113" ht="15.75" customHeight="1">
      <c r="A113" s="28"/>
      <c r="B113" s="100">
        <v>45062.0</v>
      </c>
      <c r="C113" s="88" t="s">
        <v>4</v>
      </c>
      <c r="D113" s="88" t="str">
        <f>IF(ISTEXT(C113),VLOOKUP(C113,'Cadastro dos Ativos'!$A$2:$C$1000,3,0),"")</f>
        <v>Ações Listadas na B3</v>
      </c>
      <c r="E113" s="88" t="s">
        <v>198</v>
      </c>
      <c r="F113" s="88" t="s">
        <v>199</v>
      </c>
      <c r="G113" s="46">
        <v>26.93</v>
      </c>
      <c r="H113" s="101" t="str">
        <f>if($D113="Ações Americanas", HLOOKUP("PTAX",'Histórico'!$A$1:$EL$983,(MATCH(B113,'Histórico'!A:A))-1,""),
if($D113="Ações Europeias", HLOOKUP("EUR/BRL",'Histórico'!$A$1:$EL$983,(MATCH(B113,'Histórico'!A:A))-1,""),""))</f>
        <v/>
      </c>
      <c r="I113" s="88" t="str">
        <f t="array" ref="I113">IF(ISTEXT(C113),xlookup(C113,'Cadastro dos Ativos'!$A$2:$A$1000,'Cadastro dos Ativos'!$D$2:$D$1000),"")</f>
        <v/>
      </c>
      <c r="J113" s="88">
        <v>330000.0</v>
      </c>
      <c r="K113" s="47">
        <f t="array" ref="K113">if(and(J113&lt;&gt;"",D113&lt;&gt;"Futuros"),
if(F113=Controle!$C$2, M113/xlookup(workday(B113,-1,Feriados!A:A),Controle!$B$10:$B$1000,Controle!$C$10:$C$1000),
if(F113=Controle!$F$2, M113/xlookup(workday(B113,-1,Feriados!A:A),Controle!$B$10:$B$1000,Controle!$F$10:$F$1000),
if(F113=Controle!$I$2, M113/xlookup(workday(B113,-1,Feriados!A:A),Controle!$B$10:$B$1000,Controle!$I$10:$I$1000),
if(F113=Controle!$L$2, M113/xlookup(workday(B113,-1,Feriados!A:A),Controle!$B$10:$B$1000,Controle!$L$10:$L$1000),
)))),
if(and(J113&lt;&gt;"",D113="Futuros"),
if(F113=Controle!$C$2, N113/xlookup(workday(B113,-1,Feriados!A:A),Controle!$B$10:$B$1000,Controle!$C$10:$C$1000),
if(F113=Controle!$F$2, N113/xlookup(workday(B113,-1,Feriados!A:A),Controle!$B$10:$B$1000,Controle!$F$10:$F$1000),
if(F113=Controle!$I$2, N113/xlookup(workday(B113,-1,Feriados!A:A),Controle!$B$10:$B$1000,Controle!$I$10:$I$1000),
if(F113=Controle!$L$2, N113/xlookup(workday(B113,-1,Feriados!A:A),Controle!$B$10:$B$1000,Controle!$L$10:$L$1000),
)))),""))</f>
        <v>0.08712843018</v>
      </c>
      <c r="L113" s="47">
        <f t="array" ref="L113">IF($J113&lt;&gt;"", IF($D113 = "Futuros" , $N113/xlookup(WORKDAY(B113,-1,Feriados!A:A),Controle!$B$10:$B$1000,Controle!$T$10:$T$1000) , $M113/xlookup(WORKDAY(B113,-1,Feriados!A:A),Controle!$B$10:$B$1000,Controle!$T$10:$T$1000)),"")</f>
        <v>0.0218920817</v>
      </c>
      <c r="M113" s="48">
        <f t="shared" si="4"/>
        <v>8886900</v>
      </c>
      <c r="N113" s="48" t="str">
        <f>IFERROR(IF(D113="Futuros",
IF(LEFT(C113,3)="DI1",G113*O113,
IF(LEFT(C113,3)="ISP",G113*O113*HLOOKUP("PTAX",'Histórico'!$A$1:$EL$983,MATCH(B113,'Histórico'!A:A),FALSE)*50,
IF(LEFT(C113,3)="WDO",10*G113*O113*HLOOKUP("PTAX",'Histórico'!$A$1:$EL$983,MATCH(B113,'Histórico'!A:A),FALSE),
IF(LEFT(C113,3)="DOL",50*G113*O113,
IF(LEFT(C113,3)="EUR",G113*O113*50,
IF(LEFT(C113,3)="WEU",G113*O113*10,
IF(LEFT(C113,3)="IND",G113*O113,
IF(LEFT(C113,3)="WIN",G113*O113*0.2,
IF(LEFT(C113,3)="T10",G113*O113*1000*HLOOKUP("PTAX",'Histórico'!$A$1:$EL$983,MATCH(B113,'Histórico'!A:A),FALSE),
IF(LEFT(C113,3)="CCM",G113*O113*450,
IF(LEFT(C113,3)="SJC",G113*O113*HLOOKUP("PTAX",'Histórico'!$A$1:$EL$983,MATCH(B113,'Histórico'!A:A),FALSE)*450,
IF(LEFT(C113,3)="BGI",G113*O113*330,
IF(LEFT(C113,3)="OZ1",G113*O113*250,
IF(LEFT(C113,3)="CLP",G113*O113*25,
IF(LEFT(C113,3)="EUP", O113*10000*HLOOKUP("EUR/BRL",'Histórico'!$A$1:$EL$983,MATCH(B113,'Histórico'!A:A),FALSE),
IF(LEFT(C113,3)="JSE", G113*O113*0.4,
IF(LEFT(C113,3)="GBP", O113*10000*HLOOKUP("GBP/BRL",'Histórico'!$A$1:$FG$983,MATCH(B113,'Histórico'!A:A),FALSE),
IF(LEFT(C113,3)="JAP",O113*10000*HLOOKUP("PTAX",'Histórico'!$A$1:$FG$983,MATCH(B113,'Histórico'!A:A),FALSE),
IF(LEFT(C113,3)="CNH",O113*10000*HLOOKUP("PTAX",'Histórico'!$A$1:$FG$983,MATCH(B113,'Histórico'!A:A),FALSE),
IF(LEFT(C113,3)="AUS",O113*10000*HLOOKUP("PTAX",'Histórico'!$A$1:$FG$983,MATCH(B113,'Histórico'!A:A),FALSE),
IF(LEFT(C113,3)="CAN",O113*10000*HLOOKUP("PTAX",'Histórico'!$A$1:$FG$983,MATCH(B113,'Histórico'!A:A),FALSE),
IF(LEFT(C113,3)="GBR",O113*10000*HLOOKUP("GBP/BRL",'Histórico'!$A$1:$FG$983,MATCH(B113,'Histórico'!A:A),FALSE),
IF(LEFT(C113,3)="MEX",O113*10000*HLOOKUP("PTAX",'Histórico'!$A$1:$FG$983,MATCH(B113,'Histórico'!A:A),FALSE),
IF(LEFT(C113,3)="CHL",O113*10000*HLOOKUP("PTAX",'Histórico'!$A$1:$FG$983,MATCH(B113,'Histórico'!A:A),FALSE)
)))))))))))))))))))))))),""))</f>
        <v/>
      </c>
      <c r="O113" s="49">
        <f t="shared" si="2"/>
        <v>-330000</v>
      </c>
      <c r="P113" s="50">
        <f t="shared" si="3"/>
        <v>0</v>
      </c>
      <c r="Q113" s="51">
        <f>IF($C113&lt;&gt;"",SUMIFS($O$3:$O$401, $C$3:$C$401 ,$C113,$B$3:$B$401,"&lt;="&amp;Controle!$B$6),"")</f>
        <v>0</v>
      </c>
      <c r="R113" s="51">
        <f>IF($D113&lt;&gt;"",SUMIFS($O$3:$O$401, $C$3:$C$401 ,$C113,$B$3:$B$401,"&lt;="&amp;Controle!$B$6,$F$3:$F$401,$F113),"")</f>
        <v>0</v>
      </c>
      <c r="S113" s="51">
        <f>IF($D113&lt;&gt;"",SUMIFS($O$3:$O$401, $C$3:$C$401 ,$C113,$B$3:$B$401,"&lt;="&amp;'Controle D-1'!$B$6,$F$3:$F$401,$F113),"")</f>
        <v>0</v>
      </c>
      <c r="T113" s="40"/>
      <c r="U113" s="40"/>
      <c r="V113" s="40"/>
      <c r="W113" s="40"/>
      <c r="X113" s="40"/>
      <c r="Y113" s="40"/>
      <c r="Z113" s="40"/>
      <c r="AA113" s="40"/>
      <c r="AB113" s="40"/>
      <c r="AC113" s="40"/>
    </row>
    <row r="114" ht="15.75" customHeight="1">
      <c r="A114" s="28"/>
      <c r="B114" s="100">
        <v>45062.0</v>
      </c>
      <c r="C114" s="88" t="s">
        <v>48</v>
      </c>
      <c r="D114" s="88" t="str">
        <f>IF(ISTEXT(C114),VLOOKUP(C114,'Cadastro dos Ativos'!$A$2:$C$1000,3,0),"")</f>
        <v>Ações Listadas na B3</v>
      </c>
      <c r="E114" s="88" t="s">
        <v>198</v>
      </c>
      <c r="F114" s="88" t="s">
        <v>199</v>
      </c>
      <c r="G114" s="46">
        <v>69.139999</v>
      </c>
      <c r="H114" s="101"/>
      <c r="I114" s="88" t="str">
        <f t="array" ref="I114">IF(ISTEXT(C114),xlookup(C114,'Cadastro dos Ativos'!$A$2:$A$1000,'Cadastro dos Ativos'!$D$2:$D$1000),"")</f>
        <v/>
      </c>
      <c r="J114" s="88">
        <v>73000.0</v>
      </c>
      <c r="K114" s="47">
        <f t="array" ref="K114">if(and(J114&lt;&gt;"",D114&lt;&gt;"Futuros"),
if(F114=Controle!$C$2, M114/xlookup(workday(B114,-1,Feriados!A:A),Controle!$B$10:$B$1000,Controle!$C$10:$C$1000),
if(F114=Controle!$F$2, M114/xlookup(workday(B114,-1,Feriados!A:A),Controle!$B$10:$B$1000,Controle!$F$10:$F$1000),
if(F114=Controle!$I$2, M114/xlookup(workday(B114,-1,Feriados!A:A),Controle!$B$10:$B$1000,Controle!$I$10:$I$1000),
if(F114=Controle!$L$2, M114/xlookup(workday(B114,-1,Feriados!A:A),Controle!$B$10:$B$1000,Controle!$L$10:$L$1000),
)))),
if(and(J114&lt;&gt;"",D114="Futuros"),
if(F114=Controle!$C$2, N114/xlookup(workday(B114,-1,Feriados!A:A),Controle!$B$10:$B$1000,Controle!$C$10:$C$1000),
if(F114=Controle!$F$2, N114/xlookup(workday(B114,-1,Feriados!A:A),Controle!$B$10:$B$1000,Controle!$F$10:$F$1000),
if(F114=Controle!$I$2, N114/xlookup(workday(B114,-1,Feriados!A:A),Controle!$B$10:$B$1000,Controle!$I$10:$I$1000),
if(F114=Controle!$L$2, N114/xlookup(workday(B114,-1,Feriados!A:A),Controle!$B$10:$B$1000,Controle!$L$10:$L$1000),
)))),""))</f>
        <v>0.04948366123</v>
      </c>
      <c r="L114" s="47">
        <f t="array" ref="L114">IF($J114&lt;&gt;"", IF($D114 = "Futuros" , $N114/xlookup(WORKDAY(B114,-1,Feriados!A:A),Controle!$B$10:$B$1000,Controle!$T$10:$T$1000) , $M114/xlookup(WORKDAY(B114,-1,Feriados!A:A),Controle!$B$10:$B$1000,Controle!$T$10:$T$1000)),"")</f>
        <v>0.01243337396</v>
      </c>
      <c r="M114" s="48">
        <f t="shared" si="4"/>
        <v>5047219.927</v>
      </c>
      <c r="N114" s="48" t="str">
        <f>IFERROR(IF(D114="Futuros",
IF(LEFT(C114,3)="DI1",G114*O114,
IF(LEFT(C114,3)="ISP",G114*O114*HLOOKUP("PTAX",'Histórico'!$A$1:$EL$983,MATCH(B114,'Histórico'!A:A),FALSE)*50,
IF(LEFT(C114,3)="WDO",10*G114*O114*HLOOKUP("PTAX",'Histórico'!$A$1:$EL$983,MATCH(B114,'Histórico'!A:A),FALSE),
IF(LEFT(C114,3)="DOL",50*G114*O114,
IF(LEFT(C114,3)="EUR",G114*O114*50,
IF(LEFT(C114,3)="WEU",G114*O114*10,
IF(LEFT(C114,3)="IND",G114*O114,
IF(LEFT(C114,3)="WIN",G114*O114*0.2,
IF(LEFT(C114,3)="T10",G114*O114*1000*HLOOKUP("PTAX",'Histórico'!$A$1:$EL$983,MATCH(B114,'Histórico'!A:A),FALSE),
IF(LEFT(C114,3)="CCM",G114*O114*450,
IF(LEFT(C114,3)="SJC",G114*O114*HLOOKUP("PTAX",'Histórico'!$A$1:$EL$983,MATCH(B114,'Histórico'!A:A),FALSE)*450,
IF(LEFT(C114,3)="BGI",G114*O114*330,
IF(LEFT(C114,3)="OZ1",G114*O114*250,
IF(LEFT(C114,3)="CLP",G114*O114*25,
IF(LEFT(C114,3)="EUP", O114*10000*HLOOKUP("EUR/BRL",'Histórico'!$A$1:$EL$983,MATCH(B114,'Histórico'!A:A),FALSE),
IF(LEFT(C114,3)="JSE", G114*O114*0.4,
IF(LEFT(C114,3)="GBP", O114*10000*HLOOKUP("GBP/BRL",'Histórico'!$A$1:$FG$983,MATCH(B114,'Histórico'!A:A),FALSE),
IF(LEFT(C114,3)="JAP",O114*10000*HLOOKUP("PTAX",'Histórico'!$A$1:$FG$983,MATCH(B114,'Histórico'!A:A),FALSE),
IF(LEFT(C114,3)="CNH",O114*10000*HLOOKUP("PTAX",'Histórico'!$A$1:$FG$983,MATCH(B114,'Histórico'!A:A),FALSE),
IF(LEFT(C114,3)="AUS",O114*10000*HLOOKUP("PTAX",'Histórico'!$A$1:$FG$983,MATCH(B114,'Histórico'!A:A),FALSE),
IF(LEFT(C114,3)="CAN",O114*10000*HLOOKUP("PTAX",'Histórico'!$A$1:$FG$983,MATCH(B114,'Histórico'!A:A),FALSE),
IF(LEFT(C114,3)="GBR",O114*10000*HLOOKUP("GBP/BRL",'Histórico'!$A$1:$FG$983,MATCH(B114,'Histórico'!A:A),FALSE),
IF(LEFT(C114,3)="MEX",O114*10000*HLOOKUP("PTAX",'Histórico'!$A$1:$FG$983,MATCH(B114,'Histórico'!A:A),FALSE),
IF(LEFT(C114,3)="CHL",O114*10000*HLOOKUP("PTAX",'Histórico'!$A$1:$FG$983,MATCH(B114,'Histórico'!A:A),FALSE)
)))))))))))))))))))))))),""))</f>
        <v/>
      </c>
      <c r="O114" s="49">
        <f t="shared" si="2"/>
        <v>-73000</v>
      </c>
      <c r="P114" s="50">
        <f t="shared" si="3"/>
        <v>0</v>
      </c>
      <c r="Q114" s="51">
        <f>IF($C114&lt;&gt;"",SUMIFS($O$3:$O$401, $C$3:$C$401 ,$C114,$B$3:$B$401,"&lt;="&amp;Controle!$B$6),"")</f>
        <v>0</v>
      </c>
      <c r="R114" s="51">
        <f>IF($D114&lt;&gt;"",SUMIFS($O$3:$O$401, $C$3:$C$401 ,$C114,$B$3:$B$401,"&lt;="&amp;Controle!$B$6,$F$3:$F$401,$F114),"")</f>
        <v>0</v>
      </c>
      <c r="S114" s="51">
        <f>IF($D114&lt;&gt;"",SUMIFS($O$3:$O$401, $C$3:$C$401 ,$C114,$B$3:$B$401,"&lt;="&amp;'Controle D-1'!$B$6,$F$3:$F$401,$F114),"")</f>
        <v>0</v>
      </c>
      <c r="T114" s="40"/>
      <c r="U114" s="40"/>
      <c r="V114" s="40"/>
      <c r="W114" s="40"/>
      <c r="X114" s="40"/>
      <c r="Y114" s="40"/>
      <c r="Z114" s="40"/>
      <c r="AA114" s="40"/>
      <c r="AB114" s="40"/>
      <c r="AC114" s="40"/>
    </row>
    <row r="115" ht="15.75" customHeight="1">
      <c r="A115" s="28"/>
      <c r="B115" s="100">
        <v>45062.0</v>
      </c>
      <c r="C115" s="88" t="s">
        <v>84</v>
      </c>
      <c r="D115" s="88" t="str">
        <f>IF(ISTEXT(C115),VLOOKUP(C115,'Cadastro dos Ativos'!$A$2:$C$1000,3,0),"")</f>
        <v>Ações Listadas na B3</v>
      </c>
      <c r="E115" s="88" t="s">
        <v>208</v>
      </c>
      <c r="F115" s="88" t="s">
        <v>199</v>
      </c>
      <c r="G115" s="46">
        <v>105.809998</v>
      </c>
      <c r="H115" s="101" t="str">
        <f>if($D115="Ações Americanas", HLOOKUP("PTAX",'Histórico'!$A$1:$EL$983,(MATCH(B115,'Histórico'!A:A))-1,""),
if($D115="Ações Europeias", HLOOKUP("EUR/BRL",'Histórico'!$A$1:$EL$983,(MATCH(B115,'Histórico'!A:A))-1,""),""))</f>
        <v/>
      </c>
      <c r="I115" s="88" t="str">
        <f t="array" ref="I115">IF(ISTEXT(C115),xlookup(C115,'Cadastro dos Ativos'!$A$2:$A$1000,'Cadastro dos Ativos'!$D$2:$D$1000),"")</f>
        <v/>
      </c>
      <c r="J115" s="88">
        <v>142000.0</v>
      </c>
      <c r="K115" s="47">
        <f t="array" ref="K115">if(and(J115&lt;&gt;"",D115&lt;&gt;"Futuros"),
if(F115=Controle!$C$2, M115/xlookup(workday(B115,-1,Feriados!A:A),Controle!$B$10:$B$1000,Controle!$C$10:$C$1000),
if(F115=Controle!$F$2, M115/xlookup(workday(B115,-1,Feriados!A:A),Controle!$B$10:$B$1000,Controle!$F$10:$F$1000),
if(F115=Controle!$I$2, M115/xlookup(workday(B115,-1,Feriados!A:A),Controle!$B$10:$B$1000,Controle!$I$10:$I$1000),
if(F115=Controle!$L$2, M115/xlookup(workday(B115,-1,Feriados!A:A),Controle!$B$10:$B$1000,Controle!$L$10:$L$1000),
)))),
if(and(J115&lt;&gt;"",D115="Futuros"),
if(F115=Controle!$C$2, N115/xlookup(workday(B115,-1,Feriados!A:A),Controle!$B$10:$B$1000,Controle!$C$10:$C$1000),
if(F115=Controle!$F$2, N115/xlookup(workday(B115,-1,Feriados!A:A),Controle!$B$10:$B$1000,Controle!$F$10:$F$1000),
if(F115=Controle!$I$2, N115/xlookup(workday(B115,-1,Feriados!A:A),Controle!$B$10:$B$1000,Controle!$I$10:$I$1000),
if(F115=Controle!$L$2, N115/xlookup(workday(B115,-1,Feriados!A:A),Controle!$B$10:$B$1000,Controle!$L$10:$L$1000),
)))),""))</f>
        <v>-0.1473074279</v>
      </c>
      <c r="L115" s="47">
        <f t="array" ref="L115">IF($J115&lt;&gt;"", IF($D115 = "Futuros" , $N115/xlookup(WORKDAY(B115,-1,Feriados!A:A),Controle!$B$10:$B$1000,Controle!$T$10:$T$1000) , $M115/xlookup(WORKDAY(B115,-1,Feriados!A:A),Controle!$B$10:$B$1000,Controle!$T$10:$T$1000)),"")</f>
        <v>-0.03701278952</v>
      </c>
      <c r="M115" s="48">
        <f t="shared" si="4"/>
        <v>-15025019.72</v>
      </c>
      <c r="N115" s="48" t="str">
        <f>IFERROR(IF(D115="Futuros",
IF(LEFT(C115,3)="DI1",G115*O115,
IF(LEFT(C115,3)="ISP",G115*O115*HLOOKUP("PTAX",'Histórico'!$A$1:$EL$983,MATCH(B115,'Histórico'!A:A),FALSE)*50,
IF(LEFT(C115,3)="WDO",10*G115*O115*HLOOKUP("PTAX",'Histórico'!$A$1:$EL$983,MATCH(B115,'Histórico'!A:A),FALSE),
IF(LEFT(C115,3)="DOL",50*G115*O115,
IF(LEFT(C115,3)="EUR",G115*O115*50,
IF(LEFT(C115,3)="WEU",G115*O115*10,
IF(LEFT(C115,3)="IND",G115*O115,
IF(LEFT(C115,3)="WIN",G115*O115*0.2,
IF(LEFT(C115,3)="T10",G115*O115*1000*HLOOKUP("PTAX",'Histórico'!$A$1:$EL$983,MATCH(B115,'Histórico'!A:A),FALSE),
IF(LEFT(C115,3)="CCM",G115*O115*450,
IF(LEFT(C115,3)="SJC",G115*O115*HLOOKUP("PTAX",'Histórico'!$A$1:$EL$983,MATCH(B115,'Histórico'!A:A),FALSE)*450,
IF(LEFT(C115,3)="BGI",G115*O115*330,
IF(LEFT(C115,3)="OZ1",G115*O115*250,
IF(LEFT(C115,3)="CLP",G115*O115*25,
IF(LEFT(C115,3)="EUP", O115*10000*HLOOKUP("EUR/BRL",'Histórico'!$A$1:$EL$983,MATCH(B115,'Histórico'!A:A),FALSE),
IF(LEFT(C115,3)="JSE", G115*O115*0.4,
IF(LEFT(C115,3)="GBP", O115*10000*HLOOKUP("GBP/BRL",'Histórico'!$A$1:$FG$983,MATCH(B115,'Histórico'!A:A),FALSE),
IF(LEFT(C115,3)="JAP",O115*10000*HLOOKUP("PTAX",'Histórico'!$A$1:$FG$983,MATCH(B115,'Histórico'!A:A),FALSE),
IF(LEFT(C115,3)="CNH",O115*10000*HLOOKUP("PTAX",'Histórico'!$A$1:$FG$983,MATCH(B115,'Histórico'!A:A),FALSE),
IF(LEFT(C115,3)="AUS",O115*10000*HLOOKUP("PTAX",'Histórico'!$A$1:$FG$983,MATCH(B115,'Histórico'!A:A),FALSE),
IF(LEFT(C115,3)="CAN",O115*10000*HLOOKUP("PTAX",'Histórico'!$A$1:$FG$983,MATCH(B115,'Histórico'!A:A),FALSE),
IF(LEFT(C115,3)="GBR",O115*10000*HLOOKUP("GBP/BRL",'Histórico'!$A$1:$FG$983,MATCH(B115,'Histórico'!A:A),FALSE),
IF(LEFT(C115,3)="MEX",O115*10000*HLOOKUP("PTAX",'Histórico'!$A$1:$FG$983,MATCH(B115,'Histórico'!A:A),FALSE),
IF(LEFT(C115,3)="CHL",O115*10000*HLOOKUP("PTAX",'Histórico'!$A$1:$FG$983,MATCH(B115,'Histórico'!A:A),FALSE)
)))))))))))))))))))))))),""))</f>
        <v/>
      </c>
      <c r="O115" s="49">
        <f t="shared" si="2"/>
        <v>142000</v>
      </c>
      <c r="P115" s="50">
        <f t="shared" si="3"/>
        <v>-85000</v>
      </c>
      <c r="Q115" s="51">
        <f>IF($C115&lt;&gt;"",SUMIFS($O$3:$O$401, $C$3:$C$401 ,$C115,$B$3:$B$401,"&lt;="&amp;Controle!$B$6),"")</f>
        <v>-85000</v>
      </c>
      <c r="R115" s="51">
        <f>IF($D115&lt;&gt;"",SUMIFS($O$3:$O$401, $C$3:$C$401 ,$C115,$B$3:$B$401,"&lt;="&amp;Controle!$B$6,$F$3:$F$401,$F115),"")</f>
        <v>-85000</v>
      </c>
      <c r="S115" s="51">
        <f>IF($D115&lt;&gt;"",SUMIFS($O$3:$O$401, $C$3:$C$401 ,$C115,$B$3:$B$401,"&lt;="&amp;'Controle D-1'!$B$6,$F$3:$F$401,$F115),"")</f>
        <v>-85000</v>
      </c>
      <c r="T115" s="40"/>
      <c r="U115" s="40"/>
      <c r="V115" s="40"/>
      <c r="W115" s="40"/>
      <c r="X115" s="40"/>
      <c r="Y115" s="40"/>
      <c r="Z115" s="40"/>
      <c r="AA115" s="40"/>
      <c r="AB115" s="40"/>
      <c r="AC115" s="40"/>
    </row>
    <row r="116" ht="15.75" customHeight="1">
      <c r="A116" s="28"/>
      <c r="B116" s="100">
        <v>45062.0</v>
      </c>
      <c r="C116" s="88" t="s">
        <v>107</v>
      </c>
      <c r="D116" s="88" t="str">
        <f>IF(ISTEXT(C116),VLOOKUP(C116,'Cadastro dos Ativos'!$A$2:$C$1000,3,0),"")</f>
        <v>Ações Americanas</v>
      </c>
      <c r="E116" s="88" t="s">
        <v>198</v>
      </c>
      <c r="F116" s="88" t="s">
        <v>199</v>
      </c>
      <c r="G116" s="46">
        <v>22.620001</v>
      </c>
      <c r="H116" s="101">
        <f>if($D116="Ações Americanas", HLOOKUP("PTAX",'Histórico'!$A$1:$EL$983,(MATCH(B116,'Histórico'!A:A))-1,""),
if($D116="Ações Europeias", HLOOKUP("EUR/BRL",'Histórico'!$A$1:$EL$983,(MATCH(B116,'Histórico'!A:A))-1,""),""))</f>
        <v>4.9234</v>
      </c>
      <c r="I116" s="88" t="str">
        <f t="array" ref="I116">IF(ISTEXT(C116),xlookup(C116,'Cadastro dos Ativos'!$A$2:$A$1000,'Cadastro dos Ativos'!$D$2:$D$1000),"")</f>
        <v/>
      </c>
      <c r="J116" s="88">
        <v>70740.0</v>
      </c>
      <c r="K116" s="47">
        <f t="array" ref="K116">if(and(J116&lt;&gt;"",D116&lt;&gt;"Futuros"),
if(F116=Controle!$C$2, M116/xlookup(workday(B116,-1,Feriados!A:A),Controle!$B$10:$B$1000,Controle!$C$10:$C$1000),
if(F116=Controle!$F$2, M116/xlookup(workday(B116,-1,Feriados!A:A),Controle!$B$10:$B$1000,Controle!$F$10:$F$1000),
if(F116=Controle!$I$2, M116/xlookup(workday(B116,-1,Feriados!A:A),Controle!$B$10:$B$1000,Controle!$I$10:$I$1000),
if(F116=Controle!$L$2, M116/xlookup(workday(B116,-1,Feriados!A:A),Controle!$B$10:$B$1000,Controle!$L$10:$L$1000),
)))),
if(and(J116&lt;&gt;"",D116="Futuros"),
if(F116=Controle!$C$2, N116/xlookup(workday(B116,-1,Feriados!A:A),Controle!$B$10:$B$1000,Controle!$C$10:$C$1000),
if(F116=Controle!$F$2, N116/xlookup(workday(B116,-1,Feriados!A:A),Controle!$B$10:$B$1000,Controle!$F$10:$F$1000),
if(F116=Controle!$I$2, N116/xlookup(workday(B116,-1,Feriados!A:A),Controle!$B$10:$B$1000,Controle!$I$10:$I$1000),
if(F116=Controle!$L$2, N116/xlookup(workday(B116,-1,Feriados!A:A),Controle!$B$10:$B$1000,Controle!$L$10:$L$1000),
)))),""))</f>
        <v>0.07723824417</v>
      </c>
      <c r="L116" s="47">
        <f t="array" ref="L116">IF($J116&lt;&gt;"", IF($D116 = "Futuros" , $N116/xlookup(WORKDAY(B116,-1,Feriados!A:A),Controle!$B$10:$B$1000,Controle!$T$10:$T$1000) , $M116/xlookup(WORKDAY(B116,-1,Feriados!A:A),Controle!$B$10:$B$1000,Controle!$T$10:$T$1000)),"")</f>
        <v>0.01940705173</v>
      </c>
      <c r="M116" s="48">
        <f t="shared" si="4"/>
        <v>7878123.716</v>
      </c>
      <c r="N116" s="48" t="str">
        <f>IFERROR(IF(D116="Futuros",
IF(LEFT(C116,3)="DI1",G116*O116,
IF(LEFT(C116,3)="ISP",G116*O116*HLOOKUP("PTAX",'Histórico'!$A$1:$EL$983,MATCH(B116,'Histórico'!A:A),FALSE)*50,
IF(LEFT(C116,3)="WDO",10*G116*O116*HLOOKUP("PTAX",'Histórico'!$A$1:$EL$983,MATCH(B116,'Histórico'!A:A),FALSE),
IF(LEFT(C116,3)="DOL",50*G116*O116,
IF(LEFT(C116,3)="EUR",G116*O116*50,
IF(LEFT(C116,3)="WEU",G116*O116*10,
IF(LEFT(C116,3)="IND",G116*O116,
IF(LEFT(C116,3)="WIN",G116*O116*0.2,
IF(LEFT(C116,3)="T10",G116*O116*1000*HLOOKUP("PTAX",'Histórico'!$A$1:$EL$983,MATCH(B116,'Histórico'!A:A),FALSE),
IF(LEFT(C116,3)="CCM",G116*O116*450,
IF(LEFT(C116,3)="SJC",G116*O116*HLOOKUP("PTAX",'Histórico'!$A$1:$EL$983,MATCH(B116,'Histórico'!A:A),FALSE)*450,
IF(LEFT(C116,3)="BGI",G116*O116*330,
IF(LEFT(C116,3)="OZ1",G116*O116*250,
IF(LEFT(C116,3)="CLP",G116*O116*25,
IF(LEFT(C116,3)="EUP", O116*10000*HLOOKUP("EUR/BRL",'Histórico'!$A$1:$EL$983,MATCH(B116,'Histórico'!A:A),FALSE),
IF(LEFT(C116,3)="JSE", G116*O116*0.4,
IF(LEFT(C116,3)="GBP", O116*10000*HLOOKUP("GBP/BRL",'Histórico'!$A$1:$FG$983,MATCH(B116,'Histórico'!A:A),FALSE),
IF(LEFT(C116,3)="JAP",O116*10000*HLOOKUP("PTAX",'Histórico'!$A$1:$FG$983,MATCH(B116,'Histórico'!A:A),FALSE),
IF(LEFT(C116,3)="CNH",O116*10000*HLOOKUP("PTAX",'Histórico'!$A$1:$FG$983,MATCH(B116,'Histórico'!A:A),FALSE),
IF(LEFT(C116,3)="AUS",O116*10000*HLOOKUP("PTAX",'Histórico'!$A$1:$FG$983,MATCH(B116,'Histórico'!A:A),FALSE),
IF(LEFT(C116,3)="CAN",O116*10000*HLOOKUP("PTAX",'Histórico'!$A$1:$FG$983,MATCH(B116,'Histórico'!A:A),FALSE),
IF(LEFT(C116,3)="GBR",O116*10000*HLOOKUP("GBP/BRL",'Histórico'!$A$1:$FG$983,MATCH(B116,'Histórico'!A:A),FALSE),
IF(LEFT(C116,3)="MEX",O116*10000*HLOOKUP("PTAX",'Histórico'!$A$1:$FG$983,MATCH(B116,'Histórico'!A:A),FALSE),
IF(LEFT(C116,3)="CHL",O116*10000*HLOOKUP("PTAX",'Histórico'!$A$1:$FG$983,MATCH(B116,'Histórico'!A:A),FALSE)
)))))))))))))))))))))))),""))</f>
        <v/>
      </c>
      <c r="O116" s="49">
        <f t="shared" si="2"/>
        <v>-70740</v>
      </c>
      <c r="P116" s="50">
        <f t="shared" si="3"/>
        <v>0</v>
      </c>
      <c r="Q116" s="51">
        <f>IF($C116&lt;&gt;"",SUMIFS($O$3:$O$401, $C$3:$C$401 ,$C116,$B$3:$B$401,"&lt;="&amp;Controle!$B$6),"")</f>
        <v>0</v>
      </c>
      <c r="R116" s="51">
        <f>IF($D116&lt;&gt;"",SUMIFS($O$3:$O$401, $C$3:$C$401 ,$C116,$B$3:$B$401,"&lt;="&amp;Controle!$B$6,$F$3:$F$401,$F116),"")</f>
        <v>0</v>
      </c>
      <c r="S116" s="51">
        <f>IF($D116&lt;&gt;"",SUMIFS($O$3:$O$401, $C$3:$C$401 ,$C116,$B$3:$B$401,"&lt;="&amp;'Controle D-1'!$B$6,$F$3:$F$401,$F116),"")</f>
        <v>0</v>
      </c>
      <c r="T116" s="40"/>
      <c r="U116" s="40"/>
      <c r="V116" s="40"/>
      <c r="W116" s="40"/>
      <c r="X116" s="40"/>
      <c r="Y116" s="40"/>
      <c r="Z116" s="40"/>
      <c r="AA116" s="40"/>
      <c r="AB116" s="40"/>
      <c r="AC116" s="40"/>
    </row>
    <row r="117" ht="15.75" customHeight="1">
      <c r="A117" s="28"/>
      <c r="B117" s="100">
        <v>45063.0</v>
      </c>
      <c r="C117" s="88" t="s">
        <v>59</v>
      </c>
      <c r="D117" s="88" t="str">
        <f>IF(ISTEXT(C117),VLOOKUP(C117,'Cadastro dos Ativos'!$A$2:$C$1000,3,0),"")</f>
        <v>Ações Americanas</v>
      </c>
      <c r="E117" s="88" t="s">
        <v>208</v>
      </c>
      <c r="F117" s="88" t="s">
        <v>199</v>
      </c>
      <c r="G117" s="46">
        <v>152.36</v>
      </c>
      <c r="H117" s="101">
        <f>if($D117="Ações Americanas", HLOOKUP("PTAX",'Histórico'!$A$1:$EL$983,(MATCH(B117,'Histórico'!A:A))-1,""),
if($D117="Ações Europeias", HLOOKUP("EUR/BRL",'Histórico'!$A$1:$EL$983,(MATCH(B117,'Histórico'!A:A))-1,""),""))</f>
        <v>4.9122</v>
      </c>
      <c r="I117" s="88" t="str">
        <f t="array" ref="I117">IF(ISTEXT(C117),xlookup(C117,'Cadastro dos Ativos'!$A$2:$A$1000,'Cadastro dos Ativos'!$D$2:$D$1000),"")</f>
        <v/>
      </c>
      <c r="J117" s="88">
        <v>13500.0</v>
      </c>
      <c r="K117" s="47">
        <f t="array" ref="K117">if(and(J117&lt;&gt;"",D117&lt;&gt;"Futuros"),
if(F117=Controle!$C$2, M117/xlookup(workday(B117,-1,Feriados!A:A),Controle!$B$10:$B$1000,Controle!$C$10:$C$1000),
if(F117=Controle!$F$2, M117/xlookup(workday(B117,-1,Feriados!A:A),Controle!$B$10:$B$1000,Controle!$F$10:$F$1000),
if(F117=Controle!$I$2, M117/xlookup(workday(B117,-1,Feriados!A:A),Controle!$B$10:$B$1000,Controle!$I$10:$I$1000),
if(F117=Controle!$L$2, M117/xlookup(workday(B117,-1,Feriados!A:A),Controle!$B$10:$B$1000,Controle!$L$10:$L$1000),
)))),
if(and(J117&lt;&gt;"",D117="Futuros"),
if(F117=Controle!$C$2, N117/xlookup(workday(B117,-1,Feriados!A:A),Controle!$B$10:$B$1000,Controle!$C$10:$C$1000),
if(F117=Controle!$F$2, N117/xlookup(workday(B117,-1,Feriados!A:A),Controle!$B$10:$B$1000,Controle!$F$10:$F$1000),
if(F117=Controle!$I$2, N117/xlookup(workday(B117,-1,Feriados!A:A),Controle!$B$10:$B$1000,Controle!$I$10:$I$1000),
if(F117=Controle!$L$2, N117/xlookup(workday(B117,-1,Feriados!A:A),Controle!$B$10:$B$1000,Controle!$L$10:$L$1000),
)))),""))</f>
        <v>-0.09901150005</v>
      </c>
      <c r="L117" s="47">
        <f t="array" ref="L117">IF($J117&lt;&gt;"", IF($D117 = "Futuros" , $N117/xlookup(WORKDAY(B117,-1,Feriados!A:A),Controle!$B$10:$B$1000,Controle!$T$10:$T$1000) , $M117/xlookup(WORKDAY(B117,-1,Feriados!A:A),Controle!$B$10:$B$1000,Controle!$T$10:$T$1000)),"")</f>
        <v>-0.02480307071</v>
      </c>
      <c r="M117" s="48">
        <f t="shared" si="4"/>
        <v>-10103707.69</v>
      </c>
      <c r="N117" s="48" t="str">
        <f>IFERROR(IF(D117="Futuros",
IF(LEFT(C117,3)="DI1",G117*O117,
IF(LEFT(C117,3)="ISP",G117*O117*HLOOKUP("PTAX",'Histórico'!$A$1:$EL$983,MATCH(B117,'Histórico'!A:A),FALSE)*50,
IF(LEFT(C117,3)="WDO",10*G117*O117*HLOOKUP("PTAX",'Histórico'!$A$1:$EL$983,MATCH(B117,'Histórico'!A:A),FALSE),
IF(LEFT(C117,3)="DOL",50*G117*O117,
IF(LEFT(C117,3)="EUR",G117*O117*50,
IF(LEFT(C117,3)="WEU",G117*O117*10,
IF(LEFT(C117,3)="IND",G117*O117,
IF(LEFT(C117,3)="WIN",G117*O117*0.2,
IF(LEFT(C117,3)="T10",G117*O117*1000*HLOOKUP("PTAX",'Histórico'!$A$1:$EL$983,MATCH(B117,'Histórico'!A:A),FALSE),
IF(LEFT(C117,3)="CCM",G117*O117*450,
IF(LEFT(C117,3)="SJC",G117*O117*HLOOKUP("PTAX",'Histórico'!$A$1:$EL$983,MATCH(B117,'Histórico'!A:A),FALSE)*450,
IF(LEFT(C117,3)="BGI",G117*O117*330,
IF(LEFT(C117,3)="OZ1",G117*O117*250,
IF(LEFT(C117,3)="CLP",G117*O117*25,
IF(LEFT(C117,3)="EUP", O117*10000*HLOOKUP("EUR/BRL",'Histórico'!$A$1:$EL$983,MATCH(B117,'Histórico'!A:A),FALSE),
IF(LEFT(C117,3)="JSE", G117*O117*0.4,
IF(LEFT(C117,3)="GBP", O117*10000*HLOOKUP("GBP/BRL",'Histórico'!$A$1:$FG$983,MATCH(B117,'Histórico'!A:A),FALSE),
IF(LEFT(C117,3)="JAP",O117*10000*HLOOKUP("PTAX",'Histórico'!$A$1:$FG$983,MATCH(B117,'Histórico'!A:A),FALSE),
IF(LEFT(C117,3)="CNH",O117*10000*HLOOKUP("PTAX",'Histórico'!$A$1:$FG$983,MATCH(B117,'Histórico'!A:A),FALSE),
IF(LEFT(C117,3)="AUS",O117*10000*HLOOKUP("PTAX",'Histórico'!$A$1:$FG$983,MATCH(B117,'Histórico'!A:A),FALSE),
IF(LEFT(C117,3)="CAN",O117*10000*HLOOKUP("PTAX",'Histórico'!$A$1:$FG$983,MATCH(B117,'Histórico'!A:A),FALSE),
IF(LEFT(C117,3)="GBR",O117*10000*HLOOKUP("GBP/BRL",'Histórico'!$A$1:$FG$983,MATCH(B117,'Histórico'!A:A),FALSE),
IF(LEFT(C117,3)="MEX",O117*10000*HLOOKUP("PTAX",'Histórico'!$A$1:$FG$983,MATCH(B117,'Histórico'!A:A),FALSE),
IF(LEFT(C117,3)="CHL",O117*10000*HLOOKUP("PTAX",'Histórico'!$A$1:$FG$983,MATCH(B117,'Histórico'!A:A),FALSE)
)))))))))))))))))))))))),""))</f>
        <v/>
      </c>
      <c r="O117" s="49">
        <f t="shared" si="2"/>
        <v>13500</v>
      </c>
      <c r="P117" s="49">
        <f t="shared" ref="P117:P401" si="5">IF($C117&lt;&gt;"", SUMIFS($O$3:$O$1001, $C$3:$C$1001, $C117), "")</f>
        <v>0</v>
      </c>
      <c r="Q117" s="51">
        <f>IF($C117&lt;&gt;"",SUMIFS($O$3:$O$401, $C$3:$C$401 ,$C117,$B$3:$B$401,"&lt;="&amp;Controle!$B$6),"")</f>
        <v>0</v>
      </c>
      <c r="R117" s="51">
        <f>IF($D117&lt;&gt;"",SUMIFS($O$3:$O$401, $C$3:$C$401 ,$C117,$B$3:$B$401,"&lt;="&amp;Controle!$B$6,$F$3:$F$401,$F117),"")</f>
        <v>0</v>
      </c>
      <c r="S117" s="51">
        <f>IF($D117&lt;&gt;"",SUMIFS($O$3:$O$401, $C$3:$C$401 ,$C117,$B$3:$B$401,"&lt;="&amp;'Controle D-1'!$B$6,$F$3:$F$401,$F117),"")</f>
        <v>0</v>
      </c>
      <c r="T117" s="40"/>
      <c r="U117" s="40"/>
      <c r="V117" s="40"/>
      <c r="W117" s="40"/>
      <c r="X117" s="40"/>
      <c r="Y117" s="40"/>
      <c r="Z117" s="40"/>
      <c r="AA117" s="40"/>
      <c r="AB117" s="40"/>
      <c r="AC117" s="40"/>
    </row>
    <row r="118" ht="15.75" customHeight="1">
      <c r="A118" s="28"/>
      <c r="B118" s="100">
        <v>45064.0</v>
      </c>
      <c r="C118" s="88" t="s">
        <v>73</v>
      </c>
      <c r="D118" s="88" t="str">
        <f>IF(ISTEXT(C118),VLOOKUP(C118,'Cadastro dos Ativos'!$A$2:$C$1000,3,0),"")</f>
        <v>Futuros</v>
      </c>
      <c r="E118" s="88" t="s">
        <v>208</v>
      </c>
      <c r="F118" s="88" t="s">
        <v>201</v>
      </c>
      <c r="G118" s="46">
        <v>53997.82</v>
      </c>
      <c r="H118" s="101" t="str">
        <f>if($D118="Ações Americanas", HLOOKUP("PTAX",'Histórico'!$A$1:$EL$983,(MATCH(B118,'Histórico'!A:A))-1,""),
if($D118="Ações Europeias", HLOOKUP("EUR/BRL",'Histórico'!$A$1:$EL$983,(MATCH(B118,'Histórico'!A:A))-1,""),""))</f>
        <v/>
      </c>
      <c r="I118" s="102">
        <f t="array" ref="I118">IF(ISTEXT(C118),xlookup(C118,'Cadastro dos Ativos'!$A$2:$A$1000,'Cadastro dos Ativos'!$D$2:$D$1000),"")</f>
        <v>47120</v>
      </c>
      <c r="J118" s="88">
        <v>2130.0</v>
      </c>
      <c r="K118" s="47">
        <f t="array" ref="K118">if(and(J118&lt;&gt;"",D118&lt;&gt;"Futuros"),
if(F118=Controle!$C$2, M118/xlookup(workday(B118,-1,Feriados!A:A),Controle!$B$10:$B$1000,Controle!$C$10:$C$1000),
if(F118=Controle!$F$2, M118/xlookup(workday(B118,-1,Feriados!A:A),Controle!$B$10:$B$1000,Controle!$F$10:$F$1000),
if(F118=Controle!$I$2, M118/xlookup(workday(B118,-1,Feriados!A:A),Controle!$B$10:$B$1000,Controle!$I$10:$I$1000),
if(F118=Controle!$L$2, M118/xlookup(workday(B118,-1,Feriados!A:A),Controle!$B$10:$B$1000,Controle!$L$10:$L$1000),
)))),
if(and(J118&lt;&gt;"",D118="Futuros"),
if(F118=Controle!$C$2, N118/xlookup(workday(B118,-1,Feriados!A:A),Controle!$B$10:$B$1000,Controle!$C$10:$C$1000),
if(F118=Controle!$F$2, N118/xlookup(workday(B118,-1,Feriados!A:A),Controle!$B$10:$B$1000,Controle!$F$10:$F$1000),
if(F118=Controle!$I$2, N118/xlookup(workday(B118,-1,Feriados!A:A),Controle!$B$10:$B$1000,Controle!$I$10:$I$1000),
if(F118=Controle!$L$2, N118/xlookup(workday(B118,-1,Feriados!A:A),Controle!$B$10:$B$1000,Controle!$L$10:$L$1000),
)))),""))</f>
        <v>1.134403824</v>
      </c>
      <c r="L118" s="47">
        <f t="array" ref="L118">IF($J118&lt;&gt;"", IF($D118 = "Futuros" , $N118/xlookup(WORKDAY(B118,-1,Feriados!A:A),Controle!$B$10:$B$1000,Controle!$T$10:$T$1000) , $M118/xlookup(WORKDAY(B118,-1,Feriados!A:A),Controle!$B$10:$B$1000,Controle!$T$10:$T$1000)),"")</f>
        <v>0.2816706429</v>
      </c>
      <c r="M118" s="48">
        <f t="shared" si="4"/>
        <v>-115015356.6</v>
      </c>
      <c r="N118" s="48">
        <f>IFERROR(IF(D118="Futuros",
IF(LEFT(C118,3)="DI1",G118*O118,
IF(LEFT(C118,3)="ISP",G118*O118*HLOOKUP("PTAX",'Histórico'!$A$1:$EL$983,MATCH(B118,'Histórico'!A:A),FALSE)*50,
IF(LEFT(C118,3)="WDO",10*G118*O118*HLOOKUP("PTAX",'Histórico'!$A$1:$EL$983,MATCH(B118,'Histórico'!A:A),FALSE),
IF(LEFT(C118,3)="DOL",50*G118*O118,
IF(LEFT(C118,3)="EUR",G118*O118*50,
IF(LEFT(C118,3)="WEU",G118*O118*10,
IF(LEFT(C118,3)="IND",G118*O118,
IF(LEFT(C118,3)="WIN",G118*O118*0.2,
IF(LEFT(C118,3)="T10",G118*O118*1000*HLOOKUP("PTAX",'Histórico'!$A$1:$EL$983,MATCH(B118,'Histórico'!A:A),FALSE),
IF(LEFT(C118,3)="CCM",G118*O118*450,
IF(LEFT(C118,3)="SJC",G118*O118*HLOOKUP("PTAX",'Histórico'!$A$1:$EL$983,MATCH(B118,'Histórico'!A:A),FALSE)*450,
IF(LEFT(C118,3)="BGI",G118*O118*330,
IF(LEFT(C118,3)="OZ1",G118*O118*250,
IF(LEFT(C118,3)="CLP",G118*O118*25,
IF(LEFT(C118,3)="EUP", O118*10000*HLOOKUP("EUR/BRL",'Histórico'!$A$1:$EL$983,MATCH(B118,'Histórico'!A:A),FALSE),
IF(LEFT(C118,3)="JSE", G118*O118*0.4,
IF(LEFT(C118,3)="GBP", O118*10000*HLOOKUP("GBP/BRL",'Histórico'!$A$1:$FG$983,MATCH(B118,'Histórico'!A:A),FALSE),
IF(LEFT(C118,3)="JAP",O118*10000*HLOOKUP("PTAX",'Histórico'!$A$1:$FG$983,MATCH(B118,'Histórico'!A:A),FALSE),
IF(LEFT(C118,3)="CNH",O118*10000*HLOOKUP("PTAX",'Histórico'!$A$1:$FG$983,MATCH(B118,'Histórico'!A:A),FALSE),
IF(LEFT(C118,3)="AUS",O118*10000*HLOOKUP("PTAX",'Histórico'!$A$1:$FG$983,MATCH(B118,'Histórico'!A:A),FALSE),
IF(LEFT(C118,3)="CAN",O118*10000*HLOOKUP("PTAX",'Histórico'!$A$1:$FG$983,MATCH(B118,'Histórico'!A:A),FALSE),
IF(LEFT(C118,3)="GBR",O118*10000*HLOOKUP("GBP/BRL",'Histórico'!$A$1:$FG$983,MATCH(B118,'Histórico'!A:A),FALSE),
IF(LEFT(C118,3)="MEX",O118*10000*HLOOKUP("PTAX",'Histórico'!$A$1:$FG$983,MATCH(B118,'Histórico'!A:A),FALSE),
IF(LEFT(C118,3)="CHL",O118*10000*HLOOKUP("PTAX",'Histórico'!$A$1:$FG$983,MATCH(B118,'Histórico'!A:A),FALSE)
)))))))))))))))))))))))),""))</f>
        <v>115015356.6</v>
      </c>
      <c r="O118" s="49">
        <f t="shared" si="2"/>
        <v>2130</v>
      </c>
      <c r="P118" s="49">
        <f t="shared" si="5"/>
        <v>-50</v>
      </c>
      <c r="Q118" s="51">
        <f>IF($C118&lt;&gt;"",SUMIFS($O$3:$O$401, $C$3:$C$401 ,$C118,$B$3:$B$401,"&lt;="&amp;Controle!$B$6),"")</f>
        <v>-50</v>
      </c>
      <c r="R118" s="51">
        <f>IF($D118&lt;&gt;"",SUMIFS($O$3:$O$401, $C$3:$C$401 ,$C118,$B$3:$B$401,"&lt;="&amp;Controle!$B$6,$F$3:$F$401,$F118),"")</f>
        <v>0</v>
      </c>
      <c r="S118" s="51">
        <f>IF($D118&lt;&gt;"",SUMIFS($O$3:$O$401, $C$3:$C$401 ,$C118,$B$3:$B$401,"&lt;="&amp;'Controle D-1'!$B$6,$F$3:$F$401,$F118),"")</f>
        <v>0</v>
      </c>
      <c r="T118" s="40"/>
      <c r="U118" s="40"/>
      <c r="V118" s="40"/>
      <c r="W118" s="40"/>
      <c r="X118" s="40"/>
      <c r="Y118" s="40"/>
      <c r="Z118" s="40"/>
      <c r="AA118" s="40"/>
      <c r="AB118" s="40"/>
      <c r="AC118" s="40"/>
    </row>
    <row r="119" ht="15.75" customHeight="1">
      <c r="A119" s="28"/>
      <c r="B119" s="100">
        <v>45065.0</v>
      </c>
      <c r="C119" s="88" t="s">
        <v>113</v>
      </c>
      <c r="D119" s="88" t="str">
        <f>IF(ISTEXT(C119),VLOOKUP(C119,'Cadastro dos Ativos'!$A$2:$C$1000,3,0),"")</f>
        <v>Ações Americanas</v>
      </c>
      <c r="E119" s="88" t="s">
        <v>208</v>
      </c>
      <c r="F119" s="88" t="s">
        <v>201</v>
      </c>
      <c r="G119" s="46">
        <v>28.35</v>
      </c>
      <c r="H119" s="101">
        <f>if($D119="Ações Americanas", HLOOKUP("PTAX",'Histórico'!$A$1:$EL$983,(MATCH(B119,'Histórico'!A:A))-1,""),
if($D119="Ações Europeias", HLOOKUP("EUR/BRL",'Histórico'!$A$1:$EL$983,(MATCH(B119,'Histórico'!A:A))-1,""),""))</f>
        <v>4.97</v>
      </c>
      <c r="I119" s="88" t="str">
        <f t="array" ref="I119">IF(ISTEXT(C119),xlookup(C119,'Cadastro dos Ativos'!$A$2:$A$1000,'Cadastro dos Ativos'!$D$2:$D$1000),"")</f>
        <v/>
      </c>
      <c r="J119" s="88">
        <v>50000.0</v>
      </c>
      <c r="K119" s="47">
        <f t="array" ref="K119">if(and(J119&lt;&gt;"",D119&lt;&gt;"Futuros"),
if(F119=Controle!$C$2, M119/xlookup(workday(B119,-1,Feriados!A:A),Controle!$B$10:$B$1000,Controle!$C$10:$C$1000),
if(F119=Controle!$F$2, M119/xlookup(workday(B119,-1,Feriados!A:A),Controle!$B$10:$B$1000,Controle!$F$10:$F$1000),
if(F119=Controle!$I$2, M119/xlookup(workday(B119,-1,Feriados!A:A),Controle!$B$10:$B$1000,Controle!$I$10:$I$1000),
if(F119=Controle!$L$2, M119/xlookup(workday(B119,-1,Feriados!A:A),Controle!$B$10:$B$1000,Controle!$L$10:$L$1000),
)))),
if(and(J119&lt;&gt;"",D119="Futuros"),
if(F119=Controle!$C$2, N119/xlookup(workday(B119,-1,Feriados!A:A),Controle!$B$10:$B$1000,Controle!$C$10:$C$1000),
if(F119=Controle!$F$2, N119/xlookup(workday(B119,-1,Feriados!A:A),Controle!$B$10:$B$1000,Controle!$F$10:$F$1000),
if(F119=Controle!$I$2, N119/xlookup(workday(B119,-1,Feriados!A:A),Controle!$B$10:$B$1000,Controle!$I$10:$I$1000),
if(F119=Controle!$L$2, N119/xlookup(workday(B119,-1,Feriados!A:A),Controle!$B$10:$B$1000,Controle!$L$10:$L$1000),
)))),""))</f>
        <v>-0.06871618275</v>
      </c>
      <c r="L119" s="47">
        <f t="array" ref="L119">IF($J119&lt;&gt;"", IF($D119 = "Futuros" , $N119/xlookup(WORKDAY(B119,-1,Feriados!A:A),Controle!$B$10:$B$1000,Controle!$T$10:$T$1000) , $M119/xlookup(WORKDAY(B119,-1,Feriados!A:A),Controle!$B$10:$B$1000,Controle!$T$10:$T$1000)),"")</f>
        <v>-0.0172021361</v>
      </c>
      <c r="M119" s="48">
        <f t="shared" si="4"/>
        <v>-7044975</v>
      </c>
      <c r="N119" s="48" t="str">
        <f>IFERROR(IF(D119="Futuros",
IF(LEFT(C119,3)="DI1",G119*O119,
IF(LEFT(C119,3)="ISP",G119*O119*HLOOKUP("PTAX",'Histórico'!$A$1:$EL$983,MATCH(B119,'Histórico'!A:A),FALSE)*50,
IF(LEFT(C119,3)="WDO",10*G119*O119*HLOOKUP("PTAX",'Histórico'!$A$1:$EL$983,MATCH(B119,'Histórico'!A:A),FALSE),
IF(LEFT(C119,3)="DOL",50*G119*O119,
IF(LEFT(C119,3)="EUR",G119*O119*50,
IF(LEFT(C119,3)="WEU",G119*O119*10,
IF(LEFT(C119,3)="IND",G119*O119,
IF(LEFT(C119,3)="WIN",G119*O119*0.2,
IF(LEFT(C119,3)="T10",G119*O119*1000*HLOOKUP("PTAX",'Histórico'!$A$1:$EL$983,MATCH(B119,'Histórico'!A:A),FALSE),
IF(LEFT(C119,3)="CCM",G119*O119*450,
IF(LEFT(C119,3)="SJC",G119*O119*HLOOKUP("PTAX",'Histórico'!$A$1:$EL$983,MATCH(B119,'Histórico'!A:A),FALSE)*450,
IF(LEFT(C119,3)="BGI",G119*O119*330,
IF(LEFT(C119,3)="OZ1",G119*O119*250,
IF(LEFT(C119,3)="CLP",G119*O119*25,
IF(LEFT(C119,3)="EUP", O119*10000*HLOOKUP("EUR/BRL",'Histórico'!$A$1:$EL$983,MATCH(B119,'Histórico'!A:A),FALSE),
IF(LEFT(C119,3)="JSE", G119*O119*0.4,
IF(LEFT(C119,3)="GBP", O119*10000*HLOOKUP("GBP/BRL",'Histórico'!$A$1:$FG$983,MATCH(B119,'Histórico'!A:A),FALSE),
IF(LEFT(C119,3)="JAP",O119*10000*HLOOKUP("PTAX",'Histórico'!$A$1:$FG$983,MATCH(B119,'Histórico'!A:A),FALSE),
IF(LEFT(C119,3)="CNH",O119*10000*HLOOKUP("PTAX",'Histórico'!$A$1:$FG$983,MATCH(B119,'Histórico'!A:A),FALSE),
IF(LEFT(C119,3)="AUS",O119*10000*HLOOKUP("PTAX",'Histórico'!$A$1:$FG$983,MATCH(B119,'Histórico'!A:A),FALSE),
IF(LEFT(C119,3)="CAN",O119*10000*HLOOKUP("PTAX",'Histórico'!$A$1:$FG$983,MATCH(B119,'Histórico'!A:A),FALSE),
IF(LEFT(C119,3)="GBR",O119*10000*HLOOKUP("GBP/BRL",'Histórico'!$A$1:$FG$983,MATCH(B119,'Histórico'!A:A),FALSE),
IF(LEFT(C119,3)="MEX",O119*10000*HLOOKUP("PTAX",'Histórico'!$A$1:$FG$983,MATCH(B119,'Histórico'!A:A),FALSE),
IF(LEFT(C119,3)="CHL",O119*10000*HLOOKUP("PTAX",'Histórico'!$A$1:$FG$983,MATCH(B119,'Histórico'!A:A),FALSE)
)))))))))))))))))))))))),""))</f>
        <v/>
      </c>
      <c r="O119" s="49">
        <f t="shared" si="2"/>
        <v>50000</v>
      </c>
      <c r="P119" s="49">
        <f t="shared" si="5"/>
        <v>0</v>
      </c>
      <c r="Q119" s="51">
        <f>IF($C119&lt;&gt;"",SUMIFS($O$3:$O$401, $C$3:$C$401 ,$C119,$B$3:$B$401,"&lt;="&amp;Controle!$B$6),"")</f>
        <v>0</v>
      </c>
      <c r="R119" s="51">
        <f>IF($D119&lt;&gt;"",SUMIFS($O$3:$O$401, $C$3:$C$401 ,$C119,$B$3:$B$401,"&lt;="&amp;Controle!$B$6,$F$3:$F$401,$F119),"")</f>
        <v>0</v>
      </c>
      <c r="S119" s="51">
        <f>IF($D119&lt;&gt;"",SUMIFS($O$3:$O$401, $C$3:$C$401 ,$C119,$B$3:$B$401,"&lt;="&amp;'Controle D-1'!$B$6,$F$3:$F$401,$F119),"")</f>
        <v>0</v>
      </c>
      <c r="T119" s="40"/>
      <c r="U119" s="40"/>
      <c r="V119" s="40"/>
      <c r="W119" s="40"/>
      <c r="X119" s="40"/>
      <c r="Y119" s="40"/>
      <c r="Z119" s="40"/>
      <c r="AA119" s="40"/>
      <c r="AB119" s="40"/>
      <c r="AC119" s="40"/>
    </row>
    <row r="120" ht="15.75" customHeight="1">
      <c r="A120" s="28"/>
      <c r="B120" s="100">
        <v>45065.0</v>
      </c>
      <c r="C120" s="88" t="s">
        <v>115</v>
      </c>
      <c r="D120" s="88" t="str">
        <f>IF(ISTEXT(C120),VLOOKUP(C120,'Cadastro dos Ativos'!$A$2:$C$1000,3,0),"")</f>
        <v>Ações Listadas na B3</v>
      </c>
      <c r="E120" s="88" t="s">
        <v>208</v>
      </c>
      <c r="F120" s="88" t="s">
        <v>273</v>
      </c>
      <c r="G120" s="46">
        <v>10.21</v>
      </c>
      <c r="H120" s="101" t="str">
        <f>if($D120="Ações Americanas", HLOOKUP("PTAX",'Histórico'!$A$1:$EL$983,(MATCH(B120,'Histórico'!A:A))-1,""),
if($D120="Ações Europeias", HLOOKUP("EUR/BRL",'Histórico'!$A$1:$EL$983,(MATCH(B120,'Histórico'!A:A))-1,""),""))</f>
        <v/>
      </c>
      <c r="I120" s="88" t="str">
        <f t="array" ref="I120">IF(ISTEXT(C120),xlookup(C120,'Cadastro dos Ativos'!$A$2:$A$1000,'Cadastro dos Ativos'!$D$2:$D$1000),"")</f>
        <v/>
      </c>
      <c r="J120" s="88">
        <v>240000.0</v>
      </c>
      <c r="K120" s="47">
        <f t="array" ref="K120">if(and(J120&lt;&gt;"",D120&lt;&gt;"Futuros"),
if(F120=Controle!$C$2, M120/xlookup(workday(B120,-1,Feriados!A:A),Controle!$B$10:$B$1000,Controle!$C$10:$C$1000),
if(F120=Controle!$F$2, M120/xlookup(workday(B120,-1,Feriados!A:A),Controle!$B$10:$B$1000,Controle!$F$10:$F$1000),
if(F120=Controle!$I$2, M120/xlookup(workday(B120,-1,Feriados!A:A),Controle!$B$10:$B$1000,Controle!$I$10:$I$1000),
if(F120=Controle!$L$2, M120/xlookup(workday(B120,-1,Feriados!A:A),Controle!$B$10:$B$1000,Controle!$L$10:$L$1000),
)))),
if(and(J120&lt;&gt;"",D120="Futuros"),
if(F120=Controle!$C$2, N120/xlookup(workday(B120,-1,Feriados!A:A),Controle!$B$10:$B$1000,Controle!$C$10:$C$1000),
if(F120=Controle!$F$2, N120/xlookup(workday(B120,-1,Feriados!A:A),Controle!$B$10:$B$1000,Controle!$F$10:$F$1000),
if(F120=Controle!$I$2, N120/xlookup(workday(B120,-1,Feriados!A:A),Controle!$B$10:$B$1000,Controle!$I$10:$I$1000),
if(F120=Controle!$L$2, N120/xlookup(workday(B120,-1,Feriados!A:A),Controle!$B$10:$B$1000,Controle!$L$10:$L$1000),
)))),""))</f>
        <v>-0.02391211602</v>
      </c>
      <c r="L120" s="47">
        <f t="array" ref="L120">IF($J120&lt;&gt;"", IF($D120 = "Futuros" , $N120/xlookup(WORKDAY(B120,-1,Feriados!A:A),Controle!$B$10:$B$1000,Controle!$T$10:$T$1000) , $M120/xlookup(WORKDAY(B120,-1,Feriados!A:A),Controle!$B$10:$B$1000,Controle!$T$10:$T$1000)),"")</f>
        <v>-0.005983287989</v>
      </c>
      <c r="M120" s="48">
        <f t="shared" si="4"/>
        <v>-2450400</v>
      </c>
      <c r="N120" s="48" t="b">
        <f>IFERROR(IF(D120="Futuros",
IF(LEFT(C120,3)="DI1",G120*O120,
IF(LEFT(C120,3)="ISP",G120*O120*HLOOKUP("PTAX",'Histórico'!$A$1:$EL$983,MATCH(B120,'Histórico'!A:A),FALSE)*50,
IF(LEFT(C120,3)="WDO",10*G120*O120*HLOOKUP("PTAX",'Histórico'!$A$1:$EL$983,MATCH(B120,'Histórico'!A:A),FALSE),
IF(LEFT(C120,3)="DOL",50*G120*O120,
IF(LEFT(C120,3)="EUR",G120*O120*50,
IF(LEFT(C120,3)="WEU",G120*O120*10,
IF(LEFT(C120,3)="IND",G120*O120,
IF(LEFT(C120,3)="WIN",G120*O120*0.2,
IF(LEFT(C120,3)="T10",G120*O120*1000*HLOOKUP("PTAX",'Histórico'!$A$1:$EL$983,MATCH(B120,'Histórico'!A:A),FALSE),
IF(LEFT(C120,3)="CCM",G120*O120*450,
IF(LEFT(C120,3)="SJC",G120*O120*HLOOKUP("PTAX",'Histórico'!$A$1:$EL$983,MATCH(B120,'Histórico'!A:A),FALSE)*450,
IF(LEFT(C120,3)="BGI",G120*O120*330,
IF(LEFT(C120,3)="OZ1",G120*O120*250,
IF(LEFT(C120,3)="CLP",G120*O120*25,
IF(LEFT(C120,3)="EUP", O120*10000*HLOOKUP("EUR/BRL",'Histórico'!$A$1:$EL$983,MATCH(B120,'Histórico'!A:A),FALSE),
IF(LEFT(C120,3)="JSE", G120*O120*0.4,
IF(LEFT(C120,3)="GBP", O120*10000*HLOOKUP("GBP/BRL",'Histórico'!$A$1:$FG$983,MATCH(B120,'Histórico'!A:A),FALSE),
IF(LEFT(C120,3)="JAP",O120*10000*HLOOKUP("PTAX",'Histórico'!$A$1:$FG$983,MATCH(B120,'Histórico'!A:A),FALSE),
IF(LEFT(C120,3)="CNH",O120*10000*HLOOKUP("PTAX",'Histórico'!$A$1:$FG$983,MATCH(B120,'Histórico'!A:A),FALSE),
IF(LEFT(C120,3)="AUS",O120*10000*HLOOKUP("PTAX",'Histórico'!$A$1:$FG$983,MATCH(B120,'Histórico'!A:A),FALSE),
IF(LEFT(C120,3)="AUD",O120*60000*HLOOKUP("PTAX",'Histórico'!$A$1:$FG$983,MATCH(B120,'Histórico'!A:A),FALSE),
IF(LEFT(C120,3)="CAN",O120*10000*HLOOKUP("PTAX",'Histórico'!$A$1:$FG$983,MATCH(B120,'Histórico'!A:A),FALSE),
IF(LEFT(C120,3)="GBR",O120*10000*HLOOKUP("GBP/BRL",'Histórico'!$A$1:$FG$983,MATCH(B120,'Histórico'!A:A),FALSE),
IF(LEFT(C120,3)="MEX",O120*10000*HLOOKUP("PTAX",'Histórico'!$A$1:$FG$983,MATCH(B120,'Histórico'!A:A),FALSE),
IF(LEFT(C120,3)="CHL",O120*10000*HLOOKUP("PTAX",'Histórico'!$A$1:$FG$983,MATCH(B120,'Histórico'!A:A),FALSE)
)))))))))))))))))))))))),"")))</f>
        <v>0</v>
      </c>
      <c r="O120" s="49">
        <f t="shared" si="2"/>
        <v>240000</v>
      </c>
      <c r="P120" s="49">
        <f t="shared" si="5"/>
        <v>0</v>
      </c>
      <c r="Q120" s="51">
        <f>IF($C120&lt;&gt;"",SUMIFS($O$3:$O$401, $C$3:$C$401 ,$C120,$B$3:$B$401,"&lt;="&amp;Controle!$B$6),"")</f>
        <v>0</v>
      </c>
      <c r="R120" s="51">
        <f>IF($D120&lt;&gt;"",SUMIFS($O$3:$O$401, $C$3:$C$401 ,$C120,$B$3:$B$401,"&lt;="&amp;Controle!$B$6,$F$3:$F$401,$F120),"")</f>
        <v>0</v>
      </c>
      <c r="S120" s="51">
        <f>IF($D120&lt;&gt;"",SUMIFS($O$3:$O$401, $C$3:$C$401 ,$C120,$B$3:$B$401,"&lt;="&amp;'Controle D-1'!$B$6,$F$3:$F$401,$F120),"")</f>
        <v>0</v>
      </c>
      <c r="T120" s="40"/>
      <c r="U120" s="40"/>
      <c r="V120" s="40"/>
      <c r="W120" s="40"/>
      <c r="X120" s="40"/>
      <c r="Y120" s="40"/>
      <c r="Z120" s="40"/>
      <c r="AA120" s="40"/>
      <c r="AB120" s="40"/>
      <c r="AC120" s="40"/>
    </row>
    <row r="121" ht="15.75" customHeight="1">
      <c r="A121" s="28"/>
      <c r="B121" s="100">
        <v>45065.0</v>
      </c>
      <c r="C121" s="88" t="s">
        <v>101</v>
      </c>
      <c r="D121" s="88" t="s">
        <v>6</v>
      </c>
      <c r="E121" s="88" t="s">
        <v>208</v>
      </c>
      <c r="F121" s="88" t="s">
        <v>273</v>
      </c>
      <c r="G121" s="46">
        <v>28.97999954223633</v>
      </c>
      <c r="H121" s="101"/>
      <c r="I121" s="88"/>
      <c r="J121" s="88">
        <v>85000.0</v>
      </c>
      <c r="K121" s="47">
        <f t="array" ref="K121">if(and(J121&lt;&gt;"",D121&lt;&gt;"Futuros"),
if(F121=Controle!$C$2, M121/xlookup(workday(B121,-1,Feriados!A:A),Controle!$B$10:$B$1000,Controle!$C$10:$C$1000),
if(F121=Controle!$F$2, M121/xlookup(workday(B121,-1,Feriados!A:A),Controle!$B$10:$B$1000,Controle!$F$10:$F$1000),
if(F121=Controle!$I$2, M121/xlookup(workday(B121,-1,Feriados!A:A),Controle!$B$10:$B$1000,Controle!$I$10:$I$1000),
if(F121=Controle!$L$2, M121/xlookup(workday(B121,-1,Feriados!A:A),Controle!$B$10:$B$1000,Controle!$L$10:$L$1000),
)))),
if(and(J121&lt;&gt;"",D121="Futuros"),
if(F121=Controle!$C$2, N121/xlookup(workday(B121,-1,Feriados!A:A),Controle!$B$10:$B$1000,Controle!$C$10:$C$1000),
if(F121=Controle!$F$2, N121/xlookup(workday(B121,-1,Feriados!A:A),Controle!$B$10:$B$1000,Controle!$F$10:$F$1000),
if(F121=Controle!$I$2, N121/xlookup(workday(B121,-1,Feriados!A:A),Controle!$B$10:$B$1000,Controle!$I$10:$I$1000),
if(F121=Controle!$L$2, N121/xlookup(workday(B121,-1,Feriados!A:A),Controle!$B$10:$B$1000,Controle!$L$10:$L$1000),
)))),""))</f>
        <v>-0.0240379997</v>
      </c>
      <c r="L121" s="47">
        <f t="array" ref="L121">IF($J121&lt;&gt;"", IF($D121 = "Futuros" , $N121/xlookup(WORKDAY(B121,-1,Feriados!A:A),Controle!$B$10:$B$1000,Controle!$T$10:$T$1000) , $M121/xlookup(WORKDAY(B121,-1,Feriados!A:A),Controle!$B$10:$B$1000,Controle!$T$10:$T$1000)),"")</f>
        <v>-0.006014786594</v>
      </c>
      <c r="M121" s="48">
        <f t="shared" si="4"/>
        <v>-2463299.961</v>
      </c>
      <c r="N121" s="48" t="str">
        <f>IFERROR(IF(D121="Futuros",
IF(LEFT(C121,3)="DI1",G121*O121,
IF(LEFT(C121,3)="ISP",G121*O121*HLOOKUP("PTAX",'Histórico'!$A$1:$EL$983,MATCH(B121,'Histórico'!A:A),FALSE)*50,
IF(LEFT(C121,3)="WDO",10*G121*O121*HLOOKUP("PTAX",'Histórico'!$A$1:$EL$983,MATCH(B121,'Histórico'!A:A),FALSE),
IF(LEFT(C121,3)="DOL",50*G121*O121,
IF(LEFT(C121,3)="EUR",G121*O121*50,
IF(LEFT(C121,3)="WEU",G121*O121*10,
IF(LEFT(C121,3)="IND",G121*O121,
IF(LEFT(C121,3)="WIN",G121*O121*0.2,
IF(LEFT(C121,3)="T10",G121*O121*1000*HLOOKUP("PTAX",'Histórico'!$A$1:$EL$983,MATCH(B121,'Histórico'!A:A),FALSE),
IF(LEFT(C121,3)="CCM",G121*O121*450,
IF(LEFT(C121,3)="SJC",G121*O121*HLOOKUP("PTAX",'Histórico'!$A$1:$EL$983,MATCH(B121,'Histórico'!A:A),FALSE)*450,
IF(LEFT(C121,3)="BGI",G121*O121*330,
IF(LEFT(C121,3)="OZ1",G121*O121*250,
IF(LEFT(C121,3)="CLP",G121*O121*25,
IF(LEFT(C121,3)="EUP", O121*10000*HLOOKUP("EUR/BRL",'Histórico'!$A$1:$EL$983,MATCH(B121,'Histórico'!A:A),FALSE),
IF(LEFT(C121,3)="JSE", G121*O121*0.4,
IF(LEFT(C121,3)="GBP", O121*10000*HLOOKUP("GBP/BRL",'Histórico'!$A$1:$FG$983,MATCH(B121,'Histórico'!A:A),FALSE),
IF(LEFT(C121,3)="JAP",O121*10000*HLOOKUP("PTAX",'Histórico'!$A$1:$FG$983,MATCH(B121,'Histórico'!A:A),FALSE),
IF(LEFT(C121,3)="CNH",O121*10000*HLOOKUP("PTAX",'Histórico'!$A$1:$FG$983,MATCH(B121,'Histórico'!A:A),FALSE),
IF(LEFT(C121,3)="AUS",O121*10000*HLOOKUP("PTAX",'Histórico'!$A$1:$FG$983,MATCH(B121,'Histórico'!A:A),FALSE),
IF(LEFT(C121,3)="CAN",O121*10000*HLOOKUP("PTAX",'Histórico'!$A$1:$FG$983,MATCH(B121,'Histórico'!A:A),FALSE),
IF(LEFT(C121,3)="GBR",O121*10000*HLOOKUP("GBP/BRL",'Histórico'!$A$1:$FG$983,MATCH(B121,'Histórico'!A:A),FALSE),
IF(LEFT(C121,3)="MEX",O121*10000*HLOOKUP("PTAX",'Histórico'!$A$1:$FG$983,MATCH(B121,'Histórico'!A:A),FALSE),
IF(LEFT(C121,3)="CHL",O121*10000*HLOOKUP("PTAX",'Histórico'!$A$1:$FG$983,MATCH(B121,'Histórico'!A:A),FALSE)
)))))))))))))))))))))))),""))</f>
        <v/>
      </c>
      <c r="O121" s="49">
        <f t="shared" si="2"/>
        <v>85000</v>
      </c>
      <c r="P121" s="49">
        <f t="shared" si="5"/>
        <v>355000</v>
      </c>
      <c r="Q121" s="51">
        <f>IF($C121&lt;&gt;"",SUMIFS($O$3:$O$401, $C$3:$C$401 ,$C121,$B$3:$B$401,"&lt;="&amp;Controle!$B$6),"")</f>
        <v>355000</v>
      </c>
      <c r="R121" s="51">
        <f>IF($D121&lt;&gt;"",SUMIFS($O$3:$O$401, $C$3:$C$401 ,$C121,$B$3:$B$401,"&lt;="&amp;Controle!$B$6,$F$3:$F$401,$F121),"")</f>
        <v>355000</v>
      </c>
      <c r="S121" s="51">
        <f>IF($D121&lt;&gt;"",SUMIFS($O$3:$O$401, $C$3:$C$401 ,$C121,$B$3:$B$401,"&lt;="&amp;'Controle D-1'!$B$6,$F$3:$F$401,$F121),"")</f>
        <v>355000</v>
      </c>
      <c r="T121" s="40"/>
      <c r="U121" s="40"/>
      <c r="V121" s="40"/>
      <c r="W121" s="40"/>
      <c r="X121" s="40"/>
      <c r="Y121" s="40"/>
      <c r="Z121" s="40"/>
      <c r="AA121" s="40"/>
      <c r="AB121" s="40"/>
      <c r="AC121" s="40"/>
    </row>
    <row r="122" ht="15.75" customHeight="1">
      <c r="A122" s="28"/>
      <c r="B122" s="100">
        <v>45065.0</v>
      </c>
      <c r="C122" s="88" t="s">
        <v>103</v>
      </c>
      <c r="D122" s="88" t="s">
        <v>6</v>
      </c>
      <c r="E122" s="88" t="s">
        <v>208</v>
      </c>
      <c r="F122" s="88" t="s">
        <v>273</v>
      </c>
      <c r="G122" s="46">
        <v>25.04000091552734</v>
      </c>
      <c r="H122" s="101"/>
      <c r="I122" s="88"/>
      <c r="J122" s="88">
        <v>100000.0</v>
      </c>
      <c r="K122" s="47">
        <f t="array" ref="K122">if(and(J122&lt;&gt;"",D122&lt;&gt;"Futuros"),
if(F122=Controle!$C$2, M122/xlookup(workday(B122,-1,Feriados!A:A),Controle!$B$10:$B$1000,Controle!$C$10:$C$1000),
if(F122=Controle!$F$2, M122/xlookup(workday(B122,-1,Feriados!A:A),Controle!$B$10:$B$1000,Controle!$F$10:$F$1000),
if(F122=Controle!$I$2, M122/xlookup(workday(B122,-1,Feriados!A:A),Controle!$B$10:$B$1000,Controle!$I$10:$I$1000),
if(F122=Controle!$L$2, M122/xlookup(workday(B122,-1,Feriados!A:A),Controle!$B$10:$B$1000,Controle!$L$10:$L$1000),
)))),
if(and(J122&lt;&gt;"",D122="Futuros"),
if(F122=Controle!$C$2, N122/xlookup(workday(B122,-1,Feriados!A:A),Controle!$B$10:$B$1000,Controle!$C$10:$C$1000),
if(F122=Controle!$F$2, N122/xlookup(workday(B122,-1,Feriados!A:A),Controle!$B$10:$B$1000,Controle!$F$10:$F$1000),
if(F122=Controle!$I$2, N122/xlookup(workday(B122,-1,Feriados!A:A),Controle!$B$10:$B$1000,Controle!$I$10:$I$1000),
if(F122=Controle!$L$2, N122/xlookup(workday(B122,-1,Feriados!A:A),Controle!$B$10:$B$1000,Controle!$L$10:$L$1000),
)))),""))</f>
        <v>-0.02443517006</v>
      </c>
      <c r="L122" s="47">
        <f t="array" ref="L122">IF($J122&lt;&gt;"", IF($D122 = "Futuros" , $N122/xlookup(WORKDAY(B122,-1,Feriados!A:A),Controle!$B$10:$B$1000,Controle!$T$10:$T$1000) , $M122/xlookup(WORKDAY(B122,-1,Feriados!A:A),Controle!$B$10:$B$1000,Controle!$T$10:$T$1000)),"")</f>
        <v>-0.006114166533</v>
      </c>
      <c r="M122" s="48">
        <f t="shared" si="4"/>
        <v>-2504000.092</v>
      </c>
      <c r="N122" s="48" t="str">
        <f>IFERROR(IF(D122="Futuros",
IF(LEFT(C122,3)="DI1",G122*O122,
IF(LEFT(C122,3)="ISP",G122*O122*HLOOKUP("PTAX",'Histórico'!$A$1:$EL$983,MATCH(B122,'Histórico'!A:A),FALSE)*50,
IF(LEFT(C122,3)="WDO",10*G122*O122*HLOOKUP("PTAX",'Histórico'!$A$1:$EL$983,MATCH(B122,'Histórico'!A:A),FALSE),
IF(LEFT(C122,3)="DOL",50*G122*O122,
IF(LEFT(C122,3)="EUR",G122*O122*50,
IF(LEFT(C122,3)="WEU",G122*O122*10,
IF(LEFT(C122,3)="IND",G122*O122,
IF(LEFT(C122,3)="WIN",G122*O122*0.2,
IF(LEFT(C122,3)="T10",G122*O122*1000*HLOOKUP("PTAX",'Histórico'!$A$1:$EL$983,MATCH(B122,'Histórico'!A:A),FALSE),
IF(LEFT(C122,3)="CCM",G122*O122*450,
IF(LEFT(C122,3)="SJC",G122*O122*HLOOKUP("PTAX",'Histórico'!$A$1:$EL$983,MATCH(B122,'Histórico'!A:A),FALSE)*450,
IF(LEFT(C122,3)="BGI",G122*O122*330,
IF(LEFT(C122,3)="OZ1",G122*O122*250,
IF(LEFT(C122,3)="CLP",G122*O122*25,
IF(LEFT(C122,3)="EUP", O122*10000*HLOOKUP("EUR/BRL",'Histórico'!$A$1:$EL$983,MATCH(B122,'Histórico'!A:A),FALSE),
IF(LEFT(C122,3)="JSE", G122*O122*0.4,
IF(LEFT(C122,3)="GBP", O122*10000*HLOOKUP("GBP/BRL",'Histórico'!$A$1:$FG$983,MATCH(B122,'Histórico'!A:A),FALSE),
IF(LEFT(C122,3)="JAP",O122*10000*HLOOKUP("PTAX",'Histórico'!$A$1:$FG$983,MATCH(B122,'Histórico'!A:A),FALSE),
IF(LEFT(C122,3)="CNH",O122*10000*HLOOKUP("PTAX",'Histórico'!$A$1:$FG$983,MATCH(B122,'Histórico'!A:A),FALSE),
IF(LEFT(C122,3)="AUS",O122*10000*HLOOKUP("PTAX",'Histórico'!$A$1:$FG$983,MATCH(B122,'Histórico'!A:A),FALSE),
IF(LEFT(C122,3)="CAN",O122*10000*HLOOKUP("PTAX",'Histórico'!$A$1:$FG$983,MATCH(B122,'Histórico'!A:A),FALSE),
IF(LEFT(C122,3)="GBR",O122*10000*HLOOKUP("GBP/BRL",'Histórico'!$A$1:$FG$983,MATCH(B122,'Histórico'!A:A),FALSE),
IF(LEFT(C122,3)="MEX",O122*10000*HLOOKUP("PTAX",'Histórico'!$A$1:$FG$983,MATCH(B122,'Histórico'!A:A),FALSE),
IF(LEFT(C122,3)="CHL",O122*10000*HLOOKUP("PTAX",'Histórico'!$A$1:$FG$983,MATCH(B122,'Histórico'!A:A),FALSE)
)))))))))))))))))))))))),""))</f>
        <v/>
      </c>
      <c r="O122" s="49">
        <f t="shared" si="2"/>
        <v>100000</v>
      </c>
      <c r="P122" s="49">
        <f t="shared" si="5"/>
        <v>0</v>
      </c>
      <c r="Q122" s="51">
        <f>IF($C122&lt;&gt;"",SUMIFS($O$3:$O$401, $C$3:$C$401 ,$C122,$B$3:$B$401,"&lt;="&amp;Controle!$B$6),"")</f>
        <v>410000</v>
      </c>
      <c r="R122" s="51">
        <f>IF($D122&lt;&gt;"",SUMIFS($O$3:$O$401, $C$3:$C$401 ,$C122,$B$3:$B$401,"&lt;="&amp;Controle!$B$6,$F$3:$F$401,$F122),"")</f>
        <v>410000</v>
      </c>
      <c r="S122" s="51">
        <f>IF($D122&lt;&gt;"",SUMIFS($O$3:$O$401, $C$3:$C$401 ,$C122,$B$3:$B$401,"&lt;="&amp;'Controle D-1'!$B$6,$F$3:$F$401,$F122),"")</f>
        <v>410000</v>
      </c>
      <c r="T122" s="40"/>
      <c r="U122" s="40"/>
      <c r="V122" s="40"/>
      <c r="W122" s="40"/>
      <c r="X122" s="40"/>
      <c r="Y122" s="40"/>
      <c r="Z122" s="40"/>
      <c r="AA122" s="40"/>
      <c r="AB122" s="40"/>
      <c r="AC122" s="40"/>
    </row>
    <row r="123" ht="15.75" customHeight="1">
      <c r="A123" s="28"/>
      <c r="B123" s="100">
        <v>45065.0</v>
      </c>
      <c r="C123" s="88" t="s">
        <v>105</v>
      </c>
      <c r="D123" s="88" t="s">
        <v>6</v>
      </c>
      <c r="E123" s="88" t="s">
        <v>208</v>
      </c>
      <c r="F123" s="88" t="s">
        <v>273</v>
      </c>
      <c r="G123" s="46">
        <v>7.480000019073486</v>
      </c>
      <c r="H123" s="101"/>
      <c r="I123" s="88"/>
      <c r="J123" s="88">
        <v>340000.0</v>
      </c>
      <c r="K123" s="47">
        <f t="array" ref="K123">if(and(J123&lt;&gt;"",D123&lt;&gt;"Futuros"),
if(F123=Controle!$C$2, M123/xlookup(workday(B123,-1,Feriados!A:A),Controle!$B$10:$B$1000,Controle!$C$10:$C$1000),
if(F123=Controle!$F$2, M123/xlookup(workday(B123,-1,Feriados!A:A),Controle!$B$10:$B$1000,Controle!$F$10:$F$1000),
if(F123=Controle!$I$2, M123/xlookup(workday(B123,-1,Feriados!A:A),Controle!$B$10:$B$1000,Controle!$I$10:$I$1000),
if(F123=Controle!$L$2, M123/xlookup(workday(B123,-1,Feriados!A:A),Controle!$B$10:$B$1000,Controle!$L$10:$L$1000),
)))),
if(and(J123&lt;&gt;"",D123="Futuros"),
if(F123=Controle!$C$2, N123/xlookup(workday(B123,-1,Feriados!A:A),Controle!$B$10:$B$1000,Controle!$C$10:$C$1000),
if(F123=Controle!$F$2, N123/xlookup(workday(B123,-1,Feriados!A:A),Controle!$B$10:$B$1000,Controle!$F$10:$F$1000),
if(F123=Controle!$I$2, N123/xlookup(workday(B123,-1,Feriados!A:A),Controle!$B$10:$B$1000,Controle!$I$10:$I$1000),
if(F123=Controle!$L$2, N123/xlookup(workday(B123,-1,Feriados!A:A),Controle!$B$10:$B$1000,Controle!$L$10:$L$1000),
)))),""))</f>
        <v>-0.02481770063</v>
      </c>
      <c r="L123" s="47">
        <f t="array" ref="L123">IF($J123&lt;&gt;"", IF($D123 = "Futuros" , $N123/xlookup(WORKDAY(B123,-1,Feriados!A:A),Controle!$B$10:$B$1000,Controle!$T$10:$T$1000) , $M123/xlookup(WORKDAY(B123,-1,Feriados!A:A),Controle!$B$10:$B$1000,Controle!$T$10:$T$1000)),"")</f>
        <v>-0.006209883305</v>
      </c>
      <c r="M123" s="48">
        <f t="shared" si="4"/>
        <v>-2543200.006</v>
      </c>
      <c r="N123" s="48" t="str">
        <f>IFERROR(IF(D123="Futuros",
IF(LEFT(C123,3)="DI1",G123*O123,
IF(LEFT(C123,3)="ISP",G123*O123*HLOOKUP("PTAX",'Histórico'!$A$1:$EL$983,MATCH(B123,'Histórico'!A:A),FALSE)*50,
IF(LEFT(C123,3)="WDO",10*G123*O123*HLOOKUP("PTAX",'Histórico'!$A$1:$EL$983,MATCH(B123,'Histórico'!A:A),FALSE),
IF(LEFT(C123,3)="DOL",50*G123*O123,
IF(LEFT(C123,3)="EUR",G123*O123*50,
IF(LEFT(C123,3)="WEU",G123*O123*10,
IF(LEFT(C123,3)="IND",G123*O123,
IF(LEFT(C123,3)="WIN",G123*O123*0.2,
IF(LEFT(C123,3)="T10",G123*O123*1000*HLOOKUP("PTAX",'Histórico'!$A$1:$EL$983,MATCH(B123,'Histórico'!A:A),FALSE),
IF(LEFT(C123,3)="CCM",G123*O123*450,
IF(LEFT(C123,3)="SJC",G123*O123*HLOOKUP("PTAX",'Histórico'!$A$1:$EL$983,MATCH(B123,'Histórico'!A:A),FALSE)*450,
IF(LEFT(C123,3)="BGI",G123*O123*330,
IF(LEFT(C123,3)="OZ1",G123*O123*250,
IF(LEFT(C123,3)="CLP",G123*O123*25,
IF(LEFT(C123,3)="EUP", O123*10000*HLOOKUP("EUR/BRL",'Histórico'!$A$1:$EL$983,MATCH(B123,'Histórico'!A:A),FALSE),
IF(LEFT(C123,3)="JSE", G123*O123*0.4,
IF(LEFT(C123,3)="GBP", O123*10000*HLOOKUP("GBP/BRL",'Histórico'!$A$1:$FG$983,MATCH(B123,'Histórico'!A:A),FALSE),
IF(LEFT(C123,3)="JAP",O123*10000*HLOOKUP("PTAX",'Histórico'!$A$1:$FG$983,MATCH(B123,'Histórico'!A:A),FALSE),
IF(LEFT(C123,3)="CNH",O123*10000*HLOOKUP("PTAX",'Histórico'!$A$1:$FG$983,MATCH(B123,'Histórico'!A:A),FALSE),
IF(LEFT(C123,3)="AUS",O123*10000*HLOOKUP("PTAX",'Histórico'!$A$1:$FG$983,MATCH(B123,'Histórico'!A:A),FALSE),
IF(LEFT(C123,3)="CAN",O123*10000*HLOOKUP("PTAX",'Histórico'!$A$1:$FG$983,MATCH(B123,'Histórico'!A:A),FALSE),
IF(LEFT(C123,3)="GBR",O123*10000*HLOOKUP("GBP/BRL",'Histórico'!$A$1:$FG$983,MATCH(B123,'Histórico'!A:A),FALSE),
IF(LEFT(C123,3)="MEX",O123*10000*HLOOKUP("PTAX",'Histórico'!$A$1:$FG$983,MATCH(B123,'Histórico'!A:A),FALSE),
IF(LEFT(C123,3)="CHL",O123*10000*HLOOKUP("PTAX",'Histórico'!$A$1:$FG$983,MATCH(B123,'Histórico'!A:A),FALSE)
)))))))))))))))))))))))),""))</f>
        <v/>
      </c>
      <c r="O123" s="49">
        <f t="shared" si="2"/>
        <v>340000</v>
      </c>
      <c r="P123" s="49">
        <f t="shared" si="5"/>
        <v>0</v>
      </c>
      <c r="Q123" s="51">
        <f>IF($C123&lt;&gt;"",SUMIFS($O$3:$O$401, $C$3:$C$401 ,$C123,$B$3:$B$401,"&lt;="&amp;Controle!$B$6),"")</f>
        <v>1360000</v>
      </c>
      <c r="R123" s="51">
        <f>IF($D123&lt;&gt;"",SUMIFS($O$3:$O$401, $C$3:$C$401 ,$C123,$B$3:$B$401,"&lt;="&amp;Controle!$B$6,$F$3:$F$401,$F123),"")</f>
        <v>1360000</v>
      </c>
      <c r="S123" s="51">
        <f>IF($D123&lt;&gt;"",SUMIFS($O$3:$O$401, $C$3:$C$401 ,$C123,$B$3:$B$401,"&lt;="&amp;'Controle D-1'!$B$6,$F$3:$F$401,$F123),"")</f>
        <v>1360000</v>
      </c>
      <c r="T123" s="40"/>
      <c r="U123" s="40"/>
      <c r="V123" s="40"/>
      <c r="W123" s="40"/>
      <c r="X123" s="40"/>
      <c r="Y123" s="40"/>
      <c r="Z123" s="40"/>
      <c r="AA123" s="40"/>
      <c r="AB123" s="40"/>
      <c r="AC123" s="40"/>
    </row>
    <row r="124" ht="15.75" customHeight="1">
      <c r="A124" s="28"/>
      <c r="B124" s="100">
        <v>45070.0</v>
      </c>
      <c r="C124" s="88" t="s">
        <v>82</v>
      </c>
      <c r="D124" s="88" t="str">
        <f>IF(ISTEXT(C124),VLOOKUP(C124,'Cadastro dos Ativos'!$A$2:$C$1000,3,0),"")</f>
        <v>Ações Americanas</v>
      </c>
      <c r="E124" s="88" t="s">
        <v>208</v>
      </c>
      <c r="F124" s="88" t="s">
        <v>200</v>
      </c>
      <c r="G124" s="46">
        <v>38.16999816894531</v>
      </c>
      <c r="H124" s="101">
        <f>if($D124="Ações Americanas", HLOOKUP("PTAX",'Histórico'!$A$1:$EL$983,(MATCH(B124,'Histórico'!A:A))-1,""),
if($D124="Ações Europeias", HLOOKUP("EUR/BRL",'Histórico'!$A$1:$EL$983,(MATCH(B124,'Histórico'!A:A))-1,""),""))</f>
        <v>4.9674</v>
      </c>
      <c r="I124" s="88" t="str">
        <f t="array" ref="I124">IF(ISTEXT(C124),xlookup(C124,'Cadastro dos Ativos'!$A$2:$A$1000,'Cadastro dos Ativos'!$D$2:$D$1000),"")</f>
        <v/>
      </c>
      <c r="J124" s="88">
        <v>32000.0</v>
      </c>
      <c r="K124" s="47">
        <f t="array" ref="K124">if(and(J124&lt;&gt;"",D124&lt;&gt;"Futuros"),
if(F124=Controle!$C$2, M124/xlookup(workday(B124,-1,Feriados!A:A),Controle!$B$10:$B$1000,Controle!$C$10:$C$1000),
if(F124=Controle!$F$2, M124/xlookup(workday(B124,-1,Feriados!A:A),Controle!$B$10:$B$1000,Controle!$F$10:$F$1000),
if(F124=Controle!$I$2, M124/xlookup(workday(B124,-1,Feriados!A:A),Controle!$B$10:$B$1000,Controle!$I$10:$I$1000),
if(F124=Controle!$L$2, M124/xlookup(workday(B124,-1,Feriados!A:A),Controle!$B$10:$B$1000,Controle!$L$10:$L$1000),
)))),
if(and(J124&lt;&gt;"",D124="Futuros"),
if(F124=Controle!$C$2, N124/xlookup(workday(B124,-1,Feriados!A:A),Controle!$B$10:$B$1000,Controle!$C$10:$C$1000),
if(F124=Controle!$F$2, N124/xlookup(workday(B124,-1,Feriados!A:A),Controle!$B$10:$B$1000,Controle!$F$10:$F$1000),
if(F124=Controle!$I$2, N124/xlookup(workday(B124,-1,Feriados!A:A),Controle!$B$10:$B$1000,Controle!$I$10:$I$1000),
if(F124=Controle!$L$2, N124/xlookup(workday(B124,-1,Feriados!A:A),Controle!$B$10:$B$1000,Controle!$L$10:$L$1000),
)))),""))</f>
        <v>-0.05949042242</v>
      </c>
      <c r="L124" s="47">
        <f t="array" ref="L124">IF($J124&lt;&gt;"", IF($D124 = "Futuros" , $N124/xlookup(WORKDAY(B124,-1,Feriados!A:A),Controle!$B$10:$B$1000,Controle!$T$10:$T$1000) , $M124/xlookup(WORKDAY(B124,-1,Feriados!A:A),Controle!$B$10:$B$1000,Controle!$T$10:$T$1000)),"")</f>
        <v>-0.0148261816</v>
      </c>
      <c r="M124" s="48">
        <f t="shared" si="4"/>
        <v>-6067380.765</v>
      </c>
      <c r="N124" s="48" t="str">
        <f>IFERROR(IF(D124="Futuros",
IF(LEFT(C124,3)="DI1",G124*O124,
IF(LEFT(C124,3)="ISP",G124*O124*HLOOKUP("PTAX",'Histórico'!$A$1:$EL$983,MATCH(B124,'Histórico'!A:A),FALSE)*50,
IF(LEFT(C124,3)="WDO",10*G124*O124*HLOOKUP("PTAX",'Histórico'!$A$1:$EL$983,MATCH(B124,'Histórico'!A:A),FALSE),
IF(LEFT(C124,3)="DOL",50*G124*O124,
IF(LEFT(C124,3)="EUR",G124*O124*50,
IF(LEFT(C124,3)="WEU",G124*O124*10,
IF(LEFT(C124,3)="IND",G124*O124,
IF(LEFT(C124,3)="WIN",G124*O124*0.2,
IF(LEFT(C124,3)="T10",G124*O124*1000*HLOOKUP("PTAX",'Histórico'!$A$1:$EL$983,MATCH(B124,'Histórico'!A:A),FALSE),
IF(LEFT(C124,3)="CCM",G124*O124*450,
IF(LEFT(C124,3)="SJC",G124*O124*HLOOKUP("PTAX",'Histórico'!$A$1:$EL$983,MATCH(B124,'Histórico'!A:A),FALSE)*450,
IF(LEFT(C124,3)="BGI",G124*O124*330,
IF(LEFT(C124,3)="OZ1",G124*O124*250,
IF(LEFT(C124,3)="CLP",G124*O124*25,
IF(LEFT(C124,3)="EUP", O124*10000*HLOOKUP("EUR/BRL",'Histórico'!$A$1:$EL$983,MATCH(B124,'Histórico'!A:A),FALSE),
IF(LEFT(C124,3)="JSE", G124*O124*0.4,
IF(LEFT(C124,3)="GBP", O124*10000*HLOOKUP("GBP/BRL",'Histórico'!$A$1:$FG$983,MATCH(B124,'Histórico'!A:A),FALSE),
IF(LEFT(C124,3)="JAP",O124*10000*HLOOKUP("PTAX",'Histórico'!$A$1:$FG$983,MATCH(B124,'Histórico'!A:A),FALSE),
IF(LEFT(C124,3)="CNH",O124*10000*HLOOKUP("PTAX",'Histórico'!$A$1:$FG$983,MATCH(B124,'Histórico'!A:A),FALSE),
IF(LEFT(C124,3)="AUS",O124*10000*HLOOKUP("PTAX",'Histórico'!$A$1:$FG$983,MATCH(B124,'Histórico'!A:A),FALSE),
IF(LEFT(C124,3)="CAN",O124*10000*HLOOKUP("PTAX",'Histórico'!$A$1:$FG$983,MATCH(B124,'Histórico'!A:A),FALSE),
IF(LEFT(C124,3)="GBR",O124*10000*HLOOKUP("GBP/BRL",'Histórico'!$A$1:$FG$983,MATCH(B124,'Histórico'!A:A),FALSE),
IF(LEFT(C124,3)="MEX",O124*10000*HLOOKUP("PTAX",'Histórico'!$A$1:$FG$983,MATCH(B124,'Histórico'!A:A),FALSE),
IF(LEFT(C124,3)="CHL",O124*10000*HLOOKUP("PTAX",'Histórico'!$A$1:$FG$983,MATCH(B124,'Histórico'!A:A),FALSE)
)))))))))))))))))))))))),""))</f>
        <v/>
      </c>
      <c r="O124" s="49">
        <f t="shared" si="2"/>
        <v>32000</v>
      </c>
      <c r="P124" s="49">
        <f t="shared" si="5"/>
        <v>0</v>
      </c>
      <c r="Q124" s="51">
        <f>IF($C124&lt;&gt;"",SUMIFS($O$3:$O$401, $C$3:$C$401 ,$C124,$B$3:$B$401,"&lt;="&amp;Controle!$B$6),"")</f>
        <v>0</v>
      </c>
      <c r="R124" s="51">
        <f>IF($D124&lt;&gt;"",SUMIFS($O$3:$O$401, $C$3:$C$401 ,$C124,$B$3:$B$401,"&lt;="&amp;Controle!$B$6,$F$3:$F$401,$F124),"")</f>
        <v>0</v>
      </c>
      <c r="S124" s="51">
        <f>IF($D124&lt;&gt;"",SUMIFS($O$3:$O$401, $C$3:$C$401 ,$C124,$B$3:$B$401,"&lt;="&amp;'Controle D-1'!$B$6,$F$3:$F$401,$F124),"")</f>
        <v>0</v>
      </c>
      <c r="T124" s="40"/>
      <c r="U124" s="40"/>
      <c r="V124" s="40"/>
      <c r="W124" s="40"/>
      <c r="X124" s="40"/>
      <c r="Y124" s="40"/>
      <c r="Z124" s="40"/>
      <c r="AA124" s="40"/>
      <c r="AB124" s="40"/>
      <c r="AC124" s="40"/>
    </row>
    <row r="125" ht="15.75" customHeight="1">
      <c r="A125" s="28"/>
      <c r="B125" s="100">
        <v>45070.0</v>
      </c>
      <c r="C125" s="88" t="s">
        <v>86</v>
      </c>
      <c r="D125" s="88" t="str">
        <f>IF(ISTEXT(C125),VLOOKUP(C125,'Cadastro dos Ativos'!$A$2:$C$1000,3,0),"")</f>
        <v>Ações Americanas</v>
      </c>
      <c r="E125" s="88" t="s">
        <v>208</v>
      </c>
      <c r="F125" s="88" t="s">
        <v>200</v>
      </c>
      <c r="G125" s="46">
        <v>60.34999847412109</v>
      </c>
      <c r="H125" s="101">
        <f>if($D125="Ações Americanas", HLOOKUP("PTAX",'Histórico'!$A$1:$EL$983,(MATCH(B125,'Histórico'!A:A))-1,""),
if($D125="Ações Europeias", HLOOKUP("EUR/BRL",'Histórico'!$A$1:$EL$983,(MATCH(B125,'Histórico'!A:A))-1,""),""))</f>
        <v>4.9674</v>
      </c>
      <c r="I125" s="88" t="str">
        <f t="array" ref="I125">IF(ISTEXT(C125),xlookup(C125,'Cadastro dos Ativos'!$A$2:$A$1000,'Cadastro dos Ativos'!$D$2:$D$1000),"")</f>
        <v/>
      </c>
      <c r="J125" s="88">
        <v>34800.0</v>
      </c>
      <c r="K125" s="47">
        <f t="array" ref="K125">if(and(J125&lt;&gt;"",D125&lt;&gt;"Futuros"),
if(F125=Controle!$C$2, M125/xlookup(workday(B125,-1,Feriados!A:A),Controle!$B$10:$B$1000,Controle!$C$10:$C$1000),
if(F125=Controle!$F$2, M125/xlookup(workday(B125,-1,Feriados!A:A),Controle!$B$10:$B$1000,Controle!$F$10:$F$1000),
if(F125=Controle!$I$2, M125/xlookup(workday(B125,-1,Feriados!A:A),Controle!$B$10:$B$1000,Controle!$I$10:$I$1000),
if(F125=Controle!$L$2, M125/xlookup(workday(B125,-1,Feriados!A:A),Controle!$B$10:$B$1000,Controle!$L$10:$L$1000),
)))),
if(and(J125&lt;&gt;"",D125="Futuros"),
if(F125=Controle!$C$2, N125/xlookup(workday(B125,-1,Feriados!A:A),Controle!$B$10:$B$1000,Controle!$C$10:$C$1000),
if(F125=Controle!$F$2, N125/xlookup(workday(B125,-1,Feriados!A:A),Controle!$B$10:$B$1000,Controle!$F$10:$F$1000),
if(F125=Controle!$I$2, N125/xlookup(workday(B125,-1,Feriados!A:A),Controle!$B$10:$B$1000,Controle!$I$10:$I$1000),
if(F125=Controle!$L$2, N125/xlookup(workday(B125,-1,Feriados!A:A),Controle!$B$10:$B$1000,Controle!$L$10:$L$1000),
)))),""))</f>
        <v>-0.1022895911</v>
      </c>
      <c r="L125" s="47">
        <f t="array" ref="L125">IF($J125&lt;&gt;"", IF($D125 = "Futuros" , $N125/xlookup(WORKDAY(B125,-1,Feriados!A:A),Controle!$B$10:$B$1000,Controle!$T$10:$T$1000) , $M125/xlookup(WORKDAY(B125,-1,Feriados!A:A),Controle!$B$10:$B$1000,Controle!$T$10:$T$1000)),"")</f>
        <v>-0.02549257498</v>
      </c>
      <c r="M125" s="48">
        <f t="shared" si="4"/>
        <v>-10432433.87</v>
      </c>
      <c r="N125" s="48" t="str">
        <f>IFERROR(IF(D125="Futuros",
IF(LEFT(C125,3)="DI1",G125*O125,
IF(LEFT(C125,3)="ISP",G125*O125*HLOOKUP("PTAX",'Histórico'!$A$1:$EL$983,MATCH(B125,'Histórico'!A:A),FALSE)*50,
IF(LEFT(C125,3)="WDO",10*G125*O125*HLOOKUP("PTAX",'Histórico'!$A$1:$EL$983,MATCH(B125,'Histórico'!A:A),FALSE),
IF(LEFT(C125,3)="DOL",50*G125*O125,
IF(LEFT(C125,3)="EUR",G125*O125*50,
IF(LEFT(C125,3)="WEU",G125*O125*10,
IF(LEFT(C125,3)="IND",G125*O125,
IF(LEFT(C125,3)="WIN",G125*O125*0.2,
IF(LEFT(C125,3)="T10",G125*O125*1000*HLOOKUP("PTAX",'Histórico'!$A$1:$EL$983,MATCH(B125,'Histórico'!A:A),FALSE),
IF(LEFT(C125,3)="CCM",G125*O125*450,
IF(LEFT(C125,3)="SJC",G125*O125*HLOOKUP("PTAX",'Histórico'!$A$1:$EL$983,MATCH(B125,'Histórico'!A:A),FALSE)*450,
IF(LEFT(C125,3)="BGI",G125*O125*330,
IF(LEFT(C125,3)="OZ1",G125*O125*250,
IF(LEFT(C125,3)="CLP",G125*O125*25,
IF(LEFT(C125,3)="EUP", O125*10000*HLOOKUP("EUR/BRL",'Histórico'!$A$1:$EL$983,MATCH(B125,'Histórico'!A:A),FALSE),
IF(LEFT(C125,3)="JSE", G125*O125*0.4,
IF(LEFT(C125,3)="GBP", O125*10000*HLOOKUP("GBP/BRL",'Histórico'!$A$1:$FG$983,MATCH(B125,'Histórico'!A:A),FALSE),
IF(LEFT(C125,3)="JAP",O125*10000*HLOOKUP("PTAX",'Histórico'!$A$1:$FG$983,MATCH(B125,'Histórico'!A:A),FALSE),
IF(LEFT(C125,3)="CNH",O125*10000*HLOOKUP("PTAX",'Histórico'!$A$1:$FG$983,MATCH(B125,'Histórico'!A:A),FALSE),
IF(LEFT(C125,3)="AUS",O125*10000*HLOOKUP("PTAX",'Histórico'!$A$1:$FG$983,MATCH(B125,'Histórico'!A:A),FALSE),
IF(LEFT(C125,3)="CAN",O125*10000*HLOOKUP("PTAX",'Histórico'!$A$1:$FG$983,MATCH(B125,'Histórico'!A:A),FALSE),
IF(LEFT(C125,3)="GBR",O125*10000*HLOOKUP("GBP/BRL",'Histórico'!$A$1:$FG$983,MATCH(B125,'Histórico'!A:A),FALSE),
IF(LEFT(C125,3)="MEX",O125*10000*HLOOKUP("PTAX",'Histórico'!$A$1:$FG$983,MATCH(B125,'Histórico'!A:A),FALSE),
IF(LEFT(C125,3)="CHL",O125*10000*HLOOKUP("PTAX",'Histórico'!$A$1:$FG$983,MATCH(B125,'Histórico'!A:A),FALSE)
)))))))))))))))))))))))),""))</f>
        <v/>
      </c>
      <c r="O125" s="49">
        <f t="shared" si="2"/>
        <v>34800</v>
      </c>
      <c r="P125" s="49">
        <f t="shared" si="5"/>
        <v>0</v>
      </c>
      <c r="Q125" s="51">
        <f>IF($C125&lt;&gt;"",SUMIFS($O$3:$O$401, $C$3:$C$401 ,$C125,$B$3:$B$401,"&lt;="&amp;Controle!$B$6),"")</f>
        <v>0</v>
      </c>
      <c r="R125" s="51">
        <f>IF($D125&lt;&gt;"",SUMIFS($O$3:$O$401, $C$3:$C$401 ,$C125,$B$3:$B$401,"&lt;="&amp;Controle!$B$6,$F$3:$F$401,$F125),"")</f>
        <v>0</v>
      </c>
      <c r="S125" s="51">
        <f>IF($D125&lt;&gt;"",SUMIFS($O$3:$O$401, $C$3:$C$401 ,$C125,$B$3:$B$401,"&lt;="&amp;'Controle D-1'!$B$6,$F$3:$F$401,$F125),"")</f>
        <v>0</v>
      </c>
      <c r="T125" s="40"/>
      <c r="U125" s="40"/>
      <c r="V125" s="40"/>
      <c r="W125" s="40"/>
      <c r="X125" s="40"/>
      <c r="Y125" s="40"/>
      <c r="Z125" s="40"/>
      <c r="AA125" s="40"/>
      <c r="AB125" s="40"/>
      <c r="AC125" s="40"/>
    </row>
    <row r="126" ht="15.75" customHeight="1">
      <c r="A126" s="28"/>
      <c r="B126" s="100">
        <v>45070.0</v>
      </c>
      <c r="C126" s="88" t="s">
        <v>88</v>
      </c>
      <c r="D126" s="88" t="str">
        <f>IF(ISTEXT(C126),VLOOKUP(C126,'Cadastro dos Ativos'!$A$2:$C$1000,3,0),"")</f>
        <v>Ações Americanas</v>
      </c>
      <c r="E126" s="88" t="s">
        <v>208</v>
      </c>
      <c r="F126" s="88" t="s">
        <v>200</v>
      </c>
      <c r="G126" s="46">
        <v>98.55999755859375</v>
      </c>
      <c r="H126" s="101">
        <f>if($D126="Ações Americanas", HLOOKUP("PTAX",'Histórico'!$A$1:$EL$983,(MATCH(B126,'Histórico'!A:A))-1,""),
if($D126="Ações Europeias", HLOOKUP("EUR/BRL",'Histórico'!$A$1:$EL$983,(MATCH(B126,'Histórico'!A:A))-1,""),""))</f>
        <v>4.9674</v>
      </c>
      <c r="I126" s="88" t="str">
        <f t="array" ref="I126">IF(ISTEXT(C126),xlookup(C126,'Cadastro dos Ativos'!$A$2:$A$1000,'Cadastro dos Ativos'!$D$2:$D$1000),"")</f>
        <v/>
      </c>
      <c r="J126" s="88">
        <v>15000.0</v>
      </c>
      <c r="K126" s="47">
        <f t="array" ref="K126">if(and(J126&lt;&gt;"",D126&lt;&gt;"Futuros"),
if(F126=Controle!$C$2, M126/xlookup(workday(B126,-1,Feriados!A:A),Controle!$B$10:$B$1000,Controle!$C$10:$C$1000),
if(F126=Controle!$F$2, M126/xlookup(workday(B126,-1,Feriados!A:A),Controle!$B$10:$B$1000,Controle!$F$10:$F$1000),
if(F126=Controle!$I$2, M126/xlookup(workday(B126,-1,Feriados!A:A),Controle!$B$10:$B$1000,Controle!$I$10:$I$1000),
if(F126=Controle!$L$2, M126/xlookup(workday(B126,-1,Feriados!A:A),Controle!$B$10:$B$1000,Controle!$L$10:$L$1000),
)))),
if(and(J126&lt;&gt;"",D126="Futuros"),
if(F126=Controle!$C$2, N126/xlookup(workday(B126,-1,Feriados!A:A),Controle!$B$10:$B$1000,Controle!$C$10:$C$1000),
if(F126=Controle!$F$2, N126/xlookup(workday(B126,-1,Feriados!A:A),Controle!$B$10:$B$1000,Controle!$F$10:$F$1000),
if(F126=Controle!$I$2, N126/xlookup(workday(B126,-1,Feriados!A:A),Controle!$B$10:$B$1000,Controle!$I$10:$I$1000),
if(F126=Controle!$L$2, N126/xlookup(workday(B126,-1,Feriados!A:A),Controle!$B$10:$B$1000,Controle!$L$10:$L$1000),
)))),""))</f>
        <v>-0.07200570028</v>
      </c>
      <c r="L126" s="47">
        <f t="array" ref="L126">IF($J126&lt;&gt;"", IF($D126 = "Futuros" , $N126/xlookup(WORKDAY(B126,-1,Feriados!A:A),Controle!$B$10:$B$1000,Controle!$T$10:$T$1000) , $M126/xlookup(WORKDAY(B126,-1,Feriados!A:A),Controle!$B$10:$B$1000,Controle!$T$10:$T$1000)),"")</f>
        <v>-0.01794523463</v>
      </c>
      <c r="M126" s="48">
        <f t="shared" si="4"/>
        <v>-7343803.978</v>
      </c>
      <c r="N126" s="48" t="str">
        <f>IFERROR(IF(D126="Futuros",
IF(LEFT(C126,3)="DI1",G126*O126,
IF(LEFT(C126,3)="ISP",G126*O126*HLOOKUP("PTAX",'Histórico'!$A$1:$EL$983,MATCH(B126,'Histórico'!A:A),FALSE)*50,
IF(LEFT(C126,3)="WDO",10*G126*O126*HLOOKUP("PTAX",'Histórico'!$A$1:$EL$983,MATCH(B126,'Histórico'!A:A),FALSE),
IF(LEFT(C126,3)="DOL",50*G126*O126,
IF(LEFT(C126,3)="EUR",G126*O126*50,
IF(LEFT(C126,3)="WEU",G126*O126*10,
IF(LEFT(C126,3)="IND",G126*O126,
IF(LEFT(C126,3)="WIN",G126*O126*0.2,
IF(LEFT(C126,3)="T10",G126*O126*1000*HLOOKUP("PTAX",'Histórico'!$A$1:$EL$983,MATCH(B126,'Histórico'!A:A),FALSE),
IF(LEFT(C126,3)="CCM",G126*O126*450,
IF(LEFT(C126,3)="SJC",G126*O126*HLOOKUP("PTAX",'Histórico'!$A$1:$EL$983,MATCH(B126,'Histórico'!A:A),FALSE)*450,
IF(LEFT(C126,3)="BGI",G126*O126*330,
IF(LEFT(C126,3)="OZ1",G126*O126*250,
IF(LEFT(C126,3)="CLP",G126*O126*25,
IF(LEFT(C126,3)="EUP", O126*10000*HLOOKUP("EUR/BRL",'Histórico'!$A$1:$EL$983,MATCH(B126,'Histórico'!A:A),FALSE),
IF(LEFT(C126,3)="JSE", G126*O126*0.4,
IF(LEFT(C126,3)="GBP", O126*10000*HLOOKUP("GBP/BRL",'Histórico'!$A$1:$FG$983,MATCH(B126,'Histórico'!A:A),FALSE),
IF(LEFT(C126,3)="JAP",O126*10000*HLOOKUP("PTAX",'Histórico'!$A$1:$FG$983,MATCH(B126,'Histórico'!A:A),FALSE),
IF(LEFT(C126,3)="CNH",O126*10000*HLOOKUP("PTAX",'Histórico'!$A$1:$FG$983,MATCH(B126,'Histórico'!A:A),FALSE),
IF(LEFT(C126,3)="AUS",O126*10000*HLOOKUP("PTAX",'Histórico'!$A$1:$FG$983,MATCH(B126,'Histórico'!A:A),FALSE),
IF(LEFT(C126,3)="CAN",O126*10000*HLOOKUP("PTAX",'Histórico'!$A$1:$FG$983,MATCH(B126,'Histórico'!A:A),FALSE),
IF(LEFT(C126,3)="GBR",O126*10000*HLOOKUP("GBP/BRL",'Histórico'!$A$1:$FG$983,MATCH(B126,'Histórico'!A:A),FALSE),
IF(LEFT(C126,3)="MEX",O126*10000*HLOOKUP("PTAX",'Histórico'!$A$1:$FG$983,MATCH(B126,'Histórico'!A:A),FALSE),
IF(LEFT(C126,3)="CHL",O126*10000*HLOOKUP("PTAX",'Histórico'!$A$1:$FG$983,MATCH(B126,'Histórico'!A:A),FALSE)
)))))))))))))))))))))))),""))</f>
        <v/>
      </c>
      <c r="O126" s="49">
        <f t="shared" si="2"/>
        <v>15000</v>
      </c>
      <c r="P126" s="49">
        <f t="shared" si="5"/>
        <v>0</v>
      </c>
      <c r="Q126" s="51">
        <f>IF($C126&lt;&gt;"",SUMIFS($O$3:$O$401, $C$3:$C$401 ,$C126,$B$3:$B$401,"&lt;="&amp;Controle!$B$6),"")</f>
        <v>0</v>
      </c>
      <c r="R126" s="51">
        <f>IF($D126&lt;&gt;"",SUMIFS($O$3:$O$401, $C$3:$C$401 ,$C126,$B$3:$B$401,"&lt;="&amp;Controle!$B$6,$F$3:$F$401,$F126),"")</f>
        <v>0</v>
      </c>
      <c r="S126" s="51">
        <f>IF($D126&lt;&gt;"",SUMIFS($O$3:$O$401, $C$3:$C$401 ,$C126,$B$3:$B$401,"&lt;="&amp;'Controle D-1'!$B$6,$F$3:$F$401,$F126),"")</f>
        <v>0</v>
      </c>
      <c r="T126" s="40"/>
      <c r="U126" s="40"/>
      <c r="V126" s="40"/>
      <c r="W126" s="40"/>
      <c r="X126" s="40"/>
      <c r="Y126" s="40"/>
      <c r="Z126" s="40"/>
      <c r="AA126" s="40"/>
      <c r="AB126" s="40"/>
      <c r="AC126" s="40"/>
    </row>
    <row r="127" ht="15.75" customHeight="1">
      <c r="A127" s="28"/>
      <c r="B127" s="100">
        <v>45075.0</v>
      </c>
      <c r="C127" s="88" t="s">
        <v>115</v>
      </c>
      <c r="D127" s="88" t="s">
        <v>6</v>
      </c>
      <c r="E127" s="88" t="s">
        <v>208</v>
      </c>
      <c r="F127" s="88" t="s">
        <v>273</v>
      </c>
      <c r="G127" s="46">
        <v>10.78999996185303</v>
      </c>
      <c r="H127" s="101"/>
      <c r="I127" s="88"/>
      <c r="J127" s="88">
        <v>240000.0</v>
      </c>
      <c r="K127" s="47">
        <f t="array" ref="K127">if(and(J127&lt;&gt;"",D127&lt;&gt;"Futuros"),
if(F127=Controle!$C$2, M127/xlookup(workday(B127,-1,Feriados!A:A),Controle!$B$10:$B$1000,Controle!$C$10:$C$1000),
if(F127=Controle!$F$2, M127/xlookup(workday(B127,-1,Feriados!A:A),Controle!$B$10:$B$1000,Controle!$F$10:$F$1000),
if(F127=Controle!$I$2, M127/xlookup(workday(B127,-1,Feriados!A:A),Controle!$B$10:$B$1000,Controle!$I$10:$I$1000),
if(F127=Controle!$L$2, M127/xlookup(workday(B127,-1,Feriados!A:A),Controle!$B$10:$B$1000,Controle!$L$10:$L$1000),
)))),
if(and(J127&lt;&gt;"",D127="Futuros"),
if(F127=Controle!$C$2, N127/xlookup(workday(B127,-1,Feriados!A:A),Controle!$B$10:$B$1000,Controle!$C$10:$C$1000),
if(F127=Controle!$F$2, N127/xlookup(workday(B127,-1,Feriados!A:A),Controle!$B$10:$B$1000,Controle!$F$10:$F$1000),
if(F127=Controle!$I$2, N127/xlookup(workday(B127,-1,Feriados!A:A),Controle!$B$10:$B$1000,Controle!$I$10:$I$1000),
if(F127=Controle!$L$2, N127/xlookup(workday(B127,-1,Feriados!A:A),Controle!$B$10:$B$1000,Controle!$L$10:$L$1000),
)))),""))</f>
        <v>-0.02510402627</v>
      </c>
      <c r="L127" s="47">
        <f t="array" ref="L127">IF($J127&lt;&gt;"", IF($D127 = "Futuros" , $N127/xlookup(WORKDAY(B127,-1,Feriados!A:A),Controle!$B$10:$B$1000,Controle!$T$10:$T$1000) , $M127/xlookup(WORKDAY(B127,-1,Feriados!A:A),Controle!$B$10:$B$1000,Controle!$T$10:$T$1000)),"")</f>
        <v>-0.006254080768</v>
      </c>
      <c r="M127" s="48">
        <f t="shared" si="4"/>
        <v>-2589599.991</v>
      </c>
      <c r="N127" s="48" t="str">
        <f>IFERROR(IF(D127="Futuros",
IF(LEFT(C127,3)="DI1",G127*O127,
IF(LEFT(C127,3)="ISP",G127*O127*HLOOKUP("PTAX",'Histórico'!$A$1:$EL$983,MATCH(B127,'Histórico'!A:A),FALSE)*50,
IF(LEFT(C127,3)="WDO",10*G127*O127*HLOOKUP("PTAX",'Histórico'!$A$1:$EL$983,MATCH(B127,'Histórico'!A:A),FALSE),
IF(LEFT(C127,3)="DOL",50*G127*O127,
IF(LEFT(C127,3)="EUR",G127*O127*50,
IF(LEFT(C127,3)="WEU",G127*O127*10,
IF(LEFT(C127,3)="IND",G127*O127,
IF(LEFT(C127,3)="WIN",G127*O127*0.2,
IF(LEFT(C127,3)="T10",G127*O127*1000*HLOOKUP("PTAX",'Histórico'!$A$1:$EL$983,MATCH(B127,'Histórico'!A:A),FALSE),
IF(LEFT(C127,3)="CCM",G127*O127*450,
IF(LEFT(C127,3)="SJC",G127*O127*HLOOKUP("PTAX",'Histórico'!$A$1:$EL$983,MATCH(B127,'Histórico'!A:A),FALSE)*450,
IF(LEFT(C127,3)="BGI",G127*O127*330,
IF(LEFT(C127,3)="OZ1",G127*O127*250,
IF(LEFT(C127,3)="CLP",G127*O127*25,
IF(LEFT(C127,3)="EUP", O127*10000*HLOOKUP("EUR/BRL",'Histórico'!$A$1:$EL$983,MATCH(B127,'Histórico'!A:A),FALSE),
IF(LEFT(C127,3)="JSE", G127*O127*0.4,
IF(LEFT(C127,3)="GBP", O127*10000*HLOOKUP("GBP/BRL",'Histórico'!$A$1:$FG$983,MATCH(B127,'Histórico'!A:A),FALSE),
IF(LEFT(C127,3)="JAP",O127*10000*HLOOKUP("PTAX",'Histórico'!$A$1:$FG$983,MATCH(B127,'Histórico'!A:A),FALSE),
IF(LEFT(C127,3)="CNH",O127*10000*HLOOKUP("PTAX",'Histórico'!$A$1:$FG$983,MATCH(B127,'Histórico'!A:A),FALSE),
IF(LEFT(C127,3)="AUS",O127*10000*HLOOKUP("PTAX",'Histórico'!$A$1:$FG$983,MATCH(B127,'Histórico'!A:A),FALSE),
IF(LEFT(C127,3)="CAN",O127*10000*HLOOKUP("PTAX",'Histórico'!$A$1:$FG$983,MATCH(B127,'Histórico'!A:A),FALSE),
IF(LEFT(C127,3)="GBR",O127*10000*HLOOKUP("GBP/BRL",'Histórico'!$A$1:$FG$983,MATCH(B127,'Histórico'!A:A),FALSE),
IF(LEFT(C127,3)="MEX",O127*10000*HLOOKUP("PTAX",'Histórico'!$A$1:$FG$983,MATCH(B127,'Histórico'!A:A),FALSE),
IF(LEFT(C127,3)="CHL",O127*10000*HLOOKUP("PTAX",'Histórico'!$A$1:$FG$983,MATCH(B127,'Histórico'!A:A),FALSE)
)))))))))))))))))))))))),""))</f>
        <v/>
      </c>
      <c r="O127" s="49">
        <f t="shared" si="2"/>
        <v>240000</v>
      </c>
      <c r="P127" s="49">
        <f t="shared" si="5"/>
        <v>0</v>
      </c>
      <c r="Q127" s="51">
        <f>IF($C127&lt;&gt;"",SUMIFS($O$3:$O$401, $C$3:$C$401 ,$C127,$B$3:$B$401,"&lt;="&amp;Controle!$B$6),"")</f>
        <v>0</v>
      </c>
      <c r="R127" s="51">
        <f>IF($D127&lt;&gt;"",SUMIFS($O$3:$O$401, $C$3:$C$401 ,$C127,$B$3:$B$401,"&lt;="&amp;Controle!$B$6,$F$3:$F$401,$F127),"")</f>
        <v>0</v>
      </c>
      <c r="S127" s="51">
        <f>IF($D127&lt;&gt;"",SUMIFS($O$3:$O$401, $C$3:$C$401 ,$C127,$B$3:$B$401,"&lt;="&amp;'Controle D-1'!$B$6,$F$3:$F$401,$F127),"")</f>
        <v>0</v>
      </c>
      <c r="T127" s="40"/>
      <c r="U127" s="40"/>
      <c r="V127" s="40"/>
      <c r="W127" s="40"/>
      <c r="X127" s="40"/>
      <c r="Y127" s="40"/>
      <c r="Z127" s="40"/>
      <c r="AA127" s="40"/>
      <c r="AB127" s="40"/>
      <c r="AC127" s="40"/>
    </row>
    <row r="128" ht="15.75" customHeight="1">
      <c r="A128" s="28"/>
      <c r="B128" s="100">
        <v>45075.0</v>
      </c>
      <c r="C128" s="88" t="s">
        <v>101</v>
      </c>
      <c r="D128" s="88" t="s">
        <v>6</v>
      </c>
      <c r="E128" s="88" t="s">
        <v>208</v>
      </c>
      <c r="F128" s="88" t="s">
        <v>273</v>
      </c>
      <c r="G128" s="46">
        <v>29.65999984741211</v>
      </c>
      <c r="H128" s="101"/>
      <c r="I128" s="88"/>
      <c r="J128" s="88">
        <v>85000.0</v>
      </c>
      <c r="K128" s="47">
        <f t="array" ref="K128">if(and(J128&lt;&gt;"",D128&lt;&gt;"Futuros"),
if(F128=Controle!$C$2, M128/xlookup(workday(B128,-1,Feriados!A:A),Controle!$B$10:$B$1000,Controle!$C$10:$C$1000),
if(F128=Controle!$F$2, M128/xlookup(workday(B128,-1,Feriados!A:A),Controle!$B$10:$B$1000,Controle!$F$10:$F$1000),
if(F128=Controle!$I$2, M128/xlookup(workday(B128,-1,Feriados!A:A),Controle!$B$10:$B$1000,Controle!$I$10:$I$1000),
if(F128=Controle!$L$2, M128/xlookup(workday(B128,-1,Feriados!A:A),Controle!$B$10:$B$1000,Controle!$L$10:$L$1000),
)))),
if(and(J128&lt;&gt;"",D128="Futuros"),
if(F128=Controle!$C$2, N128/xlookup(workday(B128,-1,Feriados!A:A),Controle!$B$10:$B$1000,Controle!$C$10:$C$1000),
if(F128=Controle!$F$2, N128/xlookup(workday(B128,-1,Feriados!A:A),Controle!$B$10:$B$1000,Controle!$F$10:$F$1000),
if(F128=Controle!$I$2, N128/xlookup(workday(B128,-1,Feriados!A:A),Controle!$B$10:$B$1000,Controle!$I$10:$I$1000),
if(F128=Controle!$L$2, N128/xlookup(workday(B128,-1,Feriados!A:A),Controle!$B$10:$B$1000,Controle!$L$10:$L$1000),
)))),""))</f>
        <v>-0.02443997549</v>
      </c>
      <c r="L128" s="47">
        <f t="array" ref="L128">IF($J128&lt;&gt;"", IF($D128 = "Futuros" , $N128/xlookup(WORKDAY(B128,-1,Feriados!A:A),Controle!$B$10:$B$1000,Controle!$T$10:$T$1000) , $M128/xlookup(WORKDAY(B128,-1,Feriados!A:A),Controle!$B$10:$B$1000,Controle!$T$10:$T$1000)),"")</f>
        <v>-0.006088648054</v>
      </c>
      <c r="M128" s="48">
        <f t="shared" si="4"/>
        <v>-2521099.987</v>
      </c>
      <c r="N128" s="48" t="str">
        <f>IFERROR(IF(D128="Futuros",
IF(LEFT(C128,3)="DI1",G128*O128,
IF(LEFT(C128,3)="ISP",G128*O128*HLOOKUP("PTAX",'Histórico'!$A$1:$EL$983,MATCH(B128,'Histórico'!A:A),FALSE)*50,
IF(LEFT(C128,3)="WDO",10*G128*O128*HLOOKUP("PTAX",'Histórico'!$A$1:$EL$983,MATCH(B128,'Histórico'!A:A),FALSE),
IF(LEFT(C128,3)="DOL",50*G128*O128,
IF(LEFT(C128,3)="EUR",G128*O128*50,
IF(LEFT(C128,3)="WEU",G128*O128*10,
IF(LEFT(C128,3)="IND",G128*O128,
IF(LEFT(C128,3)="WIN",G128*O128*0.2,
IF(LEFT(C128,3)="T10",G128*O128*1000*HLOOKUP("PTAX",'Histórico'!$A$1:$EL$983,MATCH(B128,'Histórico'!A:A),FALSE),
IF(LEFT(C128,3)="CCM",G128*O128*450,
IF(LEFT(C128,3)="SJC",G128*O128*HLOOKUP("PTAX",'Histórico'!$A$1:$EL$983,MATCH(B128,'Histórico'!A:A),FALSE)*450,
IF(LEFT(C128,3)="BGI",G128*O128*330,
IF(LEFT(C128,3)="OZ1",G128*O128*250,
IF(LEFT(C128,3)="CLP",G128*O128*25,
IF(LEFT(C128,3)="EUP", O128*10000*HLOOKUP("EUR/BRL",'Histórico'!$A$1:$EL$983,MATCH(B128,'Histórico'!A:A),FALSE),
IF(LEFT(C128,3)="JSE", G128*O128*0.4,
IF(LEFT(C128,3)="GBP", O128*10000*HLOOKUP("GBP/BRL",'Histórico'!$A$1:$FG$983,MATCH(B128,'Histórico'!A:A),FALSE),
IF(LEFT(C128,3)="JAP",O128*10000*HLOOKUP("PTAX",'Histórico'!$A$1:$FG$983,MATCH(B128,'Histórico'!A:A),FALSE),
IF(LEFT(C128,3)="CNH",O128*10000*HLOOKUP("PTAX",'Histórico'!$A$1:$FG$983,MATCH(B128,'Histórico'!A:A),FALSE),
IF(LEFT(C128,3)="AUS",O128*10000*HLOOKUP("PTAX",'Histórico'!$A$1:$FG$983,MATCH(B128,'Histórico'!A:A),FALSE),
IF(LEFT(C128,3)="CAN",O128*10000*HLOOKUP("PTAX",'Histórico'!$A$1:$FG$983,MATCH(B128,'Histórico'!A:A),FALSE),
IF(LEFT(C128,3)="GBR",O128*10000*HLOOKUP("GBP/BRL",'Histórico'!$A$1:$FG$983,MATCH(B128,'Histórico'!A:A),FALSE),
IF(LEFT(C128,3)="MEX",O128*10000*HLOOKUP("PTAX",'Histórico'!$A$1:$FG$983,MATCH(B128,'Histórico'!A:A),FALSE),
IF(LEFT(C128,3)="CHL",O128*10000*HLOOKUP("PTAX",'Histórico'!$A$1:$FG$983,MATCH(B128,'Histórico'!A:A),FALSE)
)))))))))))))))))))))))),""))</f>
        <v/>
      </c>
      <c r="O128" s="49">
        <f t="shared" si="2"/>
        <v>85000</v>
      </c>
      <c r="P128" s="49">
        <f t="shared" si="5"/>
        <v>355000</v>
      </c>
      <c r="Q128" s="51">
        <f>IF($C128&lt;&gt;"",SUMIFS($O$3:$O$401, $C$3:$C$401 ,$C128,$B$3:$B$401,"&lt;="&amp;Controle!$B$6),"")</f>
        <v>355000</v>
      </c>
      <c r="R128" s="51">
        <f>IF($D128&lt;&gt;"",SUMIFS($O$3:$O$401, $C$3:$C$401 ,$C128,$B$3:$B$401,"&lt;="&amp;Controle!$B$6,$F$3:$F$401,$F128),"")</f>
        <v>355000</v>
      </c>
      <c r="S128" s="51">
        <f>IF($D128&lt;&gt;"",SUMIFS($O$3:$O$401, $C$3:$C$401 ,$C128,$B$3:$B$401,"&lt;="&amp;'Controle D-1'!$B$6,$F$3:$F$401,$F128),"")</f>
        <v>355000</v>
      </c>
      <c r="T128" s="40"/>
      <c r="U128" s="40"/>
      <c r="V128" s="40"/>
      <c r="W128" s="40"/>
      <c r="X128" s="40"/>
      <c r="Y128" s="40"/>
      <c r="Z128" s="40"/>
      <c r="AA128" s="40"/>
      <c r="AB128" s="40"/>
      <c r="AC128" s="40"/>
    </row>
    <row r="129" ht="15.75" customHeight="1">
      <c r="A129" s="28"/>
      <c r="B129" s="100">
        <v>45075.0</v>
      </c>
      <c r="C129" s="88" t="s">
        <v>103</v>
      </c>
      <c r="D129" s="88" t="s">
        <v>6</v>
      </c>
      <c r="E129" s="88" t="s">
        <v>208</v>
      </c>
      <c r="F129" s="88" t="s">
        <v>273</v>
      </c>
      <c r="G129" s="46">
        <v>25.42000007629395</v>
      </c>
      <c r="H129" s="101"/>
      <c r="I129" s="88"/>
      <c r="J129" s="88">
        <v>100000.0</v>
      </c>
      <c r="K129" s="47">
        <f t="array" ref="K129">if(and(J129&lt;&gt;"",D129&lt;&gt;"Futuros"),
if(F129=Controle!$C$2, M129/xlookup(workday(B129,-1,Feriados!A:A),Controle!$B$10:$B$1000,Controle!$C$10:$C$1000),
if(F129=Controle!$F$2, M129/xlookup(workday(B129,-1,Feriados!A:A),Controle!$B$10:$B$1000,Controle!$F$10:$F$1000),
if(F129=Controle!$I$2, M129/xlookup(workday(B129,-1,Feriados!A:A),Controle!$B$10:$B$1000,Controle!$I$10:$I$1000),
if(F129=Controle!$L$2, M129/xlookup(workday(B129,-1,Feriados!A:A),Controle!$B$10:$B$1000,Controle!$L$10:$L$1000),
)))),
if(and(J129&lt;&gt;"",D129="Futuros"),
if(F129=Controle!$C$2, N129/xlookup(workday(B129,-1,Feriados!A:A),Controle!$B$10:$B$1000,Controle!$C$10:$C$1000),
if(F129=Controle!$F$2, N129/xlookup(workday(B129,-1,Feriados!A:A),Controle!$B$10:$B$1000,Controle!$F$10:$F$1000),
if(F129=Controle!$I$2, N129/xlookup(workday(B129,-1,Feriados!A:A),Controle!$B$10:$B$1000,Controle!$I$10:$I$1000),
if(F129=Controle!$L$2, N129/xlookup(workday(B129,-1,Feriados!A:A),Controle!$B$10:$B$1000,Controle!$L$10:$L$1000),
)))),""))</f>
        <v>-0.02464258387</v>
      </c>
      <c r="L129" s="47">
        <f t="array" ref="L129">IF($J129&lt;&gt;"", IF($D129 = "Futuros" , $N129/xlookup(WORKDAY(B129,-1,Feriados!A:A),Controle!$B$10:$B$1000,Controle!$T$10:$T$1000) , $M129/xlookup(WORKDAY(B129,-1,Feriados!A:A),Controle!$B$10:$B$1000,Controle!$T$10:$T$1000)),"")</f>
        <v>-0.006139123192</v>
      </c>
      <c r="M129" s="48">
        <f t="shared" si="4"/>
        <v>-2542000.008</v>
      </c>
      <c r="N129" s="48" t="str">
        <f>IFERROR(IF(D129="Futuros",
IF(LEFT(C129,3)="DI1",G129*O129,
IF(LEFT(C129,3)="ISP",G129*O129*HLOOKUP("PTAX",'Histórico'!$A$1:$EL$983,MATCH(B129,'Histórico'!A:A),FALSE)*50,
IF(LEFT(C129,3)="WDO",10*G129*O129*HLOOKUP("PTAX",'Histórico'!$A$1:$EL$983,MATCH(B129,'Histórico'!A:A),FALSE),
IF(LEFT(C129,3)="DOL",50*G129*O129,
IF(LEFT(C129,3)="EUR",G129*O129*50,
IF(LEFT(C129,3)="WEU",G129*O129*10,
IF(LEFT(C129,3)="IND",G129*O129,
IF(LEFT(C129,3)="WIN",G129*O129*0.2,
IF(LEFT(C129,3)="T10",G129*O129*1000*HLOOKUP("PTAX",'Histórico'!$A$1:$EL$983,MATCH(B129,'Histórico'!A:A),FALSE),
IF(LEFT(C129,3)="CCM",G129*O129*450,
IF(LEFT(C129,3)="SJC",G129*O129*HLOOKUP("PTAX",'Histórico'!$A$1:$EL$983,MATCH(B129,'Histórico'!A:A),FALSE)*450,
IF(LEFT(C129,3)="BGI",G129*O129*330,
IF(LEFT(C129,3)="OZ1",G129*O129*250,
IF(LEFT(C129,3)="CLP",G129*O129*25,
IF(LEFT(C129,3)="EUP", O129*10000*HLOOKUP("EUR/BRL",'Histórico'!$A$1:$EL$983,MATCH(B129,'Histórico'!A:A),FALSE),
IF(LEFT(C129,3)="JSE", G129*O129*0.4,
IF(LEFT(C129,3)="GBP", O129*10000*HLOOKUP("GBP/BRL",'Histórico'!$A$1:$FG$983,MATCH(B129,'Histórico'!A:A),FALSE),
IF(LEFT(C129,3)="JAP",O129*10000*HLOOKUP("PTAX",'Histórico'!$A$1:$FG$983,MATCH(B129,'Histórico'!A:A),FALSE),
IF(LEFT(C129,3)="CNH",O129*10000*HLOOKUP("PTAX",'Histórico'!$A$1:$FG$983,MATCH(B129,'Histórico'!A:A),FALSE),
IF(LEFT(C129,3)="AUS",O129*10000*HLOOKUP("PTAX",'Histórico'!$A$1:$FG$983,MATCH(B129,'Histórico'!A:A),FALSE),
IF(LEFT(C129,3)="CAN",O129*10000*HLOOKUP("PTAX",'Histórico'!$A$1:$FG$983,MATCH(B129,'Histórico'!A:A),FALSE),
IF(LEFT(C129,3)="GBR",O129*10000*HLOOKUP("GBP/BRL",'Histórico'!$A$1:$FG$983,MATCH(B129,'Histórico'!A:A),FALSE),
IF(LEFT(C129,3)="MEX",O129*10000*HLOOKUP("PTAX",'Histórico'!$A$1:$FG$983,MATCH(B129,'Histórico'!A:A),FALSE),
IF(LEFT(C129,3)="CHL",O129*10000*HLOOKUP("PTAX",'Histórico'!$A$1:$FG$983,MATCH(B129,'Histórico'!A:A),FALSE)
)))))))))))))))))))))))),""))</f>
        <v/>
      </c>
      <c r="O129" s="49">
        <f t="shared" si="2"/>
        <v>100000</v>
      </c>
      <c r="P129" s="49">
        <f t="shared" si="5"/>
        <v>0</v>
      </c>
      <c r="Q129" s="51">
        <f>IF($C129&lt;&gt;"",SUMIFS($O$3:$O$401, $C$3:$C$401 ,$C129,$B$3:$B$401,"&lt;="&amp;Controle!$B$6),"")</f>
        <v>410000</v>
      </c>
      <c r="R129" s="51">
        <f>IF($D129&lt;&gt;"",SUMIFS($O$3:$O$401, $C$3:$C$401 ,$C129,$B$3:$B$401,"&lt;="&amp;Controle!$B$6,$F$3:$F$401,$F129),"")</f>
        <v>410000</v>
      </c>
      <c r="S129" s="51">
        <f>IF($D129&lt;&gt;"",SUMIFS($O$3:$O$401, $C$3:$C$401 ,$C129,$B$3:$B$401,"&lt;="&amp;'Controle D-1'!$B$6,$F$3:$F$401,$F129),"")</f>
        <v>410000</v>
      </c>
      <c r="T129" s="40"/>
      <c r="U129" s="40"/>
      <c r="V129" s="40"/>
      <c r="W129" s="40"/>
      <c r="X129" s="40"/>
      <c r="Y129" s="40"/>
      <c r="Z129" s="40"/>
      <c r="AA129" s="40"/>
      <c r="AB129" s="40"/>
      <c r="AC129" s="40"/>
    </row>
    <row r="130" ht="15.75" customHeight="1">
      <c r="A130" s="28"/>
      <c r="B130" s="100">
        <v>45075.0</v>
      </c>
      <c r="C130" s="88" t="s">
        <v>105</v>
      </c>
      <c r="D130" s="88" t="s">
        <v>6</v>
      </c>
      <c r="E130" s="88" t="s">
        <v>208</v>
      </c>
      <c r="F130" s="88" t="s">
        <v>273</v>
      </c>
      <c r="G130" s="46">
        <v>7.639999866485596</v>
      </c>
      <c r="H130" s="101"/>
      <c r="I130" s="88"/>
      <c r="J130" s="88">
        <v>340000.0</v>
      </c>
      <c r="K130" s="47">
        <f t="array" ref="K130">if(and(J130&lt;&gt;"",D130&lt;&gt;"Futuros"),
if(F130=Controle!$C$2, M130/xlookup(workday(B130,-1,Feriados!A:A),Controle!$B$10:$B$1000,Controle!$C$10:$C$1000),
if(F130=Controle!$F$2, M130/xlookup(workday(B130,-1,Feriados!A:A),Controle!$B$10:$B$1000,Controle!$F$10:$F$1000),
if(F130=Controle!$I$2, M130/xlookup(workday(B130,-1,Feriados!A:A),Controle!$B$10:$B$1000,Controle!$I$10:$I$1000),
if(F130=Controle!$L$2, M130/xlookup(workday(B130,-1,Feriados!A:A),Controle!$B$10:$B$1000,Controle!$L$10:$L$1000),
)))),
if(and(J130&lt;&gt;"",D130="Futuros"),
if(F130=Controle!$C$2, N130/xlookup(workday(B130,-1,Feriados!A:A),Controle!$B$10:$B$1000,Controle!$C$10:$C$1000),
if(F130=Controle!$F$2, N130/xlookup(workday(B130,-1,Feriados!A:A),Controle!$B$10:$B$1000,Controle!$F$10:$F$1000),
if(F130=Controle!$I$2, N130/xlookup(workday(B130,-1,Feriados!A:A),Controle!$B$10:$B$1000,Controle!$I$10:$I$1000),
if(F130=Controle!$L$2, N130/xlookup(workday(B130,-1,Feriados!A:A),Controle!$B$10:$B$1000,Controle!$L$10:$L$1000),
)))),""))</f>
        <v>-0.02518157929</v>
      </c>
      <c r="L130" s="47">
        <f t="array" ref="L130">IF($J130&lt;&gt;"", IF($D130 = "Futuros" , $N130/xlookup(WORKDAY(B130,-1,Feriados!A:A),Controle!$B$10:$B$1000,Controle!$T$10:$T$1000) , $M130/xlookup(WORKDAY(B130,-1,Feriados!A:A),Controle!$B$10:$B$1000,Controle!$T$10:$T$1000)),"")</f>
        <v>-0.006273401289</v>
      </c>
      <c r="M130" s="48">
        <f t="shared" si="4"/>
        <v>-2597599.955</v>
      </c>
      <c r="N130" s="48" t="str">
        <f>IFERROR(IF(D130="Futuros",
IF(LEFT(C130,3)="DI1",G130*O130,
IF(LEFT(C130,3)="ISP",G130*O130*HLOOKUP("PTAX",'Histórico'!$A$1:$EL$983,MATCH(B130,'Histórico'!A:A),FALSE)*50,
IF(LEFT(C130,3)="WDO",10*G130*O130*HLOOKUP("PTAX",'Histórico'!$A$1:$EL$983,MATCH(B130,'Histórico'!A:A),FALSE),
IF(LEFT(C130,3)="DOL",50*G130*O130,
IF(LEFT(C130,3)="EUR",G130*O130*50,
IF(LEFT(C130,3)="WEU",G130*O130*10,
IF(LEFT(C130,3)="IND",G130*O130,
IF(LEFT(C130,3)="WIN",G130*O130*0.2,
IF(LEFT(C130,3)="T10",G130*O130*1000*HLOOKUP("PTAX",'Histórico'!$A$1:$EL$983,MATCH(B130,'Histórico'!A:A),FALSE),
IF(LEFT(C130,3)="CCM",G130*O130*450,
IF(LEFT(C130,3)="SJC",G130*O130*HLOOKUP("PTAX",'Histórico'!$A$1:$EL$983,MATCH(B130,'Histórico'!A:A),FALSE)*450,
IF(LEFT(C130,3)="BGI",G130*O130*330,
IF(LEFT(C130,3)="OZ1",G130*O130*250,
IF(LEFT(C130,3)="CLP",G130*O130*25,
IF(LEFT(C130,3)="EUP", O130*10000*HLOOKUP("EUR/BRL",'Histórico'!$A$1:$EL$983,MATCH(B130,'Histórico'!A:A),FALSE),
IF(LEFT(C130,3)="JSE", G130*O130*0.4,
IF(LEFT(C130,3)="GBP", O130*10000*HLOOKUP("GBP/BRL",'Histórico'!$A$1:$FG$983,MATCH(B130,'Histórico'!A:A),FALSE),
IF(LEFT(C130,3)="JAP",O130*10000*HLOOKUP("PTAX",'Histórico'!$A$1:$FG$983,MATCH(B130,'Histórico'!A:A),FALSE),
IF(LEFT(C130,3)="CNH",O130*10000*HLOOKUP("PTAX",'Histórico'!$A$1:$FG$983,MATCH(B130,'Histórico'!A:A),FALSE),
IF(LEFT(C130,3)="AUS",O130*10000*HLOOKUP("PTAX",'Histórico'!$A$1:$FG$983,MATCH(B130,'Histórico'!A:A),FALSE),
IF(LEFT(C130,3)="CAN",O130*10000*HLOOKUP("PTAX",'Histórico'!$A$1:$FG$983,MATCH(B130,'Histórico'!A:A),FALSE),
IF(LEFT(C130,3)="GBR",O130*10000*HLOOKUP("GBP/BRL",'Histórico'!$A$1:$FG$983,MATCH(B130,'Histórico'!A:A),FALSE),
IF(LEFT(C130,3)="MEX",O130*10000*HLOOKUP("PTAX",'Histórico'!$A$1:$FG$983,MATCH(B130,'Histórico'!A:A),FALSE),
IF(LEFT(C130,3)="CHL",O130*10000*HLOOKUP("PTAX",'Histórico'!$A$1:$FG$983,MATCH(B130,'Histórico'!A:A),FALSE)
)))))))))))))))))))))))),""))</f>
        <v/>
      </c>
      <c r="O130" s="49">
        <f t="shared" si="2"/>
        <v>340000</v>
      </c>
      <c r="P130" s="49">
        <f t="shared" si="5"/>
        <v>0</v>
      </c>
      <c r="Q130" s="51">
        <f>IF($C130&lt;&gt;"",SUMIFS($O$3:$O$401, $C$3:$C$401 ,$C130,$B$3:$B$401,"&lt;="&amp;Controle!$B$6),"")</f>
        <v>1360000</v>
      </c>
      <c r="R130" s="51">
        <f>IF($D130&lt;&gt;"",SUMIFS($O$3:$O$401, $C$3:$C$401 ,$C130,$B$3:$B$401,"&lt;="&amp;Controle!$B$6,$F$3:$F$401,$F130),"")</f>
        <v>1360000</v>
      </c>
      <c r="S130" s="51">
        <f>IF($D130&lt;&gt;"",SUMIFS($O$3:$O$401, $C$3:$C$401 ,$C130,$B$3:$B$401,"&lt;="&amp;'Controle D-1'!$B$6,$F$3:$F$401,$F130),"")</f>
        <v>1360000</v>
      </c>
      <c r="T130" s="40"/>
      <c r="U130" s="40"/>
      <c r="V130" s="40"/>
      <c r="W130" s="40"/>
      <c r="X130" s="40"/>
      <c r="Y130" s="40"/>
      <c r="Z130" s="40"/>
      <c r="AA130" s="40"/>
      <c r="AB130" s="40"/>
      <c r="AC130" s="40"/>
    </row>
    <row r="131" ht="15.75" customHeight="1">
      <c r="A131" s="28"/>
      <c r="B131" s="100">
        <v>45076.0</v>
      </c>
      <c r="C131" s="88" t="s">
        <v>84</v>
      </c>
      <c r="D131" s="88" t="str">
        <f>IF(ISTEXT(C131),VLOOKUP(C131,'Cadastro dos Ativos'!$A$2:$C$1000,3,0),"")</f>
        <v>Ações Listadas na B3</v>
      </c>
      <c r="E131" s="88" t="s">
        <v>198</v>
      </c>
      <c r="F131" s="88" t="s">
        <v>199</v>
      </c>
      <c r="G131" s="46">
        <v>106.77</v>
      </c>
      <c r="H131" s="101" t="str">
        <f>if($D131="Ações Americanas", HLOOKUP("PTAX",'Histórico'!$A$1:$EL$983,(MATCH(B131,'Histórico'!A:A))-1,""),
if($D131="Ações Europeias", HLOOKUP("EUR/BRL",'Histórico'!$A$1:$EL$983,(MATCH(B131,'Histórico'!A:A))-1,""),""))</f>
        <v/>
      </c>
      <c r="I131" s="88" t="str">
        <f t="array" ref="I131">IF(ISTEXT(C131),xlookup(C131,'Cadastro dos Ativos'!$A$2:$A$1000,'Cadastro dos Ativos'!$D$2:$D$1000),"")</f>
        <v/>
      </c>
      <c r="J131" s="88">
        <v>142000.0</v>
      </c>
      <c r="K131" s="47">
        <f t="array" ref="K131">if(and(J131&lt;&gt;"",D131&lt;&gt;"Futuros"),
if(F131=Controle!$C$2, M131/xlookup(workday(B131,-1,Feriados!A:A),Controle!$B$10:$B$1000,Controle!$C$10:$C$1000),
if(F131=Controle!$F$2, M131/xlookup(workday(B131,-1,Feriados!A:A),Controle!$B$10:$B$1000,Controle!$F$10:$F$1000),
if(F131=Controle!$I$2, M131/xlookup(workday(B131,-1,Feriados!A:A),Controle!$B$10:$B$1000,Controle!$I$10:$I$1000),
if(F131=Controle!$L$2, M131/xlookup(workday(B131,-1,Feriados!A:A),Controle!$B$10:$B$1000,Controle!$L$10:$L$1000),
)))),
if(and(J131&lt;&gt;"",D131="Futuros"),
if(F131=Controle!$C$2, N131/xlookup(workday(B131,-1,Feriados!A:A),Controle!$B$10:$B$1000,Controle!$C$10:$C$1000),
if(F131=Controle!$F$2, N131/xlookup(workday(B131,-1,Feriados!A:A),Controle!$B$10:$B$1000,Controle!$F$10:$F$1000),
if(F131=Controle!$I$2, N131/xlookup(workday(B131,-1,Feriados!A:A),Controle!$B$10:$B$1000,Controle!$I$10:$I$1000),
if(F131=Controle!$L$2, N131/xlookup(workday(B131,-1,Feriados!A:A),Controle!$B$10:$B$1000,Controle!$L$10:$L$1000),
)))),""))</f>
        <v>0.1473549847</v>
      </c>
      <c r="L131" s="47">
        <f t="array" ref="L131">IF($J131&lt;&gt;"", IF($D131 = "Futuros" , $N131/xlookup(WORKDAY(B131,-1,Feriados!A:A),Controle!$B$10:$B$1000,Controle!$T$10:$T$1000) , $M131/xlookup(WORKDAY(B131,-1,Feriados!A:A),Controle!$B$10:$B$1000,Controle!$T$10:$T$1000)),"")</f>
        <v>0.03662282881</v>
      </c>
      <c r="M131" s="48">
        <f t="shared" si="4"/>
        <v>15161340</v>
      </c>
      <c r="N131" s="48" t="str">
        <f>IFERROR(IF(D131="Futuros",
IF(LEFT(C131,3)="DI1",G131*O131,
IF(LEFT(C131,3)="ISP",G131*O131*HLOOKUP("PTAX",'Histórico'!$A$1:$EL$983,MATCH(B131,'Histórico'!A:A),FALSE)*50,
IF(LEFT(C131,3)="WDO",10*G131*O131*HLOOKUP("PTAX",'Histórico'!$A$1:$EL$983,MATCH(B131,'Histórico'!A:A),FALSE),
IF(LEFT(C131,3)="DOL",50*G131*O131,
IF(LEFT(C131,3)="EUR",G131*O131*50,
IF(LEFT(C131,3)="WEU",G131*O131*10,
IF(LEFT(C131,3)="IND",G131*O131,
IF(LEFT(C131,3)="WIN",G131*O131*0.2,
IF(LEFT(C131,3)="T10",G131*O131*1000*HLOOKUP("PTAX",'Histórico'!$A$1:$EL$983,MATCH(B131,'Histórico'!A:A),FALSE),
IF(LEFT(C131,3)="CCM",G131*O131*450,
IF(LEFT(C131,3)="SJC",G131*O131*HLOOKUP("PTAX",'Histórico'!$A$1:$EL$983,MATCH(B131,'Histórico'!A:A),FALSE)*450,
IF(LEFT(C131,3)="BGI",G131*O131*330,
IF(LEFT(C131,3)="OZ1",G131*O131*250,
IF(LEFT(C131,3)="CLP",G131*O131*25,
IF(LEFT(C131,3)="EUP", O131*10000*HLOOKUP("EUR/BRL",'Histórico'!$A$1:$EL$983,MATCH(B131,'Histórico'!A:A),FALSE),
IF(LEFT(C131,3)="JSE", G131*O131*0.4,
IF(LEFT(C131,3)="GBP", O131*10000*HLOOKUP("GBP/BRL",'Histórico'!$A$1:$FG$983,MATCH(B131,'Histórico'!A:A),FALSE),
IF(LEFT(C131,3)="JAP",O131*10000*HLOOKUP("PTAX",'Histórico'!$A$1:$FG$983,MATCH(B131,'Histórico'!A:A),FALSE),
IF(LEFT(C131,3)="CNH",O131*10000*HLOOKUP("PTAX",'Histórico'!$A$1:$FG$983,MATCH(B131,'Histórico'!A:A),FALSE),
IF(LEFT(C131,3)="AUS",O131*10000*HLOOKUP("PTAX",'Histórico'!$A$1:$FG$983,MATCH(B131,'Histórico'!A:A),FALSE),
IF(LEFT(C131,3)="CAN",O131*10000*HLOOKUP("PTAX",'Histórico'!$A$1:$FG$983,MATCH(B131,'Histórico'!A:A),FALSE),
IF(LEFT(C131,3)="GBR",O131*10000*HLOOKUP("GBP/BRL",'Histórico'!$A$1:$FG$983,MATCH(B131,'Histórico'!A:A),FALSE),
IF(LEFT(C131,3)="MEX",O131*10000*HLOOKUP("PTAX",'Histórico'!$A$1:$FG$983,MATCH(B131,'Histórico'!A:A),FALSE),
IF(LEFT(C131,3)="CHL",O131*10000*HLOOKUP("PTAX",'Histórico'!$A$1:$FG$983,MATCH(B131,'Histórico'!A:A),FALSE)
)))))))))))))))))))))))),""))</f>
        <v/>
      </c>
      <c r="O131" s="49">
        <f t="shared" si="2"/>
        <v>-142000</v>
      </c>
      <c r="P131" s="49">
        <f t="shared" si="5"/>
        <v>-85000</v>
      </c>
      <c r="Q131" s="51">
        <f>IF($C131&lt;&gt;"",SUMIFS($O$3:$O$401, $C$3:$C$401 ,$C131,$B$3:$B$401,"&lt;="&amp;Controle!$B$6),"")</f>
        <v>-85000</v>
      </c>
      <c r="R131" s="51">
        <f>IF($D131&lt;&gt;"",SUMIFS($O$3:$O$401, $C$3:$C$401 ,$C131,$B$3:$B$401,"&lt;="&amp;Controle!$B$6,$F$3:$F$401,$F131),"")</f>
        <v>-85000</v>
      </c>
      <c r="S131" s="51">
        <f>IF($D131&lt;&gt;"",SUMIFS($O$3:$O$401, $C$3:$C$401 ,$C131,$B$3:$B$401,"&lt;="&amp;'Controle D-1'!$B$6,$F$3:$F$401,$F131),"")</f>
        <v>-85000</v>
      </c>
      <c r="T131" s="40"/>
      <c r="U131" s="40"/>
      <c r="V131" s="40"/>
      <c r="W131" s="40"/>
      <c r="X131" s="40"/>
      <c r="Y131" s="40"/>
      <c r="Z131" s="40"/>
      <c r="AA131" s="40"/>
      <c r="AB131" s="40"/>
      <c r="AC131" s="40"/>
    </row>
    <row r="132" ht="15.75" customHeight="1">
      <c r="A132" s="28"/>
      <c r="B132" s="100">
        <v>45078.0</v>
      </c>
      <c r="C132" s="88" t="s">
        <v>107</v>
      </c>
      <c r="D132" s="88" t="str">
        <f>IF(ISTEXT(C132),VLOOKUP(C132,'Cadastro dos Ativos'!$A$2:$C$1000,3,0),"")</f>
        <v>Ações Americanas</v>
      </c>
      <c r="E132" s="88" t="s">
        <v>208</v>
      </c>
      <c r="F132" s="88" t="s">
        <v>199</v>
      </c>
      <c r="G132" s="46">
        <v>22.75</v>
      </c>
      <c r="H132" s="101">
        <f>if($D132="Ações Americanas", HLOOKUP("PTAX",'Histórico'!$A$1:$EL$983,(MATCH(B132,'Histórico'!A:A))-1,""),
if($D132="Ações Europeias", HLOOKUP("EUR/BRL",'Histórico'!$A$1:$EL$983,(MATCH(B132,'Histórico'!A:A))-1,""),""))</f>
        <v>5.0593</v>
      </c>
      <c r="I132" s="88" t="str">
        <f t="array" ref="I132">IF(ISTEXT(C132),xlookup(C132,'Cadastro dos Ativos'!$A$2:$A$1000,'Cadastro dos Ativos'!$D$2:$D$1000),"")</f>
        <v/>
      </c>
      <c r="J132" s="88">
        <v>70740.0</v>
      </c>
      <c r="K132" s="47">
        <f t="array" ref="K132">if(and(J132&lt;&gt;"",D132&lt;&gt;"Futuros"),
if(F132=Controle!$C$2, M132/xlookup(workday(B132,-1,Feriados!A:A),Controle!$B$10:$B$1000,Controle!$C$10:$C$1000),
if(F132=Controle!$F$2, M132/xlookup(workday(B132,-1,Feriados!A:A),Controle!$B$10:$B$1000,Controle!$F$10:$F$1000),
if(F132=Controle!$I$2, M132/xlookup(workday(B132,-1,Feriados!A:A),Controle!$B$10:$B$1000,Controle!$I$10:$I$1000),
if(F132=Controle!$L$2, M132/xlookup(workday(B132,-1,Feriados!A:A),Controle!$B$10:$B$1000,Controle!$L$10:$L$1000),
)))),
if(and(J132&lt;&gt;"",D132="Futuros"),
if(F132=Controle!$C$2, N132/xlookup(workday(B132,-1,Feriados!A:A),Controle!$B$10:$B$1000,Controle!$C$10:$C$1000),
if(F132=Controle!$F$2, N132/xlookup(workday(B132,-1,Feriados!A:A),Controle!$B$10:$B$1000,Controle!$F$10:$F$1000),
if(F132=Controle!$I$2, N132/xlookup(workday(B132,-1,Feriados!A:A),Controle!$B$10:$B$1000,Controle!$I$10:$I$1000),
if(F132=Controle!$L$2, N132/xlookup(workday(B132,-1,Feriados!A:A),Controle!$B$10:$B$1000,Controle!$L$10:$L$1000),
)))),""))</f>
        <v>-0.07881841983</v>
      </c>
      <c r="L132" s="47">
        <f t="array" ref="L132">IF($J132&lt;&gt;"", IF($D132 = "Futuros" , $N132/xlookup(WORKDAY(B132,-1,Feriados!A:A),Controle!$B$10:$B$1000,Controle!$T$10:$T$1000) , $M132/xlookup(WORKDAY(B132,-1,Feriados!A:A),Controle!$B$10:$B$1000,Controle!$T$10:$T$1000)),"")</f>
        <v>-0.01965831835</v>
      </c>
      <c r="M132" s="48">
        <f t="shared" si="4"/>
        <v>-8142108.566</v>
      </c>
      <c r="N132" s="48" t="str">
        <f>IFERROR(IF(D132="Futuros",
IF(LEFT(C132,3)="DI1",G132*O132,
IF(LEFT(C132,3)="ISP",G132*O132*HLOOKUP("PTAX",'Histórico'!$A$1:$EL$983,MATCH(B132,'Histórico'!A:A),FALSE)*50,
IF(LEFT(C132,3)="WDO",10*G132*O132*HLOOKUP("PTAX",'Histórico'!$A$1:$EL$983,MATCH(B132,'Histórico'!A:A),FALSE),
IF(LEFT(C132,3)="DOL",50*G132*O132,
IF(LEFT(C132,3)="EUR",G132*O132*50,
IF(LEFT(C132,3)="WEU",G132*O132*10,
IF(LEFT(C132,3)="IND",G132*O132,
IF(LEFT(C132,3)="WIN",G132*O132*0.2,
IF(LEFT(C132,3)="T10",G132*O132*1000*HLOOKUP("PTAX",'Histórico'!$A$1:$EL$983,MATCH(B132,'Histórico'!A:A),FALSE),
IF(LEFT(C132,3)="CCM",G132*O132*450,
IF(LEFT(C132,3)="SJC",G132*O132*HLOOKUP("PTAX",'Histórico'!$A$1:$EL$983,MATCH(B132,'Histórico'!A:A),FALSE)*450,
IF(LEFT(C132,3)="BGI",G132*O132*330,
IF(LEFT(C132,3)="OZ1",G132*O132*250,
IF(LEFT(C132,3)="CLP",G132*O132*25,
IF(LEFT(C132,3)="EUP", O132*10000*HLOOKUP("EUR/BRL",'Histórico'!$A$1:$EL$983,MATCH(B132,'Histórico'!A:A),FALSE),
IF(LEFT(C132,3)="JSE", G132*O132*0.4,
IF(LEFT(C132,3)="GBP", O132*10000*HLOOKUP("GBP/BRL",'Histórico'!$A$1:$FG$983,MATCH(B132,'Histórico'!A:A),FALSE),
IF(LEFT(C132,3)="JAP",O132*10000*HLOOKUP("PTAX",'Histórico'!$A$1:$FG$983,MATCH(B132,'Histórico'!A:A),FALSE),
IF(LEFT(C132,3)="CNH",O132*10000*HLOOKUP("PTAX",'Histórico'!$A$1:$FG$983,MATCH(B132,'Histórico'!A:A),FALSE),
IF(LEFT(C132,3)="AUS",O132*10000*HLOOKUP("PTAX",'Histórico'!$A$1:$FG$983,MATCH(B132,'Histórico'!A:A),FALSE),
IF(LEFT(C132,3)="CAN",O132*10000*HLOOKUP("PTAX",'Histórico'!$A$1:$FG$983,MATCH(B132,'Histórico'!A:A),FALSE),
IF(LEFT(C132,3)="GBR",O132*10000*HLOOKUP("GBP/BRL",'Histórico'!$A$1:$FG$983,MATCH(B132,'Histórico'!A:A),FALSE),
IF(LEFT(C132,3)="MEX",O132*10000*HLOOKUP("PTAX",'Histórico'!$A$1:$FG$983,MATCH(B132,'Histórico'!A:A),FALSE),
IF(LEFT(C132,3)="CHL",O132*10000*HLOOKUP("PTAX",'Histórico'!$A$1:$FG$983,MATCH(B132,'Histórico'!A:A),FALSE)
)))))))))))))))))))))))),""))</f>
        <v/>
      </c>
      <c r="O132" s="49">
        <f t="shared" si="2"/>
        <v>70740</v>
      </c>
      <c r="P132" s="49">
        <f t="shared" si="5"/>
        <v>0</v>
      </c>
      <c r="Q132" s="51">
        <f>IF($C132&lt;&gt;"",SUMIFS($O$3:$O$401, $C$3:$C$401 ,$C132,$B$3:$B$401,"&lt;="&amp;Controle!$B$6),"")</f>
        <v>0</v>
      </c>
      <c r="R132" s="51">
        <f>IF($D132&lt;&gt;"",SUMIFS($O$3:$O$401, $C$3:$C$401 ,$C132,$B$3:$B$401,"&lt;="&amp;Controle!$B$6,$F$3:$F$401,$F132),"")</f>
        <v>0</v>
      </c>
      <c r="S132" s="51">
        <f>IF($D132&lt;&gt;"",SUMIFS($O$3:$O$401, $C$3:$C$401 ,$C132,$B$3:$B$401,"&lt;="&amp;'Controle D-1'!$B$6,$F$3:$F$401,$F132),"")</f>
        <v>0</v>
      </c>
      <c r="T132" s="40"/>
      <c r="U132" s="40"/>
      <c r="V132" s="40"/>
      <c r="W132" s="40"/>
      <c r="X132" s="40"/>
      <c r="Y132" s="40"/>
      <c r="Z132" s="40"/>
      <c r="AA132" s="40"/>
      <c r="AB132" s="40"/>
      <c r="AC132" s="40"/>
    </row>
    <row r="133" ht="15.75" customHeight="1">
      <c r="A133" s="28"/>
      <c r="B133" s="100">
        <v>45078.0</v>
      </c>
      <c r="C133" s="88" t="s">
        <v>90</v>
      </c>
      <c r="D133" s="88" t="str">
        <f>IF(ISTEXT(C133),VLOOKUP(C133,'Cadastro dos Ativos'!$A$2:$C$1000,3,0),"")</f>
        <v>Futuros</v>
      </c>
      <c r="E133" s="88" t="s">
        <v>198</v>
      </c>
      <c r="F133" s="88" t="s">
        <v>201</v>
      </c>
      <c r="G133" s="46">
        <v>139715.0</v>
      </c>
      <c r="H133" s="101" t="str">
        <f>if($D133="Ações Americanas", HLOOKUP("PTAX",'Histórico'!$A$1:$EL$983,(MATCH(B133,'Histórico'!A:A))-1,""),
if($D133="Ações Europeias", HLOOKUP("EUR/BRL",'Histórico'!$A$1:$EL$983,(MATCH(B133,'Histórico'!A:A))-1,""),""))</f>
        <v/>
      </c>
      <c r="I133" s="110">
        <f t="array" ref="I133">IF(ISTEXT(C133),xlookup(C133,'Cadastro dos Ativos'!$A$2:$A$1000,'Cadastro dos Ativos'!$D$2:$D$1000),"")</f>
        <v>45078</v>
      </c>
      <c r="J133" s="88">
        <v>1550.0</v>
      </c>
      <c r="K133" s="47">
        <f t="array" ref="K133">if(and(J133&lt;&gt;"",D133&lt;&gt;"Futuros"),
if(F133=Controle!$C$2, M133/xlookup(workday(B133,-1,Feriados!A:A),Controle!$B$10:$B$1000,Controle!$C$10:$C$1000),
if(F133=Controle!$F$2, M133/xlookup(workday(B133,-1,Feriados!A:A),Controle!$B$10:$B$1000,Controle!$F$10:$F$1000),
if(F133=Controle!$I$2, M133/xlookup(workday(B133,-1,Feriados!A:A),Controle!$B$10:$B$1000,Controle!$I$10:$I$1000),
if(F133=Controle!$L$2, M133/xlookup(workday(B133,-1,Feriados!A:A),Controle!$B$10:$B$1000,Controle!$L$10:$L$1000),
)))),
if(and(J133&lt;&gt;"",D133="Futuros"),
if(F133=Controle!$C$2, N133/xlookup(workday(B133,-1,Feriados!A:A),Controle!$B$10:$B$1000,Controle!$C$10:$C$1000),
if(F133=Controle!$F$2, N133/xlookup(workday(B133,-1,Feriados!A:A),Controle!$B$10:$B$1000,Controle!$F$10:$F$1000),
if(F133=Controle!$I$2, N133/xlookup(workday(B133,-1,Feriados!A:A),Controle!$B$10:$B$1000,Controle!$I$10:$I$1000),
if(F133=Controle!$L$2, N133/xlookup(workday(B133,-1,Feriados!A:A),Controle!$B$10:$B$1000,Controle!$L$10:$L$1000),
)))),""))</f>
        <v>-0.7466695819</v>
      </c>
      <c r="L133" s="47">
        <f t="array" ref="L133">IF($J133&lt;&gt;"", IF($D133 = "Futuros" , $N133/xlookup(WORKDAY(B133,-1,Feriados!A:A),Controle!$B$10:$B$1000,Controle!$T$10:$T$1000) , $M133/xlookup(WORKDAY(B133,-1,Feriados!A:A),Controle!$B$10:$B$1000,Controle!$T$10:$T$1000)),"")</f>
        <v>-0.1884259215</v>
      </c>
      <c r="M133" s="48">
        <f t="shared" si="4"/>
        <v>216558250</v>
      </c>
      <c r="N133" s="48">
        <f>IFERROR(IF(D133="Futuros",
IF(LEFT(C133,3)="DI1",G133*O133,
IF(LEFT(C133,3)="ISP",G133*O133*HLOOKUP("PTAX",'Histórico'!$A$1:$EL$983,MATCH(B133,'Histórico'!A:A),FALSE)*50,
IF(LEFT(C133,3)="WDO",10*G133*O133*HLOOKUP("PTAX",'Histórico'!$A$1:$EL$983,MATCH(B133,'Histórico'!A:A),FALSE),
IF(LEFT(C133,3)="DOL",50*G133*O133,
IF(LEFT(C133,3)="EUR",G133*O133*50,
IF(LEFT(C133,3)="WEU",G133*O133*10,
IF(LEFT(C133,3)="IND",G133*O133,
IF(LEFT(C133,3)="WIN",G133*O133*0.2,
IF(LEFT(C133,3)="T10",G133*O133*1000*HLOOKUP("PTAX",'Histórico'!$A$1:$EL$983,MATCH(B133,'Histórico'!A:A),FALSE),
IF(LEFT(C133,3)="CCM",G133*O133*450,
IF(LEFT(C133,3)="SJC",G133*O133*HLOOKUP("PTAX",'Histórico'!$A$1:$EL$983,MATCH(B133,'Histórico'!A:A),FALSE)*450,
IF(LEFT(C133,3)="BGI",G133*O133*330,
IF(LEFT(C133,3)="OZ1",G133*O133*250,
IF(LEFT(C133,3)="CLP",G133*O133*25,
IF(LEFT(C133,3)="EUP", O133*10000*HLOOKUP("EUR/BRL",'Histórico'!$A$1:$EL$983,MATCH(B133,'Histórico'!A:A),FALSE),
IF(LEFT(C133,3)="JSE", G133*O133*0.4,
IF(LEFT(C133,3)="GBP", O133*10000*HLOOKUP("GBP/BRL",'Histórico'!$A$1:$FG$983,MATCH(B133,'Histórico'!A:A),FALSE),
IF(LEFT(C133,3)="JAP",O133*10000*HLOOKUP("PTAX",'Histórico'!$A$1:$FG$983,MATCH(B133,'Histórico'!A:A),FALSE),
IF(LEFT(C133,3)="CNH",O133*10000*HLOOKUP("PTAX",'Histórico'!$A$1:$FG$983,MATCH(B133,'Histórico'!A:A),FALSE),
IF(LEFT(C133,3)="AUS",O133*10000*HLOOKUP("PTAX",'Histórico'!$A$1:$FG$983,MATCH(B133,'Histórico'!A:A),FALSE),
IF(LEFT(C133,3)="CAN",O133*10000*HLOOKUP("PTAX",'Histórico'!$A$1:$FG$983,MATCH(B133,'Histórico'!A:A),FALSE),
IF(LEFT(C133,3)="GBR",O133*10000*HLOOKUP("GBP/BRL",'Histórico'!$A$1:$FG$983,MATCH(B133,'Histórico'!A:A),FALSE),
IF(LEFT(C133,3)="MEX",O133*10000*HLOOKUP("PTAX",'Histórico'!$A$1:$FG$983,MATCH(B133,'Histórico'!A:A),FALSE),
IF(LEFT(C133,3)="CHL",O133*10000*HLOOKUP("PTAX",'Histórico'!$A$1:$FG$983,MATCH(B133,'Histórico'!A:A),FALSE)
)))))))))))))))))))))))),""))</f>
        <v>-78042500</v>
      </c>
      <c r="O133" s="49">
        <f t="shared" si="2"/>
        <v>-1550</v>
      </c>
      <c r="P133" s="49">
        <f t="shared" si="5"/>
        <v>0</v>
      </c>
      <c r="Q133" s="51">
        <f>IF($C133&lt;&gt;"",SUMIFS($O$3:$O$401, $C$3:$C$401 ,$C133,$B$3:$B$401,"&lt;="&amp;Controle!$B$6),"")</f>
        <v>0</v>
      </c>
      <c r="R133" s="51">
        <f>IF($D133&lt;&gt;"",SUMIFS($O$3:$O$401, $C$3:$C$401 ,$C133,$B$3:$B$401,"&lt;="&amp;Controle!$B$6,$F$3:$F$401,$F133),"")</f>
        <v>0</v>
      </c>
      <c r="S133" s="51">
        <f>IF($D133&lt;&gt;"",SUMIFS($O$3:$O$401, $C$3:$C$401 ,$C133,$B$3:$B$401,"&lt;="&amp;'Controle D-1'!$B$6,$F$3:$F$401,$F133),"")</f>
        <v>0</v>
      </c>
      <c r="T133" s="40"/>
      <c r="U133" s="40"/>
      <c r="V133" s="40"/>
      <c r="W133" s="40"/>
      <c r="X133" s="40"/>
      <c r="Y133" s="40"/>
      <c r="Z133" s="40"/>
      <c r="AA133" s="40"/>
      <c r="AB133" s="40"/>
      <c r="AC133" s="40"/>
    </row>
    <row r="134" ht="15.75" customHeight="1">
      <c r="A134" s="28"/>
      <c r="B134" s="100">
        <v>45078.0</v>
      </c>
      <c r="C134" s="88" t="s">
        <v>93</v>
      </c>
      <c r="D134" s="88" t="str">
        <f>IF(ISTEXT(C134),VLOOKUP(C134,'Cadastro dos Ativos'!$A$2:$C$1000,3,0),"")</f>
        <v>Futuros</v>
      </c>
      <c r="E134" s="88" t="s">
        <v>208</v>
      </c>
      <c r="F134" s="88" t="s">
        <v>200</v>
      </c>
      <c r="G134" s="46">
        <v>17758.25</v>
      </c>
      <c r="H134" s="101" t="str">
        <f>if($D134="Ações Americanas", HLOOKUP("PTAX",'Histórico'!$A$1:$EL$983,(MATCH(B134,'Histórico'!A:A))-1,""),
if($D134="Ações Europeias", HLOOKUP("EUR/BRL",'Histórico'!$A$1:$EL$983,(MATCH(B134,'Histórico'!A:A))-1,""),""))</f>
        <v/>
      </c>
      <c r="I134" s="102">
        <f t="array" ref="I134">IF(ISTEXT(C134),xlookup(C134,'Cadastro dos Ativos'!$A$2:$A$1000,'Cadastro dos Ativos'!$D$2:$D$1000),"")</f>
        <v>45078</v>
      </c>
      <c r="J134" s="88">
        <v>980.0</v>
      </c>
      <c r="K134" s="47">
        <f t="array" ref="K134">if(and(J134&lt;&gt;"",D134&lt;&gt;"Futuros"),
if(F134=Controle!$C$2, M134/xlookup(workday(B134,-1,Feriados!A:A),Controle!$B$10:$B$1000,Controle!$C$10:$C$1000),
if(F134=Controle!$F$2, M134/xlookup(workday(B134,-1,Feriados!A:A),Controle!$B$10:$B$1000,Controle!$F$10:$F$1000),
if(F134=Controle!$I$2, M134/xlookup(workday(B134,-1,Feriados!A:A),Controle!$B$10:$B$1000,Controle!$I$10:$I$1000),
if(F134=Controle!$L$2, M134/xlookup(workday(B134,-1,Feriados!A:A),Controle!$B$10:$B$1000,Controle!$L$10:$L$1000),
)))),
if(and(J134&lt;&gt;"",D134="Futuros"),
if(F134=Controle!$C$2, N134/xlookup(workday(B134,-1,Feriados!A:A),Controle!$B$10:$B$1000,Controle!$C$10:$C$1000),
if(F134=Controle!$F$2, N134/xlookup(workday(B134,-1,Feriados!A:A),Controle!$B$10:$B$1000,Controle!$F$10:$F$1000),
if(F134=Controle!$I$2, N134/xlookup(workday(B134,-1,Feriados!A:A),Controle!$B$10:$B$1000,Controle!$I$10:$I$1000),
if(F134=Controle!$L$2, N134/xlookup(workday(B134,-1,Feriados!A:A),Controle!$B$10:$B$1000,Controle!$L$10:$L$1000),
)))),""))</f>
        <v>0.4763571364</v>
      </c>
      <c r="L134" s="47">
        <f t="array" ref="L134">IF($J134&lt;&gt;"", IF($D134 = "Futuros" , $N134/xlookup(WORKDAY(B134,-1,Feriados!A:A),Controle!$B$10:$B$1000,Controle!$T$10:$T$1000) , $M134/xlookup(WORKDAY(B134,-1,Feriados!A:A),Controle!$B$10:$B$1000,Controle!$T$10:$T$1000)),"")</f>
        <v>0.1191338084</v>
      </c>
      <c r="M134" s="48">
        <f t="shared" si="4"/>
        <v>-17403085</v>
      </c>
      <c r="N134" s="48">
        <f>IFERROR(IF(D134="Futuros",
IF(LEFT(C134,3)="DI1",G134*O134,
IF(LEFT(C134,3)="ISP",G134*O134*HLOOKUP("PTAX",'Histórico'!$A$1:$EL$983,MATCH(B134,'Histórico'!A:A),FALSE)*50,
IF(LEFT(C134,3)="WDO",10*G134*O134*HLOOKUP("PTAX",'Histórico'!$A$1:$EL$983,MATCH(B134,'Histórico'!A:A),FALSE),
IF(LEFT(C134,3)="DOL",50*G134*O134,
IF(LEFT(C134,3)="EUR",G134*O134*50,
IF(LEFT(C134,3)="WEU",G134*O134*10,
IF(LEFT(C134,3)="IND",G134*O134,
IF(LEFT(C134,3)="WIN",G134*O134*0.2,
IF(LEFT(C134,3)="T10",G134*O134*1000*HLOOKUP("PTAX",'Histórico'!$A$1:$EL$983,MATCH(B134,'Histórico'!A:A),FALSE),
IF(LEFT(C134,3)="CCM",G134*O134*450,
IF(LEFT(C134,3)="SJC",G134*O134*HLOOKUP("PTAX",'Histórico'!$A$1:$EL$983,MATCH(B134,'Histórico'!A:A),FALSE)*450,
IF(LEFT(C134,3)="BGI",G134*O134*330,
IF(LEFT(C134,3)="OZ1",G134*O134*250,
IF(LEFT(C134,3)="CLP",G134*O134*25,
IF(LEFT(C134,3)="EUP", O134*10000*HLOOKUP("EUR/BRL",'Histórico'!$A$1:$EL$983,MATCH(B134,'Histórico'!A:A),FALSE),
IF(LEFT(C134,3)="JSE", G134*O134*0.4,
IF(LEFT(C134,3)="GBP", O134*10000*HLOOKUP("GBP/BRL",'Histórico'!$A$1:$FG$983,MATCH(B134,'Histórico'!A:A),FALSE),
IF(LEFT(C134,3)="JAP",O134*10000*HLOOKUP("PTAX",'Histórico'!$A$1:$FG$983,MATCH(B134,'Histórico'!A:A),FALSE),
IF(LEFT(C134,3)="CNH",O134*10000*HLOOKUP("PTAX",'Histórico'!$A$1:$FG$983,MATCH(B134,'Histórico'!A:A),FALSE),
IF(LEFT(C134,3)="AUS",O134*10000*HLOOKUP("PTAX",'Histórico'!$A$1:$FG$983,MATCH(B134,'Histórico'!A:A),FALSE),
IF(LEFT(C134,3)="CAN",O134*10000*HLOOKUP("PTAX",'Histórico'!$A$1:$FG$983,MATCH(B134,'Histórico'!A:A),FALSE),
IF(LEFT(C134,3)="GBR",O134*10000*HLOOKUP("GBP/BRL",'Histórico'!$A$1:$FG$983,MATCH(B134,'Histórico'!A:A),FALSE),
IF(LEFT(C134,3)="MEX",O134*10000*HLOOKUP("PTAX",'Histórico'!$A$1:$FG$983,MATCH(B134,'Histórico'!A:A),FALSE),
IF(LEFT(C134,3)="CHL",O134*10000*HLOOKUP("PTAX",'Histórico'!$A$1:$FG$983,MATCH(B134,'Histórico'!A:A),FALSE)
)))))))))))))))))))))))),""))</f>
        <v>49343000</v>
      </c>
      <c r="O134" s="49">
        <f t="shared" si="2"/>
        <v>980</v>
      </c>
      <c r="P134" s="49">
        <f t="shared" si="5"/>
        <v>0</v>
      </c>
      <c r="Q134" s="51">
        <f>IF($C134&lt;&gt;"",SUMIFS($O$3:$O$401, $C$3:$C$401 ,$C134,$B$3:$B$401,"&lt;="&amp;Controle!$B$6),"")</f>
        <v>0</v>
      </c>
      <c r="R134" s="51">
        <f>IF($D134&lt;&gt;"",SUMIFS($O$3:$O$401, $C$3:$C$401 ,$C134,$B$3:$B$401,"&lt;="&amp;Controle!$B$6,$F$3:$F$401,$F134),"")</f>
        <v>0</v>
      </c>
      <c r="S134" s="51">
        <f>IF($D134&lt;&gt;"",SUMIFS($O$3:$O$401, $C$3:$C$401 ,$C134,$B$3:$B$401,"&lt;="&amp;'Controle D-1'!$B$6,$F$3:$F$401,$F134),"")</f>
        <v>0</v>
      </c>
      <c r="T134" s="40"/>
      <c r="U134" s="40"/>
      <c r="V134" s="40"/>
      <c r="W134" s="40"/>
      <c r="X134" s="40"/>
      <c r="Y134" s="40"/>
      <c r="Z134" s="40"/>
      <c r="AA134" s="40"/>
      <c r="AB134" s="40"/>
      <c r="AC134" s="40"/>
    </row>
    <row r="135" ht="15.75" customHeight="1">
      <c r="A135" s="28"/>
      <c r="B135" s="100">
        <v>45078.0</v>
      </c>
      <c r="C135" s="88" t="s">
        <v>117</v>
      </c>
      <c r="D135" s="88" t="str">
        <f>IF(ISTEXT(C135),VLOOKUP(C135,'Cadastro dos Ativos'!$A$2:$C$1000,3,0),"")</f>
        <v>Futuros</v>
      </c>
      <c r="E135" s="88" t="s">
        <v>208</v>
      </c>
      <c r="F135" s="88" t="s">
        <v>201</v>
      </c>
      <c r="G135" s="46">
        <v>138195.7</v>
      </c>
      <c r="H135" s="101" t="str">
        <f>if($D135="Ações Americanas", HLOOKUP("PTAX",'Histórico'!$A$1:$EL$983,(MATCH(B135,'Histórico'!A:A))-1,""),
if($D135="Ações Europeias", HLOOKUP("EUR/BRL",'Histórico'!$A$1:$EL$983,(MATCH(B135,'Histórico'!A:A))-1,""),""))</f>
        <v/>
      </c>
      <c r="I135" s="110">
        <f t="array" ref="I135">IF(ISTEXT(C135),xlookup(C135,'Cadastro dos Ativos'!$A$2:$A$1000,'Cadastro dos Ativos'!$D$2:$D$1000),"")</f>
        <v>45110</v>
      </c>
      <c r="J135" s="88">
        <v>1550.0</v>
      </c>
      <c r="K135" s="47">
        <f t="array" ref="K135">if(and(J135&lt;&gt;"",D135&lt;&gt;"Futuros"),
if(F135=Controle!$C$2, M135/xlookup(workday(B135,-1,Feriados!A:A),Controle!$B$10:$B$1000,Controle!$C$10:$C$1000),
if(F135=Controle!$F$2, M135/xlookup(workday(B135,-1,Feriados!A:A),Controle!$B$10:$B$1000,Controle!$F$10:$F$1000),
if(F135=Controle!$I$2, M135/xlookup(workday(B135,-1,Feriados!A:A),Controle!$B$10:$B$1000,Controle!$I$10:$I$1000),
if(F135=Controle!$L$2, M135/xlookup(workday(B135,-1,Feriados!A:A),Controle!$B$10:$B$1000,Controle!$L$10:$L$1000),
)))),
if(and(J135&lt;&gt;"",D135="Futuros"),
if(F135=Controle!$C$2, N135/xlookup(workday(B135,-1,Feriados!A:A),Controle!$B$10:$B$1000,Controle!$C$10:$C$1000),
if(F135=Controle!$F$2, N135/xlookup(workday(B135,-1,Feriados!A:A),Controle!$B$10:$B$1000,Controle!$F$10:$F$1000),
if(F135=Controle!$I$2, N135/xlookup(workday(B135,-1,Feriados!A:A),Controle!$B$10:$B$1000,Controle!$I$10:$I$1000),
if(F135=Controle!$L$2, N135/xlookup(workday(B135,-1,Feriados!A:A),Controle!$B$10:$B$1000,Controle!$L$10:$L$1000),
)))),""))</f>
        <v>0.7466695819</v>
      </c>
      <c r="L135" s="47">
        <f t="array" ref="L135">IF($J135&lt;&gt;"", IF($D135 = "Futuros" , $N135/xlookup(WORKDAY(B135,-1,Feriados!A:A),Controle!$B$10:$B$1000,Controle!$T$10:$T$1000) , $M135/xlookup(WORKDAY(B135,-1,Feriados!A:A),Controle!$B$10:$B$1000,Controle!$T$10:$T$1000)),"")</f>
        <v>0.1884259215</v>
      </c>
      <c r="M135" s="48">
        <f t="shared" si="4"/>
        <v>-214203335</v>
      </c>
      <c r="N135" s="48">
        <f>IFERROR(IF(D135="Futuros",
IF(LEFT(C135,3)="DI1",G135*O135,
IF(LEFT(C135,3)="ISP",G135*O135*HLOOKUP("PTAX",'Histórico'!$A$1:$EL$983,MATCH(B135,'Histórico'!A:A),FALSE)*50,
IF(LEFT(C135,3)="WDO",10*G135*O135*HLOOKUP("PTAX",'Histórico'!$A$1:$EL$983,MATCH(B135,'Histórico'!A:A),FALSE),
IF(LEFT(C135,3)="DOL",50*G135*O135,
IF(LEFT(C135,3)="EUR",G135*O135*50,
IF(LEFT(C135,3)="WEU",G135*O135*10,
IF(LEFT(C135,3)="IND",G135*O135,
IF(LEFT(C135,3)="WIN",G135*O135*0.2,
IF(LEFT(C135,3)="T10",G135*O135*1000*HLOOKUP("PTAX",'Histórico'!$A$1:$EL$983,MATCH(B135,'Histórico'!A:A),FALSE),
IF(LEFT(C135,3)="CCM",G135*O135*450,
IF(LEFT(C135,3)="SJC",G135*O135*HLOOKUP("PTAX",'Histórico'!$A$1:$EL$983,MATCH(B135,'Histórico'!A:A),FALSE)*450,
IF(LEFT(C135,3)="BGI",G135*O135*330,
IF(LEFT(C135,3)="OZ1",G135*O135*250,
IF(LEFT(C135,3)="CLP",G135*O135*25,
IF(LEFT(C135,3)="EUP", O135*10000*HLOOKUP("EUR/BRL",'Histórico'!$A$1:$EL$983,MATCH(B135,'Histórico'!A:A),FALSE),
IF(LEFT(C135,3)="JSE", G135*O135*0.4,
IF(LEFT(C135,3)="GBP", O135*10000*HLOOKUP("GBP/BRL",'Histórico'!$A$1:$FG$983,MATCH(B135,'Histórico'!A:A),FALSE),
IF(LEFT(C135,3)="JAP",O135*10000*HLOOKUP("PTAX",'Histórico'!$A$1:$FG$983,MATCH(B135,'Histórico'!A:A),FALSE),
IF(LEFT(C135,3)="CNH",O135*10000*HLOOKUP("PTAX",'Histórico'!$A$1:$FG$983,MATCH(B135,'Histórico'!A:A),FALSE),
IF(LEFT(C135,3)="AUS",O135*10000*HLOOKUP("PTAX",'Histórico'!$A$1:$FG$983,MATCH(B135,'Histórico'!A:A),FALSE),
IF(LEFT(C135,3)="CAN",O135*10000*HLOOKUP("PTAX",'Histórico'!$A$1:$FG$983,MATCH(B135,'Histórico'!A:A),FALSE),
IF(LEFT(C135,3)="GBR",O135*10000*HLOOKUP("GBP/BRL",'Histórico'!$A$1:$FG$983,MATCH(B135,'Histórico'!A:A),FALSE),
IF(LEFT(C135,3)="MEX",O135*10000*HLOOKUP("PTAX",'Histórico'!$A$1:$FG$983,MATCH(B135,'Histórico'!A:A),FALSE),
IF(LEFT(C135,3)="CHL",O135*10000*HLOOKUP("PTAX",'Histórico'!$A$1:$FG$983,MATCH(B135,'Histórico'!A:A),FALSE)
)))))))))))))))))))))))),""))</f>
        <v>78042500</v>
      </c>
      <c r="O135" s="49">
        <f t="shared" si="2"/>
        <v>1550</v>
      </c>
      <c r="P135" s="49">
        <f t="shared" si="5"/>
        <v>0</v>
      </c>
      <c r="Q135" s="51">
        <f>IF($C135&lt;&gt;"",SUMIFS($O$3:$O$401, $C$3:$C$401 ,$C135,$B$3:$B$401,"&lt;="&amp;Controle!$B$6),"")</f>
        <v>0</v>
      </c>
      <c r="R135" s="51">
        <f>IF($D135&lt;&gt;"",SUMIFS($O$3:$O$401, $C$3:$C$401 ,$C135,$B$3:$B$401,"&lt;="&amp;Controle!$B$6,$F$3:$F$401,$F135),"")</f>
        <v>0</v>
      </c>
      <c r="S135" s="51">
        <f>IF($D135&lt;&gt;"",SUMIFS($O$3:$O$401, $C$3:$C$401 ,$C135,$B$3:$B$401,"&lt;="&amp;'Controle D-1'!$B$6,$F$3:$F$401,$F135),"")</f>
        <v>0</v>
      </c>
      <c r="T135" s="40"/>
      <c r="U135" s="40"/>
      <c r="V135" s="40"/>
      <c r="W135" s="40"/>
      <c r="X135" s="40"/>
      <c r="Y135" s="40"/>
      <c r="Z135" s="40"/>
      <c r="AA135" s="40"/>
      <c r="AB135" s="40"/>
      <c r="AC135" s="40"/>
    </row>
    <row r="136" ht="15.75" customHeight="1">
      <c r="A136" s="28"/>
      <c r="B136" s="100">
        <v>45078.0</v>
      </c>
      <c r="C136" s="88" t="s">
        <v>118</v>
      </c>
      <c r="D136" s="88" t="str">
        <f>IF(ISTEXT(C136),VLOOKUP(C136,'Cadastro dos Ativos'!$A$2:$C$1000,3,0),"")</f>
        <v>Futuros</v>
      </c>
      <c r="E136" s="88" t="s">
        <v>198</v>
      </c>
      <c r="F136" s="88" t="s">
        <v>200</v>
      </c>
      <c r="G136" s="46">
        <v>17669.4</v>
      </c>
      <c r="H136" s="101" t="str">
        <f>if($D136="Ações Americanas", HLOOKUP("PTAX",'Histórico'!$A$1:$EL$983,(MATCH(B136,'Histórico'!A:A))-1,""),
if($D136="Ações Europeias", HLOOKUP("EUR/BRL",'Histórico'!$A$1:$EL$983,(MATCH(B136,'Histórico'!A:A))-1,""),""))</f>
        <v/>
      </c>
      <c r="I136" s="110">
        <f t="array" ref="I136">IF(ISTEXT(C136),xlookup(C136,'Cadastro dos Ativos'!$A$2:$A$1000,'Cadastro dos Ativos'!$D$2:$D$1000),"")</f>
        <v>45110</v>
      </c>
      <c r="J136" s="88">
        <v>980.0</v>
      </c>
      <c r="K136" s="47">
        <f t="array" ref="K136">if(and(J136&lt;&gt;"",D136&lt;&gt;"Futuros"),
if(F136=Controle!$C$2, M136/xlookup(workday(B136,-1,Feriados!A:A),Controle!$B$10:$B$1000,Controle!$C$10:$C$1000),
if(F136=Controle!$F$2, M136/xlookup(workday(B136,-1,Feriados!A:A),Controle!$B$10:$B$1000,Controle!$F$10:$F$1000),
if(F136=Controle!$I$2, M136/xlookup(workday(B136,-1,Feriados!A:A),Controle!$B$10:$B$1000,Controle!$I$10:$I$1000),
if(F136=Controle!$L$2, M136/xlookup(workday(B136,-1,Feriados!A:A),Controle!$B$10:$B$1000,Controle!$L$10:$L$1000),
)))),
if(and(J136&lt;&gt;"",D136="Futuros"),
if(F136=Controle!$C$2, N136/xlookup(workday(B136,-1,Feriados!A:A),Controle!$B$10:$B$1000,Controle!$C$10:$C$1000),
if(F136=Controle!$F$2, N136/xlookup(workday(B136,-1,Feriados!A:A),Controle!$B$10:$B$1000,Controle!$F$10:$F$1000),
if(F136=Controle!$I$2, N136/xlookup(workday(B136,-1,Feriados!A:A),Controle!$B$10:$B$1000,Controle!$I$10:$I$1000),
if(F136=Controle!$L$2, N136/xlookup(workday(B136,-1,Feriados!A:A),Controle!$B$10:$B$1000,Controle!$L$10:$L$1000),
)))),""))</f>
        <v>-0.4763571364</v>
      </c>
      <c r="L136" s="47">
        <f t="array" ref="L136">IF($J136&lt;&gt;"", IF($D136 = "Futuros" , $N136/xlookup(WORKDAY(B136,-1,Feriados!A:A),Controle!$B$10:$B$1000,Controle!$T$10:$T$1000) , $M136/xlookup(WORKDAY(B136,-1,Feriados!A:A),Controle!$B$10:$B$1000,Controle!$T$10:$T$1000)),"")</f>
        <v>-0.1191338084</v>
      </c>
      <c r="M136" s="48">
        <f t="shared" si="4"/>
        <v>17316012</v>
      </c>
      <c r="N136" s="48">
        <f>IFERROR(IF(D136="Futuros",
IF(LEFT(C136,3)="DI1",G136*O136,
IF(LEFT(C136,3)="ISP",G136*O136*HLOOKUP("PTAX",'Histórico'!$A$1:$EL$983,MATCH(B136,'Histórico'!A:A),FALSE)*50,
IF(LEFT(C136,3)="WDO",10*G136*O136*HLOOKUP("PTAX",'Histórico'!$A$1:$EL$983,MATCH(B136,'Histórico'!A:A),FALSE),
IF(LEFT(C136,3)="DOL",50*G136*O136,
IF(LEFT(C136,3)="EUR",G136*O136*50,
IF(LEFT(C136,3)="WEU",G136*O136*10,
IF(LEFT(C136,3)="IND",G136*O136,
IF(LEFT(C136,3)="WIN",G136*O136*0.2,
IF(LEFT(C136,3)="T10",G136*O136*1000*HLOOKUP("PTAX",'Histórico'!$A$1:$EL$983,MATCH(B136,'Histórico'!A:A),FALSE),
IF(LEFT(C136,3)="CCM",G136*O136*450,
IF(LEFT(C136,3)="SJC",G136*O136*HLOOKUP("PTAX",'Histórico'!$A$1:$EL$983,MATCH(B136,'Histórico'!A:A),FALSE)*450,
IF(LEFT(C136,3)="BGI",G136*O136*330,
IF(LEFT(C136,3)="OZ1",G136*O136*250,
IF(LEFT(C136,3)="CLP",G136*O136*25,
IF(LEFT(C136,3)="EUP", O136*10000*HLOOKUP("EUR/BRL",'Histórico'!$A$1:$EL$983,MATCH(B136,'Histórico'!A:A),FALSE),
IF(LEFT(C136,3)="JSE", G136*O136*0.4,
IF(LEFT(C136,3)="GBP", O136*10000*HLOOKUP("GBP/BRL",'Histórico'!$A$1:$FG$983,MATCH(B136,'Histórico'!A:A),FALSE),
IF(LEFT(C136,3)="JAP",O136*10000*HLOOKUP("PTAX",'Histórico'!$A$1:$FG$983,MATCH(B136,'Histórico'!A:A),FALSE),
IF(LEFT(C136,3)="CNH",O136*10000*HLOOKUP("PTAX",'Histórico'!$A$1:$FG$983,MATCH(B136,'Histórico'!A:A),FALSE),
IF(LEFT(C136,3)="AUS",O136*10000*HLOOKUP("PTAX",'Histórico'!$A$1:$FG$983,MATCH(B136,'Histórico'!A:A),FALSE),
IF(LEFT(C136,3)="CAN",O136*10000*HLOOKUP("PTAX",'Histórico'!$A$1:$FG$983,MATCH(B136,'Histórico'!A:A),FALSE),
IF(LEFT(C136,3)="GBR",O136*10000*HLOOKUP("GBP/BRL",'Histórico'!$A$1:$FG$983,MATCH(B136,'Histórico'!A:A),FALSE),
IF(LEFT(C136,3)="MEX",O136*10000*HLOOKUP("PTAX",'Histórico'!$A$1:$FG$983,MATCH(B136,'Histórico'!A:A),FALSE),
IF(LEFT(C136,3)="CHL",O136*10000*HLOOKUP("PTAX",'Histórico'!$A$1:$FG$983,MATCH(B136,'Histórico'!A:A),FALSE)
)))))))))))))))))))))))),""))</f>
        <v>-49343000</v>
      </c>
      <c r="O136" s="49">
        <f t="shared" si="2"/>
        <v>-980</v>
      </c>
      <c r="P136" s="49">
        <f t="shared" si="5"/>
        <v>0</v>
      </c>
      <c r="Q136" s="51">
        <f>IF($C136&lt;&gt;"",SUMIFS($O$3:$O$401, $C$3:$C$401 ,$C136,$B$3:$B$401,"&lt;="&amp;Controle!$B$6),"")</f>
        <v>0</v>
      </c>
      <c r="R136" s="51">
        <f>IF($D136&lt;&gt;"",SUMIFS($O$3:$O$401, $C$3:$C$401 ,$C136,$B$3:$B$401,"&lt;="&amp;Controle!$B$6,$F$3:$F$401,$F136),"")</f>
        <v>0</v>
      </c>
      <c r="S136" s="51">
        <f>IF($D136&lt;&gt;"",SUMIFS($O$3:$O$401, $C$3:$C$401 ,$C136,$B$3:$B$401,"&lt;="&amp;'Controle D-1'!$B$6,$F$3:$F$401,$F136),"")</f>
        <v>0</v>
      </c>
      <c r="T136" s="40"/>
      <c r="U136" s="40"/>
      <c r="V136" s="40"/>
      <c r="W136" s="40"/>
      <c r="X136" s="40"/>
      <c r="Y136" s="40"/>
      <c r="Z136" s="40"/>
      <c r="AA136" s="40"/>
      <c r="AB136" s="40"/>
      <c r="AC136" s="40"/>
    </row>
    <row r="137" ht="15.75" customHeight="1">
      <c r="A137" s="28"/>
      <c r="B137" s="100">
        <v>45079.0</v>
      </c>
      <c r="C137" s="88" t="s">
        <v>7</v>
      </c>
      <c r="D137" s="88" t="str">
        <f>IF(ISTEXT(C137),VLOOKUP(C137,'Cadastro dos Ativos'!$A$2:$C$1000,3,0),"")</f>
        <v>Ações Americanas</v>
      </c>
      <c r="E137" s="88" t="s">
        <v>208</v>
      </c>
      <c r="F137" s="88" t="s">
        <v>199</v>
      </c>
      <c r="G137" s="46">
        <v>424.97</v>
      </c>
      <c r="H137" s="101">
        <f>if($D137="Ações Americanas", HLOOKUP("PTAX",'Histórico'!$A$1:$EL$983,(MATCH(B137,'Histórico'!A:A))-1,""),
if($D137="Ações Europeias", HLOOKUP("EUR/BRL",'Histórico'!$A$1:$EL$983,(MATCH(B137,'Histórico'!A:A))-1,""),""))</f>
        <v>5.035</v>
      </c>
      <c r="I137" s="88" t="str">
        <f t="array" ref="I137">IF(ISTEXT(C137),xlookup(C137,'Cadastro dos Ativos'!$A$2:$A$1000,'Cadastro dos Ativos'!$D$2:$D$1000),"")</f>
        <v/>
      </c>
      <c r="J137" s="88">
        <v>7500.0</v>
      </c>
      <c r="K137" s="47">
        <f t="array" ref="K137">if(and(J137&lt;&gt;"",D137&lt;&gt;"Futuros"),
if(F137=Controle!$C$2, M137/xlookup(workday(B137,-1,Feriados!A:A),Controle!$B$10:$B$1000,Controle!$C$10:$C$1000),
if(F137=Controle!$F$2, M137/xlookup(workday(B137,-1,Feriados!A:A),Controle!$B$10:$B$1000,Controle!$F$10:$F$1000),
if(F137=Controle!$I$2, M137/xlookup(workday(B137,-1,Feriados!A:A),Controle!$B$10:$B$1000,Controle!$I$10:$I$1000),
if(F137=Controle!$L$2, M137/xlookup(workday(B137,-1,Feriados!A:A),Controle!$B$10:$B$1000,Controle!$L$10:$L$1000),
)))),
if(and(J137&lt;&gt;"",D137="Futuros"),
if(F137=Controle!$C$2, N137/xlookup(workday(B137,-1,Feriados!A:A),Controle!$B$10:$B$1000,Controle!$C$10:$C$1000),
if(F137=Controle!$F$2, N137/xlookup(workday(B137,-1,Feriados!A:A),Controle!$B$10:$B$1000,Controle!$F$10:$F$1000),
if(F137=Controle!$I$2, N137/xlookup(workday(B137,-1,Feriados!A:A),Controle!$B$10:$B$1000,Controle!$I$10:$I$1000),
if(F137=Controle!$L$2, N137/xlookup(workday(B137,-1,Feriados!A:A),Controle!$B$10:$B$1000,Controle!$L$10:$L$1000),
)))),""))</f>
        <v>-0.1558494426</v>
      </c>
      <c r="L137" s="47">
        <f t="array" ref="L137">IF($J137&lt;&gt;"", IF($D137 = "Futuros" , $N137/xlookup(WORKDAY(B137,-1,Feriados!A:A),Controle!$B$10:$B$1000,Controle!$T$10:$T$1000) , $M137/xlookup(WORKDAY(B137,-1,Feriados!A:A),Controle!$B$10:$B$1000,Controle!$T$10:$T$1000)),"")</f>
        <v>-0.03870151458</v>
      </c>
      <c r="M137" s="48">
        <f t="shared" si="4"/>
        <v>-16047929.63</v>
      </c>
      <c r="N137" s="48" t="str">
        <f>IFERROR(IF(D137="Futuros",
IF(LEFT(C137,3)="DI1",G137*O137,
IF(LEFT(C137,3)="ISP",G137*O137*HLOOKUP("PTAX",'Histórico'!$A$1:$EL$983,MATCH(B137,'Histórico'!A:A),FALSE)*50,
IF(LEFT(C137,3)="WDO",10*G137*O137*HLOOKUP("PTAX",'Histórico'!$A$1:$EL$983,MATCH(B137,'Histórico'!A:A),FALSE),
IF(LEFT(C137,3)="DOL",50*G137*O137,
IF(LEFT(C137,3)="EUR",G137*O137*50,
IF(LEFT(C137,3)="WEU",G137*O137*10,
IF(LEFT(C137,3)="IND",G137*O137,
IF(LEFT(C137,3)="WIN",G137*O137*0.2,
IF(LEFT(C137,3)="T10",G137*O137*1000*HLOOKUP("PTAX",'Histórico'!$A$1:$EL$983,MATCH(B137,'Histórico'!A:A),FALSE),
IF(LEFT(C137,3)="CCM",G137*O137*450,
IF(LEFT(C137,3)="SJC",G137*O137*HLOOKUP("PTAX",'Histórico'!$A$1:$EL$983,MATCH(B137,'Histórico'!A:A),FALSE)*450,
IF(LEFT(C137,3)="BGI",G137*O137*330,
IF(LEFT(C137,3)="OZ1",G137*O137*250,
IF(LEFT(C137,3)="CLP",G137*O137*25,
IF(LEFT(C137,3)="EUP", O137*10000*HLOOKUP("EUR/BRL",'Histórico'!$A$1:$EL$983,MATCH(B137,'Histórico'!A:A),FALSE),
IF(LEFT(C137,3)="JSE", G137*O137*0.4,
IF(LEFT(C137,3)="GBP", O137*10000*HLOOKUP("GBP/BRL",'Histórico'!$A$1:$FG$983,MATCH(B137,'Histórico'!A:A),FALSE),
IF(LEFT(C137,3)="JAP",O137*10000*HLOOKUP("PTAX",'Histórico'!$A$1:$FG$983,MATCH(B137,'Histórico'!A:A),FALSE),
IF(LEFT(C137,3)="CNH",O137*10000*HLOOKUP("PTAX",'Histórico'!$A$1:$FG$983,MATCH(B137,'Histórico'!A:A),FALSE),
IF(LEFT(C137,3)="AUS",O137*10000*HLOOKUP("PTAX",'Histórico'!$A$1:$FG$983,MATCH(B137,'Histórico'!A:A),FALSE),
IF(LEFT(C137,3)="CAN",O137*10000*HLOOKUP("PTAX",'Histórico'!$A$1:$FG$983,MATCH(B137,'Histórico'!A:A),FALSE),
IF(LEFT(C137,3)="GBR",O137*10000*HLOOKUP("GBP/BRL",'Histórico'!$A$1:$FG$983,MATCH(B137,'Histórico'!A:A),FALSE),
IF(LEFT(C137,3)="MEX",O137*10000*HLOOKUP("PTAX",'Histórico'!$A$1:$FG$983,MATCH(B137,'Histórico'!A:A),FALSE),
IF(LEFT(C137,3)="CHL",O137*10000*HLOOKUP("PTAX",'Histórico'!$A$1:$FG$983,MATCH(B137,'Histórico'!A:A),FALSE)
)))))))))))))))))))))))),""))</f>
        <v/>
      </c>
      <c r="O137" s="49">
        <f t="shared" si="2"/>
        <v>7500</v>
      </c>
      <c r="P137" s="49">
        <f t="shared" si="5"/>
        <v>3500</v>
      </c>
      <c r="Q137" s="51">
        <f>IF($C137&lt;&gt;"",SUMIFS($O$3:$O$401, $C$3:$C$401 ,$C137,$B$3:$B$401,"&lt;="&amp;Controle!$B$6),"")</f>
        <v>0</v>
      </c>
      <c r="R137" s="51">
        <f>IF($D137&lt;&gt;"",SUMIFS($O$3:$O$401, $C$3:$C$401 ,$C137,$B$3:$B$401,"&lt;="&amp;Controle!$B$6,$F$3:$F$401,$F137),"")</f>
        <v>0</v>
      </c>
      <c r="S137" s="51">
        <f>IF($D137&lt;&gt;"",SUMIFS($O$3:$O$401, $C$3:$C$401 ,$C137,$B$3:$B$401,"&lt;="&amp;'Controle D-1'!$B$6,$F$3:$F$401,$F137),"")</f>
        <v>0</v>
      </c>
      <c r="T137" s="40"/>
      <c r="U137" s="40"/>
      <c r="V137" s="40"/>
      <c r="W137" s="40"/>
      <c r="X137" s="40"/>
      <c r="Y137" s="40"/>
      <c r="Z137" s="40"/>
      <c r="AA137" s="40"/>
      <c r="AB137" s="40"/>
      <c r="AC137" s="40"/>
    </row>
    <row r="138" ht="15.75" customHeight="1">
      <c r="A138" s="28"/>
      <c r="B138" s="100">
        <v>45079.0</v>
      </c>
      <c r="C138" s="88" t="s">
        <v>115</v>
      </c>
      <c r="D138" s="88" t="s">
        <v>6</v>
      </c>
      <c r="E138" s="88" t="s">
        <v>208</v>
      </c>
      <c r="F138" s="88" t="s">
        <v>273</v>
      </c>
      <c r="G138" s="46">
        <v>10.78999996185303</v>
      </c>
      <c r="H138" s="101"/>
      <c r="I138" s="88"/>
      <c r="J138" s="88">
        <v>240000.0</v>
      </c>
      <c r="K138" s="47">
        <f t="array" ref="K138">if(and(J138&lt;&gt;"",D138&lt;&gt;"Futuros"),
if(F138=Controle!$C$2, M138/xlookup(workday(B138,-1,Feriados!A:A),Controle!$B$10:$B$1000,Controle!$C$10:$C$1000),
if(F138=Controle!$F$2, M138/xlookup(workday(B138,-1,Feriados!A:A),Controle!$B$10:$B$1000,Controle!$F$10:$F$1000),
if(F138=Controle!$I$2, M138/xlookup(workday(B138,-1,Feriados!A:A),Controle!$B$10:$B$1000,Controle!$I$10:$I$1000),
if(F138=Controle!$L$2, M138/xlookup(workday(B138,-1,Feriados!A:A),Controle!$B$10:$B$1000,Controle!$L$10:$L$1000),
)))),
if(and(J138&lt;&gt;"",D138="Futuros"),
if(F138=Controle!$C$2, N138/xlookup(workday(B138,-1,Feriados!A:A),Controle!$B$10:$B$1000,Controle!$C$10:$C$1000),
if(F138=Controle!$F$2, N138/xlookup(workday(B138,-1,Feriados!A:A),Controle!$B$10:$B$1000,Controle!$F$10:$F$1000),
if(F138=Controle!$I$2, N138/xlookup(workday(B138,-1,Feriados!A:A),Controle!$B$10:$B$1000,Controle!$I$10:$I$1000),
if(F138=Controle!$L$2, N138/xlookup(workday(B138,-1,Feriados!A:A),Controle!$B$10:$B$1000,Controle!$L$10:$L$1000),
)))),""))</f>
        <v>-0.0249378145</v>
      </c>
      <c r="L138" s="47">
        <f t="array" ref="L138">IF($J138&lt;&gt;"", IF($D138 = "Futuros" , $N138/xlookup(WORKDAY(B138,-1,Feriados!A:A),Controle!$B$10:$B$1000,Controle!$T$10:$T$1000) , $M138/xlookup(WORKDAY(B138,-1,Feriados!A:A),Controle!$B$10:$B$1000,Controle!$T$10:$T$1000)),"")</f>
        <v>-0.006245132185</v>
      </c>
      <c r="M138" s="48">
        <f t="shared" si="4"/>
        <v>-2589599.991</v>
      </c>
      <c r="N138" s="48" t="str">
        <f>IFERROR(IF(D138="Futuros",
IF(LEFT(C138,3)="DI1",G138*O138,
IF(LEFT(C138,3)="ISP",G138*O138*HLOOKUP("PTAX",'Histórico'!$A$1:$EL$983,MATCH(B138,'Histórico'!A:A),FALSE)*50,
IF(LEFT(C138,3)="WDO",10*G138*O138*HLOOKUP("PTAX",'Histórico'!$A$1:$EL$983,MATCH(B138,'Histórico'!A:A),FALSE),
IF(LEFT(C138,3)="DOL",50*G138*O138,
IF(LEFT(C138,3)="EUR",G138*O138*50,
IF(LEFT(C138,3)="WEU",G138*O138*10,
IF(LEFT(C138,3)="IND",G138*O138,
IF(LEFT(C138,3)="WIN",G138*O138*0.2,
IF(LEFT(C138,3)="T10",G138*O138*1000*HLOOKUP("PTAX",'Histórico'!$A$1:$EL$983,MATCH(B138,'Histórico'!A:A),FALSE),
IF(LEFT(C138,3)="CCM",G138*O138*450,
IF(LEFT(C138,3)="SJC",G138*O138*HLOOKUP("PTAX",'Histórico'!$A$1:$EL$983,MATCH(B138,'Histórico'!A:A),FALSE)*450,
IF(LEFT(C138,3)="BGI",G138*O138*330,
IF(LEFT(C138,3)="OZ1",G138*O138*250,
IF(LEFT(C138,3)="CLP",G138*O138*25,
IF(LEFT(C138,3)="EUP", O138*10000*HLOOKUP("EUR/BRL",'Histórico'!$A$1:$EL$983,MATCH(B138,'Histórico'!A:A),FALSE),
IF(LEFT(C138,3)="JSE", G138*O138*0.4,
IF(LEFT(C138,3)="GBP", O138*10000*HLOOKUP("GBP/BRL",'Histórico'!$A$1:$FG$983,MATCH(B138,'Histórico'!A:A),FALSE),
IF(LEFT(C138,3)="JAP",O138*10000*HLOOKUP("PTAX",'Histórico'!$A$1:$FG$983,MATCH(B138,'Histórico'!A:A),FALSE),
IF(LEFT(C138,3)="CNH",O138*10000*HLOOKUP("PTAX",'Histórico'!$A$1:$FG$983,MATCH(B138,'Histórico'!A:A),FALSE),
IF(LEFT(C138,3)="AUS",O138*10000*HLOOKUP("PTAX",'Histórico'!$A$1:$FG$983,MATCH(B138,'Histórico'!A:A),FALSE),
IF(LEFT(C138,3)="CAN",O138*10000*HLOOKUP("PTAX",'Histórico'!$A$1:$FG$983,MATCH(B138,'Histórico'!A:A),FALSE),
IF(LEFT(C138,3)="GBR",O138*10000*HLOOKUP("GBP/BRL",'Histórico'!$A$1:$FG$983,MATCH(B138,'Histórico'!A:A),FALSE),
IF(LEFT(C138,3)="MEX",O138*10000*HLOOKUP("PTAX",'Histórico'!$A$1:$FG$983,MATCH(B138,'Histórico'!A:A),FALSE),
IF(LEFT(C138,3)="CHL",O138*10000*HLOOKUP("PTAX",'Histórico'!$A$1:$FG$983,MATCH(B138,'Histórico'!A:A),FALSE)
)))))))))))))))))))))))),""))</f>
        <v/>
      </c>
      <c r="O138" s="49">
        <f t="shared" si="2"/>
        <v>240000</v>
      </c>
      <c r="P138" s="49">
        <f t="shared" si="5"/>
        <v>0</v>
      </c>
      <c r="Q138" s="51">
        <f>IF($C138&lt;&gt;"",SUMIFS($O$3:$O$401, $C$3:$C$401 ,$C138,$B$3:$B$401,"&lt;="&amp;Controle!$B$6),"")</f>
        <v>0</v>
      </c>
      <c r="R138" s="51">
        <f>IF($D138&lt;&gt;"",SUMIFS($O$3:$O$401, $C$3:$C$401 ,$C138,$B$3:$B$401,"&lt;="&amp;Controle!$B$6,$F$3:$F$401,$F138),"")</f>
        <v>0</v>
      </c>
      <c r="S138" s="51">
        <f>IF($D138&lt;&gt;"",SUMIFS($O$3:$O$401, $C$3:$C$401 ,$C138,$B$3:$B$401,"&lt;="&amp;'Controle D-1'!$B$6,$F$3:$F$401,$F138),"")</f>
        <v>0</v>
      </c>
      <c r="T138" s="40"/>
      <c r="U138" s="40"/>
      <c r="V138" s="40"/>
      <c r="W138" s="40"/>
      <c r="X138" s="40"/>
      <c r="Y138" s="40"/>
      <c r="Z138" s="40"/>
      <c r="AA138" s="40"/>
      <c r="AB138" s="40"/>
      <c r="AC138" s="40"/>
    </row>
    <row r="139" ht="15.75" customHeight="1">
      <c r="A139" s="28"/>
      <c r="B139" s="100">
        <v>45079.0</v>
      </c>
      <c r="C139" s="88" t="s">
        <v>101</v>
      </c>
      <c r="D139" s="88" t="s">
        <v>6</v>
      </c>
      <c r="E139" s="88" t="s">
        <v>208</v>
      </c>
      <c r="F139" s="88" t="s">
        <v>273</v>
      </c>
      <c r="G139" s="46">
        <v>30.79999923706055</v>
      </c>
      <c r="H139" s="101"/>
      <c r="I139" s="88"/>
      <c r="J139" s="88">
        <v>85000.0</v>
      </c>
      <c r="K139" s="47">
        <f t="array" ref="K139">if(and(J139&lt;&gt;"",D139&lt;&gt;"Futuros"),
if(F139=Controle!$C$2, M139/xlookup(workday(B139,-1,Feriados!A:A),Controle!$B$10:$B$1000,Controle!$C$10:$C$1000),
if(F139=Controle!$F$2, M139/xlookup(workday(B139,-1,Feriados!A:A),Controle!$B$10:$B$1000,Controle!$F$10:$F$1000),
if(F139=Controle!$I$2, M139/xlookup(workday(B139,-1,Feriados!A:A),Controle!$B$10:$B$1000,Controle!$I$10:$I$1000),
if(F139=Controle!$L$2, M139/xlookup(workday(B139,-1,Feriados!A:A),Controle!$B$10:$B$1000,Controle!$L$10:$L$1000),
)))),
if(and(J139&lt;&gt;"",D139="Futuros"),
if(F139=Controle!$C$2, N139/xlookup(workday(B139,-1,Feriados!A:A),Controle!$B$10:$B$1000,Controle!$C$10:$C$1000),
if(F139=Controle!$F$2, N139/xlookup(workday(B139,-1,Feriados!A:A),Controle!$B$10:$B$1000,Controle!$F$10:$F$1000),
if(F139=Controle!$I$2, N139/xlookup(workday(B139,-1,Feriados!A:A),Controle!$B$10:$B$1000,Controle!$I$10:$I$1000),
if(F139=Controle!$L$2, N139/xlookup(workday(B139,-1,Feriados!A:A),Controle!$B$10:$B$1000,Controle!$L$10:$L$1000),
)))),""))</f>
        <v>-0.0252113056</v>
      </c>
      <c r="L139" s="47">
        <f t="array" ref="L139">IF($J139&lt;&gt;"", IF($D139 = "Futuros" , $N139/xlookup(WORKDAY(B139,-1,Feriados!A:A),Controle!$B$10:$B$1000,Controle!$T$10:$T$1000) , $M139/xlookup(WORKDAY(B139,-1,Feriados!A:A),Controle!$B$10:$B$1000,Controle!$T$10:$T$1000)),"")</f>
        <v>-0.00631362207</v>
      </c>
      <c r="M139" s="48">
        <f t="shared" si="4"/>
        <v>-2617999.935</v>
      </c>
      <c r="N139" s="48" t="str">
        <f>IFERROR(IF(D139="Futuros",
IF(LEFT(C139,3)="DI1",G139*O139,
IF(LEFT(C139,3)="ISP",G139*O139*HLOOKUP("PTAX",'Histórico'!$A$1:$EL$983,MATCH(B139,'Histórico'!A:A),FALSE)*50,
IF(LEFT(C139,3)="WDO",10*G139*O139*HLOOKUP("PTAX",'Histórico'!$A$1:$EL$983,MATCH(B139,'Histórico'!A:A),FALSE),
IF(LEFT(C139,3)="DOL",50*G139*O139,
IF(LEFT(C139,3)="EUR",G139*O139*50,
IF(LEFT(C139,3)="WEU",G139*O139*10,
IF(LEFT(C139,3)="IND",G139*O139,
IF(LEFT(C139,3)="WIN",G139*O139*0.2,
IF(LEFT(C139,3)="T10",G139*O139*1000*HLOOKUP("PTAX",'Histórico'!$A$1:$EL$983,MATCH(B139,'Histórico'!A:A),FALSE),
IF(LEFT(C139,3)="CCM",G139*O139*450,
IF(LEFT(C139,3)="SJC",G139*O139*HLOOKUP("PTAX",'Histórico'!$A$1:$EL$983,MATCH(B139,'Histórico'!A:A),FALSE)*450,
IF(LEFT(C139,3)="BGI",G139*O139*330,
IF(LEFT(C139,3)="OZ1",G139*O139*250,
IF(LEFT(C139,3)="CLP",G139*O139*25,
IF(LEFT(C139,3)="EUP", O139*10000*HLOOKUP("EUR/BRL",'Histórico'!$A$1:$EL$983,MATCH(B139,'Histórico'!A:A),FALSE),
IF(LEFT(C139,3)="JSE", G139*O139*0.4,
IF(LEFT(C139,3)="GBP", O139*10000*HLOOKUP("GBP/BRL",'Histórico'!$A$1:$FG$983,MATCH(B139,'Histórico'!A:A),FALSE),
IF(LEFT(C139,3)="JAP",O139*10000*HLOOKUP("PTAX",'Histórico'!$A$1:$FG$983,MATCH(B139,'Histórico'!A:A),FALSE),
IF(LEFT(C139,3)="CNH",O139*10000*HLOOKUP("PTAX",'Histórico'!$A$1:$FG$983,MATCH(B139,'Histórico'!A:A),FALSE),
IF(LEFT(C139,3)="AUS",O139*10000*HLOOKUP("PTAX",'Histórico'!$A$1:$FG$983,MATCH(B139,'Histórico'!A:A),FALSE),
IF(LEFT(C139,3)="CAN",O139*10000*HLOOKUP("PTAX",'Histórico'!$A$1:$FG$983,MATCH(B139,'Histórico'!A:A),FALSE),
IF(LEFT(C139,3)="GBR",O139*10000*HLOOKUP("GBP/BRL",'Histórico'!$A$1:$FG$983,MATCH(B139,'Histórico'!A:A),FALSE),
IF(LEFT(C139,3)="MEX",O139*10000*HLOOKUP("PTAX",'Histórico'!$A$1:$FG$983,MATCH(B139,'Histórico'!A:A),FALSE),
IF(LEFT(C139,3)="CHL",O139*10000*HLOOKUP("PTAX",'Histórico'!$A$1:$FG$983,MATCH(B139,'Histórico'!A:A),FALSE)
)))))))))))))))))))))))),""))</f>
        <v/>
      </c>
      <c r="O139" s="49">
        <f t="shared" si="2"/>
        <v>85000</v>
      </c>
      <c r="P139" s="49">
        <f t="shared" si="5"/>
        <v>355000</v>
      </c>
      <c r="Q139" s="51">
        <f>IF($C139&lt;&gt;"",SUMIFS($O$3:$O$401, $C$3:$C$401 ,$C139,$B$3:$B$401,"&lt;="&amp;Controle!$B$6),"")</f>
        <v>355000</v>
      </c>
      <c r="R139" s="51">
        <f>IF($D139&lt;&gt;"",SUMIFS($O$3:$O$401, $C$3:$C$401 ,$C139,$B$3:$B$401,"&lt;="&amp;Controle!$B$6,$F$3:$F$401,$F139),"")</f>
        <v>355000</v>
      </c>
      <c r="S139" s="51">
        <f>IF($D139&lt;&gt;"",SUMIFS($O$3:$O$401, $C$3:$C$401 ,$C139,$B$3:$B$401,"&lt;="&amp;'Controle D-1'!$B$6,$F$3:$F$401,$F139),"")</f>
        <v>355000</v>
      </c>
      <c r="T139" s="40"/>
      <c r="U139" s="40"/>
      <c r="V139" s="40"/>
      <c r="W139" s="40"/>
      <c r="X139" s="40"/>
      <c r="Y139" s="40"/>
      <c r="Z139" s="40"/>
      <c r="AA139" s="40"/>
      <c r="AB139" s="40"/>
      <c r="AC139" s="40"/>
    </row>
    <row r="140" ht="15.75" customHeight="1">
      <c r="A140" s="28"/>
      <c r="B140" s="100">
        <v>45079.0</v>
      </c>
      <c r="C140" s="88" t="s">
        <v>103</v>
      </c>
      <c r="D140" s="88" t="s">
        <v>6</v>
      </c>
      <c r="E140" s="88" t="s">
        <v>208</v>
      </c>
      <c r="F140" s="88" t="s">
        <v>273</v>
      </c>
      <c r="G140" s="46">
        <v>26.54000091552734</v>
      </c>
      <c r="H140" s="101"/>
      <c r="I140" s="88"/>
      <c r="J140" s="88">
        <v>100000.0</v>
      </c>
      <c r="K140" s="47">
        <f t="array" ref="K140">if(and(J140&lt;&gt;"",D140&lt;&gt;"Futuros"),
if(F140=Controle!$C$2, M140/xlookup(workday(B140,-1,Feriados!A:A),Controle!$B$10:$B$1000,Controle!$C$10:$C$1000),
if(F140=Controle!$F$2, M140/xlookup(workday(B140,-1,Feriados!A:A),Controle!$B$10:$B$1000,Controle!$F$10:$F$1000),
if(F140=Controle!$I$2, M140/xlookup(workday(B140,-1,Feriados!A:A),Controle!$B$10:$B$1000,Controle!$I$10:$I$1000),
if(F140=Controle!$L$2, M140/xlookup(workday(B140,-1,Feriados!A:A),Controle!$B$10:$B$1000,Controle!$L$10:$L$1000),
)))),
if(and(J140&lt;&gt;"",D140="Futuros"),
if(F140=Controle!$C$2, N140/xlookup(workday(B140,-1,Feriados!A:A),Controle!$B$10:$B$1000,Controle!$C$10:$C$1000),
if(F140=Controle!$F$2, N140/xlookup(workday(B140,-1,Feriados!A:A),Controle!$B$10:$B$1000,Controle!$F$10:$F$1000),
if(F140=Controle!$I$2, N140/xlookup(workday(B140,-1,Feriados!A:A),Controle!$B$10:$B$1000,Controle!$I$10:$I$1000),
if(F140=Controle!$L$2, N140/xlookup(workday(B140,-1,Feriados!A:A),Controle!$B$10:$B$1000,Controle!$L$10:$L$1000),
)))),""))</f>
        <v>-0.02555798664</v>
      </c>
      <c r="L140" s="47">
        <f t="array" ref="L140">IF($J140&lt;&gt;"", IF($D140 = "Futuros" , $N140/xlookup(WORKDAY(B140,-1,Feriados!A:A),Controle!$B$10:$B$1000,Controle!$T$10:$T$1000) , $M140/xlookup(WORKDAY(B140,-1,Feriados!A:A),Controle!$B$10:$B$1000,Controle!$T$10:$T$1000)),"")</f>
        <v>-0.006400440782</v>
      </c>
      <c r="M140" s="48">
        <f t="shared" si="4"/>
        <v>-2654000.092</v>
      </c>
      <c r="N140" s="48" t="str">
        <f>IFERROR(IF(D140="Futuros",
IF(LEFT(C140,3)="DI1",G140*O140,
IF(LEFT(C140,3)="ISP",G140*O140*HLOOKUP("PTAX",'Histórico'!$A$1:$EL$983,MATCH(B140,'Histórico'!A:A),FALSE)*50,
IF(LEFT(C140,3)="WDO",10*G140*O140*HLOOKUP("PTAX",'Histórico'!$A$1:$EL$983,MATCH(B140,'Histórico'!A:A),FALSE),
IF(LEFT(C140,3)="DOL",50*G140*O140,
IF(LEFT(C140,3)="EUR",G140*O140*50,
IF(LEFT(C140,3)="WEU",G140*O140*10,
IF(LEFT(C140,3)="IND",G140*O140,
IF(LEFT(C140,3)="WIN",G140*O140*0.2,
IF(LEFT(C140,3)="T10",G140*O140*1000*HLOOKUP("PTAX",'Histórico'!$A$1:$EL$983,MATCH(B140,'Histórico'!A:A),FALSE),
IF(LEFT(C140,3)="CCM",G140*O140*450,
IF(LEFT(C140,3)="SJC",G140*O140*HLOOKUP("PTAX",'Histórico'!$A$1:$EL$983,MATCH(B140,'Histórico'!A:A),FALSE)*450,
IF(LEFT(C140,3)="BGI",G140*O140*330,
IF(LEFT(C140,3)="OZ1",G140*O140*250,
IF(LEFT(C140,3)="CLP",G140*O140*25,
IF(LEFT(C140,3)="EUP", O140*10000*HLOOKUP("EUR/BRL",'Histórico'!$A$1:$EL$983,MATCH(B140,'Histórico'!A:A),FALSE),
IF(LEFT(C140,3)="JSE", G140*O140*0.4,
IF(LEFT(C140,3)="GBP", O140*10000*HLOOKUP("GBP/BRL",'Histórico'!$A$1:$FG$983,MATCH(B140,'Histórico'!A:A),FALSE),
IF(LEFT(C140,3)="JAP",O140*10000*HLOOKUP("PTAX",'Histórico'!$A$1:$FG$983,MATCH(B140,'Histórico'!A:A),FALSE),
IF(LEFT(C140,3)="CNH",O140*10000*HLOOKUP("PTAX",'Histórico'!$A$1:$FG$983,MATCH(B140,'Histórico'!A:A),FALSE),
IF(LEFT(C140,3)="AUS",O140*10000*HLOOKUP("PTAX",'Histórico'!$A$1:$FG$983,MATCH(B140,'Histórico'!A:A),FALSE),
IF(LEFT(C140,3)="CAN",O140*10000*HLOOKUP("PTAX",'Histórico'!$A$1:$FG$983,MATCH(B140,'Histórico'!A:A),FALSE),
IF(LEFT(C140,3)="GBR",O140*10000*HLOOKUP("GBP/BRL",'Histórico'!$A$1:$FG$983,MATCH(B140,'Histórico'!A:A),FALSE),
IF(LEFT(C140,3)="MEX",O140*10000*HLOOKUP("PTAX",'Histórico'!$A$1:$FG$983,MATCH(B140,'Histórico'!A:A),FALSE),
IF(LEFT(C140,3)="CHL",O140*10000*HLOOKUP("PTAX",'Histórico'!$A$1:$FG$983,MATCH(B140,'Histórico'!A:A),FALSE)
)))))))))))))))))))))))),""))</f>
        <v/>
      </c>
      <c r="O140" s="49">
        <f t="shared" si="2"/>
        <v>100000</v>
      </c>
      <c r="P140" s="49">
        <f t="shared" si="5"/>
        <v>0</v>
      </c>
      <c r="Q140" s="51">
        <f>IF($C140&lt;&gt;"",SUMIFS($O$3:$O$401, $C$3:$C$401 ,$C140,$B$3:$B$401,"&lt;="&amp;Controle!$B$6),"")</f>
        <v>410000</v>
      </c>
      <c r="R140" s="51">
        <f>IF($D140&lt;&gt;"",SUMIFS($O$3:$O$401, $C$3:$C$401 ,$C140,$B$3:$B$401,"&lt;="&amp;Controle!$B$6,$F$3:$F$401,$F140),"")</f>
        <v>410000</v>
      </c>
      <c r="S140" s="51">
        <f>IF($D140&lt;&gt;"",SUMIFS($O$3:$O$401, $C$3:$C$401 ,$C140,$B$3:$B$401,"&lt;="&amp;'Controle D-1'!$B$6,$F$3:$F$401,$F140),"")</f>
        <v>410000</v>
      </c>
      <c r="T140" s="40"/>
      <c r="U140" s="40"/>
      <c r="V140" s="40"/>
      <c r="W140" s="40"/>
      <c r="X140" s="40"/>
      <c r="Y140" s="40"/>
      <c r="Z140" s="40"/>
      <c r="AA140" s="40"/>
      <c r="AB140" s="40"/>
      <c r="AC140" s="40"/>
    </row>
    <row r="141" ht="15.75" customHeight="1">
      <c r="A141" s="28"/>
      <c r="B141" s="100">
        <v>45079.0</v>
      </c>
      <c r="C141" s="88" t="s">
        <v>105</v>
      </c>
      <c r="D141" s="88" t="s">
        <v>6</v>
      </c>
      <c r="E141" s="88" t="s">
        <v>208</v>
      </c>
      <c r="F141" s="88" t="s">
        <v>273</v>
      </c>
      <c r="G141" s="46">
        <v>7.380000114440918</v>
      </c>
      <c r="H141" s="101"/>
      <c r="I141" s="88"/>
      <c r="J141" s="88">
        <v>340000.0</v>
      </c>
      <c r="K141" s="47">
        <f t="array" ref="K141">if(and(J141&lt;&gt;"",D141&lt;&gt;"Futuros"),
if(F141=Controle!$C$2, M141/xlookup(workday(B141,-1,Feriados!A:A),Controle!$B$10:$B$1000,Controle!$C$10:$C$1000),
if(F141=Controle!$F$2, M141/xlookup(workday(B141,-1,Feriados!A:A),Controle!$B$10:$B$1000,Controle!$F$10:$F$1000),
if(F141=Controle!$I$2, M141/xlookup(workday(B141,-1,Feriados!A:A),Controle!$B$10:$B$1000,Controle!$I$10:$I$1000),
if(F141=Controle!$L$2, M141/xlookup(workday(B141,-1,Feriados!A:A),Controle!$B$10:$B$1000,Controle!$L$10:$L$1000),
)))),
if(and(J141&lt;&gt;"",D141="Futuros"),
if(F141=Controle!$C$2, N141/xlookup(workday(B141,-1,Feriados!A:A),Controle!$B$10:$B$1000,Controle!$C$10:$C$1000),
if(F141=Controle!$F$2, N141/xlookup(workday(B141,-1,Feriados!A:A),Controle!$B$10:$B$1000,Controle!$F$10:$F$1000),
if(F141=Controle!$I$2, N141/xlookup(workday(B141,-1,Feriados!A:A),Controle!$B$10:$B$1000,Controle!$I$10:$I$1000),
if(F141=Controle!$L$2, N141/xlookup(workday(B141,-1,Feriados!A:A),Controle!$B$10:$B$1000,Controle!$L$10:$L$1000),
)))),""))</f>
        <v>-0.024163564</v>
      </c>
      <c r="L141" s="47">
        <f t="array" ref="L141">IF($J141&lt;&gt;"", IF($D141 = "Futuros" , $N141/xlookup(WORKDAY(B141,-1,Feriados!A:A),Controle!$B$10:$B$1000,Controle!$T$10:$T$1000) , $M141/xlookup(WORKDAY(B141,-1,Feriados!A:A),Controle!$B$10:$B$1000,Controle!$T$10:$T$1000)),"")</f>
        <v>-0.00605123802</v>
      </c>
      <c r="M141" s="48">
        <f t="shared" si="4"/>
        <v>-2509200.039</v>
      </c>
      <c r="N141" s="48" t="str">
        <f>IFERROR(IF(D141="Futuros",
IF(LEFT(C141,3)="DI1",G141*O141,
IF(LEFT(C141,3)="ISP",G141*O141*HLOOKUP("PTAX",'Histórico'!$A$1:$EL$983,MATCH(B141,'Histórico'!A:A),FALSE)*50,
IF(LEFT(C141,3)="WDO",10*G141*O141*HLOOKUP("PTAX",'Histórico'!$A$1:$EL$983,MATCH(B141,'Histórico'!A:A),FALSE),
IF(LEFT(C141,3)="DOL",50*G141*O141,
IF(LEFT(C141,3)="EUR",G141*O141*50,
IF(LEFT(C141,3)="WEU",G141*O141*10,
IF(LEFT(C141,3)="IND",G141*O141,
IF(LEFT(C141,3)="WIN",G141*O141*0.2,
IF(LEFT(C141,3)="T10",G141*O141*1000*HLOOKUP("PTAX",'Histórico'!$A$1:$EL$983,MATCH(B141,'Histórico'!A:A),FALSE),
IF(LEFT(C141,3)="CCM",G141*O141*450,
IF(LEFT(C141,3)="SJC",G141*O141*HLOOKUP("PTAX",'Histórico'!$A$1:$EL$983,MATCH(B141,'Histórico'!A:A),FALSE)*450,
IF(LEFT(C141,3)="BGI",G141*O141*330,
IF(LEFT(C141,3)="OZ1",G141*O141*250,
IF(LEFT(C141,3)="CLP",G141*O141*25,
IF(LEFT(C141,3)="EUP", O141*10000*HLOOKUP("EUR/BRL",'Histórico'!$A$1:$EL$983,MATCH(B141,'Histórico'!A:A),FALSE),
IF(LEFT(C141,3)="JSE", G141*O141*0.4,
IF(LEFT(C141,3)="GBP", O141*10000*HLOOKUP("GBP/BRL",'Histórico'!$A$1:$FG$983,MATCH(B141,'Histórico'!A:A),FALSE),
IF(LEFT(C141,3)="JAP",O141*10000*HLOOKUP("PTAX",'Histórico'!$A$1:$FG$983,MATCH(B141,'Histórico'!A:A),FALSE),
IF(LEFT(C141,3)="CNH",O141*10000*HLOOKUP("PTAX",'Histórico'!$A$1:$FG$983,MATCH(B141,'Histórico'!A:A),FALSE),
IF(LEFT(C141,3)="AUS",O141*10000*HLOOKUP("PTAX",'Histórico'!$A$1:$FG$983,MATCH(B141,'Histórico'!A:A),FALSE),
IF(LEFT(C141,3)="CAN",O141*10000*HLOOKUP("PTAX",'Histórico'!$A$1:$FG$983,MATCH(B141,'Histórico'!A:A),FALSE),
IF(LEFT(C141,3)="GBR",O141*10000*HLOOKUP("GBP/BRL",'Histórico'!$A$1:$FG$983,MATCH(B141,'Histórico'!A:A),FALSE),
IF(LEFT(C141,3)="MEX",O141*10000*HLOOKUP("PTAX",'Histórico'!$A$1:$FG$983,MATCH(B141,'Histórico'!A:A),FALSE),
IF(LEFT(C141,3)="CHL",O141*10000*HLOOKUP("PTAX",'Histórico'!$A$1:$FG$983,MATCH(B141,'Histórico'!A:A),FALSE)
)))))))))))))))))))))))),""))</f>
        <v/>
      </c>
      <c r="O141" s="49">
        <f t="shared" si="2"/>
        <v>340000</v>
      </c>
      <c r="P141" s="49">
        <f t="shared" si="5"/>
        <v>0</v>
      </c>
      <c r="Q141" s="51">
        <f>IF($C141&lt;&gt;"",SUMIFS($O$3:$O$401, $C$3:$C$401 ,$C141,$B$3:$B$401,"&lt;="&amp;Controle!$B$6),"")</f>
        <v>1360000</v>
      </c>
      <c r="R141" s="51">
        <f>IF($D141&lt;&gt;"",SUMIFS($O$3:$O$401, $C$3:$C$401 ,$C141,$B$3:$B$401,"&lt;="&amp;Controle!$B$6,$F$3:$F$401,$F141),"")</f>
        <v>1360000</v>
      </c>
      <c r="S141" s="51">
        <f>IF($D141&lt;&gt;"",SUMIFS($O$3:$O$401, $C$3:$C$401 ,$C141,$B$3:$B$401,"&lt;="&amp;'Controle D-1'!$B$6,$F$3:$F$401,$F141),"")</f>
        <v>1360000</v>
      </c>
      <c r="T141" s="40"/>
      <c r="U141" s="40"/>
      <c r="V141" s="40"/>
      <c r="W141" s="40"/>
      <c r="X141" s="40"/>
      <c r="Y141" s="40"/>
      <c r="Z141" s="40"/>
      <c r="AA141" s="40"/>
      <c r="AB141" s="40"/>
      <c r="AC141" s="40"/>
    </row>
    <row r="142" ht="15.75" customHeight="1">
      <c r="A142" s="28"/>
      <c r="B142" s="100">
        <v>45083.0</v>
      </c>
      <c r="C142" s="88" t="s">
        <v>40</v>
      </c>
      <c r="D142" s="88" t="str">
        <f>IF(ISTEXT(C142),VLOOKUP(C142,'Cadastro dos Ativos'!$A$2:$C$1000,3,0),"")</f>
        <v>Ações Americanas</v>
      </c>
      <c r="E142" s="88" t="s">
        <v>198</v>
      </c>
      <c r="F142" s="88" t="s">
        <v>199</v>
      </c>
      <c r="G142" s="46">
        <v>27.78</v>
      </c>
      <c r="H142" s="101">
        <f>if($D142="Ações Americanas", HLOOKUP("PTAX",'Histórico'!$A$1:$EL$983,(MATCH(B142,'Histórico'!A:A))-1,""),
if($D142="Ações Europeias", HLOOKUP("EUR/BRL",'Histórico'!$A$1:$EL$983,(MATCH(B142,'Histórico'!A:A))-1,""),""))</f>
        <v>4.9566</v>
      </c>
      <c r="I142" s="88" t="str">
        <f t="array" ref="I142">IF(ISTEXT(C142),xlookup(C142,'Cadastro dos Ativos'!$A$2:$A$1000,'Cadastro dos Ativos'!$D$2:$D$1000),"")</f>
        <v/>
      </c>
      <c r="J142" s="88">
        <v>60000.0</v>
      </c>
      <c r="K142" s="47">
        <f t="array" ref="K142">if(and(J142&lt;&gt;"",D142&lt;&gt;"Futuros"),
if(F142=Controle!$C$2, M142/xlookup(workday(B142,-1,Feriados!A:A),Controle!$B$10:$B$1000,Controle!$C$10:$C$1000),
if(F142=Controle!$F$2, M142/xlookup(workday(B142,-1,Feriados!A:A),Controle!$B$10:$B$1000,Controle!$F$10:$F$1000),
if(F142=Controle!$I$2, M142/xlookup(workday(B142,-1,Feriados!A:A),Controle!$B$10:$B$1000,Controle!$I$10:$I$1000),
if(F142=Controle!$L$2, M142/xlookup(workday(B142,-1,Feriados!A:A),Controle!$B$10:$B$1000,Controle!$L$10:$L$1000),
)))),
if(and(J142&lt;&gt;"",D142="Futuros"),
if(F142=Controle!$C$2, N142/xlookup(workday(B142,-1,Feriados!A:A),Controle!$B$10:$B$1000,Controle!$C$10:$C$1000),
if(F142=Controle!$F$2, N142/xlookup(workday(B142,-1,Feriados!A:A),Controle!$B$10:$B$1000,Controle!$F$10:$F$1000),
if(F142=Controle!$I$2, N142/xlookup(workday(B142,-1,Feriados!A:A),Controle!$B$10:$B$1000,Controle!$I$10:$I$1000),
if(F142=Controle!$L$2, N142/xlookup(workday(B142,-1,Feriados!A:A),Controle!$B$10:$B$1000,Controle!$L$10:$L$1000),
)))),""))</f>
        <v>0.08034399195</v>
      </c>
      <c r="L142" s="47">
        <f t="array" ref="L142">IF($J142&lt;&gt;"", IF($D142 = "Futuros" , $N142/xlookup(WORKDAY(B142,-1,Feriados!A:A),Controle!$B$10:$B$1000,Controle!$T$10:$T$1000) , $M142/xlookup(WORKDAY(B142,-1,Feriados!A:A),Controle!$B$10:$B$1000,Controle!$T$10:$T$1000)),"")</f>
        <v>0.01990762211</v>
      </c>
      <c r="M142" s="48">
        <f t="shared" si="4"/>
        <v>8261660.88</v>
      </c>
      <c r="N142" s="48" t="str">
        <f>IFERROR(IF(D142="Futuros",
IF(LEFT(C142,3)="DI1",G142*O142,
IF(LEFT(C142,3)="ISP",G142*O142*HLOOKUP("PTAX",'Histórico'!$A$1:$EL$983,MATCH(B142,'Histórico'!A:A),FALSE)*50,
IF(LEFT(C142,3)="WDO",10*G142*O142*HLOOKUP("PTAX",'Histórico'!$A$1:$EL$983,MATCH(B142,'Histórico'!A:A),FALSE),
IF(LEFT(C142,3)="DOL",50*G142*O142,
IF(LEFT(C142,3)="EUR",G142*O142*50,
IF(LEFT(C142,3)="WEU",G142*O142*10,
IF(LEFT(C142,3)="IND",G142*O142,
IF(LEFT(C142,3)="WIN",G142*O142*0.2,
IF(LEFT(C142,3)="T10",G142*O142*1000*HLOOKUP("PTAX",'Histórico'!$A$1:$EL$983,MATCH(B142,'Histórico'!A:A),FALSE),
IF(LEFT(C142,3)="CCM",G142*O142*450,
IF(LEFT(C142,3)="SJC",G142*O142*HLOOKUP("PTAX",'Histórico'!$A$1:$EL$983,MATCH(B142,'Histórico'!A:A),FALSE)*450,
IF(LEFT(C142,3)="BGI",G142*O142*330,
IF(LEFT(C142,3)="OZ1",G142*O142*250,
IF(LEFT(C142,3)="CLP",G142*O142*25,
IF(LEFT(C142,3)="EUP", O142*10000*HLOOKUP("EUR/BRL",'Histórico'!$A$1:$EL$983,MATCH(B142,'Histórico'!A:A),FALSE),
IF(LEFT(C142,3)="JSE", G142*O142*0.4,
IF(LEFT(C142,3)="GBP", O142*10000*HLOOKUP("GBP/BRL",'Histórico'!$A$1:$FG$983,MATCH(B142,'Histórico'!A:A),FALSE),
IF(LEFT(C142,3)="JAP",O142*10000*HLOOKUP("PTAX",'Histórico'!$A$1:$FG$983,MATCH(B142,'Histórico'!A:A),FALSE),
IF(LEFT(C142,3)="CNH",O142*10000*HLOOKUP("PTAX",'Histórico'!$A$1:$FG$983,MATCH(B142,'Histórico'!A:A),FALSE),
IF(LEFT(C142,3)="AUS",O142*10000*HLOOKUP("PTAX",'Histórico'!$A$1:$FG$983,MATCH(B142,'Histórico'!A:A),FALSE),
IF(LEFT(C142,3)="CAN",O142*10000*HLOOKUP("PTAX",'Histórico'!$A$1:$FG$983,MATCH(B142,'Histórico'!A:A),FALSE),
IF(LEFT(C142,3)="GBR",O142*10000*HLOOKUP("GBP/BRL",'Histórico'!$A$1:$FG$983,MATCH(B142,'Histórico'!A:A),FALSE),
IF(LEFT(C142,3)="MEX",O142*10000*HLOOKUP("PTAX",'Histórico'!$A$1:$FG$983,MATCH(B142,'Histórico'!A:A),FALSE),
IF(LEFT(C142,3)="CHL",O142*10000*HLOOKUP("PTAX",'Histórico'!$A$1:$FG$983,MATCH(B142,'Histórico'!A:A),FALSE)
)))))))))))))))))))))))),""))</f>
        <v/>
      </c>
      <c r="O142" s="49">
        <f t="shared" si="2"/>
        <v>-60000</v>
      </c>
      <c r="P142" s="49">
        <f t="shared" si="5"/>
        <v>0</v>
      </c>
      <c r="Q142" s="51">
        <f>IF($C142&lt;&gt;"",SUMIFS($O$3:$O$401, $C$3:$C$401 ,$C142,$B$3:$B$401,"&lt;="&amp;Controle!$B$6),"")</f>
        <v>0</v>
      </c>
      <c r="R142" s="51">
        <f>IF($D142&lt;&gt;"",SUMIFS($O$3:$O$401, $C$3:$C$401 ,$C142,$B$3:$B$401,"&lt;="&amp;Controle!$B$6,$F$3:$F$401,$F142),"")</f>
        <v>0</v>
      </c>
      <c r="S142" s="51">
        <f>IF($D142&lt;&gt;"",SUMIFS($O$3:$O$401, $C$3:$C$401 ,$C142,$B$3:$B$401,"&lt;="&amp;'Controle D-1'!$B$6,$F$3:$F$401,$F142),"")</f>
        <v>0</v>
      </c>
      <c r="T142" s="40"/>
      <c r="U142" s="40"/>
      <c r="V142" s="40"/>
      <c r="W142" s="40"/>
      <c r="X142" s="40"/>
      <c r="Y142" s="40"/>
      <c r="Z142" s="40"/>
      <c r="AA142" s="40"/>
      <c r="AB142" s="40"/>
      <c r="AC142" s="40"/>
    </row>
    <row r="143" ht="15.75" customHeight="1">
      <c r="A143" s="28"/>
      <c r="B143" s="100">
        <v>45083.0</v>
      </c>
      <c r="C143" s="88" t="s">
        <v>44</v>
      </c>
      <c r="D143" s="88" t="str">
        <f>IF(ISTEXT(C143),VLOOKUP(C143,'Cadastro dos Ativos'!$A$2:$C$1000,3,0),"")</f>
        <v>Ações Americanas</v>
      </c>
      <c r="E143" s="88" t="s">
        <v>198</v>
      </c>
      <c r="F143" s="88" t="s">
        <v>199</v>
      </c>
      <c r="G143" s="46">
        <v>29.94</v>
      </c>
      <c r="H143" s="101">
        <f>if($D143="Ações Americanas", HLOOKUP("PTAX",'Histórico'!$A$1:$EL$983,(MATCH(B143,'Histórico'!A:A))-1,""),
if($D143="Ações Europeias", HLOOKUP("EUR/BRL",'Histórico'!$A$1:$EL$983,(MATCH(B143,'Histórico'!A:A))-1,""),""))</f>
        <v>4.9566</v>
      </c>
      <c r="I143" s="88" t="str">
        <f t="array" ref="I143">IF(ISTEXT(C143),xlookup(C143,'Cadastro dos Ativos'!$A$2:$A$1000,'Cadastro dos Ativos'!$D$2:$D$1000),"")</f>
        <v/>
      </c>
      <c r="J143" s="88">
        <v>60000.0</v>
      </c>
      <c r="K143" s="47">
        <f t="array" ref="K143">if(and(J143&lt;&gt;"",D143&lt;&gt;"Futuros"),
if(F143=Controle!$C$2, M143/xlookup(workday(B143,-1,Feriados!A:A),Controle!$B$10:$B$1000,Controle!$C$10:$C$1000),
if(F143=Controle!$F$2, M143/xlookup(workday(B143,-1,Feriados!A:A),Controle!$B$10:$B$1000,Controle!$F$10:$F$1000),
if(F143=Controle!$I$2, M143/xlookup(workday(B143,-1,Feriados!A:A),Controle!$B$10:$B$1000,Controle!$I$10:$I$1000),
if(F143=Controle!$L$2, M143/xlookup(workday(B143,-1,Feriados!A:A),Controle!$B$10:$B$1000,Controle!$L$10:$L$1000),
)))),
if(and(J143&lt;&gt;"",D143="Futuros"),
if(F143=Controle!$C$2, N143/xlookup(workday(B143,-1,Feriados!A:A),Controle!$B$10:$B$1000,Controle!$C$10:$C$1000),
if(F143=Controle!$F$2, N143/xlookup(workday(B143,-1,Feriados!A:A),Controle!$B$10:$B$1000,Controle!$F$10:$F$1000),
if(F143=Controle!$I$2, N143/xlookup(workday(B143,-1,Feriados!A:A),Controle!$B$10:$B$1000,Controle!$I$10:$I$1000),
if(F143=Controle!$L$2, N143/xlookup(workday(B143,-1,Feriados!A:A),Controle!$B$10:$B$1000,Controle!$L$10:$L$1000),
)))),""))</f>
        <v>0.08659104099</v>
      </c>
      <c r="L143" s="47">
        <f t="array" ref="L143">IF($J143&lt;&gt;"", IF($D143 = "Futuros" , $N143/xlookup(WORKDAY(B143,-1,Feriados!A:A),Controle!$B$10:$B$1000,Controle!$T$10:$T$1000) , $M143/xlookup(WORKDAY(B143,-1,Feriados!A:A),Controle!$B$10:$B$1000,Controle!$T$10:$T$1000)),"")</f>
        <v>0.02145551498</v>
      </c>
      <c r="M143" s="48">
        <f t="shared" si="4"/>
        <v>8904036.24</v>
      </c>
      <c r="N143" s="48" t="str">
        <f>IFERROR(IF(D143="Futuros",
IF(LEFT(C143,3)="DI1",G143*O143,
IF(LEFT(C143,3)="ISP",G143*O143*HLOOKUP("PTAX",'Histórico'!$A$1:$EL$983,MATCH(B143,'Histórico'!A:A),FALSE)*50,
IF(LEFT(C143,3)="WDO",10*G143*O143*HLOOKUP("PTAX",'Histórico'!$A$1:$EL$983,MATCH(B143,'Histórico'!A:A),FALSE),
IF(LEFT(C143,3)="DOL",50*G143*O143,
IF(LEFT(C143,3)="EUR",G143*O143*50,
IF(LEFT(C143,3)="WEU",G143*O143*10,
IF(LEFT(C143,3)="IND",G143*O143,
IF(LEFT(C143,3)="WIN",G143*O143*0.2,
IF(LEFT(C143,3)="T10",G143*O143*1000*HLOOKUP("PTAX",'Histórico'!$A$1:$EL$983,MATCH(B143,'Histórico'!A:A),FALSE),
IF(LEFT(C143,3)="CCM",G143*O143*450,
IF(LEFT(C143,3)="SJC",G143*O143*HLOOKUP("PTAX",'Histórico'!$A$1:$EL$983,MATCH(B143,'Histórico'!A:A),FALSE)*450,
IF(LEFT(C143,3)="BGI",G143*O143*330,
IF(LEFT(C143,3)="OZ1",G143*O143*250,
IF(LEFT(C143,3)="CLP",G143*O143*25,
IF(LEFT(C143,3)="EUP", O143*10000*HLOOKUP("EUR/BRL",'Histórico'!$A$1:$EL$983,MATCH(B143,'Histórico'!A:A),FALSE),
IF(LEFT(C143,3)="JSE", G143*O143*0.4,
IF(LEFT(C143,3)="GBP", O143*10000*HLOOKUP("GBP/BRL",'Histórico'!$A$1:$FG$983,MATCH(B143,'Histórico'!A:A),FALSE),
IF(LEFT(C143,3)="JAP",O143*10000*HLOOKUP("PTAX",'Histórico'!$A$1:$FG$983,MATCH(B143,'Histórico'!A:A),FALSE),
IF(LEFT(C143,3)="CNH",O143*10000*HLOOKUP("PTAX",'Histórico'!$A$1:$FG$983,MATCH(B143,'Histórico'!A:A),FALSE),
IF(LEFT(C143,3)="AUS",O143*10000*HLOOKUP("PTAX",'Histórico'!$A$1:$FG$983,MATCH(B143,'Histórico'!A:A),FALSE),
IF(LEFT(C143,3)="CAN",O143*10000*HLOOKUP("PTAX",'Histórico'!$A$1:$FG$983,MATCH(B143,'Histórico'!A:A),FALSE),
IF(LEFT(C143,3)="GBR",O143*10000*HLOOKUP("GBP/BRL",'Histórico'!$A$1:$FG$983,MATCH(B143,'Histórico'!A:A),FALSE),
IF(LEFT(C143,3)="MEX",O143*10000*HLOOKUP("PTAX",'Histórico'!$A$1:$FG$983,MATCH(B143,'Histórico'!A:A),FALSE),
IF(LEFT(C143,3)="CHL",O143*10000*HLOOKUP("PTAX",'Histórico'!$A$1:$FG$983,MATCH(B143,'Histórico'!A:A),FALSE)
)))))))))))))))))))))))),""))</f>
        <v/>
      </c>
      <c r="O143" s="49">
        <f t="shared" si="2"/>
        <v>-60000</v>
      </c>
      <c r="P143" s="49">
        <f t="shared" si="5"/>
        <v>0</v>
      </c>
      <c r="Q143" s="51">
        <f>IF($C143&lt;&gt;"",SUMIFS($O$3:$O$401, $C$3:$C$401 ,$C143,$B$3:$B$401,"&lt;="&amp;Controle!$B$6),"")</f>
        <v>0</v>
      </c>
      <c r="R143" s="51">
        <f>IF($D143&lt;&gt;"",SUMIFS($O$3:$O$401, $C$3:$C$401 ,$C143,$B$3:$B$401,"&lt;="&amp;Controle!$B$6,$F$3:$F$401,$F143),"")</f>
        <v>0</v>
      </c>
      <c r="S143" s="51">
        <f>IF($D143&lt;&gt;"",SUMIFS($O$3:$O$401, $C$3:$C$401 ,$C143,$B$3:$B$401,"&lt;="&amp;'Controle D-1'!$B$6,$F$3:$F$401,$F143),"")</f>
        <v>0</v>
      </c>
      <c r="T143" s="40"/>
      <c r="U143" s="40"/>
      <c r="V143" s="40"/>
      <c r="W143" s="40"/>
      <c r="X143" s="40"/>
      <c r="Y143" s="40"/>
      <c r="Z143" s="40"/>
      <c r="AA143" s="40"/>
      <c r="AB143" s="40"/>
      <c r="AC143" s="40"/>
    </row>
    <row r="144" ht="15.75" customHeight="1">
      <c r="A144" s="28"/>
      <c r="B144" s="100">
        <v>45083.0</v>
      </c>
      <c r="C144" s="88" t="s">
        <v>42</v>
      </c>
      <c r="D144" s="88" t="str">
        <f>IF(ISTEXT(C144),VLOOKUP(C144,'Cadastro dos Ativos'!$A$2:$C$1000,3,0),"")</f>
        <v>Ações Americanas</v>
      </c>
      <c r="E144" s="88" t="s">
        <v>198</v>
      </c>
      <c r="F144" s="88" t="s">
        <v>199</v>
      </c>
      <c r="G144" s="46">
        <v>27.54</v>
      </c>
      <c r="H144" s="101">
        <f>if($D144="Ações Americanas", HLOOKUP("PTAX",'Histórico'!$A$1:$EL$983,(MATCH(B144,'Histórico'!A:A))-1,""),
if($D144="Ações Europeias", HLOOKUP("EUR/BRL",'Histórico'!$A$1:$EL$983,(MATCH(B144,'Histórico'!A:A))-1,""),""))</f>
        <v>4.9566</v>
      </c>
      <c r="I144" s="88" t="str">
        <f t="array" ref="I144">IF(ISTEXT(C144),xlookup(C144,'Cadastro dos Ativos'!$A$2:$A$1000,'Cadastro dos Ativos'!$D$2:$D$1000),"")</f>
        <v/>
      </c>
      <c r="J144" s="88">
        <v>60000.0</v>
      </c>
      <c r="K144" s="47">
        <f t="array" ref="K144">if(and(J144&lt;&gt;"",D144&lt;&gt;"Futuros"),
if(F144=Controle!$C$2, M144/xlookup(workday(B144,-1,Feriados!A:A),Controle!$B$10:$B$1000,Controle!$C$10:$C$1000),
if(F144=Controle!$F$2, M144/xlookup(workday(B144,-1,Feriados!A:A),Controle!$B$10:$B$1000,Controle!$F$10:$F$1000),
if(F144=Controle!$I$2, M144/xlookup(workday(B144,-1,Feriados!A:A),Controle!$B$10:$B$1000,Controle!$I$10:$I$1000),
if(F144=Controle!$L$2, M144/xlookup(workday(B144,-1,Feriados!A:A),Controle!$B$10:$B$1000,Controle!$L$10:$L$1000),
)))),
if(and(J144&lt;&gt;"",D144="Futuros"),
if(F144=Controle!$C$2, N144/xlookup(workday(B144,-1,Feriados!A:A),Controle!$B$10:$B$1000,Controle!$C$10:$C$1000),
if(F144=Controle!$F$2, N144/xlookup(workday(B144,-1,Feriados!A:A),Controle!$B$10:$B$1000,Controle!$F$10:$F$1000),
if(F144=Controle!$I$2, N144/xlookup(workday(B144,-1,Feriados!A:A),Controle!$B$10:$B$1000,Controle!$I$10:$I$1000),
if(F144=Controle!$L$2, N144/xlookup(workday(B144,-1,Feriados!A:A),Controle!$B$10:$B$1000,Controle!$L$10:$L$1000),
)))),""))</f>
        <v>0.07964987538</v>
      </c>
      <c r="L144" s="47">
        <f t="array" ref="L144">IF($J144&lt;&gt;"", IF($D144 = "Futuros" , $N144/xlookup(WORKDAY(B144,-1,Feriados!A:A),Controle!$B$10:$B$1000,Controle!$T$10:$T$1000) , $M144/xlookup(WORKDAY(B144,-1,Feriados!A:A),Controle!$B$10:$B$1000,Controle!$T$10:$T$1000)),"")</f>
        <v>0.01973563402</v>
      </c>
      <c r="M144" s="48">
        <f t="shared" si="4"/>
        <v>8190285.84</v>
      </c>
      <c r="N144" s="48" t="str">
        <f>IFERROR(IF(D144="Futuros",
IF(LEFT(C144,3)="DI1",G144*O144,
IF(LEFT(C144,3)="ISP",G144*O144*HLOOKUP("PTAX",'Histórico'!$A$1:$EL$983,MATCH(B144,'Histórico'!A:A),FALSE)*50,
IF(LEFT(C144,3)="WDO",10*G144*O144*HLOOKUP("PTAX",'Histórico'!$A$1:$EL$983,MATCH(B144,'Histórico'!A:A),FALSE),
IF(LEFT(C144,3)="DOL",50*G144*O144,
IF(LEFT(C144,3)="EUR",G144*O144*50,
IF(LEFT(C144,3)="WEU",G144*O144*10,
IF(LEFT(C144,3)="IND",G144*O144,
IF(LEFT(C144,3)="WIN",G144*O144*0.2,
IF(LEFT(C144,3)="T10",G144*O144*1000*HLOOKUP("PTAX",'Histórico'!$A$1:$EL$983,MATCH(B144,'Histórico'!A:A),FALSE),
IF(LEFT(C144,3)="CCM",G144*O144*450,
IF(LEFT(C144,3)="SJC",G144*O144*HLOOKUP("PTAX",'Histórico'!$A$1:$EL$983,MATCH(B144,'Histórico'!A:A),FALSE)*450,
IF(LEFT(C144,3)="BGI",G144*O144*330,
IF(LEFT(C144,3)="OZ1",G144*O144*250,
IF(LEFT(C144,3)="CLP",G144*O144*25,
IF(LEFT(C144,3)="EUP", O144*10000*HLOOKUP("EUR/BRL",'Histórico'!$A$1:$EL$983,MATCH(B144,'Histórico'!A:A),FALSE),
IF(LEFT(C144,3)="JSE", G144*O144*0.4,
IF(LEFT(C144,3)="GBP", O144*10000*HLOOKUP("GBP/BRL",'Histórico'!$A$1:$FG$983,MATCH(B144,'Histórico'!A:A),FALSE),
IF(LEFT(C144,3)="JAP",O144*10000*HLOOKUP("PTAX",'Histórico'!$A$1:$FG$983,MATCH(B144,'Histórico'!A:A),FALSE),
IF(LEFT(C144,3)="CNH",O144*10000*HLOOKUP("PTAX",'Histórico'!$A$1:$FG$983,MATCH(B144,'Histórico'!A:A),FALSE),
IF(LEFT(C144,3)="AUS",O144*10000*HLOOKUP("PTAX",'Histórico'!$A$1:$FG$983,MATCH(B144,'Histórico'!A:A),FALSE),
IF(LEFT(C144,3)="CAN",O144*10000*HLOOKUP("PTAX",'Histórico'!$A$1:$FG$983,MATCH(B144,'Histórico'!A:A),FALSE),
IF(LEFT(C144,3)="GBR",O144*10000*HLOOKUP("GBP/BRL",'Histórico'!$A$1:$FG$983,MATCH(B144,'Histórico'!A:A),FALSE),
IF(LEFT(C144,3)="MEX",O144*10000*HLOOKUP("PTAX",'Histórico'!$A$1:$FG$983,MATCH(B144,'Histórico'!A:A),FALSE),
IF(LEFT(C144,3)="CHL",O144*10000*HLOOKUP("PTAX",'Histórico'!$A$1:$FG$983,MATCH(B144,'Histórico'!A:A),FALSE)
)))))))))))))))))))))))),""))</f>
        <v/>
      </c>
      <c r="O144" s="49">
        <f t="shared" si="2"/>
        <v>-60000</v>
      </c>
      <c r="P144" s="49">
        <f t="shared" si="5"/>
        <v>0</v>
      </c>
      <c r="Q144" s="51">
        <f>IF($C144&lt;&gt;"",SUMIFS($O$3:$O$401, $C$3:$C$401 ,$C144,$B$3:$B$401,"&lt;="&amp;Controle!$B$6),"")</f>
        <v>0</v>
      </c>
      <c r="R144" s="51">
        <f>IF($D144&lt;&gt;"",SUMIFS($O$3:$O$401, $C$3:$C$401 ,$C144,$B$3:$B$401,"&lt;="&amp;Controle!$B$6,$F$3:$F$401,$F144),"")</f>
        <v>0</v>
      </c>
      <c r="S144" s="51">
        <f>IF($D144&lt;&gt;"",SUMIFS($O$3:$O$401, $C$3:$C$401 ,$C144,$B$3:$B$401,"&lt;="&amp;'Controle D-1'!$B$6,$F$3:$F$401,$F144),"")</f>
        <v>0</v>
      </c>
      <c r="T144" s="40"/>
      <c r="U144" s="40"/>
      <c r="V144" s="40"/>
      <c r="W144" s="40"/>
      <c r="X144" s="40"/>
      <c r="Y144" s="40"/>
      <c r="Z144" s="40"/>
      <c r="AA144" s="40"/>
      <c r="AB144" s="40"/>
      <c r="AC144" s="40"/>
    </row>
    <row r="145" ht="15.75" customHeight="1">
      <c r="A145" s="28"/>
      <c r="B145" s="100">
        <v>45083.0</v>
      </c>
      <c r="C145" s="88" t="s">
        <v>48</v>
      </c>
      <c r="D145" s="88" t="str">
        <f>IF(ISTEXT(C145),VLOOKUP(C145,'Cadastro dos Ativos'!$A$2:$C$1000,3,0),"")</f>
        <v>Ações Listadas na B3</v>
      </c>
      <c r="E145" s="88" t="s">
        <v>208</v>
      </c>
      <c r="F145" s="88" t="s">
        <v>199</v>
      </c>
      <c r="G145" s="46">
        <v>67.6</v>
      </c>
      <c r="H145" s="101" t="str">
        <f>if($D145="Ações Americanas", HLOOKUP("PTAX",'Histórico'!$A$1:$EL$983,(MATCH(B145,'Histórico'!A:A))-1,""),
if($D145="Ações Europeias", HLOOKUP("EUR/BRL",'Histórico'!$A$1:$EL$983,(MATCH(B145,'Histórico'!A:A))-1,""),""))</f>
        <v/>
      </c>
      <c r="I145" s="88" t="str">
        <f t="array" ref="I145">IF(ISTEXT(C145),xlookup(C145,'Cadastro dos Ativos'!$A$2:$A$1000,'Cadastro dos Ativos'!$D$2:$D$1000),"")</f>
        <v/>
      </c>
      <c r="J145" s="88">
        <v>73000.0</v>
      </c>
      <c r="K145" s="47">
        <f t="array" ref="K145">if(and(J145&lt;&gt;"",D145&lt;&gt;"Futuros"),
if(F145=Controle!$C$2, M145/xlookup(workday(B145,-1,Feriados!A:A),Controle!$B$10:$B$1000,Controle!$C$10:$C$1000),
if(F145=Controle!$F$2, M145/xlookup(workday(B145,-1,Feriados!A:A),Controle!$B$10:$B$1000,Controle!$F$10:$F$1000),
if(F145=Controle!$I$2, M145/xlookup(workday(B145,-1,Feriados!A:A),Controle!$B$10:$B$1000,Controle!$I$10:$I$1000),
if(F145=Controle!$L$2, M145/xlookup(workday(B145,-1,Feriados!A:A),Controle!$B$10:$B$1000,Controle!$L$10:$L$1000),
)))),
if(and(J145&lt;&gt;"",D145="Futuros"),
if(F145=Controle!$C$2, N145/xlookup(workday(B145,-1,Feriados!A:A),Controle!$B$10:$B$1000,Controle!$C$10:$C$1000),
if(F145=Controle!$F$2, N145/xlookup(workday(B145,-1,Feriados!A:A),Controle!$B$10:$B$1000,Controle!$F$10:$F$1000),
if(F145=Controle!$I$2, N145/xlookup(workday(B145,-1,Feriados!A:A),Controle!$B$10:$B$1000,Controle!$I$10:$I$1000),
if(F145=Controle!$L$2, N145/xlookup(workday(B145,-1,Feriados!A:A),Controle!$B$10:$B$1000,Controle!$L$10:$L$1000),
)))),""))</f>
        <v>-0.04799053571</v>
      </c>
      <c r="L145" s="47">
        <f t="array" ref="L145">IF($J145&lt;&gt;"", IF($D145 = "Futuros" , $N145/xlookup(WORKDAY(B145,-1,Feriados!A:A),Controle!$B$10:$B$1000,Controle!$T$10:$T$1000) , $M145/xlookup(WORKDAY(B145,-1,Feriados!A:A),Controle!$B$10:$B$1000,Controle!$T$10:$T$1000)),"")</f>
        <v>-0.01189108764</v>
      </c>
      <c r="M145" s="48">
        <f t="shared" si="4"/>
        <v>-4934800</v>
      </c>
      <c r="N145" s="48" t="str">
        <f>IFERROR(IF(D145="Futuros",
IF(LEFT(C145,3)="DI1",G145*O145,
IF(LEFT(C145,3)="ISP",G145*O145*HLOOKUP("PTAX",'Histórico'!$A$1:$EL$983,MATCH(B145,'Histórico'!A:A),FALSE)*50,
IF(LEFT(C145,3)="WDO",10*G145*O145*HLOOKUP("PTAX",'Histórico'!$A$1:$EL$983,MATCH(B145,'Histórico'!A:A),FALSE),
IF(LEFT(C145,3)="DOL",50*G145*O145,
IF(LEFT(C145,3)="EUR",G145*O145*50,
IF(LEFT(C145,3)="WEU",G145*O145*10,
IF(LEFT(C145,3)="IND",G145*O145,
IF(LEFT(C145,3)="WIN",G145*O145*0.2,
IF(LEFT(C145,3)="T10",G145*O145*1000*HLOOKUP("PTAX",'Histórico'!$A$1:$EL$983,MATCH(B145,'Histórico'!A:A),FALSE),
IF(LEFT(C145,3)="CCM",G145*O145*450,
IF(LEFT(C145,3)="SJC",G145*O145*HLOOKUP("PTAX",'Histórico'!$A$1:$EL$983,MATCH(B145,'Histórico'!A:A),FALSE)*450,
IF(LEFT(C145,3)="BGI",G145*O145*330,
IF(LEFT(C145,3)="OZ1",G145*O145*250,
IF(LEFT(C145,3)="CLP",G145*O145*25,
IF(LEFT(C145,3)="EUP", O145*10000*HLOOKUP("EUR/BRL",'Histórico'!$A$1:$EL$983,MATCH(B145,'Histórico'!A:A),FALSE),
IF(LEFT(C145,3)="JSE", G145*O145*0.4,
IF(LEFT(C145,3)="GBP", O145*10000*HLOOKUP("GBP/BRL",'Histórico'!$A$1:$FG$983,MATCH(B145,'Histórico'!A:A),FALSE),
IF(LEFT(C145,3)="JAP",O145*10000*HLOOKUP("PTAX",'Histórico'!$A$1:$FG$983,MATCH(B145,'Histórico'!A:A),FALSE),
IF(LEFT(C145,3)="CNH",O145*10000*HLOOKUP("PTAX",'Histórico'!$A$1:$FG$983,MATCH(B145,'Histórico'!A:A),FALSE),
IF(LEFT(C145,3)="AUS",O145*10000*HLOOKUP("PTAX",'Histórico'!$A$1:$FG$983,MATCH(B145,'Histórico'!A:A),FALSE),
IF(LEFT(C145,3)="CAN",O145*10000*HLOOKUP("PTAX",'Histórico'!$A$1:$FG$983,MATCH(B145,'Histórico'!A:A),FALSE),
IF(LEFT(C145,3)="GBR",O145*10000*HLOOKUP("GBP/BRL",'Histórico'!$A$1:$FG$983,MATCH(B145,'Histórico'!A:A),FALSE),
IF(LEFT(C145,3)="MEX",O145*10000*HLOOKUP("PTAX",'Histórico'!$A$1:$FG$983,MATCH(B145,'Histórico'!A:A),FALSE),
IF(LEFT(C145,3)="CHL",O145*10000*HLOOKUP("PTAX",'Histórico'!$A$1:$FG$983,MATCH(B145,'Histórico'!A:A),FALSE)
)))))))))))))))))))))))),""))</f>
        <v/>
      </c>
      <c r="O145" s="49">
        <f t="shared" si="2"/>
        <v>73000</v>
      </c>
      <c r="P145" s="49">
        <f t="shared" si="5"/>
        <v>0</v>
      </c>
      <c r="Q145" s="51">
        <f>IF($C145&lt;&gt;"",SUMIFS($O$3:$O$401, $C$3:$C$401 ,$C145,$B$3:$B$401,"&lt;="&amp;Controle!$B$6),"")</f>
        <v>0</v>
      </c>
      <c r="R145" s="51">
        <f>IF($D145&lt;&gt;"",SUMIFS($O$3:$O$401, $C$3:$C$401 ,$C145,$B$3:$B$401,"&lt;="&amp;Controle!$B$6,$F$3:$F$401,$F145),"")</f>
        <v>0</v>
      </c>
      <c r="S145" s="51">
        <f>IF($D145&lt;&gt;"",SUMIFS($O$3:$O$401, $C$3:$C$401 ,$C145,$B$3:$B$401,"&lt;="&amp;'Controle D-1'!$B$6,$F$3:$F$401,$F145),"")</f>
        <v>0</v>
      </c>
      <c r="T145" s="40"/>
      <c r="U145" s="40"/>
      <c r="V145" s="40"/>
      <c r="W145" s="40"/>
      <c r="X145" s="40"/>
      <c r="Y145" s="40"/>
      <c r="Z145" s="40"/>
      <c r="AA145" s="40"/>
      <c r="AB145" s="40"/>
      <c r="AC145" s="40"/>
    </row>
    <row r="146" ht="15.75" customHeight="1">
      <c r="A146" s="28"/>
      <c r="B146" s="100">
        <v>45083.0</v>
      </c>
      <c r="C146" s="88" t="s">
        <v>4</v>
      </c>
      <c r="D146" s="88" t="str">
        <f>IF(ISTEXT(C146),VLOOKUP(C146,'Cadastro dos Ativos'!$A$2:$C$1000,3,0),"")</f>
        <v>Ações Listadas na B3</v>
      </c>
      <c r="E146" s="88" t="s">
        <v>208</v>
      </c>
      <c r="F146" s="88" t="s">
        <v>199</v>
      </c>
      <c r="G146" s="46">
        <v>28.65</v>
      </c>
      <c r="H146" s="101" t="str">
        <f>if($D146="Ações Americanas", HLOOKUP("PTAX",'Histórico'!$A$1:$EL$983,(MATCH(B146,'Histórico'!A:A))-1,""),
if($D146="Ações Europeias", HLOOKUP("EUR/BRL",'Histórico'!$A$1:$EL$983,(MATCH(B146,'Histórico'!A:A))-1,""),""))</f>
        <v/>
      </c>
      <c r="I146" s="88" t="str">
        <f t="array" ref="I146">IF(ISTEXT(C146),xlookup(C146,'Cadastro dos Ativos'!$A$2:$A$1000,'Cadastro dos Ativos'!$D$2:$D$1000),"")</f>
        <v/>
      </c>
      <c r="J146" s="88">
        <v>330000.0</v>
      </c>
      <c r="K146" s="47">
        <f t="array" ref="K146">if(and(J146&lt;&gt;"",D146&lt;&gt;"Futuros"),
if(F146=Controle!$C$2, M146/xlookup(workday(B146,-1,Feriados!A:A),Controle!$B$10:$B$1000,Controle!$C$10:$C$1000),
if(F146=Controle!$F$2, M146/xlookup(workday(B146,-1,Feriados!A:A),Controle!$B$10:$B$1000,Controle!$F$10:$F$1000),
if(F146=Controle!$I$2, M146/xlookup(workday(B146,-1,Feriados!A:A),Controle!$B$10:$B$1000,Controle!$I$10:$I$1000),
if(F146=Controle!$L$2, M146/xlookup(workday(B146,-1,Feriados!A:A),Controle!$B$10:$B$1000,Controle!$L$10:$L$1000),
)))),
if(and(J146&lt;&gt;"",D146="Futuros"),
if(F146=Controle!$C$2, N146/xlookup(workday(B146,-1,Feriados!A:A),Controle!$B$10:$B$1000,Controle!$C$10:$C$1000),
if(F146=Controle!$F$2, N146/xlookup(workday(B146,-1,Feriados!A:A),Controle!$B$10:$B$1000,Controle!$F$10:$F$1000),
if(F146=Controle!$I$2, N146/xlookup(workday(B146,-1,Feriados!A:A),Controle!$B$10:$B$1000,Controle!$I$10:$I$1000),
if(F146=Controle!$L$2, N146/xlookup(workday(B146,-1,Feriados!A:A),Controle!$B$10:$B$1000,Controle!$L$10:$L$1000),
)))),""))</f>
        <v>-0.09194425708</v>
      </c>
      <c r="L146" s="47">
        <f t="array" ref="L146">IF($J146&lt;&gt;"", IF($D146 = "Futuros" , $N146/xlookup(WORKDAY(B146,-1,Feriados!A:A),Controle!$B$10:$B$1000,Controle!$T$10:$T$1000) , $M146/xlookup(WORKDAY(B146,-1,Feriados!A:A),Controle!$B$10:$B$1000,Controle!$T$10:$T$1000)),"")</f>
        <v>-0.02278193404</v>
      </c>
      <c r="M146" s="48">
        <f t="shared" si="4"/>
        <v>-9454500</v>
      </c>
      <c r="N146" s="48" t="str">
        <f>IFERROR(IF(D146="Futuros",
IF(LEFT(C146,3)="DI1",G146*O146,
IF(LEFT(C146,3)="ISP",G146*O146*HLOOKUP("PTAX",'Histórico'!$A$1:$EL$983,MATCH(B146,'Histórico'!A:A),FALSE)*50,
IF(LEFT(C146,3)="WDO",10*G146*O146*HLOOKUP("PTAX",'Histórico'!$A$1:$EL$983,MATCH(B146,'Histórico'!A:A),FALSE),
IF(LEFT(C146,3)="DOL",50*G146*O146,
IF(LEFT(C146,3)="EUR",G146*O146*50,
IF(LEFT(C146,3)="WEU",G146*O146*10,
IF(LEFT(C146,3)="IND",G146*O146,
IF(LEFT(C146,3)="WIN",G146*O146*0.2,
IF(LEFT(C146,3)="T10",G146*O146*1000*HLOOKUP("PTAX",'Histórico'!$A$1:$EL$983,MATCH(B146,'Histórico'!A:A),FALSE),
IF(LEFT(C146,3)="CCM",G146*O146*450,
IF(LEFT(C146,3)="SJC",G146*O146*HLOOKUP("PTAX",'Histórico'!$A$1:$EL$983,MATCH(B146,'Histórico'!A:A),FALSE)*450,
IF(LEFT(C146,3)="BGI",G146*O146*330,
IF(LEFT(C146,3)="OZ1",G146*O146*250,
IF(LEFT(C146,3)="CLP",G146*O146*25,
IF(LEFT(C146,3)="EUP", O146*10000*HLOOKUP("EUR/BRL",'Histórico'!$A$1:$EL$983,MATCH(B146,'Histórico'!A:A),FALSE),
IF(LEFT(C146,3)="JSE", G146*O146*0.4,
IF(LEFT(C146,3)="GBP", O146*10000*HLOOKUP("GBP/BRL",'Histórico'!$A$1:$FG$983,MATCH(B146,'Histórico'!A:A),FALSE),
IF(LEFT(C146,3)="JAP",O146*10000*HLOOKUP("PTAX",'Histórico'!$A$1:$FG$983,MATCH(B146,'Histórico'!A:A),FALSE),
IF(LEFT(C146,3)="CNH",O146*10000*HLOOKUP("PTAX",'Histórico'!$A$1:$FG$983,MATCH(B146,'Histórico'!A:A),FALSE),
IF(LEFT(C146,3)="AUS",O146*10000*HLOOKUP("PTAX",'Histórico'!$A$1:$FG$983,MATCH(B146,'Histórico'!A:A),FALSE),
IF(LEFT(C146,3)="CAN",O146*10000*HLOOKUP("PTAX",'Histórico'!$A$1:$FG$983,MATCH(B146,'Histórico'!A:A),FALSE),
IF(LEFT(C146,3)="GBR",O146*10000*HLOOKUP("GBP/BRL",'Histórico'!$A$1:$FG$983,MATCH(B146,'Histórico'!A:A),FALSE),
IF(LEFT(C146,3)="MEX",O146*10000*HLOOKUP("PTAX",'Histórico'!$A$1:$FG$983,MATCH(B146,'Histórico'!A:A),FALSE),
IF(LEFT(C146,3)="CHL",O146*10000*HLOOKUP("PTAX",'Histórico'!$A$1:$FG$983,MATCH(B146,'Histórico'!A:A),FALSE)
)))))))))))))))))))))))),""))</f>
        <v/>
      </c>
      <c r="O146" s="49">
        <f t="shared" si="2"/>
        <v>330000</v>
      </c>
      <c r="P146" s="49">
        <f t="shared" si="5"/>
        <v>0</v>
      </c>
      <c r="Q146" s="51">
        <f>IF($C146&lt;&gt;"",SUMIFS($O$3:$O$401, $C$3:$C$401 ,$C146,$B$3:$B$401,"&lt;="&amp;Controle!$B$6),"")</f>
        <v>0</v>
      </c>
      <c r="R146" s="51">
        <f>IF($D146&lt;&gt;"",SUMIFS($O$3:$O$401, $C$3:$C$401 ,$C146,$B$3:$B$401,"&lt;="&amp;Controle!$B$6,$F$3:$F$401,$F146),"")</f>
        <v>0</v>
      </c>
      <c r="S146" s="51">
        <f>IF($D146&lt;&gt;"",SUMIFS($O$3:$O$401, $C$3:$C$401 ,$C146,$B$3:$B$401,"&lt;="&amp;'Controle D-1'!$B$6,$F$3:$F$401,$F146),"")</f>
        <v>0</v>
      </c>
      <c r="T146" s="40"/>
      <c r="U146" s="40"/>
      <c r="V146" s="40"/>
      <c r="W146" s="40"/>
      <c r="X146" s="40"/>
      <c r="Y146" s="40"/>
      <c r="Z146" s="40"/>
      <c r="AA146" s="40"/>
      <c r="AB146" s="40"/>
      <c r="AC146" s="40"/>
    </row>
    <row r="147" ht="15.75" customHeight="1">
      <c r="A147" s="28"/>
      <c r="B147" s="100">
        <v>45086.0</v>
      </c>
      <c r="C147" s="88" t="s">
        <v>115</v>
      </c>
      <c r="D147" s="88" t="s">
        <v>6</v>
      </c>
      <c r="E147" s="88" t="s">
        <v>208</v>
      </c>
      <c r="F147" s="88" t="s">
        <v>273</v>
      </c>
      <c r="G147" s="46">
        <v>10.49</v>
      </c>
      <c r="H147" s="101"/>
      <c r="I147" s="88"/>
      <c r="J147" s="88">
        <v>250000.0</v>
      </c>
      <c r="K147" s="47">
        <f t="array" ref="K147">if(and(J147&lt;&gt;"",D147&lt;&gt;"Futuros"),
if(F147=Controle!$C$2, M147/xlookup(workday(B147,-1,Feriados!A:A),Controle!$B$10:$B$1000,Controle!$C$10:$C$1000),
if(F147=Controle!$F$2, M147/xlookup(workday(B147,-1,Feriados!A:A),Controle!$B$10:$B$1000,Controle!$F$10:$F$1000),
if(F147=Controle!$I$2, M147/xlookup(workday(B147,-1,Feriados!A:A),Controle!$B$10:$B$1000,Controle!$I$10:$I$1000),
if(F147=Controle!$L$2, M147/xlookup(workday(B147,-1,Feriados!A:A),Controle!$B$10:$B$1000,Controle!$L$10:$L$1000),
)))),
if(and(J147&lt;&gt;"",D147="Futuros"),
if(F147=Controle!$C$2, N147/xlookup(workday(B147,-1,Feriados!A:A),Controle!$B$10:$B$1000,Controle!$C$10:$C$1000),
if(F147=Controle!$F$2, N147/xlookup(workday(B147,-1,Feriados!A:A),Controle!$B$10:$B$1000,Controle!$F$10:$F$1000),
if(F147=Controle!$I$2, N147/xlookup(workday(B147,-1,Feriados!A:A),Controle!$B$10:$B$1000,Controle!$I$10:$I$1000),
if(F147=Controle!$L$2, N147/xlookup(workday(B147,-1,Feriados!A:A),Controle!$B$10:$B$1000,Controle!$L$10:$L$1000),
)))),""))</f>
        <v>-0.02505469511</v>
      </c>
      <c r="L147" s="47">
        <f t="array" ref="L147">IF($J147&lt;&gt;"", IF($D147 = "Futuros" , $N147/xlookup(WORKDAY(B147,-1,Feriados!A:A),Controle!$B$10:$B$1000,Controle!$T$10:$T$1000) , $M147/xlookup(WORKDAY(B147,-1,Feriados!A:A),Controle!$B$10:$B$1000,Controle!$T$10:$T$1000)),"")</f>
        <v>-0.006310715983</v>
      </c>
      <c r="M147" s="48">
        <f t="shared" si="4"/>
        <v>-2622500</v>
      </c>
      <c r="N147" s="48" t="str">
        <f>IFERROR(IF(D147="Futuros",
IF(LEFT(C147,3)="DI1",G147*O147,
IF(LEFT(C147,3)="ISP",G147*O147*HLOOKUP("PTAX",'Histórico'!$A$1:$EL$983,MATCH(B147,'Histórico'!A:A),FALSE)*50,
IF(LEFT(C147,3)="WDO",10*G147*O147*HLOOKUP("PTAX",'Histórico'!$A$1:$EL$983,MATCH(B147,'Histórico'!A:A),FALSE),
IF(LEFT(C147,3)="DOL",50*G147*O147,
IF(LEFT(C147,3)="EUR",G147*O147*50,
IF(LEFT(C147,3)="WEU",G147*O147*10,
IF(LEFT(C147,3)="IND",G147*O147,
IF(LEFT(C147,3)="WIN",G147*O147*0.2,
IF(LEFT(C147,3)="T10",G147*O147*1000*HLOOKUP("PTAX",'Histórico'!$A$1:$EL$983,MATCH(B147,'Histórico'!A:A),FALSE),
IF(LEFT(C147,3)="CCM",G147*O147*450,
IF(LEFT(C147,3)="SJC",G147*O147*HLOOKUP("PTAX",'Histórico'!$A$1:$EL$983,MATCH(B147,'Histórico'!A:A),FALSE)*450,
IF(LEFT(C147,3)="BGI",G147*O147*330,
IF(LEFT(C147,3)="OZ1",G147*O147*250,
IF(LEFT(C147,3)="CLP",G147*O147*25,
IF(LEFT(C147,3)="EUP", O147*10000*HLOOKUP("EUR/BRL",'Histórico'!$A$1:$EL$983,MATCH(B147,'Histórico'!A:A),FALSE),
IF(LEFT(C147,3)="JSE", G147*O147*0.4,
IF(LEFT(C147,3)="GBP", O147*10000*HLOOKUP("GBP/BRL",'Histórico'!$A$1:$FG$983,MATCH(B147,'Histórico'!A:A),FALSE),
IF(LEFT(C147,3)="JAP",O147*10000*HLOOKUP("PTAX",'Histórico'!$A$1:$FG$983,MATCH(B147,'Histórico'!A:A),FALSE),
IF(LEFT(C147,3)="CNH",O147*10000*HLOOKUP("PTAX",'Histórico'!$A$1:$FG$983,MATCH(B147,'Histórico'!A:A),FALSE),
IF(LEFT(C147,3)="AUS",O147*10000*HLOOKUP("PTAX",'Histórico'!$A$1:$FG$983,MATCH(B147,'Histórico'!A:A),FALSE),
IF(LEFT(C147,3)="CAN",O147*10000*HLOOKUP("PTAX",'Histórico'!$A$1:$FG$983,MATCH(B147,'Histórico'!A:A),FALSE),
IF(LEFT(C147,3)="GBR",O147*10000*HLOOKUP("GBP/BRL",'Histórico'!$A$1:$FG$983,MATCH(B147,'Histórico'!A:A),FALSE),
IF(LEFT(C147,3)="MEX",O147*10000*HLOOKUP("PTAX",'Histórico'!$A$1:$FG$983,MATCH(B147,'Histórico'!A:A),FALSE),
IF(LEFT(C147,3)="CHL",O147*10000*HLOOKUP("PTAX",'Histórico'!$A$1:$FG$983,MATCH(B147,'Histórico'!A:A),FALSE)
)))))))))))))))))))))))),""))</f>
        <v/>
      </c>
      <c r="O147" s="49">
        <f t="shared" si="2"/>
        <v>250000</v>
      </c>
      <c r="P147" s="49">
        <f t="shared" si="5"/>
        <v>0</v>
      </c>
      <c r="Q147" s="51">
        <f>IF($C147&lt;&gt;"",SUMIFS($O$3:$O$401, $C$3:$C$401 ,$C147,$B$3:$B$401,"&lt;="&amp;Controle!$B$6),"")</f>
        <v>0</v>
      </c>
      <c r="R147" s="51">
        <f>IF($D147&lt;&gt;"",SUMIFS($O$3:$O$401, $C$3:$C$401 ,$C147,$B$3:$B$401,"&lt;="&amp;Controle!$B$6,$F$3:$F$401,$F147),"")</f>
        <v>0</v>
      </c>
      <c r="S147" s="51">
        <f>IF($D147&lt;&gt;"",SUMIFS($O$3:$O$401, $C$3:$C$401 ,$C147,$B$3:$B$401,"&lt;="&amp;'Controle D-1'!$B$6,$F$3:$F$401,$F147),"")</f>
        <v>0</v>
      </c>
      <c r="T147" s="40"/>
      <c r="U147" s="40"/>
      <c r="V147" s="40"/>
      <c r="W147" s="40"/>
      <c r="X147" s="40"/>
      <c r="Y147" s="40"/>
      <c r="Z147" s="40"/>
      <c r="AA147" s="40"/>
      <c r="AB147" s="40"/>
      <c r="AC147" s="40"/>
    </row>
    <row r="148" ht="15.75" customHeight="1">
      <c r="A148" s="28"/>
      <c r="B148" s="100">
        <v>45090.0</v>
      </c>
      <c r="C148" s="88" t="s">
        <v>4</v>
      </c>
      <c r="D148" s="88" t="str">
        <f>IF(ISTEXT(C148),VLOOKUP(C148,'Cadastro dos Ativos'!$A$2:$C$1000,3,0),"")</f>
        <v>Ações Listadas na B3</v>
      </c>
      <c r="E148" s="88" t="s">
        <v>208</v>
      </c>
      <c r="F148" s="88" t="s">
        <v>200</v>
      </c>
      <c r="G148" s="46">
        <v>30.81</v>
      </c>
      <c r="H148" s="101" t="str">
        <f>if($D148="Ações Americanas", HLOOKUP("PTAX",'Histórico'!$A$1:$EL$983,(MATCH(B148,'Histórico'!A:A))-1,""),
if($D148="Ações Europeias", HLOOKUP("EUR/BRL",'Histórico'!$A$1:$EL$983,(MATCH(B148,'Histórico'!A:A))-1,""),""))</f>
        <v/>
      </c>
      <c r="I148" s="88" t="str">
        <f t="array" ref="I148">IF(ISTEXT(C148),xlookup(C148,'Cadastro dos Ativos'!$A$2:$A$1000,'Cadastro dos Ativos'!$D$2:$D$1000),"")</f>
        <v/>
      </c>
      <c r="J148" s="88">
        <v>200000.0</v>
      </c>
      <c r="K148" s="47">
        <f t="array" ref="K148">if(and(J148&lt;&gt;"",D148&lt;&gt;"Futuros"),
if(F148=Controle!$C$2, M148/xlookup(workday(B148,-1,Feriados!A:A),Controle!$B$10:$B$1000,Controle!$C$10:$C$1000),
if(F148=Controle!$F$2, M148/xlookup(workday(B148,-1,Feriados!A:A),Controle!$B$10:$B$1000,Controle!$F$10:$F$1000),
if(F148=Controle!$I$2, M148/xlookup(workday(B148,-1,Feriados!A:A),Controle!$B$10:$B$1000,Controle!$I$10:$I$1000),
if(F148=Controle!$L$2, M148/xlookup(workday(B148,-1,Feriados!A:A),Controle!$B$10:$B$1000,Controle!$L$10:$L$1000),
)))),
if(and(J148&lt;&gt;"",D148="Futuros"),
if(F148=Controle!$C$2, N148/xlookup(workday(B148,-1,Feriados!A:A),Controle!$B$10:$B$1000,Controle!$C$10:$C$1000),
if(F148=Controle!$F$2, N148/xlookup(workday(B148,-1,Feriados!A:A),Controle!$B$10:$B$1000,Controle!$F$10:$F$1000),
if(F148=Controle!$I$2, N148/xlookup(workday(B148,-1,Feriados!A:A),Controle!$B$10:$B$1000,Controle!$I$10:$I$1000),
if(F148=Controle!$L$2, N148/xlookup(workday(B148,-1,Feriados!A:A),Controle!$B$10:$B$1000,Controle!$L$10:$L$1000),
)))),""))</f>
        <v>-0.05911252625</v>
      </c>
      <c r="L148" s="47">
        <f t="array" ref="L148">IF($J148&lt;&gt;"", IF($D148 = "Futuros" , $N148/xlookup(WORKDAY(B148,-1,Feriados!A:A),Controle!$B$10:$B$1000,Controle!$T$10:$T$1000) , $M148/xlookup(WORKDAY(B148,-1,Feriados!A:A),Controle!$B$10:$B$1000,Controle!$T$10:$T$1000)),"")</f>
        <v>-0.01476462558</v>
      </c>
      <c r="M148" s="48">
        <f t="shared" si="4"/>
        <v>-6162000</v>
      </c>
      <c r="N148" s="48" t="str">
        <f>IFERROR(IF(D148="Futuros",
IF(LEFT(C148,3)="DI1",G148*O148,
IF(LEFT(C148,3)="ISP",G148*O148*HLOOKUP("PTAX",'Histórico'!$A$1:$EL$983,MATCH(B148,'Histórico'!A:A),FALSE)*50,
IF(LEFT(C148,3)="WDO",10*G148*O148*HLOOKUP("PTAX",'Histórico'!$A$1:$EL$983,MATCH(B148,'Histórico'!A:A),FALSE),
IF(LEFT(C148,3)="DOL",50*G148*O148,
IF(LEFT(C148,3)="EUR",G148*O148*50,
IF(LEFT(C148,3)="WEU",G148*O148*10,
IF(LEFT(C148,3)="IND",G148*O148,
IF(LEFT(C148,3)="WIN",G148*O148*0.2,
IF(LEFT(C148,3)="T10",G148*O148*1000*HLOOKUP("PTAX",'Histórico'!$A$1:$EL$983,MATCH(B148,'Histórico'!A:A),FALSE),
IF(LEFT(C148,3)="CCM",G148*O148*450,
IF(LEFT(C148,3)="SJC",G148*O148*HLOOKUP("PTAX",'Histórico'!$A$1:$EL$983,MATCH(B148,'Histórico'!A:A),FALSE)*450,
IF(LEFT(C148,3)="BGI",G148*O148*330,
IF(LEFT(C148,3)="OZ1",G148*O148*250,
IF(LEFT(C148,3)="CLP",G148*O148*25,
IF(LEFT(C148,3)="EUP", O148*10000*HLOOKUP("EUR/BRL",'Histórico'!$A$1:$EL$983,MATCH(B148,'Histórico'!A:A),FALSE),
IF(LEFT(C148,3)="JSE", G148*O148*0.4,
IF(LEFT(C148,3)="GBP", O148*10000*HLOOKUP("GBP/BRL",'Histórico'!$A$1:$FG$983,MATCH(B148,'Histórico'!A:A),FALSE),
IF(LEFT(C148,3)="JAP",O148*10000*HLOOKUP("PTAX",'Histórico'!$A$1:$FG$983,MATCH(B148,'Histórico'!A:A),FALSE),
IF(LEFT(C148,3)="CNH",O148*10000*HLOOKUP("PTAX",'Histórico'!$A$1:$FG$983,MATCH(B148,'Histórico'!A:A),FALSE),
IF(LEFT(C148,3)="AUS",O148*10000*HLOOKUP("PTAX",'Histórico'!$A$1:$FG$983,MATCH(B148,'Histórico'!A:A),FALSE),
IF(LEFT(C148,3)="CAN",O148*10000*HLOOKUP("PTAX",'Histórico'!$A$1:$FG$983,MATCH(B148,'Histórico'!A:A),FALSE),
IF(LEFT(C148,3)="GBR",O148*10000*HLOOKUP("GBP/BRL",'Histórico'!$A$1:$FG$983,MATCH(B148,'Histórico'!A:A),FALSE),
IF(LEFT(C148,3)="MEX",O148*10000*HLOOKUP("PTAX",'Histórico'!$A$1:$FG$983,MATCH(B148,'Histórico'!A:A),FALSE),
IF(LEFT(C148,3)="CHL",O148*10000*HLOOKUP("PTAX",'Histórico'!$A$1:$FG$983,MATCH(B148,'Histórico'!A:A),FALSE)
)))))))))))))))))))))))),""))</f>
        <v/>
      </c>
      <c r="O148" s="49">
        <f t="shared" si="2"/>
        <v>200000</v>
      </c>
      <c r="P148" s="49">
        <f t="shared" si="5"/>
        <v>0</v>
      </c>
      <c r="Q148" s="51">
        <f>IF($C148&lt;&gt;"",SUMIFS($O$3:$O$401, $C$3:$C$401 ,$C148,$B$3:$B$401,"&lt;="&amp;Controle!$B$6),"")</f>
        <v>0</v>
      </c>
      <c r="R148" s="51">
        <f>IF($D148&lt;&gt;"",SUMIFS($O$3:$O$401, $C$3:$C$401 ,$C148,$B$3:$B$401,"&lt;="&amp;Controle!$B$6,$F$3:$F$401,$F148),"")</f>
        <v>0</v>
      </c>
      <c r="S148" s="51">
        <f>IF($D148&lt;&gt;"",SUMIFS($O$3:$O$401, $C$3:$C$401 ,$C148,$B$3:$B$401,"&lt;="&amp;'Controle D-1'!$B$6,$F$3:$F$401,$F148),"")</f>
        <v>0</v>
      </c>
      <c r="T148" s="40"/>
      <c r="U148" s="40"/>
      <c r="V148" s="40"/>
      <c r="W148" s="40"/>
      <c r="X148" s="40"/>
      <c r="Y148" s="40"/>
      <c r="Z148" s="40"/>
      <c r="AA148" s="40"/>
      <c r="AB148" s="40"/>
      <c r="AC148" s="40"/>
    </row>
    <row r="149" ht="15.75" customHeight="1">
      <c r="A149" s="28"/>
      <c r="B149" s="100">
        <v>45091.0</v>
      </c>
      <c r="C149" s="88" t="s">
        <v>118</v>
      </c>
      <c r="D149" s="88" t="str">
        <f>IF(ISTEXT(C149),VLOOKUP(C149,'Cadastro dos Ativos'!$A$2:$C$1000,3,0),"")</f>
        <v>Futuros</v>
      </c>
      <c r="E149" s="88" t="s">
        <v>208</v>
      </c>
      <c r="F149" s="88" t="s">
        <v>200</v>
      </c>
      <c r="G149" s="46"/>
      <c r="H149" s="101" t="str">
        <f>if($D149="Ações Americanas", HLOOKUP("PTAX",'Histórico'!$A$1:$EL$983,(MATCH(B149,'Histórico'!A:A))-1,""),
if($D149="Ações Europeias", HLOOKUP("EUR/BRL",'Histórico'!$A$1:$EL$983,(MATCH(B149,'Histórico'!A:A))-1,""),""))</f>
        <v/>
      </c>
      <c r="I149" s="110">
        <f t="array" ref="I149">IF(ISTEXT(C149),xlookup(C149,'Cadastro dos Ativos'!$A$2:$A$1000,'Cadastro dos Ativos'!$D$2:$D$1000),"")</f>
        <v>45110</v>
      </c>
      <c r="J149" s="88">
        <v>980.0</v>
      </c>
      <c r="K149" s="47">
        <f t="array" ref="K149">if(and(J149&lt;&gt;"",D149&lt;&gt;"Futuros"),
if(F149=Controle!$C$2, M149/xlookup(workday(B149,-1,Feriados!A:A),Controle!$B$10:$B$1000,Controle!$C$10:$C$1000),
if(F149=Controle!$F$2, M149/xlookup(workday(B149,-1,Feriados!A:A),Controle!$B$10:$B$1000,Controle!$F$10:$F$1000),
if(F149=Controle!$I$2, M149/xlookup(workday(B149,-1,Feriados!A:A),Controle!$B$10:$B$1000,Controle!$I$10:$I$1000),
if(F149=Controle!$L$2, M149/xlookup(workday(B149,-1,Feriados!A:A),Controle!$B$10:$B$1000,Controle!$L$10:$L$1000),
)))),
if(and(J149&lt;&gt;"",D149="Futuros"),
if(F149=Controle!$C$2, N149/xlookup(workday(B149,-1,Feriados!A:A),Controle!$B$10:$B$1000,Controle!$C$10:$C$1000),
if(F149=Controle!$F$2, N149/xlookup(workday(B149,-1,Feriados!A:A),Controle!$B$10:$B$1000,Controle!$F$10:$F$1000),
if(F149=Controle!$I$2, N149/xlookup(workday(B149,-1,Feriados!A:A),Controle!$B$10:$B$1000,Controle!$I$10:$I$1000),
if(F149=Controle!$L$2, N149/xlookup(workday(B149,-1,Feriados!A:A),Controle!$B$10:$B$1000,Controle!$L$10:$L$1000),
)))),""))</f>
        <v>0.455266044</v>
      </c>
      <c r="L149" s="47">
        <f t="array" ref="L149">IF($J149&lt;&gt;"", IF($D149 = "Futuros" , $N149/xlookup(WORKDAY(B149,-1,Feriados!A:A),Controle!$B$10:$B$1000,Controle!$T$10:$T$1000) , $M149/xlookup(WORKDAY(B149,-1,Feriados!A:A),Controle!$B$10:$B$1000,Controle!$T$10:$T$1000)),"")</f>
        <v>0.1139693852</v>
      </c>
      <c r="M149" s="48" t="str">
        <f t="shared" si="4"/>
        <v/>
      </c>
      <c r="N149" s="48">
        <f>IFERROR(IF(D149="Futuros",
IF(LEFT(C149,3)="DI1",G149*O149,
IF(LEFT(C149,3)="ISP",G149*O149*HLOOKUP("PTAX",'Histórico'!$A$1:$EL$983,MATCH(B149,'Histórico'!A:A),FALSE)*50,
IF(LEFT(C149,3)="WDO",10*G149*O149*HLOOKUP("PTAX",'Histórico'!$A$1:$EL$983,MATCH(B149,'Histórico'!A:A),FALSE),
IF(LEFT(C149,3)="DOL",50*G149*O149,
IF(LEFT(C149,3)="EUR",G149*O149*50,
IF(LEFT(C149,3)="WEU",G149*O149*10,
IF(LEFT(C149,3)="IND",G149*O149,
IF(LEFT(C149,3)="WIN",G149*O149*0.2,
IF(LEFT(C149,3)="T10",G149*O149*1000*HLOOKUP("PTAX",'Histórico'!$A$1:$EL$983,MATCH(B149,'Histórico'!A:A),FALSE),
IF(LEFT(C149,3)="CCM",G149*O149*450,
IF(LEFT(C149,3)="SJC",G149*O149*HLOOKUP("PTAX",'Histórico'!$A$1:$EL$983,MATCH(B149,'Histórico'!A:A),FALSE)*450,
IF(LEFT(C149,3)="BGI",G149*O149*330,
IF(LEFT(C149,3)="OZ1",G149*O149*250,
IF(LEFT(C149,3)="CLP",G149*O149*25,
IF(LEFT(C149,3)="EUP", O149*10000*HLOOKUP("EUR/BRL",'Histórico'!$A$1:$EL$983,MATCH(B149,'Histórico'!A:A),FALSE),
IF(LEFT(C149,3)="JSE", G149*O149*0.4,
IF(LEFT(C149,3)="GBP", O149*10000*HLOOKUP("GBP/BRL",'Histórico'!$A$1:$FG$983,MATCH(B149,'Histórico'!A:A),FALSE),
IF(LEFT(C149,3)="JAP",O149*10000*HLOOKUP("PTAX",'Histórico'!$A$1:$FG$983,MATCH(B149,'Histórico'!A:A),FALSE),
IF(LEFT(C149,3)="CNH",O149*10000*HLOOKUP("PTAX",'Histórico'!$A$1:$FG$983,MATCH(B149,'Histórico'!A:A),FALSE),
IF(LEFT(C149,3)="AUS",O149*10000*HLOOKUP("PTAX",'Histórico'!$A$1:$FG$983,MATCH(B149,'Histórico'!A:A),FALSE),
IF(LEFT(C149,3)="CAN",O149*10000*HLOOKUP("PTAX",'Histórico'!$A$1:$FG$983,MATCH(B149,'Histórico'!A:A),FALSE),
IF(LEFT(C149,3)="GBR",O149*10000*HLOOKUP("GBP/BRL",'Histórico'!$A$1:$FG$983,MATCH(B149,'Histórico'!A:A),FALSE),
IF(LEFT(C149,3)="MEX",O149*10000*HLOOKUP("PTAX",'Histórico'!$A$1:$FG$983,MATCH(B149,'Histórico'!A:A),FALSE),
IF(LEFT(C149,3)="CHL",O149*10000*HLOOKUP("PTAX",'Histórico'!$A$1:$FG$983,MATCH(B149,'Histórico'!A:A),FALSE)
)))))))))))))))))))))))),""))</f>
        <v>47492760</v>
      </c>
      <c r="O149" s="49">
        <f t="shared" si="2"/>
        <v>980</v>
      </c>
      <c r="P149" s="49">
        <f t="shared" si="5"/>
        <v>0</v>
      </c>
      <c r="Q149" s="51">
        <f>IF($C149&lt;&gt;"",SUMIFS($O$3:$O$401, $C$3:$C$401 ,$C149,$B$3:$B$401,"&lt;="&amp;Controle!$B$6),"")</f>
        <v>0</v>
      </c>
      <c r="R149" s="51">
        <f>IF($D149&lt;&gt;"",SUMIFS($O$3:$O$401, $C$3:$C$401 ,$C149,$B$3:$B$401,"&lt;="&amp;Controle!$B$6,$F$3:$F$401,$F149),"")</f>
        <v>0</v>
      </c>
      <c r="S149" s="51">
        <f>IF($D149&lt;&gt;"",SUMIFS($O$3:$O$401, $C$3:$C$401 ,$C149,$B$3:$B$401,"&lt;="&amp;'Controle D-1'!$B$6,$F$3:$F$401,$F149),"")</f>
        <v>0</v>
      </c>
      <c r="T149" s="40"/>
      <c r="U149" s="40"/>
      <c r="V149" s="40"/>
      <c r="W149" s="40"/>
      <c r="X149" s="40"/>
      <c r="Y149" s="40"/>
      <c r="Z149" s="40"/>
      <c r="AA149" s="40"/>
      <c r="AB149" s="40"/>
      <c r="AC149" s="40"/>
    </row>
    <row r="150" ht="15.75" customHeight="1">
      <c r="A150" s="28"/>
      <c r="B150" s="100">
        <v>45091.0</v>
      </c>
      <c r="C150" s="88" t="s">
        <v>7</v>
      </c>
      <c r="D150" s="88" t="str">
        <f>IF(ISTEXT(C150),VLOOKUP(C150,'Cadastro dos Ativos'!$A$2:$C$1000,3,0),"")</f>
        <v>Ações Americanas</v>
      </c>
      <c r="E150" s="88" t="s">
        <v>198</v>
      </c>
      <c r="F150" s="88" t="s">
        <v>199</v>
      </c>
      <c r="G150" s="46">
        <v>438.97</v>
      </c>
      <c r="H150" s="101">
        <f>if($D150="Ações Americanas", HLOOKUP("PTAX",'Histórico'!$A$1:$EL$983,(MATCH(B150,'Histórico'!A:A))-1,""),
if($D150="Ações Europeias", HLOOKUP("EUR/BRL",'Histórico'!$A$1:$EL$983,(MATCH(B150,'Histórico'!A:A))-1,""),""))</f>
        <v>4.8533</v>
      </c>
      <c r="I150" s="88" t="str">
        <f t="array" ref="I150">IF(ISTEXT(C150),xlookup(C150,'Cadastro dos Ativos'!$A$2:$A$1000,'Cadastro dos Ativos'!$D$2:$D$1000),"")</f>
        <v/>
      </c>
      <c r="J150" s="88">
        <v>7500.0</v>
      </c>
      <c r="K150" s="47">
        <f t="array" ref="K150">if(and(J150&lt;&gt;"",D150&lt;&gt;"Futuros"),
if(F150=Controle!$C$2, M150/xlookup(workday(B150,-1,Feriados!A:A),Controle!$B$10:$B$1000,Controle!$C$10:$C$1000),
if(F150=Controle!$F$2, M150/xlookup(workday(B150,-1,Feriados!A:A),Controle!$B$10:$B$1000,Controle!$F$10:$F$1000),
if(F150=Controle!$I$2, M150/xlookup(workday(B150,-1,Feriados!A:A),Controle!$B$10:$B$1000,Controle!$I$10:$I$1000),
if(F150=Controle!$L$2, M150/xlookup(workday(B150,-1,Feriados!A:A),Controle!$B$10:$B$1000,Controle!$L$10:$L$1000),
)))),
if(and(J150&lt;&gt;"",D150="Futuros"),
if(F150=Controle!$C$2, N150/xlookup(workday(B150,-1,Feriados!A:A),Controle!$B$10:$B$1000,Controle!$C$10:$C$1000),
if(F150=Controle!$F$2, N150/xlookup(workday(B150,-1,Feriados!A:A),Controle!$B$10:$B$1000,Controle!$F$10:$F$1000),
if(F150=Controle!$I$2, N150/xlookup(workday(B150,-1,Feriados!A:A),Controle!$B$10:$B$1000,Controle!$I$10:$I$1000),
if(F150=Controle!$L$2, N150/xlookup(workday(B150,-1,Feriados!A:A),Controle!$B$10:$B$1000,Controle!$L$10:$L$1000),
)))),""))</f>
        <v>0.1553051401</v>
      </c>
      <c r="L150" s="47">
        <f t="array" ref="L150">IF($J150&lt;&gt;"", IF($D150 = "Futuros" , $N150/xlookup(WORKDAY(B150,-1,Feriados!A:A),Controle!$B$10:$B$1000,Controle!$T$10:$T$1000) , $M150/xlookup(WORKDAY(B150,-1,Feriados!A:A),Controle!$B$10:$B$1000,Controle!$T$10:$T$1000)),"")</f>
        <v>0.03834370177</v>
      </c>
      <c r="M150" s="48">
        <f t="shared" si="4"/>
        <v>15978398.26</v>
      </c>
      <c r="N150" s="48" t="str">
        <f>IFERROR(IF(D150="Futuros",
IF(LEFT(C150,3)="DI1",G150*O150,
IF(LEFT(C150,3)="ISP",G150*O150*HLOOKUP("PTAX",'Histórico'!$A$1:$EL$983,MATCH(B150,'Histórico'!A:A),FALSE)*50,
IF(LEFT(C150,3)="WDO",10*G150*O150*HLOOKUP("PTAX",'Histórico'!$A$1:$EL$983,MATCH(B150,'Histórico'!A:A),FALSE),
IF(LEFT(C150,3)="DOL",50*G150*O150,
IF(LEFT(C150,3)="EUR",G150*O150*50,
IF(LEFT(C150,3)="WEU",G150*O150*10,
IF(LEFT(C150,3)="IND",G150*O150,
IF(LEFT(C150,3)="WIN",G150*O150*0.2,
IF(LEFT(C150,3)="T10",G150*O150*1000*HLOOKUP("PTAX",'Histórico'!$A$1:$EL$983,MATCH(B150,'Histórico'!A:A),FALSE),
IF(LEFT(C150,3)="CCM",G150*O150*450,
IF(LEFT(C150,3)="SJC",G150*O150*HLOOKUP("PTAX",'Histórico'!$A$1:$EL$983,MATCH(B150,'Histórico'!A:A),FALSE)*450,
IF(LEFT(C150,3)="BGI",G150*O150*330,
IF(LEFT(C150,3)="OZ1",G150*O150*250,
IF(LEFT(C150,3)="CLP",G150*O150*25,
IF(LEFT(C150,3)="EUP", O150*10000*HLOOKUP("EUR/BRL",'Histórico'!$A$1:$EL$983,MATCH(B150,'Histórico'!A:A),FALSE),
IF(LEFT(C150,3)="JSE", G150*O150*0.4,
IF(LEFT(C150,3)="GBP", O150*10000*HLOOKUP("GBP/BRL",'Histórico'!$A$1:$FG$983,MATCH(B150,'Histórico'!A:A),FALSE),
IF(LEFT(C150,3)="JAP",O150*10000*HLOOKUP("PTAX",'Histórico'!$A$1:$FG$983,MATCH(B150,'Histórico'!A:A),FALSE),
IF(LEFT(C150,3)="CNH",O150*10000*HLOOKUP("PTAX",'Histórico'!$A$1:$FG$983,MATCH(B150,'Histórico'!A:A),FALSE),
IF(LEFT(C150,3)="AUS",O150*10000*HLOOKUP("PTAX",'Histórico'!$A$1:$FG$983,MATCH(B150,'Histórico'!A:A),FALSE),
IF(LEFT(C150,3)="CAN",O150*10000*HLOOKUP("PTAX",'Histórico'!$A$1:$FG$983,MATCH(B150,'Histórico'!A:A),FALSE),
IF(LEFT(C150,3)="GBR",O150*10000*HLOOKUP("GBP/BRL",'Histórico'!$A$1:$FG$983,MATCH(B150,'Histórico'!A:A),FALSE),
IF(LEFT(C150,3)="MEX",O150*10000*HLOOKUP("PTAX",'Histórico'!$A$1:$FG$983,MATCH(B150,'Histórico'!A:A),FALSE),
IF(LEFT(C150,3)="CHL",O150*10000*HLOOKUP("PTAX",'Histórico'!$A$1:$FG$983,MATCH(B150,'Histórico'!A:A),FALSE)
)))))))))))))))))))))))),""))</f>
        <v/>
      </c>
      <c r="O150" s="49">
        <f t="shared" si="2"/>
        <v>-7500</v>
      </c>
      <c r="P150" s="49">
        <f t="shared" si="5"/>
        <v>3500</v>
      </c>
      <c r="Q150" s="51">
        <f>IF($C150&lt;&gt;"",SUMIFS($O$3:$O$401, $C$3:$C$401 ,$C150,$B$3:$B$401,"&lt;="&amp;Controle!$B$6),"")</f>
        <v>0</v>
      </c>
      <c r="R150" s="51">
        <f>IF($D150&lt;&gt;"",SUMIFS($O$3:$O$401, $C$3:$C$401 ,$C150,$B$3:$B$401,"&lt;="&amp;Controle!$B$6,$F$3:$F$401,$F150),"")</f>
        <v>0</v>
      </c>
      <c r="S150" s="51">
        <f>IF($D150&lt;&gt;"",SUMIFS($O$3:$O$401, $C$3:$C$401 ,$C150,$B$3:$B$401,"&lt;="&amp;'Controle D-1'!$B$6,$F$3:$F$401,$F150),"")</f>
        <v>0</v>
      </c>
      <c r="T150" s="40"/>
      <c r="U150" s="40"/>
      <c r="V150" s="40"/>
      <c r="W150" s="40"/>
      <c r="X150" s="40"/>
      <c r="Y150" s="40"/>
      <c r="Z150" s="40"/>
      <c r="AA150" s="40"/>
      <c r="AB150" s="40"/>
      <c r="AC150" s="40"/>
    </row>
    <row r="151" ht="15.75" customHeight="1">
      <c r="A151" s="28"/>
      <c r="B151" s="100">
        <v>45091.0</v>
      </c>
      <c r="C151" s="88" t="s">
        <v>40</v>
      </c>
      <c r="D151" s="88" t="s">
        <v>9</v>
      </c>
      <c r="E151" s="88" t="s">
        <v>208</v>
      </c>
      <c r="F151" s="88" t="s">
        <v>199</v>
      </c>
      <c r="G151" s="46">
        <v>28.39</v>
      </c>
      <c r="H151" s="101">
        <f>if($D151="Ações Americanas", HLOOKUP("PTAX",'Histórico'!$A$1:$EL$983,(MATCH(B151,'Histórico'!A:A))-1,""),
if($D151="Ações Europeias", HLOOKUP("EUR/BRL",'Histórico'!$A$1:$EL$983,(MATCH(B151,'Histórico'!A:A))-1,""),""))</f>
        <v>4.8533</v>
      </c>
      <c r="I151" s="88" t="str">
        <f t="array" ref="I151">IF(ISTEXT(C151),xlookup(C151,'Cadastro dos Ativos'!$A$2:$A$1000,'Cadastro dos Ativos'!$D$2:$D$1000),"")</f>
        <v/>
      </c>
      <c r="J151" s="88">
        <v>60000.0</v>
      </c>
      <c r="K151" s="47">
        <f t="array" ref="K151">if(and(J151&lt;&gt;"",D151&lt;&gt;"Futuros"),
if(F151=Controle!$C$2, M151/xlookup(workday(B151,-1,Feriados!A:A),Controle!$B$10:$B$1000,Controle!$C$10:$C$1000),
if(F151=Controle!$F$2, M151/xlookup(workday(B151,-1,Feriados!A:A),Controle!$B$10:$B$1000,Controle!$F$10:$F$1000),
if(F151=Controle!$I$2, M151/xlookup(workday(B151,-1,Feriados!A:A),Controle!$B$10:$B$1000,Controle!$I$10:$I$1000),
if(F151=Controle!$L$2, M151/xlookup(workday(B151,-1,Feriados!A:A),Controle!$B$10:$B$1000,Controle!$L$10:$L$1000),
)))),
if(and(J151&lt;&gt;"",D151="Futuros"),
if(F151=Controle!$C$2, N151/xlookup(workday(B151,-1,Feriados!A:A),Controle!$B$10:$B$1000,Controle!$C$10:$C$1000),
if(F151=Controle!$F$2, N151/xlookup(workday(B151,-1,Feriados!A:A),Controle!$B$10:$B$1000,Controle!$F$10:$F$1000),
if(F151=Controle!$I$2, N151/xlookup(workday(B151,-1,Feriados!A:A),Controle!$B$10:$B$1000,Controle!$I$10:$I$1000),
if(F151=Controle!$L$2, N151/xlookup(workday(B151,-1,Feriados!A:A),Controle!$B$10:$B$1000,Controle!$L$10:$L$1000),
)))),""))</f>
        <v>-0.08035379052</v>
      </c>
      <c r="L151" s="47">
        <f t="array" ref="L151">IF($J151&lt;&gt;"", IF($D151 = "Futuros" , $N151/xlookup(WORKDAY(B151,-1,Feriados!A:A),Controle!$B$10:$B$1000,Controle!$T$10:$T$1000) , $M151/xlookup(WORKDAY(B151,-1,Feriados!A:A),Controle!$B$10:$B$1000,Controle!$T$10:$T$1000)),"")</f>
        <v>-0.01983876243</v>
      </c>
      <c r="M151" s="48">
        <f t="shared" si="4"/>
        <v>-8267111.22</v>
      </c>
      <c r="N151" s="48" t="str">
        <f>IFERROR(IF(D151="Futuros",
IF(LEFT(C151,3)="DI1",G151*O151,
IF(LEFT(C151,3)="ISP",G151*O151*HLOOKUP("PTAX",'Histórico'!$A$1:$EL$983,MATCH(B151,'Histórico'!A:A),FALSE)*50,
IF(LEFT(C151,3)="WDO",10*G151*O151*HLOOKUP("PTAX",'Histórico'!$A$1:$EL$983,MATCH(B151,'Histórico'!A:A),FALSE),
IF(LEFT(C151,3)="DOL",50*G151*O151,
IF(LEFT(C151,3)="EUR",G151*O151*50,
IF(LEFT(C151,3)="WEU",G151*O151*10,
IF(LEFT(C151,3)="IND",G151*O151,
IF(LEFT(C151,3)="WIN",G151*O151*0.2,
IF(LEFT(C151,3)="T10",G151*O151*1000*HLOOKUP("PTAX",'Histórico'!$A$1:$EL$983,MATCH(B151,'Histórico'!A:A),FALSE),
IF(LEFT(C151,3)="CCM",G151*O151*450,
IF(LEFT(C151,3)="SJC",G151*O151*HLOOKUP("PTAX",'Histórico'!$A$1:$EL$983,MATCH(B151,'Histórico'!A:A),FALSE)*450,
IF(LEFT(C151,3)="BGI",G151*O151*330,
IF(LEFT(C151,3)="OZ1",G151*O151*250,
IF(LEFT(C151,3)="CLP",G151*O151*25,
IF(LEFT(C151,3)="EUP", O151*10000*HLOOKUP("EUR/BRL",'Histórico'!$A$1:$EL$983,MATCH(B151,'Histórico'!A:A),FALSE),
IF(LEFT(C151,3)="JSE", G151*O151*0.4,
IF(LEFT(C151,3)="GBP", O151*10000*HLOOKUP("GBP/BRL",'Histórico'!$A$1:$FG$983,MATCH(B151,'Histórico'!A:A),FALSE),
IF(LEFT(C151,3)="JAP",O151*10000*HLOOKUP("PTAX",'Histórico'!$A$1:$FG$983,MATCH(B151,'Histórico'!A:A),FALSE),
IF(LEFT(C151,3)="CNH",O151*10000*HLOOKUP("PTAX",'Histórico'!$A$1:$FG$983,MATCH(B151,'Histórico'!A:A),FALSE),
IF(LEFT(C151,3)="AUS",O151*10000*HLOOKUP("PTAX",'Histórico'!$A$1:$FG$983,MATCH(B151,'Histórico'!A:A),FALSE),
IF(LEFT(C151,3)="CAN",O151*10000*HLOOKUP("PTAX",'Histórico'!$A$1:$FG$983,MATCH(B151,'Histórico'!A:A),FALSE),
IF(LEFT(C151,3)="GBR",O151*10000*HLOOKUP("GBP/BRL",'Histórico'!$A$1:$FG$983,MATCH(B151,'Histórico'!A:A),FALSE),
IF(LEFT(C151,3)="MEX",O151*10000*HLOOKUP("PTAX",'Histórico'!$A$1:$FG$983,MATCH(B151,'Histórico'!A:A),FALSE),
IF(LEFT(C151,3)="CHL",O151*10000*HLOOKUP("PTAX",'Histórico'!$A$1:$FG$983,MATCH(B151,'Histórico'!A:A),FALSE)
)))))))))))))))))))))))),""))</f>
        <v/>
      </c>
      <c r="O151" s="49">
        <f t="shared" si="2"/>
        <v>60000</v>
      </c>
      <c r="P151" s="49">
        <f t="shared" si="5"/>
        <v>0</v>
      </c>
      <c r="Q151" s="51">
        <f>IF($C151&lt;&gt;"",SUMIFS($O$3:$O$401, $C$3:$C$401 ,$C151,$B$3:$B$401,"&lt;="&amp;Controle!$B$6),"")</f>
        <v>0</v>
      </c>
      <c r="R151" s="51">
        <f>IF($D151&lt;&gt;"",SUMIFS($O$3:$O$401, $C$3:$C$401 ,$C151,$B$3:$B$401,"&lt;="&amp;Controle!$B$6,$F$3:$F$401,$F151),"")</f>
        <v>0</v>
      </c>
      <c r="S151" s="51">
        <f>IF($D151&lt;&gt;"",SUMIFS($O$3:$O$401, $C$3:$C$401 ,$C151,$B$3:$B$401,"&lt;="&amp;'Controle D-1'!$B$6,$F$3:$F$401,$F151),"")</f>
        <v>0</v>
      </c>
      <c r="T151" s="40"/>
      <c r="U151" s="40"/>
      <c r="V151" s="40"/>
      <c r="W151" s="40"/>
      <c r="X151" s="40"/>
      <c r="Y151" s="40"/>
      <c r="Z151" s="40"/>
      <c r="AA151" s="40"/>
      <c r="AB151" s="40"/>
      <c r="AC151" s="40"/>
    </row>
    <row r="152" ht="15.75" customHeight="1">
      <c r="A152" s="28"/>
      <c r="B152" s="100">
        <v>45091.0</v>
      </c>
      <c r="C152" s="88" t="s">
        <v>44</v>
      </c>
      <c r="D152" s="88" t="s">
        <v>9</v>
      </c>
      <c r="E152" s="88" t="s">
        <v>208</v>
      </c>
      <c r="F152" s="88" t="s">
        <v>199</v>
      </c>
      <c r="G152" s="46">
        <v>30.72</v>
      </c>
      <c r="H152" s="101">
        <v>4.85</v>
      </c>
      <c r="I152" s="88" t="str">
        <f t="array" ref="I152">IF(ISTEXT(C152),xlookup(C152,'Cadastro dos Ativos'!$A$2:$A$1000,'Cadastro dos Ativos'!$D$2:$D$1000),"")</f>
        <v/>
      </c>
      <c r="J152" s="88">
        <v>60000.0</v>
      </c>
      <c r="K152" s="47">
        <f t="array" ref="K152">if(and(J152&lt;&gt;"",D152&lt;&gt;"Futuros"),
if(F152=Controle!$C$2, M152/xlookup(workday(B152,-1,Feriados!A:A),Controle!$B$10:$B$1000,Controle!$C$10:$C$1000),
if(F152=Controle!$F$2, M152/xlookup(workday(B152,-1,Feriados!A:A),Controle!$B$10:$B$1000,Controle!$F$10:$F$1000),
if(F152=Controle!$I$2, M152/xlookup(workday(B152,-1,Feriados!A:A),Controle!$B$10:$B$1000,Controle!$I$10:$I$1000),
if(F152=Controle!$L$2, M152/xlookup(workday(B152,-1,Feriados!A:A),Controle!$B$10:$B$1000,Controle!$L$10:$L$1000),
)))),
if(and(J152&lt;&gt;"",D152="Futuros"),
if(F152=Controle!$C$2, N152/xlookup(workday(B152,-1,Feriados!A:A),Controle!$B$10:$B$1000,Controle!$C$10:$C$1000),
if(F152=Controle!$F$2, N152/xlookup(workday(B152,-1,Feriados!A:A),Controle!$B$10:$B$1000,Controle!$F$10:$F$1000),
if(F152=Controle!$I$2, N152/xlookup(workday(B152,-1,Feriados!A:A),Controle!$B$10:$B$1000,Controle!$I$10:$I$1000),
if(F152=Controle!$L$2, N152/xlookup(workday(B152,-1,Feriados!A:A),Controle!$B$10:$B$1000,Controle!$L$10:$L$1000),
)))),""))</f>
        <v>-0.08688939804</v>
      </c>
      <c r="L152" s="47">
        <f t="array" ref="L152">IF($J152&lt;&gt;"", IF($D152 = "Futuros" , $N152/xlookup(WORKDAY(B152,-1,Feriados!A:A),Controle!$B$10:$B$1000,Controle!$T$10:$T$1000) , $M152/xlookup(WORKDAY(B152,-1,Feriados!A:A),Controle!$B$10:$B$1000,Controle!$T$10:$T$1000)),"")</f>
        <v>-0.02145235607</v>
      </c>
      <c r="M152" s="48">
        <f t="shared" si="4"/>
        <v>-8939520</v>
      </c>
      <c r="N152" s="48" t="str">
        <f>IFERROR(IF(D152="Futuros",
IF(LEFT(C152,3)="DI1",G152*O152,
IF(LEFT(C152,3)="ISP",G152*O152*HLOOKUP("PTAX",'Histórico'!$A$1:$EL$983,MATCH(B152,'Histórico'!A:A),FALSE)*50,
IF(LEFT(C152,3)="WDO",10*G152*O152*HLOOKUP("PTAX",'Histórico'!$A$1:$EL$983,MATCH(B152,'Histórico'!A:A),FALSE),
IF(LEFT(C152,3)="DOL",50*G152*O152,
IF(LEFT(C152,3)="EUR",G152*O152*50,
IF(LEFT(C152,3)="WEU",G152*O152*10,
IF(LEFT(C152,3)="IND",G152*O152,
IF(LEFT(C152,3)="WIN",G152*O152*0.2,
IF(LEFT(C152,3)="T10",G152*O152*1000*HLOOKUP("PTAX",'Histórico'!$A$1:$EL$983,MATCH(B152,'Histórico'!A:A),FALSE),
IF(LEFT(C152,3)="CCM",G152*O152*450,
IF(LEFT(C152,3)="SJC",G152*O152*HLOOKUP("PTAX",'Histórico'!$A$1:$EL$983,MATCH(B152,'Histórico'!A:A),FALSE)*450,
IF(LEFT(C152,3)="BGI",G152*O152*330,
IF(LEFT(C152,3)="OZ1",G152*O152*250,
IF(LEFT(C152,3)="CLP",G152*O152*25,
IF(LEFT(C152,3)="EUP", O152*10000*HLOOKUP("EUR/BRL",'Histórico'!$A$1:$EL$983,MATCH(B152,'Histórico'!A:A),FALSE),
IF(LEFT(C152,3)="JSE", G152*O152*0.4,
IF(LEFT(C152,3)="GBP", O152*10000*HLOOKUP("GBP/BRL",'Histórico'!$A$1:$FG$983,MATCH(B152,'Histórico'!A:A),FALSE),
IF(LEFT(C152,3)="JAP",O152*10000*HLOOKUP("PTAX",'Histórico'!$A$1:$FG$983,MATCH(B152,'Histórico'!A:A),FALSE),
IF(LEFT(C152,3)="CNH",O152*10000*HLOOKUP("PTAX",'Histórico'!$A$1:$FG$983,MATCH(B152,'Histórico'!A:A),FALSE),
IF(LEFT(C152,3)="AUS",O152*10000*HLOOKUP("PTAX",'Histórico'!$A$1:$FG$983,MATCH(B152,'Histórico'!A:A),FALSE),
IF(LEFT(C152,3)="CAN",O152*10000*HLOOKUP("PTAX",'Histórico'!$A$1:$FG$983,MATCH(B152,'Histórico'!A:A),FALSE),
IF(LEFT(C152,3)="GBR",O152*10000*HLOOKUP("GBP/BRL",'Histórico'!$A$1:$FG$983,MATCH(B152,'Histórico'!A:A),FALSE),
IF(LEFT(C152,3)="MEX",O152*10000*HLOOKUP("PTAX",'Histórico'!$A$1:$FG$983,MATCH(B152,'Histórico'!A:A),FALSE),
IF(LEFT(C152,3)="CHL",O152*10000*HLOOKUP("PTAX",'Histórico'!$A$1:$FG$983,MATCH(B152,'Histórico'!A:A),FALSE)
)))))))))))))))))))))))),""))</f>
        <v/>
      </c>
      <c r="O152" s="49">
        <f t="shared" si="2"/>
        <v>60000</v>
      </c>
      <c r="P152" s="49">
        <f t="shared" si="5"/>
        <v>0</v>
      </c>
      <c r="Q152" s="51">
        <f>IF($C152&lt;&gt;"",SUMIFS($O$3:$O$401, $C$3:$C$401 ,$C152,$B$3:$B$401,"&lt;="&amp;Controle!$B$6),"")</f>
        <v>0</v>
      </c>
      <c r="R152" s="51">
        <f>IF($D152&lt;&gt;"",SUMIFS($O$3:$O$401, $C$3:$C$401 ,$C152,$B$3:$B$401,"&lt;="&amp;Controle!$B$6,$F$3:$F$401,$F152),"")</f>
        <v>0</v>
      </c>
      <c r="S152" s="51">
        <f>IF($D152&lt;&gt;"",SUMIFS($O$3:$O$401, $C$3:$C$401 ,$C152,$B$3:$B$401,"&lt;="&amp;'Controle D-1'!$B$6,$F$3:$F$401,$F152),"")</f>
        <v>0</v>
      </c>
      <c r="T152" s="40"/>
      <c r="U152" s="40"/>
      <c r="V152" s="40"/>
      <c r="W152" s="40"/>
      <c r="X152" s="40"/>
      <c r="Y152" s="40"/>
      <c r="Z152" s="40"/>
      <c r="AA152" s="40"/>
      <c r="AB152" s="40"/>
      <c r="AC152" s="40"/>
    </row>
    <row r="153" ht="15.75" customHeight="1">
      <c r="A153" s="28"/>
      <c r="B153" s="100">
        <v>45091.0</v>
      </c>
      <c r="C153" s="88" t="s">
        <v>42</v>
      </c>
      <c r="D153" s="88" t="s">
        <v>9</v>
      </c>
      <c r="E153" s="88" t="s">
        <v>208</v>
      </c>
      <c r="F153" s="88" t="s">
        <v>199</v>
      </c>
      <c r="G153" s="46">
        <v>27.57</v>
      </c>
      <c r="H153" s="101">
        <v>4.85</v>
      </c>
      <c r="I153" s="88" t="str">
        <f t="array" ref="I153">IF(ISTEXT(C153),xlookup(C153,'Cadastro dos Ativos'!$A$2:$A$1000,'Cadastro dos Ativos'!$D$2:$D$1000),"")</f>
        <v/>
      </c>
      <c r="J153" s="88">
        <v>60000.0</v>
      </c>
      <c r="K153" s="47">
        <f t="array" ref="K153">if(and(J153&lt;&gt;"",D153&lt;&gt;"Futuros"),
if(F153=Controle!$C$2, M153/xlookup(workday(B153,-1,Feriados!A:A),Controle!$B$10:$B$1000,Controle!$C$10:$C$1000),
if(F153=Controle!$F$2, M153/xlookup(workday(B153,-1,Feriados!A:A),Controle!$B$10:$B$1000,Controle!$F$10:$F$1000),
if(F153=Controle!$I$2, M153/xlookup(workday(B153,-1,Feriados!A:A),Controle!$B$10:$B$1000,Controle!$I$10:$I$1000),
if(F153=Controle!$L$2, M153/xlookup(workday(B153,-1,Feriados!A:A),Controle!$B$10:$B$1000,Controle!$L$10:$L$1000),
)))),
if(and(J153&lt;&gt;"",D153="Futuros"),
if(F153=Controle!$C$2, N153/xlookup(workday(B153,-1,Feriados!A:A),Controle!$B$10:$B$1000,Controle!$C$10:$C$1000),
if(F153=Controle!$F$2, N153/xlookup(workday(B153,-1,Feriados!A:A),Controle!$B$10:$B$1000,Controle!$F$10:$F$1000),
if(F153=Controle!$I$2, N153/xlookup(workday(B153,-1,Feriados!A:A),Controle!$B$10:$B$1000,Controle!$I$10:$I$1000),
if(F153=Controle!$L$2, N153/xlookup(workday(B153,-1,Feriados!A:A),Controle!$B$10:$B$1000,Controle!$L$10:$L$1000),
)))),""))</f>
        <v>-0.07797984062</v>
      </c>
      <c r="L153" s="47">
        <f t="array" ref="L153">IF($J153&lt;&gt;"", IF($D153 = "Futuros" , $N153/xlookup(WORKDAY(B153,-1,Feriados!A:A),Controle!$B$10:$B$1000,Controle!$T$10:$T$1000) , $M153/xlookup(WORKDAY(B153,-1,Feriados!A:A),Controle!$B$10:$B$1000,Controle!$T$10:$T$1000)),"")</f>
        <v>-0.01925265159</v>
      </c>
      <c r="M153" s="48">
        <f t="shared" si="4"/>
        <v>-8022870</v>
      </c>
      <c r="N153" s="48" t="str">
        <f>IFERROR(IF(D153="Futuros",
IF(LEFT(C153,3)="DI1",G153*O153,
IF(LEFT(C153,3)="ISP",G153*O153*HLOOKUP("PTAX",'Histórico'!$A$1:$EL$983,MATCH(B153,'Histórico'!A:A),FALSE)*50,
IF(LEFT(C153,3)="WDO",10*G153*O153*HLOOKUP("PTAX",'Histórico'!$A$1:$EL$983,MATCH(B153,'Histórico'!A:A),FALSE),
IF(LEFT(C153,3)="DOL",50*G153*O153,
IF(LEFT(C153,3)="EUR",G153*O153*50,
IF(LEFT(C153,3)="WEU",G153*O153*10,
IF(LEFT(C153,3)="IND",G153*O153,
IF(LEFT(C153,3)="WIN",G153*O153*0.2,
IF(LEFT(C153,3)="T10",G153*O153*1000*HLOOKUP("PTAX",'Histórico'!$A$1:$EL$983,MATCH(B153,'Histórico'!A:A),FALSE),
IF(LEFT(C153,3)="CCM",G153*O153*450,
IF(LEFT(C153,3)="SJC",G153*O153*HLOOKUP("PTAX",'Histórico'!$A$1:$EL$983,MATCH(B153,'Histórico'!A:A),FALSE)*450,
IF(LEFT(C153,3)="BGI",G153*O153*330,
IF(LEFT(C153,3)="OZ1",G153*O153*250,
IF(LEFT(C153,3)="CLP",G153*O153*25,
IF(LEFT(C153,3)="EUP", O153*10000*HLOOKUP("EUR/BRL",'Histórico'!$A$1:$EL$983,MATCH(B153,'Histórico'!A:A),FALSE),
IF(LEFT(C153,3)="JSE", G153*O153*0.4,
IF(LEFT(C153,3)="GBP", O153*10000*HLOOKUP("GBP/BRL",'Histórico'!$A$1:$FG$983,MATCH(B153,'Histórico'!A:A),FALSE),
IF(LEFT(C153,3)="JAP",O153*10000*HLOOKUP("PTAX",'Histórico'!$A$1:$FG$983,MATCH(B153,'Histórico'!A:A),FALSE),
IF(LEFT(C153,3)="CNH",O153*10000*HLOOKUP("PTAX",'Histórico'!$A$1:$FG$983,MATCH(B153,'Histórico'!A:A),FALSE),
IF(LEFT(C153,3)="AUS",O153*10000*HLOOKUP("PTAX",'Histórico'!$A$1:$FG$983,MATCH(B153,'Histórico'!A:A),FALSE),
IF(LEFT(C153,3)="CAN",O153*10000*HLOOKUP("PTAX",'Histórico'!$A$1:$FG$983,MATCH(B153,'Histórico'!A:A),FALSE),
IF(LEFT(C153,3)="GBR",O153*10000*HLOOKUP("GBP/BRL",'Histórico'!$A$1:$FG$983,MATCH(B153,'Histórico'!A:A),FALSE),
IF(LEFT(C153,3)="MEX",O153*10000*HLOOKUP("PTAX",'Histórico'!$A$1:$FG$983,MATCH(B153,'Histórico'!A:A),FALSE),
IF(LEFT(C153,3)="CHL",O153*10000*HLOOKUP("PTAX",'Histórico'!$A$1:$FG$983,MATCH(B153,'Histórico'!A:A),FALSE)
)))))))))))))))))))))))),""))</f>
        <v/>
      </c>
      <c r="O153" s="49">
        <f t="shared" si="2"/>
        <v>60000</v>
      </c>
      <c r="P153" s="49">
        <f t="shared" si="5"/>
        <v>0</v>
      </c>
      <c r="Q153" s="51">
        <f>IF($C153&lt;&gt;"",SUMIFS($O$3:$O$401, $C$3:$C$401 ,$C153,$B$3:$B$401,"&lt;="&amp;Controle!$B$6),"")</f>
        <v>0</v>
      </c>
      <c r="R153" s="51">
        <f>IF($D153&lt;&gt;"",SUMIFS($O$3:$O$401, $C$3:$C$401 ,$C153,$B$3:$B$401,"&lt;="&amp;Controle!$B$6,$F$3:$F$401,$F153),"")</f>
        <v>0</v>
      </c>
      <c r="S153" s="51">
        <f>IF($D153&lt;&gt;"",SUMIFS($O$3:$O$401, $C$3:$C$401 ,$C153,$B$3:$B$401,"&lt;="&amp;'Controle D-1'!$B$6,$F$3:$F$401,$F153),"")</f>
        <v>0</v>
      </c>
      <c r="T153" s="81"/>
      <c r="U153" s="40"/>
      <c r="V153" s="40"/>
      <c r="W153" s="40"/>
      <c r="X153" s="40"/>
      <c r="Y153" s="40"/>
      <c r="Z153" s="40"/>
      <c r="AA153" s="40"/>
      <c r="AB153" s="40"/>
      <c r="AC153" s="40"/>
    </row>
    <row r="154" ht="15.75" customHeight="1">
      <c r="A154" s="28"/>
      <c r="B154" s="100">
        <v>45091.0</v>
      </c>
      <c r="C154" s="88" t="s">
        <v>59</v>
      </c>
      <c r="D154" s="88" t="str">
        <f>IF(ISTEXT(C154),VLOOKUP(C154,'Cadastro dos Ativos'!$A$2:$C$1000,3,0),"")</f>
        <v>Ações Americanas</v>
      </c>
      <c r="E154" s="88" t="s">
        <v>208</v>
      </c>
      <c r="F154" s="88" t="s">
        <v>199</v>
      </c>
      <c r="G154" s="46">
        <v>170.65</v>
      </c>
      <c r="H154" s="101">
        <f>if($D154="Ações Americanas", HLOOKUP("PTAX",'Histórico'!$A$1:$EL$983,(MATCH(B154,'Histórico'!A:A))-1,""),
if($D154="Ações Europeias", HLOOKUP("EUR/BRL",'Histórico'!$A$1:$EL$983,(MATCH(B154,'Histórico'!A:A))-1,""),""))</f>
        <v>4.8533</v>
      </c>
      <c r="I154" s="88" t="str">
        <f t="array" ref="I154">IF(ISTEXT(C154),xlookup(C154,'Cadastro dos Ativos'!$A$2:$A$1000,'Cadastro dos Ativos'!$D$2:$D$1000),"")</f>
        <v/>
      </c>
      <c r="J154" s="88">
        <v>15000.0</v>
      </c>
      <c r="K154" s="47">
        <f t="array" ref="K154">if(and(J154&lt;&gt;"",D154&lt;&gt;"Futuros"),
if(F154=Controle!$C$2, M154/xlookup(workday(B154,-1,Feriados!A:A),Controle!$B$10:$B$1000,Controle!$C$10:$C$1000),
if(F154=Controle!$F$2, M154/xlookup(workday(B154,-1,Feriados!A:A),Controle!$B$10:$B$1000,Controle!$F$10:$F$1000),
if(F154=Controle!$I$2, M154/xlookup(workday(B154,-1,Feriados!A:A),Controle!$B$10:$B$1000,Controle!$I$10:$I$1000),
if(F154=Controle!$L$2, M154/xlookup(workday(B154,-1,Feriados!A:A),Controle!$B$10:$B$1000,Controle!$L$10:$L$1000),
)))),
if(and(J154&lt;&gt;"",D154="Futuros"),
if(F154=Controle!$C$2, N154/xlookup(workday(B154,-1,Feriados!A:A),Controle!$B$10:$B$1000,Controle!$C$10:$C$1000),
if(F154=Controle!$F$2, N154/xlookup(workday(B154,-1,Feriados!A:A),Controle!$B$10:$B$1000,Controle!$F$10:$F$1000),
if(F154=Controle!$I$2, N154/xlookup(workday(B154,-1,Feriados!A:A),Controle!$B$10:$B$1000,Controle!$I$10:$I$1000),
if(F154=Controle!$L$2, N154/xlookup(workday(B154,-1,Feriados!A:A),Controle!$B$10:$B$1000,Controle!$L$10:$L$1000),
)))),""))</f>
        <v>-0.1207500383</v>
      </c>
      <c r="L154" s="47">
        <f t="array" ref="L154">IF($J154&lt;&gt;"", IF($D154 = "Futuros" , $N154/xlookup(WORKDAY(B154,-1,Feriados!A:A),Controle!$B$10:$B$1000,Controle!$T$10:$T$1000) , $M154/xlookup(WORKDAY(B154,-1,Feriados!A:A),Controle!$B$10:$B$1000,Controle!$T$10:$T$1000)),"")</f>
        <v>-0.02981230019</v>
      </c>
      <c r="M154" s="48">
        <f t="shared" si="4"/>
        <v>-12423234.68</v>
      </c>
      <c r="N154" s="48" t="str">
        <f>IFERROR(IF(D154="Futuros",
IF(LEFT(C154,3)="DI1",G154*O154,
IF(LEFT(C154,3)="ISP",G154*O154*HLOOKUP("PTAX",'Histórico'!$A$1:$EL$983,MATCH(B154,'Histórico'!A:A),FALSE)*50,
IF(LEFT(C154,3)="WDO",10*G154*O154*HLOOKUP("PTAX",'Histórico'!$A$1:$EL$983,MATCH(B154,'Histórico'!A:A),FALSE),
IF(LEFT(C154,3)="DOL",50*G154*O154,
IF(LEFT(C154,3)="EUR",G154*O154*50,
IF(LEFT(C154,3)="WEU",G154*O154*10,
IF(LEFT(C154,3)="IND",G154*O154,
IF(LEFT(C154,3)="WIN",G154*O154*0.2,
IF(LEFT(C154,3)="T10",G154*O154*1000*HLOOKUP("PTAX",'Histórico'!$A$1:$EL$983,MATCH(B154,'Histórico'!A:A),FALSE),
IF(LEFT(C154,3)="CCM",G154*O154*450,
IF(LEFT(C154,3)="SJC",G154*O154*HLOOKUP("PTAX",'Histórico'!$A$1:$EL$983,MATCH(B154,'Histórico'!A:A),FALSE)*450,
IF(LEFT(C154,3)="BGI",G154*O154*330,
IF(LEFT(C154,3)="OZ1",G154*O154*250,
IF(LEFT(C154,3)="CLP",G154*O154*25,
IF(LEFT(C154,3)="EUP", O154*10000*HLOOKUP("EUR/BRL",'Histórico'!$A$1:$EL$983,MATCH(B154,'Histórico'!A:A),FALSE),
IF(LEFT(C154,3)="JSE", G154*O154*0.4,
IF(LEFT(C154,3)="GBP", O154*10000*HLOOKUP("GBP/BRL",'Histórico'!$A$1:$FG$983,MATCH(B154,'Histórico'!A:A),FALSE),
IF(LEFT(C154,3)="JAP",O154*10000*HLOOKUP("PTAX",'Histórico'!$A$1:$FG$983,MATCH(B154,'Histórico'!A:A),FALSE),
IF(LEFT(C154,3)="CNH",O154*10000*HLOOKUP("PTAX",'Histórico'!$A$1:$FG$983,MATCH(B154,'Histórico'!A:A),FALSE),
IF(LEFT(C154,3)="AUS",O154*10000*HLOOKUP("PTAX",'Histórico'!$A$1:$FG$983,MATCH(B154,'Histórico'!A:A),FALSE),
IF(LEFT(C154,3)="CAN",O154*10000*HLOOKUP("PTAX",'Histórico'!$A$1:$FG$983,MATCH(B154,'Histórico'!A:A),FALSE),
IF(LEFT(C154,3)="GBR",O154*10000*HLOOKUP("GBP/BRL",'Histórico'!$A$1:$FG$983,MATCH(B154,'Histórico'!A:A),FALSE),
IF(LEFT(C154,3)="MEX",O154*10000*HLOOKUP("PTAX",'Histórico'!$A$1:$FG$983,MATCH(B154,'Histórico'!A:A),FALSE),
IF(LEFT(C154,3)="CHL",O154*10000*HLOOKUP("PTAX",'Histórico'!$A$1:$FG$983,MATCH(B154,'Histórico'!A:A),FALSE)
)))))))))))))))))))))))),""))</f>
        <v/>
      </c>
      <c r="O154" s="49">
        <f t="shared" si="2"/>
        <v>15000</v>
      </c>
      <c r="P154" s="49">
        <f t="shared" si="5"/>
        <v>0</v>
      </c>
      <c r="Q154" s="51">
        <f>IF($C154&lt;&gt;"",SUMIFS($O$3:$O$401, $C$3:$C$401 ,$C154,$B$3:$B$401,"&lt;="&amp;Controle!$B$6),"")</f>
        <v>0</v>
      </c>
      <c r="R154" s="51">
        <f>IF($D154&lt;&gt;"",SUMIFS($O$3:$O$401, $C$3:$C$401 ,$C154,$B$3:$B$401,"&lt;="&amp;Controle!$B$6,$F$3:$F$401,$F154),"")</f>
        <v>0</v>
      </c>
      <c r="S154" s="51">
        <f>IF($D154&lt;&gt;"",SUMIFS($O$3:$O$401, $C$3:$C$401 ,$C154,$B$3:$B$401,"&lt;="&amp;'Controle D-1'!$B$6,$F$3:$F$401,$F154),"")</f>
        <v>0</v>
      </c>
      <c r="T154" s="40"/>
      <c r="U154" s="40"/>
      <c r="V154" s="40"/>
      <c r="W154" s="40"/>
      <c r="X154" s="40"/>
      <c r="Y154" s="40"/>
      <c r="Z154" s="40"/>
      <c r="AA154" s="40"/>
      <c r="AB154" s="40"/>
      <c r="AC154" s="40"/>
    </row>
    <row r="155" ht="15.75" customHeight="1">
      <c r="A155" s="28"/>
      <c r="B155" s="100">
        <v>45091.0</v>
      </c>
      <c r="C155" s="88" t="s">
        <v>84</v>
      </c>
      <c r="D155" s="88" t="str">
        <f>IF(ISTEXT(C155),VLOOKUP(C155,'Cadastro dos Ativos'!$A$2:$C$1000,3,0),"")</f>
        <v>Ações Listadas na B3</v>
      </c>
      <c r="E155" s="88" t="s">
        <v>208</v>
      </c>
      <c r="F155" s="88" t="s">
        <v>199</v>
      </c>
      <c r="G155" s="46">
        <v>113.69</v>
      </c>
      <c r="H155" s="101" t="str">
        <f>if($D155="Ações Americanas", HLOOKUP("PTAX",'Histórico'!$A$1:$EL$983,(MATCH(B155,'Histórico'!A:A))-1,""),
if($D155="Ações Europeias", HLOOKUP("EUR/BRL",'Histórico'!$A$1:$EL$983,(MATCH(B155,'Histórico'!A:A))-1,""),""))</f>
        <v/>
      </c>
      <c r="I155" s="88" t="str">
        <f t="array" ref="I155">IF(ISTEXT(C155),xlookup(C155,'Cadastro dos Ativos'!$A$2:$A$1000,'Cadastro dos Ativos'!$D$2:$D$1000),"")</f>
        <v/>
      </c>
      <c r="J155" s="88">
        <v>100000.0</v>
      </c>
      <c r="K155" s="47">
        <f t="array" ref="K155">if(and(J155&lt;&gt;"",D155&lt;&gt;"Futuros"),
if(F155=Controle!$C$2, M155/xlookup(workday(B155,-1,Feriados!A:A),Controle!$B$10:$B$1000,Controle!$C$10:$C$1000),
if(F155=Controle!$F$2, M155/xlookup(workday(B155,-1,Feriados!A:A),Controle!$B$10:$B$1000,Controle!$F$10:$F$1000),
if(F155=Controle!$I$2, M155/xlookup(workday(B155,-1,Feriados!A:A),Controle!$B$10:$B$1000,Controle!$I$10:$I$1000),
if(F155=Controle!$L$2, M155/xlookup(workday(B155,-1,Feriados!A:A),Controle!$B$10:$B$1000,Controle!$L$10:$L$1000),
)))),
if(and(J155&lt;&gt;"",D155="Futuros"),
if(F155=Controle!$C$2, N155/xlookup(workday(B155,-1,Feriados!A:A),Controle!$B$10:$B$1000,Controle!$C$10:$C$1000),
if(F155=Controle!$F$2, N155/xlookup(workday(B155,-1,Feriados!A:A),Controle!$B$10:$B$1000,Controle!$F$10:$F$1000),
if(F155=Controle!$I$2, N155/xlookup(workday(B155,-1,Feriados!A:A),Controle!$B$10:$B$1000,Controle!$I$10:$I$1000),
if(F155=Controle!$L$2, N155/xlookup(workday(B155,-1,Feriados!A:A),Controle!$B$10:$B$1000,Controle!$L$10:$L$1000),
)))),""))</f>
        <v>-0.1105032</v>
      </c>
      <c r="L155" s="47">
        <f t="array" ref="L155">IF($J155&lt;&gt;"", IF($D155 = "Futuros" , $N155/xlookup(WORKDAY(B155,-1,Feriados!A:A),Controle!$B$10:$B$1000,Controle!$T$10:$T$1000) , $M155/xlookup(WORKDAY(B155,-1,Feriados!A:A),Controle!$B$10:$B$1000,Controle!$T$10:$T$1000)),"")</f>
        <v>-0.02728243084</v>
      </c>
      <c r="M155" s="48">
        <f t="shared" si="4"/>
        <v>-11369000</v>
      </c>
      <c r="N155" s="48" t="str">
        <f>IFERROR(IF(D155="Futuros",
IF(LEFT(C155,3)="DI1",G155*O155,
IF(LEFT(C155,3)="ISP",G155*O155*HLOOKUP("PTAX",'Histórico'!$A$1:$EL$983,MATCH(B155,'Histórico'!A:A),FALSE)*50,
IF(LEFT(C155,3)="WDO",10*G155*O155*HLOOKUP("PTAX",'Histórico'!$A$1:$EL$983,MATCH(B155,'Histórico'!A:A),FALSE),
IF(LEFT(C155,3)="DOL",50*G155*O155,
IF(LEFT(C155,3)="EUR",G155*O155*50,
IF(LEFT(C155,3)="WEU",G155*O155*10,
IF(LEFT(C155,3)="IND",G155*O155,
IF(LEFT(C155,3)="WIN",G155*O155*0.2,
IF(LEFT(C155,3)="T10",G155*O155*1000*HLOOKUP("PTAX",'Histórico'!$A$1:$EL$983,MATCH(B155,'Histórico'!A:A),FALSE),
IF(LEFT(C155,3)="CCM",G155*O155*450,
IF(LEFT(C155,3)="SJC",G155*O155*HLOOKUP("PTAX",'Histórico'!$A$1:$EL$983,MATCH(B155,'Histórico'!A:A),FALSE)*450,
IF(LEFT(C155,3)="BGI",G155*O155*330,
IF(LEFT(C155,3)="OZ1",G155*O155*250,
IF(LEFT(C155,3)="CLP",G155*O155*25,
IF(LEFT(C155,3)="EUP", O155*10000*HLOOKUP("EUR/BRL",'Histórico'!$A$1:$EL$983,MATCH(B155,'Histórico'!A:A),FALSE),
IF(LEFT(C155,3)="JSE", G155*O155*0.4,
IF(LEFT(C155,3)="GBP", O155*10000*HLOOKUP("GBP/BRL",'Histórico'!$A$1:$FG$983,MATCH(B155,'Histórico'!A:A),FALSE),
IF(LEFT(C155,3)="JAP",O155*10000*HLOOKUP("PTAX",'Histórico'!$A$1:$FG$983,MATCH(B155,'Histórico'!A:A),FALSE),
IF(LEFT(C155,3)="CNH",O155*10000*HLOOKUP("PTAX",'Histórico'!$A$1:$FG$983,MATCH(B155,'Histórico'!A:A),FALSE),
IF(LEFT(C155,3)="AUS",O155*10000*HLOOKUP("PTAX",'Histórico'!$A$1:$FG$983,MATCH(B155,'Histórico'!A:A),FALSE),
IF(LEFT(C155,3)="CAN",O155*10000*HLOOKUP("PTAX",'Histórico'!$A$1:$FG$983,MATCH(B155,'Histórico'!A:A),FALSE),
IF(LEFT(C155,3)="GBR",O155*10000*HLOOKUP("GBP/BRL",'Histórico'!$A$1:$FG$983,MATCH(B155,'Histórico'!A:A),FALSE),
IF(LEFT(C155,3)="MEX",O155*10000*HLOOKUP("PTAX",'Histórico'!$A$1:$FG$983,MATCH(B155,'Histórico'!A:A),FALSE),
IF(LEFT(C155,3)="CHL",O155*10000*HLOOKUP("PTAX",'Histórico'!$A$1:$FG$983,MATCH(B155,'Histórico'!A:A),FALSE)
)))))))))))))))))))))))),""))</f>
        <v/>
      </c>
      <c r="O155" s="49">
        <f t="shared" si="2"/>
        <v>100000</v>
      </c>
      <c r="P155" s="49">
        <f t="shared" si="5"/>
        <v>-85000</v>
      </c>
      <c r="Q155" s="51">
        <f>IF($C155&lt;&gt;"",SUMIFS($O$3:$O$401, $C$3:$C$401 ,$C155,$B$3:$B$401,"&lt;="&amp;Controle!$B$6),"")</f>
        <v>-85000</v>
      </c>
      <c r="R155" s="51">
        <f>IF($D155&lt;&gt;"",SUMIFS($O$3:$O$401, $C$3:$C$401 ,$C155,$B$3:$B$401,"&lt;="&amp;Controle!$B$6,$F$3:$F$401,$F155),"")</f>
        <v>-85000</v>
      </c>
      <c r="S155" s="51">
        <f>IF($D155&lt;&gt;"",SUMIFS($O$3:$O$401, $C$3:$C$401 ,$C155,$B$3:$B$401,"&lt;="&amp;'Controle D-1'!$B$6,$F$3:$F$401,$F155),"")</f>
        <v>-85000</v>
      </c>
      <c r="T155" s="40"/>
      <c r="U155" s="40"/>
      <c r="V155" s="40"/>
      <c r="W155" s="40"/>
      <c r="X155" s="40"/>
      <c r="Y155" s="40"/>
      <c r="Z155" s="40"/>
      <c r="AA155" s="40"/>
      <c r="AB155" s="40"/>
      <c r="AC155" s="40"/>
    </row>
    <row r="156" ht="15.75" customHeight="1">
      <c r="A156" s="28"/>
      <c r="B156" s="100">
        <v>45091.0</v>
      </c>
      <c r="C156" s="88" t="s">
        <v>74</v>
      </c>
      <c r="D156" s="88" t="str">
        <f>IF(ISTEXT(C156),VLOOKUP(C156,'Cadastro dos Ativos'!$A$2:$C$1000,3,0),"")</f>
        <v>Futuros</v>
      </c>
      <c r="E156" s="88" t="s">
        <v>198</v>
      </c>
      <c r="F156" s="88" t="s">
        <v>199</v>
      </c>
      <c r="G156" s="46">
        <v>81115.61</v>
      </c>
      <c r="H156" s="101" t="str">
        <f>if($D156="Ações Americanas", HLOOKUP("PTAX",'Histórico'!$A$1:$EL$983,(MATCH(B156,'Histórico'!A:A))-1,""),
if($D156="Ações Europeias", HLOOKUP("EUR/BRL",'Histórico'!$A$1:$EL$983,(MATCH(B156,'Histórico'!A:A))-1,""),""))</f>
        <v/>
      </c>
      <c r="I156" s="110">
        <f t="array" ref="I156">IF(ISTEXT(C156),xlookup(C156,'Cadastro dos Ativos'!$A$2:$A$1000,'Cadastro dos Ativos'!$D$2:$D$1000),"")</f>
        <v>45839</v>
      </c>
      <c r="J156" s="88">
        <v>970.0</v>
      </c>
      <c r="K156" s="47">
        <f t="array" ref="K156">if(and(J156&lt;&gt;"",D156&lt;&gt;"Futuros"),
if(F156=Controle!$C$2, M156/xlookup(workday(B156,-1,Feriados!A:A),Controle!$B$10:$B$1000,Controle!$C$10:$C$1000),
if(F156=Controle!$F$2, M156/xlookup(workday(B156,-1,Feriados!A:A),Controle!$B$10:$B$1000,Controle!$F$10:$F$1000),
if(F156=Controle!$I$2, M156/xlookup(workday(B156,-1,Feriados!A:A),Controle!$B$10:$B$1000,Controle!$I$10:$I$1000),
if(F156=Controle!$L$2, M156/xlookup(workday(B156,-1,Feriados!A:A),Controle!$B$10:$B$1000,Controle!$L$10:$L$1000),
)))),
if(and(J156&lt;&gt;"",D156="Futuros"),
if(F156=Controle!$C$2, N156/xlookup(workday(B156,-1,Feriados!A:A),Controle!$B$10:$B$1000,Controle!$C$10:$C$1000),
if(F156=Controle!$F$2, N156/xlookup(workday(B156,-1,Feriados!A:A),Controle!$B$10:$B$1000,Controle!$F$10:$F$1000),
if(F156=Controle!$I$2, N156/xlookup(workday(B156,-1,Feriados!A:A),Controle!$B$10:$B$1000,Controle!$I$10:$I$1000),
if(F156=Controle!$L$2, N156/xlookup(workday(B156,-1,Feriados!A:A),Controle!$B$10:$B$1000,Controle!$L$10:$L$1000),
)))),""))</f>
        <v>-0.764766333</v>
      </c>
      <c r="L156" s="47">
        <f t="array" ref="L156">IF($J156&lt;&gt;"", IF($D156 = "Futuros" , $N156/xlookup(WORKDAY(B156,-1,Feriados!A:A),Controle!$B$10:$B$1000,Controle!$T$10:$T$1000) , $M156/xlookup(WORKDAY(B156,-1,Feriados!A:A),Controle!$B$10:$B$1000,Controle!$T$10:$T$1000)),"")</f>
        <v>-0.1888152071</v>
      </c>
      <c r="M156" s="48">
        <f t="shared" si="4"/>
        <v>78682141.7</v>
      </c>
      <c r="N156" s="48">
        <f>IFERROR(IF(D156="Futuros",
IF(LEFT(C156,3)="DI1",G156*O156,
IF(LEFT(C156,3)="ISP",G156*O156*HLOOKUP("PTAX",'Histórico'!$A$1:$EL$983,MATCH(B156,'Histórico'!A:A),FALSE)*50,
IF(LEFT(C156,3)="WDO",10*G156*O156*HLOOKUP("PTAX",'Histórico'!$A$1:$EL$983,MATCH(B156,'Histórico'!A:A),FALSE),
IF(LEFT(C156,3)="DOL",50*G156*O156,
IF(LEFT(C156,3)="EUR",G156*O156*50,
IF(LEFT(C156,3)="WEU",G156*O156*10,
IF(LEFT(C156,3)="IND",G156*O156,
IF(LEFT(C156,3)="WIN",G156*O156*0.2,
IF(LEFT(C156,3)="T10",G156*O156*1000*HLOOKUP("PTAX",'Histórico'!$A$1:$EL$983,MATCH(B156,'Histórico'!A:A),FALSE),
IF(LEFT(C156,3)="CCM",G156*O156*450,
IF(LEFT(C156,3)="SJC",G156*O156*HLOOKUP("PTAX",'Histórico'!$A$1:$EL$983,MATCH(B156,'Histórico'!A:A),FALSE)*450,
IF(LEFT(C156,3)="BGI",G156*O156*330,
IF(LEFT(C156,3)="OZ1",G156*O156*250,
IF(LEFT(C156,3)="CLP",G156*O156*25,
IF(LEFT(C156,3)="EUP", O156*10000*HLOOKUP("EUR/BRL",'Histórico'!$A$1:$EL$983,MATCH(B156,'Histórico'!A:A),FALSE),
IF(LEFT(C156,3)="JSE", G156*O156*0.4,
IF(LEFT(C156,3)="GBP", O156*10000*HLOOKUP("GBP/BRL",'Histórico'!$A$1:$FG$983,MATCH(B156,'Histórico'!A:A),FALSE),
IF(LEFT(C156,3)="JAP",O156*10000*HLOOKUP("PTAX",'Histórico'!$A$1:$FG$983,MATCH(B156,'Histórico'!A:A),FALSE),
IF(LEFT(C156,3)="CNH",O156*10000*HLOOKUP("PTAX",'Histórico'!$A$1:$FG$983,MATCH(B156,'Histórico'!A:A),FALSE),
IF(LEFT(C156,3)="AUS",O156*10000*HLOOKUP("PTAX",'Histórico'!$A$1:$FG$983,MATCH(B156,'Histórico'!A:A),FALSE),
IF(LEFT(C156,3)="CAN",O156*10000*HLOOKUP("PTAX",'Histórico'!$A$1:$FG$983,MATCH(B156,'Histórico'!A:A),FALSE),
IF(LEFT(C156,3)="GBR",O156*10000*HLOOKUP("GBP/BRL",'Histórico'!$A$1:$FG$983,MATCH(B156,'Histórico'!A:A),FALSE),
IF(LEFT(C156,3)="MEX",O156*10000*HLOOKUP("PTAX",'Histórico'!$A$1:$FG$983,MATCH(B156,'Histórico'!A:A),FALSE),
IF(LEFT(C156,3)="CHL",O156*10000*HLOOKUP("PTAX",'Histórico'!$A$1:$FG$983,MATCH(B156,'Histórico'!A:A),FALSE)
)))))))))))))))))))))))),""))</f>
        <v>-78682141.7</v>
      </c>
      <c r="O156" s="49">
        <f t="shared" si="2"/>
        <v>-970</v>
      </c>
      <c r="P156" s="49">
        <f t="shared" si="5"/>
        <v>0</v>
      </c>
      <c r="Q156" s="51">
        <f>IF($C156&lt;&gt;"",SUMIFS($O$3:$O$401, $C$3:$C$401 ,$C156,$B$3:$B$401,"&lt;="&amp;Controle!$B$6),"")</f>
        <v>0</v>
      </c>
      <c r="R156" s="51">
        <f>IF($D156&lt;&gt;"",SUMIFS($O$3:$O$401, $C$3:$C$401 ,$C156,$B$3:$B$401,"&lt;="&amp;Controle!$B$6,$F$3:$F$401,$F156),"")</f>
        <v>0</v>
      </c>
      <c r="S156" s="51">
        <f>IF($D156&lt;&gt;"",SUMIFS($O$3:$O$401, $C$3:$C$401 ,$C156,$B$3:$B$401,"&lt;="&amp;'Controle D-1'!$B$6,$F$3:$F$401,$F156),"")</f>
        <v>0</v>
      </c>
      <c r="T156" s="40"/>
      <c r="U156" s="40"/>
      <c r="V156" s="40"/>
      <c r="W156" s="40"/>
      <c r="X156" s="40"/>
      <c r="Y156" s="40"/>
      <c r="Z156" s="40"/>
      <c r="AA156" s="40"/>
      <c r="AB156" s="40"/>
      <c r="AC156" s="40"/>
    </row>
    <row r="157" ht="15.75" customHeight="1">
      <c r="A157" s="28"/>
      <c r="B157" s="100">
        <v>45092.0</v>
      </c>
      <c r="C157" s="88" t="s">
        <v>117</v>
      </c>
      <c r="D157" s="88" t="s">
        <v>12</v>
      </c>
      <c r="E157" s="88" t="s">
        <v>208</v>
      </c>
      <c r="F157" s="88" t="s">
        <v>200</v>
      </c>
      <c r="G157" s="46"/>
      <c r="H157" s="46"/>
      <c r="I157" s="88"/>
      <c r="J157" s="88">
        <v>550.0</v>
      </c>
      <c r="K157" s="47">
        <f t="array" ref="K157">if(and(J157&lt;&gt;"",D157&lt;&gt;"Futuros"),
if(F157=Controle!$C$2, M157/xlookup(workday(B157,-1,Feriados!A:A),Controle!$B$10:$B$1000,Controle!$C$10:$C$1000),
if(F157=Controle!$F$2, M157/xlookup(workday(B157,-1,Feriados!A:A),Controle!$B$10:$B$1000,Controle!$F$10:$F$1000),
if(F157=Controle!$I$2, M157/xlookup(workday(B157,-1,Feriados!A:A),Controle!$B$10:$B$1000,Controle!$I$10:$I$1000),
if(F157=Controle!$L$2, M157/xlookup(workday(B157,-1,Feriados!A:A),Controle!$B$10:$B$1000,Controle!$L$10:$L$1000),
)))),
if(and(J157&lt;&gt;"",D157="Futuros"),
if(F157=Controle!$C$2, N157/xlookup(workday(B157,-1,Feriados!A:A),Controle!$B$10:$B$1000,Controle!$C$10:$C$1000),
if(F157=Controle!$F$2, N157/xlookup(workday(B157,-1,Feriados!A:A),Controle!$B$10:$B$1000,Controle!$F$10:$F$1000),
if(F157=Controle!$I$2, N157/xlookup(workday(B157,-1,Feriados!A:A),Controle!$B$10:$B$1000,Controle!$I$10:$I$1000),
if(F157=Controle!$L$2, N157/xlookup(workday(B157,-1,Feriados!A:A),Controle!$B$10:$B$1000,Controle!$L$10:$L$1000),
)))),""))</f>
        <v>0.2541948428</v>
      </c>
      <c r="L157" s="47">
        <f t="array" ref="L157">IF($J157&lt;&gt;"", IF($D157 = "Futuros" , $N157/xlookup(WORKDAY(B157,-1,Feriados!A:A),Controle!$B$10:$B$1000,Controle!$T$10:$T$1000) , $M157/xlookup(WORKDAY(B157,-1,Feriados!A:A),Controle!$B$10:$B$1000,Controle!$T$10:$T$1000)),"")</f>
        <v>0.06338562722</v>
      </c>
      <c r="M157" s="48" t="str">
        <f t="shared" si="4"/>
        <v/>
      </c>
      <c r="N157" s="48">
        <f>IFERROR(IF(D157="Futuros",
IF(LEFT(C157,3)="DI1",G157*O157,
IF(LEFT(C157,3)="ISP",G157*O157*HLOOKUP("PTAX",'Histórico'!$A$1:$EL$983,MATCH(B157,'Histórico'!A:A),FALSE)*50,
IF(LEFT(C157,3)="WDO",10*G157*O157*HLOOKUP("PTAX",'Histórico'!$A$1:$EL$983,MATCH(B157,'Histórico'!A:A),FALSE),
IF(LEFT(C157,3)="DOL",50*G157*O157,
IF(LEFT(C157,3)="EUR",G157*O157*50,
IF(LEFT(C157,3)="WEU",G157*O157*10,
IF(LEFT(C157,3)="IND",G157*O157,
IF(LEFT(C157,3)="WIN",G157*O157*0.2,
IF(LEFT(C157,3)="T10",G157*O157*1000*HLOOKUP("PTAX",'Histórico'!$A$1:$EL$983,MATCH(B157,'Histórico'!A:A),FALSE),
IF(LEFT(C157,3)="CCM",G157*O157*450,
IF(LEFT(C157,3)="SJC",G157*O157*HLOOKUP("PTAX",'Histórico'!$A$1:$EL$983,MATCH(B157,'Histórico'!A:A),FALSE)*450,
IF(LEFT(C157,3)="BGI",G157*O157*330,
IF(LEFT(C157,3)="OZ1",G157*O157*250,
IF(LEFT(C157,3)="CLP",G157*O157*25,
IF(LEFT(C157,3)="EUP", O157*10000*HLOOKUP("EUR/BRL",'Histórico'!$A$1:$EL$983,MATCH(B157,'Histórico'!A:A),FALSE),
IF(LEFT(C157,3)="JSE", G157*O157*0.4,
IF(LEFT(C157,3)="GBP", O157*10000*HLOOKUP("GBP/BRL",'Histórico'!$A$1:$FG$983,MATCH(B157,'Histórico'!A:A),FALSE),
IF(LEFT(C157,3)="JAP",O157*10000*HLOOKUP("PTAX",'Histórico'!$A$1:$FG$983,MATCH(B157,'Histórico'!A:A),FALSE),
IF(LEFT(C157,3)="CNH",O157*10000*HLOOKUP("PTAX",'Histórico'!$A$1:$FG$983,MATCH(B157,'Histórico'!A:A),FALSE),
IF(LEFT(C157,3)="AUS",O157*10000*HLOOKUP("PTAX",'Histórico'!$A$1:$FG$983,MATCH(B157,'Histórico'!A:A),FALSE),
IF(LEFT(C157,3)="CAN",O157*10000*HLOOKUP("PTAX",'Histórico'!$A$1:$FG$983,MATCH(B157,'Histórico'!A:A),FALSE),
IF(LEFT(C157,3)="GBR",O157*10000*HLOOKUP("GBP/BRL",'Histórico'!$A$1:$FG$983,MATCH(B157,'Histórico'!A:A),FALSE),
IF(LEFT(C157,3)="MEX",O157*10000*HLOOKUP("PTAX",'Histórico'!$A$1:$FG$983,MATCH(B157,'Histórico'!A:A),FALSE),
IF(LEFT(C157,3)="CHL",O157*10000*HLOOKUP("PTAX",'Histórico'!$A$1:$FG$983,MATCH(B157,'Histórico'!A:A),FALSE)
)))))))))))))))))))))))),""))</f>
        <v>26522100</v>
      </c>
      <c r="O157" s="49">
        <f t="shared" si="2"/>
        <v>550</v>
      </c>
      <c r="P157" s="49">
        <f t="shared" si="5"/>
        <v>0</v>
      </c>
      <c r="Q157" s="51">
        <f>IF($C157&lt;&gt;"",SUMIFS($O$3:$O$401, $C$3:$C$401 ,$C157,$B$3:$B$401,"&lt;="&amp;Controle!$B$6),"")</f>
        <v>0</v>
      </c>
      <c r="R157" s="51">
        <f>IF($D157&lt;&gt;"",SUMIFS($O$3:$O$401, $C$3:$C$401 ,$C157,$B$3:$B$401,"&lt;="&amp;Controle!$B$6,$F$3:$F$401,$F157),"")</f>
        <v>0</v>
      </c>
      <c r="S157" s="51">
        <f>IF($D157&lt;&gt;"",SUMIFS($O$3:$O$401, $C$3:$C$401 ,$C157,$B$3:$B$401,"&lt;="&amp;'Controle D-1'!$B$6,$F$3:$F$401,$F157),"")</f>
        <v>0</v>
      </c>
      <c r="T157" s="40"/>
      <c r="U157" s="40"/>
      <c r="V157" s="40"/>
      <c r="W157" s="40"/>
      <c r="X157" s="40"/>
      <c r="Y157" s="40"/>
      <c r="Z157" s="40"/>
      <c r="AA157" s="40"/>
      <c r="AB157" s="40"/>
      <c r="AC157" s="40"/>
    </row>
    <row r="158" ht="15.75" customHeight="1">
      <c r="A158" s="28"/>
      <c r="B158" s="100">
        <v>45092.0</v>
      </c>
      <c r="C158" s="88" t="s">
        <v>73</v>
      </c>
      <c r="D158" s="88" t="str">
        <f>IF(ISTEXT(C158),VLOOKUP(C158,'Cadastro dos Ativos'!$A$2:$C$1000,3,0),"")</f>
        <v>Futuros</v>
      </c>
      <c r="E158" s="88" t="s">
        <v>208</v>
      </c>
      <c r="F158" s="88" t="s">
        <v>200</v>
      </c>
      <c r="G158" s="46">
        <v>56196.78</v>
      </c>
      <c r="H158" s="101"/>
      <c r="I158" s="110">
        <v>47119.0</v>
      </c>
      <c r="J158" s="88">
        <v>9000.0</v>
      </c>
      <c r="K158" s="47">
        <f t="array" ref="K158">if(and(J158&lt;&gt;"",D158&lt;&gt;"Futuros"),
if(F158=Controle!$C$2, M158/xlookup(workday(B158,-1,Feriados!A:A),Controle!$B$10:$B$1000,Controle!$C$10:$C$1000),
if(F158=Controle!$F$2, M158/xlookup(workday(B158,-1,Feriados!A:A),Controle!$B$10:$B$1000,Controle!$F$10:$F$1000),
if(F158=Controle!$I$2, M158/xlookup(workday(B158,-1,Feriados!A:A),Controle!$B$10:$B$1000,Controle!$I$10:$I$1000),
if(F158=Controle!$L$2, M158/xlookup(workday(B158,-1,Feriados!A:A),Controle!$B$10:$B$1000,Controle!$L$10:$L$1000),
)))),
if(and(J158&lt;&gt;"",D158="Futuros"),
if(F158=Controle!$C$2, N158/xlookup(workday(B158,-1,Feriados!A:A),Controle!$B$10:$B$1000,Controle!$C$10:$C$1000),
if(F158=Controle!$F$2, N158/xlookup(workday(B158,-1,Feriados!A:A),Controle!$B$10:$B$1000,Controle!$F$10:$F$1000),
if(F158=Controle!$I$2, N158/xlookup(workday(B158,-1,Feriados!A:A),Controle!$B$10:$B$1000,Controle!$I$10:$I$1000),
if(F158=Controle!$L$2, N158/xlookup(workday(B158,-1,Feriados!A:A),Controle!$B$10:$B$1000,Controle!$L$10:$L$1000),
)))),""))</f>
        <v>4.847443639</v>
      </c>
      <c r="L158" s="47">
        <f t="array" ref="L158">IF($J158&lt;&gt;"", IF($D158 = "Futuros" , $N158/xlookup(WORKDAY(B158,-1,Feriados!A:A),Controle!$B$10:$B$1000,Controle!$T$10:$T$1000) , $M158/xlookup(WORKDAY(B158,-1,Feriados!A:A),Controle!$B$10:$B$1000,Controle!$T$10:$T$1000)),"")</f>
        <v>1.208750941</v>
      </c>
      <c r="M158" s="48">
        <f t="shared" si="4"/>
        <v>-505771020</v>
      </c>
      <c r="N158" s="48">
        <f>IFERROR(IF(D158="Futuros",
IF(LEFT(C158,3)="DI1",G158*O158,
IF(LEFT(C158,3)="ISP",G158*O158*HLOOKUP("PTAX",'Histórico'!$A$1:$EL$983,MATCH(B158,'Histórico'!A:A),FALSE)*50,
IF(LEFT(C158,3)="WDO",10*G158*O158*HLOOKUP("PTAX",'Histórico'!$A$1:$EL$983,MATCH(B158,'Histórico'!A:A),FALSE),
IF(LEFT(C158,3)="DOL",50*G158*O158,
IF(LEFT(C158,3)="EUR",G158*O158*50,
IF(LEFT(C158,3)="WEU",G158*O158*10,
IF(LEFT(C158,3)="IND",G158*O158,
IF(LEFT(C158,3)="WIN",G158*O158*0.2,
IF(LEFT(C158,3)="T10",G158*O158*1000*HLOOKUP("PTAX",'Histórico'!$A$1:$EL$983,MATCH(B158,'Histórico'!A:A),FALSE),
IF(LEFT(C158,3)="CCM",G158*O158*450,
IF(LEFT(C158,3)="SJC",G158*O158*HLOOKUP("PTAX",'Histórico'!$A$1:$EL$983,MATCH(B158,'Histórico'!A:A),FALSE)*450,
IF(LEFT(C158,3)="BGI",G158*O158*330,
IF(LEFT(C158,3)="OZ1",G158*O158*250,
IF(LEFT(C158,3)="CLP",G158*O158*25,
IF(LEFT(C158,3)="EUP", O158*10000*HLOOKUP("EUR/BRL",'Histórico'!$A$1:$EL$983,MATCH(B158,'Histórico'!A:A),FALSE),
IF(LEFT(C158,3)="JSE", G158*O158*0.4,
IF(LEFT(C158,3)="GBP", O158*10000*HLOOKUP("GBP/BRL",'Histórico'!$A$1:$FG$983,MATCH(B158,'Histórico'!A:A),FALSE),
IF(LEFT(C158,3)="JAP",O158*10000*HLOOKUP("PTAX",'Histórico'!$A$1:$FG$983,MATCH(B158,'Histórico'!A:A),FALSE),
IF(LEFT(C158,3)="CNH",O158*10000*HLOOKUP("PTAX",'Histórico'!$A$1:$FG$983,MATCH(B158,'Histórico'!A:A),FALSE),
IF(LEFT(C158,3)="AUS",O158*10000*HLOOKUP("PTAX",'Histórico'!$A$1:$FG$983,MATCH(B158,'Histórico'!A:A),FALSE),
IF(LEFT(C158,3)="CAN",O158*10000*HLOOKUP("PTAX",'Histórico'!$A$1:$FG$983,MATCH(B158,'Histórico'!A:A),FALSE),
IF(LEFT(C158,3)="GBR",O158*10000*HLOOKUP("GBP/BRL",'Histórico'!$A$1:$FG$983,MATCH(B158,'Histórico'!A:A),FALSE),
IF(LEFT(C158,3)="MEX",O158*10000*HLOOKUP("PTAX",'Histórico'!$A$1:$FG$983,MATCH(B158,'Histórico'!A:A),FALSE),
IF(LEFT(C158,3)="CHL",O158*10000*HLOOKUP("PTAX",'Histórico'!$A$1:$FG$983,MATCH(B158,'Histórico'!A:A),FALSE)
)))))))))))))))))))))))),""))</f>
        <v>505771020</v>
      </c>
      <c r="O158" s="49">
        <f t="shared" si="2"/>
        <v>9000</v>
      </c>
      <c r="P158" s="49">
        <f t="shared" si="5"/>
        <v>-50</v>
      </c>
      <c r="Q158" s="51">
        <f>IF($C158&lt;&gt;"",SUMIFS($O$3:$O$401, $C$3:$C$401 ,$C158,$B$3:$B$401,"&lt;="&amp;Controle!$B$6),"")</f>
        <v>-50</v>
      </c>
      <c r="R158" s="51">
        <f>IF($D158&lt;&gt;"",SUMIFS($O$3:$O$401, $C$3:$C$401 ,$C158,$B$3:$B$401,"&lt;="&amp;Controle!$B$6,$F$3:$F$401,$F158),"")</f>
        <v>0</v>
      </c>
      <c r="S158" s="51">
        <f>IF($D158&lt;&gt;"",SUMIFS($O$3:$O$401, $C$3:$C$401 ,$C158,$B$3:$B$401,"&lt;="&amp;'Controle D-1'!$B$6,$F$3:$F$401,$F158),"")</f>
        <v>0</v>
      </c>
      <c r="T158" s="40"/>
      <c r="U158" s="40"/>
      <c r="V158" s="40"/>
      <c r="W158" s="40"/>
      <c r="X158" s="40"/>
      <c r="Y158" s="40"/>
      <c r="Z158" s="40"/>
      <c r="AA158" s="40"/>
      <c r="AB158" s="40"/>
      <c r="AC158" s="40"/>
    </row>
    <row r="159" ht="15.75" customHeight="1">
      <c r="A159" s="28"/>
      <c r="B159" s="100">
        <v>45092.0</v>
      </c>
      <c r="C159" s="88" t="s">
        <v>120</v>
      </c>
      <c r="D159" s="88" t="str">
        <f>IF(ISTEXT(C159),VLOOKUP(C159,'Cadastro dos Ativos'!$A$2:$C$1000,3,0),"")</f>
        <v>Futuros</v>
      </c>
      <c r="E159" s="88" t="s">
        <v>208</v>
      </c>
      <c r="F159" s="88" t="s">
        <v>200</v>
      </c>
      <c r="G159" s="46">
        <v>79255.92</v>
      </c>
      <c r="H159" s="101" t="str">
        <f>if($D159="Ações Americanas", HLOOKUP("PTAX",'Histórico'!$A$1:$EL$983,(MATCH(B159,'Histórico'!A:A))-1,""),
if($D159="Ações Europeias", HLOOKUP("EUR/BRL",'Histórico'!$A$1:$EL$983,(MATCH(B159,'Histórico'!A:A))-1,""),""))</f>
        <v/>
      </c>
      <c r="I159" s="110">
        <f t="array" ref="I159">IF(ISTEXT(C159),xlookup(C159,'Cadastro dos Ativos'!$A$2:$A$1000,'Cadastro dos Ativos'!$D$2:$D$1000),"")</f>
        <v>45932</v>
      </c>
      <c r="J159" s="88">
        <v>5000.0</v>
      </c>
      <c r="K159" s="47">
        <f t="array" ref="K159">if(and(J159&lt;&gt;"",D159&lt;&gt;"Futuros"),
if(F159=Controle!$C$2, M159/xlookup(workday(B159,-1,Feriados!A:A),Controle!$B$10:$B$1000,Controle!$C$10:$C$1000),
if(F159=Controle!$F$2, M159/xlookup(workday(B159,-1,Feriados!A:A),Controle!$B$10:$B$1000,Controle!$F$10:$F$1000),
if(F159=Controle!$I$2, M159/xlookup(workday(B159,-1,Feriados!A:A),Controle!$B$10:$B$1000,Controle!$I$10:$I$1000),
if(F159=Controle!$L$2, M159/xlookup(workday(B159,-1,Feriados!A:A),Controle!$B$10:$B$1000,Controle!$L$10:$L$1000),
)))),
if(and(J159&lt;&gt;"",D159="Futuros"),
if(F159=Controle!$C$2, N159/xlookup(workday(B159,-1,Feriados!A:A),Controle!$B$10:$B$1000,Controle!$C$10:$C$1000),
if(F159=Controle!$F$2, N159/xlookup(workday(B159,-1,Feriados!A:A),Controle!$B$10:$B$1000,Controle!$F$10:$F$1000),
if(F159=Controle!$I$2, N159/xlookup(workday(B159,-1,Feriados!A:A),Controle!$B$10:$B$1000,Controle!$I$10:$I$1000),
if(F159=Controle!$L$2, N159/xlookup(workday(B159,-1,Feriados!A:A),Controle!$B$10:$B$1000,Controle!$L$10:$L$1000),
)))),""))</f>
        <v>3.798048821</v>
      </c>
      <c r="L159" s="47">
        <f t="array" ref="L159">IF($J159&lt;&gt;"", IF($D159 = "Futuros" , $N159/xlookup(WORKDAY(B159,-1,Feriados!A:A),Controle!$B$10:$B$1000,Controle!$T$10:$T$1000) , $M159/xlookup(WORKDAY(B159,-1,Feriados!A:A),Controle!$B$10:$B$1000,Controle!$T$10:$T$1000)),"")</f>
        <v>0.9470754956</v>
      </c>
      <c r="M159" s="48">
        <f t="shared" si="4"/>
        <v>-396279600</v>
      </c>
      <c r="N159" s="48">
        <f>IFERROR(IF(D159="Futuros",
IF(LEFT(C159,3)="DI1",G159*O159,
IF(LEFT(C159,3)="ISP",G159*O159*HLOOKUP("PTAX",'Histórico'!$A$1:$EL$983,MATCH(B159,'Histórico'!A:A),FALSE)*50,
IF(LEFT(C159,3)="WDO",10*G159*O159*HLOOKUP("PTAX",'Histórico'!$A$1:$EL$983,MATCH(B159,'Histórico'!A:A),FALSE),
IF(LEFT(C159,3)="DOL",50*G159*O159,
IF(LEFT(C159,3)="EUR",G159*O159*50,
IF(LEFT(C159,3)="WEU",G159*O159*10,
IF(LEFT(C159,3)="IND",G159*O159,
IF(LEFT(C159,3)="WIN",G159*O159*0.2,
IF(LEFT(C159,3)="T10",G159*O159*1000*HLOOKUP("PTAX",'Histórico'!$A$1:$EL$983,MATCH(B159,'Histórico'!A:A),FALSE),
IF(LEFT(C159,3)="CCM",G159*O159*450,
IF(LEFT(C159,3)="SJC",G159*O159*HLOOKUP("PTAX",'Histórico'!$A$1:$EL$983,MATCH(B159,'Histórico'!A:A),FALSE)*450,
IF(LEFT(C159,3)="BGI",G159*O159*330,
IF(LEFT(C159,3)="OZ1",G159*O159*250,
IF(LEFT(C159,3)="CLP",G159*O159*25,
IF(LEFT(C159,3)="EUP", O159*10000*HLOOKUP("EUR/BRL",'Histórico'!$A$1:$EL$983,MATCH(B159,'Histórico'!A:A),FALSE),
IF(LEFT(C159,3)="JSE", G159*O159*0.4,
IF(LEFT(C159,3)="GBP", O159*10000*HLOOKUP("GBP/BRL",'Histórico'!$A$1:$FG$983,MATCH(B159,'Histórico'!A:A),FALSE),
IF(LEFT(C159,3)="JAP",O159*10000*HLOOKUP("PTAX",'Histórico'!$A$1:$FG$983,MATCH(B159,'Histórico'!A:A),FALSE),
IF(LEFT(C159,3)="CNH",O159*10000*HLOOKUP("PTAX",'Histórico'!$A$1:$FG$983,MATCH(B159,'Histórico'!A:A),FALSE),
IF(LEFT(C159,3)="AUS",O159*10000*HLOOKUP("PTAX",'Histórico'!$A$1:$FG$983,MATCH(B159,'Histórico'!A:A),FALSE),
IF(LEFT(C159,3)="CAN",O159*10000*HLOOKUP("PTAX",'Histórico'!$A$1:$FG$983,MATCH(B159,'Histórico'!A:A),FALSE),
IF(LEFT(C159,3)="GBR",O159*10000*HLOOKUP("GBP/BRL",'Histórico'!$A$1:$FG$983,MATCH(B159,'Histórico'!A:A),FALSE),
IF(LEFT(C159,3)="MEX",O159*10000*HLOOKUP("PTAX",'Histórico'!$A$1:$FG$983,MATCH(B159,'Histórico'!A:A),FALSE),
IF(LEFT(C159,3)="CHL",O159*10000*HLOOKUP("PTAX",'Histórico'!$A$1:$FG$983,MATCH(B159,'Histórico'!A:A),FALSE)
)))))))))))))))))))))))),""))</f>
        <v>396279600</v>
      </c>
      <c r="O159" s="49">
        <f t="shared" si="2"/>
        <v>5000</v>
      </c>
      <c r="P159" s="49">
        <f t="shared" si="5"/>
        <v>0</v>
      </c>
      <c r="Q159" s="51">
        <f>IF($C159&lt;&gt;"",SUMIFS($O$3:$O$401, $C$3:$C$401 ,$C159,$B$3:$B$401,"&lt;="&amp;Controle!$B$6),"")</f>
        <v>0</v>
      </c>
      <c r="R159" s="51">
        <f>IF($D159&lt;&gt;"",SUMIFS($O$3:$O$401, $C$3:$C$401 ,$C159,$B$3:$B$401,"&lt;="&amp;Controle!$B$6,$F$3:$F$401,$F159),"")</f>
        <v>0</v>
      </c>
      <c r="S159" s="51">
        <f>IF($D159&lt;&gt;"",SUMIFS($O$3:$O$401, $C$3:$C$401 ,$C159,$B$3:$B$401,"&lt;="&amp;'Controle D-1'!$B$6,$F$3:$F$401,$F159),"")</f>
        <v>0</v>
      </c>
      <c r="T159" s="40"/>
      <c r="U159" s="40"/>
      <c r="V159" s="40"/>
      <c r="W159" s="40"/>
      <c r="X159" s="40"/>
      <c r="Y159" s="40"/>
      <c r="Z159" s="40"/>
      <c r="AA159" s="40"/>
      <c r="AB159" s="40"/>
      <c r="AC159" s="40"/>
    </row>
    <row r="160" ht="15.75" customHeight="1">
      <c r="A160" s="28"/>
      <c r="B160" s="100">
        <v>45092.0</v>
      </c>
      <c r="C160" s="88" t="s">
        <v>121</v>
      </c>
      <c r="D160" s="88" t="str">
        <f>IF(ISTEXT(C160),VLOOKUP(C160,'Cadastro dos Ativos'!$A$2:$C$1000,3,0),"")</f>
        <v>Futuros</v>
      </c>
      <c r="E160" s="88" t="s">
        <v>208</v>
      </c>
      <c r="F160" s="88" t="s">
        <v>200</v>
      </c>
      <c r="G160" s="46"/>
      <c r="H160" s="101" t="str">
        <f>if($D160="Ações Americanas", HLOOKUP("PTAX",'Histórico'!$A$1:$EL$983,(MATCH(B160,'Histórico'!A:A))-1,""),
if($D160="Ações Europeias", HLOOKUP("EUR/BRL",'Histórico'!$A$1:$EL$983,(MATCH(B160,'Histórico'!A:A))-1,""),""))</f>
        <v/>
      </c>
      <c r="I160" s="110">
        <f t="array" ref="I160">IF(ISTEXT(C160),xlookup(C160,'Cadastro dos Ativos'!$A$2:$A$1000,'Cadastro dos Ativos'!$D$2:$D$1000),"")</f>
        <v>45110</v>
      </c>
      <c r="J160" s="88">
        <v>550.0</v>
      </c>
      <c r="K160" s="47">
        <f t="array" ref="K160">if(and(J160&lt;&gt;"",D160&lt;&gt;"Futuros"),
if(F160=Controle!$C$2, M160/xlookup(workday(B160,-1,Feriados!A:A),Controle!$B$10:$B$1000,Controle!$C$10:$C$1000),
if(F160=Controle!$F$2, M160/xlookup(workday(B160,-1,Feriados!A:A),Controle!$B$10:$B$1000,Controle!$F$10:$F$1000),
if(F160=Controle!$I$2, M160/xlookup(workday(B160,-1,Feriados!A:A),Controle!$B$10:$B$1000,Controle!$I$10:$I$1000),
if(F160=Controle!$L$2, M160/xlookup(workday(B160,-1,Feriados!A:A),Controle!$B$10:$B$1000,Controle!$L$10:$L$1000),
)))),
if(and(J160&lt;&gt;"",D160="Futuros"),
if(F160=Controle!$C$2, N160/xlookup(workday(B160,-1,Feriados!A:A),Controle!$B$10:$B$1000,Controle!$C$10:$C$1000),
if(F160=Controle!$F$2, N160/xlookup(workday(B160,-1,Feriados!A:A),Controle!$B$10:$B$1000,Controle!$F$10:$F$1000),
if(F160=Controle!$I$2, N160/xlookup(workday(B160,-1,Feriados!A:A),Controle!$B$10:$B$1000,Controle!$I$10:$I$1000),
if(F160=Controle!$L$2, N160/xlookup(workday(B160,-1,Feriados!A:A),Controle!$B$10:$B$1000,Controle!$L$10:$L$1000),
)))),""))</f>
        <v>0.2541948428</v>
      </c>
      <c r="L160" s="47">
        <f t="array" ref="L160">IF($J160&lt;&gt;"", IF($D160 = "Futuros" , $N160/xlookup(WORKDAY(B160,-1,Feriados!A:A),Controle!$B$10:$B$1000,Controle!$T$10:$T$1000) , $M160/xlookup(WORKDAY(B160,-1,Feriados!A:A),Controle!$B$10:$B$1000,Controle!$T$10:$T$1000)),"")</f>
        <v>0.06338562722</v>
      </c>
      <c r="M160" s="48" t="str">
        <f t="shared" si="4"/>
        <v/>
      </c>
      <c r="N160" s="48">
        <f>IFERROR(IF(D160="Futuros",
IF(LEFT(C160,3)="DI1",G160*O160,
IF(LEFT(C160,3)="ISP",G160*O160*HLOOKUP("PTAX",'Histórico'!$A$1:$EL$983,MATCH(B160,'Histórico'!A:A),FALSE)*50,
IF(LEFT(C160,3)="WDO",10*G160*O160*HLOOKUP("PTAX",'Histórico'!$A$1:$EL$983,MATCH(B160,'Histórico'!A:A),FALSE),
IF(LEFT(C160,3)="DOL",50*G160*O160,
IF(LEFT(C160,3)="EUR",G160*O160*50,
IF(LEFT(C160,3)="WEU",G160*O160*10,
IF(LEFT(C160,3)="IND",G160*O160,
IF(LEFT(C160,3)="WIN",G160*O160*0.2,
IF(LEFT(C160,3)="T10",G160*O160*1000*HLOOKUP("PTAX",'Histórico'!$A$1:$EL$983,MATCH(B160,'Histórico'!A:A),FALSE),
IF(LEFT(C160,3)="CCM",G160*O160*450,
IF(LEFT(C160,3)="SJC",G160*O160*HLOOKUP("PTAX",'Histórico'!$A$1:$EL$983,MATCH(B160,'Histórico'!A:A),FALSE)*450,
IF(LEFT(C160,3)="BGI",G160*O160*330,
IF(LEFT(C160,3)="OZ1",G160*O160*250,
IF(LEFT(C160,3)="CLP",G160*O160*25,
IF(LEFT(C160,3)="EUP", O160*10000*HLOOKUP("EUR/BRL",'Histórico'!$A$1:$EL$983,MATCH(B160,'Histórico'!A:A),FALSE),
IF(LEFT(C160,3)="JSE", G160*O160*0.4,
IF(LEFT(C160,3)="GBP", O160*10000*HLOOKUP("GBP/BRL",'Histórico'!$A$1:$FG$983,MATCH(B160,'Histórico'!A:A),FALSE),
IF(LEFT(C160,3)="JAP",O160*10000*HLOOKUP("PTAX",'Histórico'!$A$1:$FG$983,MATCH(B160,'Histórico'!A:A),FALSE),
IF(LEFT(C160,3)="CNH",O160*10000*HLOOKUP("PTAX",'Histórico'!$A$1:$FG$983,MATCH(B160,'Histórico'!A:A),FALSE),
IF(LEFT(C160,3)="AUS",O160*10000*HLOOKUP("PTAX",'Histórico'!$A$1:$FG$983,MATCH(B160,'Histórico'!A:A),FALSE),
IF(LEFT(C160,3)="CAN",O160*10000*HLOOKUP("PTAX",'Histórico'!$A$1:$FG$983,MATCH(B160,'Histórico'!A:A),FALSE),
IF(LEFT(C160,3)="GBR",O160*10000*HLOOKUP("GBP/BRL",'Histórico'!$A$1:$FG$983,MATCH(B160,'Histórico'!A:A),FALSE),
IF(LEFT(C160,3)="MEX",O160*10000*HLOOKUP("PTAX",'Histórico'!$A$1:$FG$983,MATCH(B160,'Histórico'!A:A),FALSE),
IF(LEFT(C160,3)="CHL",O160*10000*HLOOKUP("PTAX",'Histórico'!$A$1:$FG$983,MATCH(B160,'Histórico'!A:A),FALSE)
)))))))))))))))))))))))),""))</f>
        <v>26522100</v>
      </c>
      <c r="O160" s="49">
        <f t="shared" si="2"/>
        <v>550</v>
      </c>
      <c r="P160" s="49">
        <f t="shared" si="5"/>
        <v>0</v>
      </c>
      <c r="Q160" s="51">
        <f>IF($C160&lt;&gt;"",SUMIFS($O$3:$O$401, $C$3:$C$401 ,$C160,$B$3:$B$401,"&lt;="&amp;Controle!$B$6),"")</f>
        <v>0</v>
      </c>
      <c r="R160" s="51">
        <f>IF($D160&lt;&gt;"",SUMIFS($O$3:$O$401, $C$3:$C$401 ,$C160,$B$3:$B$401,"&lt;="&amp;Controle!$B$6,$F$3:$F$401,$F160),"")</f>
        <v>0</v>
      </c>
      <c r="S160" s="51">
        <f>IF($D160&lt;&gt;"",SUMIFS($O$3:$O$401, $C$3:$C$401 ,$C160,$B$3:$B$401,"&lt;="&amp;'Controle D-1'!$B$6,$F$3:$F$401,$F160),"")</f>
        <v>0</v>
      </c>
      <c r="T160" s="40"/>
      <c r="U160" s="40"/>
      <c r="V160" s="40"/>
      <c r="W160" s="40"/>
      <c r="X160" s="40"/>
      <c r="Y160" s="40"/>
      <c r="Z160" s="40"/>
      <c r="AA160" s="40"/>
      <c r="AB160" s="40"/>
      <c r="AC160" s="40"/>
    </row>
    <row r="161" ht="15.75" customHeight="1">
      <c r="A161" s="28"/>
      <c r="B161" s="100">
        <v>45092.0</v>
      </c>
      <c r="C161" s="88" t="s">
        <v>86</v>
      </c>
      <c r="D161" s="88" t="str">
        <f>IF(ISTEXT(C161),VLOOKUP(C161,'Cadastro dos Ativos'!$A$2:$C$1000,3,0),"")</f>
        <v>Ações Americanas</v>
      </c>
      <c r="E161" s="88" t="s">
        <v>198</v>
      </c>
      <c r="F161" s="88" t="s">
        <v>200</v>
      </c>
      <c r="G161" s="46">
        <v>63.8</v>
      </c>
      <c r="H161" s="101">
        <f>if($D161="Ações Americanas", HLOOKUP("PTAX",'Histórico'!$A$1:$EL$983,(MATCH(B161,'Histórico'!A:A))-1,""),
if($D161="Ações Europeias", HLOOKUP("EUR/BRL",'Histórico'!$A$1:$EL$983,(MATCH(B161,'Histórico'!A:A))-1,""),""))</f>
        <v>4.8462</v>
      </c>
      <c r="I161" s="88" t="str">
        <f t="array" ref="I161">IF(ISTEXT(C161),xlookup(C161,'Cadastro dos Ativos'!$A$2:$A$1000,'Cadastro dos Ativos'!$D$2:$D$1000),"")</f>
        <v/>
      </c>
      <c r="J161" s="88">
        <v>33680.0</v>
      </c>
      <c r="K161" s="47">
        <f t="array" ref="K161">if(and(J161&lt;&gt;"",D161&lt;&gt;"Futuros"),
if(F161=Controle!$C$2, M161/xlookup(workday(B161,-1,Feriados!A:A),Controle!$B$10:$B$1000,Controle!$C$10:$C$1000),
if(F161=Controle!$F$2, M161/xlookup(workday(B161,-1,Feriados!A:A),Controle!$B$10:$B$1000,Controle!$F$10:$F$1000),
if(F161=Controle!$I$2, M161/xlookup(workday(B161,-1,Feriados!A:A),Controle!$B$10:$B$1000,Controle!$I$10:$I$1000),
if(F161=Controle!$L$2, M161/xlookup(workday(B161,-1,Feriados!A:A),Controle!$B$10:$B$1000,Controle!$L$10:$L$1000),
)))),
if(and(J161&lt;&gt;"",D161="Futuros"),
if(F161=Controle!$C$2, N161/xlookup(workday(B161,-1,Feriados!A:A),Controle!$B$10:$B$1000,Controle!$C$10:$C$1000),
if(F161=Controle!$F$2, N161/xlookup(workday(B161,-1,Feriados!A:A),Controle!$B$10:$B$1000,Controle!$F$10:$F$1000),
if(F161=Controle!$I$2, N161/xlookup(workday(B161,-1,Feriados!A:A),Controle!$B$10:$B$1000,Controle!$I$10:$I$1000),
if(F161=Controle!$L$2, N161/xlookup(workday(B161,-1,Feriados!A:A),Controle!$B$10:$B$1000,Controle!$L$10:$L$1000),
)))),""))</f>
        <v>0.09980514314</v>
      </c>
      <c r="L161" s="47">
        <f t="array" ref="L161">IF($J161&lt;&gt;"", IF($D161 = "Futuros" , $N161/xlookup(WORKDAY(B161,-1,Feriados!A:A),Controle!$B$10:$B$1000,Controle!$T$10:$T$1000) , $M161/xlookup(WORKDAY(B161,-1,Feriados!A:A),Controle!$B$10:$B$1000,Controle!$T$10:$T$1000)),"")</f>
        <v>0.02488725392</v>
      </c>
      <c r="M161" s="48">
        <f t="shared" si="4"/>
        <v>10413437.02</v>
      </c>
      <c r="N161" s="48" t="str">
        <f>IFERROR(IF(D161="Futuros",
IF(LEFT(C161,3)="DI1",G161*O161,
IF(LEFT(C161,3)="ISP",G161*O161*HLOOKUP("PTAX",'Histórico'!$A$1:$EL$983,MATCH(B161,'Histórico'!A:A),FALSE)*50,
IF(LEFT(C161,3)="WDO",10*G161*O161*HLOOKUP("PTAX",'Histórico'!$A$1:$EL$983,MATCH(B161,'Histórico'!A:A),FALSE),
IF(LEFT(C161,3)="DOL",50*G161*O161,
IF(LEFT(C161,3)="EUR",G161*O161*50,
IF(LEFT(C161,3)="WEU",G161*O161*10,
IF(LEFT(C161,3)="IND",G161*O161,
IF(LEFT(C161,3)="WIN",G161*O161*0.2,
IF(LEFT(C161,3)="T10",G161*O161*1000*HLOOKUP("PTAX",'Histórico'!$A$1:$EL$983,MATCH(B161,'Histórico'!A:A),FALSE),
IF(LEFT(C161,3)="CCM",G161*O161*450,
IF(LEFT(C161,3)="SJC",G161*O161*HLOOKUP("PTAX",'Histórico'!$A$1:$EL$983,MATCH(B161,'Histórico'!A:A),FALSE)*450,
IF(LEFT(C161,3)="BGI",G161*O161*330,
IF(LEFT(C161,3)="OZ1",G161*O161*250,
IF(LEFT(C161,3)="CLP",G161*O161*25,
IF(LEFT(C161,3)="EUP", O161*10000*HLOOKUP("EUR/BRL",'Histórico'!$A$1:$EL$983,MATCH(B161,'Histórico'!A:A),FALSE),
IF(LEFT(C161,3)="JSE", G161*O161*0.4,
IF(LEFT(C161,3)="GBP", O161*10000*HLOOKUP("GBP/BRL",'Histórico'!$A$1:$FG$983,MATCH(B161,'Histórico'!A:A),FALSE),
IF(LEFT(C161,3)="JAP",O161*10000*HLOOKUP("PTAX",'Histórico'!$A$1:$FG$983,MATCH(B161,'Histórico'!A:A),FALSE),
IF(LEFT(C161,3)="CNH",O161*10000*HLOOKUP("PTAX",'Histórico'!$A$1:$FG$983,MATCH(B161,'Histórico'!A:A),FALSE),
IF(LEFT(C161,3)="AUS",O161*10000*HLOOKUP("PTAX",'Histórico'!$A$1:$FG$983,MATCH(B161,'Histórico'!A:A),FALSE),
IF(LEFT(C161,3)="CAN",O161*10000*HLOOKUP("PTAX",'Histórico'!$A$1:$FG$983,MATCH(B161,'Histórico'!A:A),FALSE),
IF(LEFT(C161,3)="GBR",O161*10000*HLOOKUP("GBP/BRL",'Histórico'!$A$1:$FG$983,MATCH(B161,'Histórico'!A:A),FALSE),
IF(LEFT(C161,3)="MEX",O161*10000*HLOOKUP("PTAX",'Histórico'!$A$1:$FG$983,MATCH(B161,'Histórico'!A:A),FALSE),
IF(LEFT(C161,3)="CHL",O161*10000*HLOOKUP("PTAX",'Histórico'!$A$1:$FG$983,MATCH(B161,'Histórico'!A:A),FALSE)
)))))))))))))))))))))))),""))</f>
        <v/>
      </c>
      <c r="O161" s="49">
        <f t="shared" si="2"/>
        <v>-33680</v>
      </c>
      <c r="P161" s="49">
        <f t="shared" si="5"/>
        <v>0</v>
      </c>
      <c r="Q161" s="51">
        <f>IF($C161&lt;&gt;"",SUMIFS($O$3:$O$401, $C$3:$C$401 ,$C161,$B$3:$B$401,"&lt;="&amp;Controle!$B$6),"")</f>
        <v>0</v>
      </c>
      <c r="R161" s="51">
        <f>IF($D161&lt;&gt;"",SUMIFS($O$3:$O$401, $C$3:$C$401 ,$C161,$B$3:$B$401,"&lt;="&amp;Controle!$B$6,$F$3:$F$401,$F161),"")</f>
        <v>0</v>
      </c>
      <c r="S161" s="51">
        <f>IF($D161&lt;&gt;"",SUMIFS($O$3:$O$401, $C$3:$C$401 ,$C161,$B$3:$B$401,"&lt;="&amp;'Controle D-1'!$B$6,$F$3:$F$401,$F161),"")</f>
        <v>0</v>
      </c>
      <c r="T161" s="40"/>
      <c r="U161" s="40"/>
      <c r="V161" s="40"/>
      <c r="W161" s="40"/>
      <c r="X161" s="40"/>
      <c r="Y161" s="40"/>
      <c r="Z161" s="40"/>
      <c r="AA161" s="40"/>
      <c r="AB161" s="40"/>
      <c r="AC161" s="40"/>
    </row>
    <row r="162" ht="15.75" customHeight="1">
      <c r="A162" s="28"/>
      <c r="B162" s="100">
        <v>45096.0</v>
      </c>
      <c r="C162" s="88" t="s">
        <v>88</v>
      </c>
      <c r="D162" s="88" t="str">
        <f>IF(ISTEXT(C162),VLOOKUP(C162,'Cadastro dos Ativos'!$A$2:$C$1000,3,0),"")</f>
        <v>Ações Americanas</v>
      </c>
      <c r="E162" s="88" t="s">
        <v>208</v>
      </c>
      <c r="F162" s="88" t="s">
        <v>200</v>
      </c>
      <c r="G162" s="46">
        <v>105.4499969482422</v>
      </c>
      <c r="H162" s="101">
        <f>if($D162="Ações Americanas", HLOOKUP("PTAX",'Histórico'!$A$1:$EL$983,(MATCH(B162,'Histórico'!A:A))-1,""),
if($D162="Ações Europeias", HLOOKUP("EUR/BRL",'Histórico'!$A$1:$EL$983,(MATCH(B162,'Histórico'!A:A))-1,""),""))</f>
        <v>4.8286</v>
      </c>
      <c r="I162" s="88" t="str">
        <f t="array" ref="I162">IF(ISTEXT(C162),xlookup(C162,'Cadastro dos Ativos'!$A$2:$A$1000,'Cadastro dos Ativos'!$D$2:$D$1000),"")</f>
        <v/>
      </c>
      <c r="J162" s="88">
        <v>15000.0</v>
      </c>
      <c r="K162" s="47">
        <f t="array" ref="K162">if(and(J162&lt;&gt;"",D162&lt;&gt;"Futuros"),
if(F162=Controle!$C$2, M162/xlookup(workday(B162,-1,Feriados!A:A),Controle!$B$10:$B$1000,Controle!$C$10:$C$1000),
if(F162=Controle!$F$2, M162/xlookup(workday(B162,-1,Feriados!A:A),Controle!$B$10:$B$1000,Controle!$F$10:$F$1000),
if(F162=Controle!$I$2, M162/xlookup(workday(B162,-1,Feriados!A:A),Controle!$B$10:$B$1000,Controle!$I$10:$I$1000),
if(F162=Controle!$L$2, M162/xlookup(workday(B162,-1,Feriados!A:A),Controle!$B$10:$B$1000,Controle!$L$10:$L$1000),
)))),
if(and(J162&lt;&gt;"",D162="Futuros"),
if(F162=Controle!$C$2, N162/xlookup(workday(B162,-1,Feriados!A:A),Controle!$B$10:$B$1000,Controle!$C$10:$C$1000),
if(F162=Controle!$F$2, N162/xlookup(workday(B162,-1,Feriados!A:A),Controle!$B$10:$B$1000,Controle!$F$10:$F$1000),
if(F162=Controle!$I$2, N162/xlookup(workday(B162,-1,Feriados!A:A),Controle!$B$10:$B$1000,Controle!$I$10:$I$1000),
if(F162=Controle!$L$2, N162/xlookup(workday(B162,-1,Feriados!A:A),Controle!$B$10:$B$1000,Controle!$L$10:$L$1000),
)))),""))</f>
        <v>-0.07077325313</v>
      </c>
      <c r="L162" s="47">
        <f t="array" ref="L162">IF($J162&lt;&gt;"", IF($D162 = "Futuros" , $N162/xlookup(WORKDAY(B162,-1,Feriados!A:A),Controle!$B$10:$B$1000,Controle!$T$10:$T$1000) , $M162/xlookup(WORKDAY(B162,-1,Feriados!A:A),Controle!$B$10:$B$1000,Controle!$T$10:$T$1000)),"")</f>
        <v>-0.01802723343</v>
      </c>
      <c r="M162" s="48">
        <f t="shared" si="4"/>
        <v>-7637637.829</v>
      </c>
      <c r="N162" s="48" t="str">
        <f>IFERROR(IF(D162="Futuros",
IF(LEFT(C162,3)="DI1",G162*O162,
IF(LEFT(C162,3)="ISP",G162*O162*HLOOKUP("PTAX",'Histórico'!$A$1:$EL$983,MATCH(B162,'Histórico'!A:A),FALSE)*50,
IF(LEFT(C162,3)="WDO",10*G162*O162*HLOOKUP("PTAX",'Histórico'!$A$1:$EL$983,MATCH(B162,'Histórico'!A:A),FALSE),
IF(LEFT(C162,3)="DOL",50*G162*O162,
IF(LEFT(C162,3)="EUR",G162*O162*50,
IF(LEFT(C162,3)="WEU",G162*O162*10,
IF(LEFT(C162,3)="IND",G162*O162,
IF(LEFT(C162,3)="WIN",G162*O162*0.2,
IF(LEFT(C162,3)="T10",G162*O162*1000*HLOOKUP("PTAX",'Histórico'!$A$1:$EL$983,MATCH(B162,'Histórico'!A:A),FALSE),
IF(LEFT(C162,3)="CCM",G162*O162*450,
IF(LEFT(C162,3)="SJC",G162*O162*HLOOKUP("PTAX",'Histórico'!$A$1:$EL$983,MATCH(B162,'Histórico'!A:A),FALSE)*450,
IF(LEFT(C162,3)="BGI",G162*O162*330,
IF(LEFT(C162,3)="OZ1",G162*O162*250,
IF(LEFT(C162,3)="CLP",G162*O162*25,
IF(LEFT(C162,3)="EUP", O162*10000*HLOOKUP("EUR/BRL",'Histórico'!$A$1:$EL$983,MATCH(B162,'Histórico'!A:A),FALSE),
IF(LEFT(C162,3)="JSE", G162*O162*0.4,
IF(LEFT(C162,3)="GBP", O162*10000*HLOOKUP("GBP/BRL",'Histórico'!$A$1:$FG$983,MATCH(B162,'Histórico'!A:A),FALSE),
IF(LEFT(C162,3)="JAP",O162*10000*HLOOKUP("PTAX",'Histórico'!$A$1:$FG$983,MATCH(B162,'Histórico'!A:A),FALSE),
IF(LEFT(C162,3)="CNH",O162*10000*HLOOKUP("PTAX",'Histórico'!$A$1:$FG$983,MATCH(B162,'Histórico'!A:A),FALSE),
IF(LEFT(C162,3)="AUS",O162*10000*HLOOKUP("PTAX",'Histórico'!$A$1:$FG$983,MATCH(B162,'Histórico'!A:A),FALSE),
IF(LEFT(C162,3)="CAN",O162*10000*HLOOKUP("PTAX",'Histórico'!$A$1:$FG$983,MATCH(B162,'Histórico'!A:A),FALSE),
IF(LEFT(C162,3)="GBR",O162*10000*HLOOKUP("GBP/BRL",'Histórico'!$A$1:$FG$983,MATCH(B162,'Histórico'!A:A),FALSE),
IF(LEFT(C162,3)="MEX",O162*10000*HLOOKUP("PTAX",'Histórico'!$A$1:$FG$983,MATCH(B162,'Histórico'!A:A),FALSE),
IF(LEFT(C162,3)="CHL",O162*10000*HLOOKUP("PTAX",'Histórico'!$A$1:$FG$983,MATCH(B162,'Histórico'!A:A),FALSE)
)))))))))))))))))))))))),""))</f>
        <v/>
      </c>
      <c r="O162" s="49">
        <f t="shared" si="2"/>
        <v>15000</v>
      </c>
      <c r="P162" s="49">
        <f t="shared" si="5"/>
        <v>0</v>
      </c>
      <c r="Q162" s="51">
        <f>IF($C162&lt;&gt;"",SUMIFS($O$3:$O$401, $C$3:$C$401 ,$C162,$B$3:$B$401,"&lt;="&amp;Controle!$B$6),"")</f>
        <v>0</v>
      </c>
      <c r="R162" s="51">
        <f>IF($D162&lt;&gt;"",SUMIFS($O$3:$O$401, $C$3:$C$401 ,$C162,$B$3:$B$401,"&lt;="&amp;Controle!$B$6,$F$3:$F$401,$F162),"")</f>
        <v>0</v>
      </c>
      <c r="S162" s="51">
        <f>IF($D162&lt;&gt;"",SUMIFS($O$3:$O$401, $C$3:$C$401 ,$C162,$B$3:$B$401,"&lt;="&amp;'Controle D-1'!$B$6,$F$3:$F$401,$F162),"")</f>
        <v>0</v>
      </c>
      <c r="T162" s="40"/>
      <c r="U162" s="40"/>
      <c r="V162" s="40"/>
      <c r="W162" s="40"/>
      <c r="X162" s="40"/>
      <c r="Y162" s="40"/>
      <c r="Z162" s="40"/>
      <c r="AA162" s="40"/>
      <c r="AB162" s="40"/>
      <c r="AC162" s="40"/>
    </row>
    <row r="163" ht="15.75" customHeight="1">
      <c r="A163" s="28"/>
      <c r="B163" s="100">
        <v>45096.0</v>
      </c>
      <c r="C163" s="88" t="s">
        <v>73</v>
      </c>
      <c r="D163" s="88" t="s">
        <v>12</v>
      </c>
      <c r="E163" s="88" t="s">
        <v>198</v>
      </c>
      <c r="F163" s="88" t="s">
        <v>200</v>
      </c>
      <c r="G163" s="46">
        <v>56583.44</v>
      </c>
      <c r="H163" s="46"/>
      <c r="I163" s="110">
        <v>47119.0</v>
      </c>
      <c r="J163" s="88">
        <v>7200.0</v>
      </c>
      <c r="K163" s="47">
        <f t="array" ref="K163">if(and(J163&lt;&gt;"",D163&lt;&gt;"Futuros"),
if(F163=Controle!$C$2, M163/xlookup(workday(B163,-1,Feriados!A:A),Controle!$B$10:$B$1000,Controle!$C$10:$C$1000),
if(F163=Controle!$F$2, M163/xlookup(workday(B163,-1,Feriados!A:A),Controle!$B$10:$B$1000,Controle!$F$10:$F$1000),
if(F163=Controle!$I$2, M163/xlookup(workday(B163,-1,Feriados!A:A),Controle!$B$10:$B$1000,Controle!$I$10:$I$1000),
if(F163=Controle!$L$2, M163/xlookup(workday(B163,-1,Feriados!A:A),Controle!$B$10:$B$1000,Controle!$L$10:$L$1000),
)))),
if(and(J163&lt;&gt;"",D163="Futuros"),
if(F163=Controle!$C$2, N163/xlookup(workday(B163,-1,Feriados!A:A),Controle!$B$10:$B$1000,Controle!$C$10:$C$1000),
if(F163=Controle!$F$2, N163/xlookup(workday(B163,-1,Feriados!A:A),Controle!$B$10:$B$1000,Controle!$F$10:$F$1000),
if(F163=Controle!$I$2, N163/xlookup(workday(B163,-1,Feriados!A:A),Controle!$B$10:$B$1000,Controle!$I$10:$I$1000),
if(F163=Controle!$L$2, N163/xlookup(workday(B163,-1,Feriados!A:A),Controle!$B$10:$B$1000,Controle!$L$10:$L$1000),
)))),""))</f>
        <v>-3.77513026</v>
      </c>
      <c r="L163" s="47">
        <f t="array" ref="L163">IF($J163&lt;&gt;"", IF($D163 = "Futuros" , $N163/xlookup(WORKDAY(B163,-1,Feriados!A:A),Controle!$B$10:$B$1000,Controle!$T$10:$T$1000) , $M163/xlookup(WORKDAY(B163,-1,Feriados!A:A),Controle!$B$10:$B$1000,Controle!$T$10:$T$1000)),"")</f>
        <v>-0.9615942665</v>
      </c>
      <c r="M163" s="48">
        <f t="shared" si="4"/>
        <v>407400768</v>
      </c>
      <c r="N163" s="48">
        <f>IFERROR(IF(D163="Futuros",
IF(LEFT(C163,3)="DI1",G163*O163,
IF(LEFT(C163,3)="ISP",G163*O163*HLOOKUP("PTAX",'Histórico'!$A$1:$EL$983,MATCH(B163,'Histórico'!A:A),FALSE)*50,
IF(LEFT(C163,3)="WDO",10*G163*O163*HLOOKUP("PTAX",'Histórico'!$A$1:$EL$983,MATCH(B163,'Histórico'!A:A),FALSE),
IF(LEFT(C163,3)="DOL",50*G163*O163,
IF(LEFT(C163,3)="EUR",G163*O163*50,
IF(LEFT(C163,3)="WEU",G163*O163*10,
IF(LEFT(C163,3)="IND",G163*O163,
IF(LEFT(C163,3)="WIN",G163*O163*0.2,
IF(LEFT(C163,3)="T10",G163*O163*1000*HLOOKUP("PTAX",'Histórico'!$A$1:$EL$983,MATCH(B163,'Histórico'!A:A),FALSE),
IF(LEFT(C163,3)="CCM",G163*O163*450,
IF(LEFT(C163,3)="SJC",G163*O163*HLOOKUP("PTAX",'Histórico'!$A$1:$EL$983,MATCH(B163,'Histórico'!A:A),FALSE)*450,
IF(LEFT(C163,3)="BGI",G163*O163*330,
IF(LEFT(C163,3)="OZ1",G163*O163*250,
IF(LEFT(C163,3)="CLP",G163*O163*25,
IF(LEFT(C163,3)="EUP", O163*10000*HLOOKUP("EUR/BRL",'Histórico'!$A$1:$EL$983,MATCH(B163,'Histórico'!A:A),FALSE),
IF(LEFT(C163,3)="JSE", G163*O163*0.4,
IF(LEFT(C163,3)="GBP", O163*10000*HLOOKUP("GBP/BRL",'Histórico'!$A$1:$FG$983,MATCH(B163,'Histórico'!A:A),FALSE),
IF(LEFT(C163,3)="JAP",O163*10000*HLOOKUP("PTAX",'Histórico'!$A$1:$FG$983,MATCH(B163,'Histórico'!A:A),FALSE),
IF(LEFT(C163,3)="CNH",O163*10000*HLOOKUP("PTAX",'Histórico'!$A$1:$FG$983,MATCH(B163,'Histórico'!A:A),FALSE),
IF(LEFT(C163,3)="AUS",O163*10000*HLOOKUP("PTAX",'Histórico'!$A$1:$FG$983,MATCH(B163,'Histórico'!A:A),FALSE),
IF(LEFT(C163,3)="CAN",O163*10000*HLOOKUP("PTAX",'Histórico'!$A$1:$FG$983,MATCH(B163,'Histórico'!A:A),FALSE),
IF(LEFT(C163,3)="GBR",O163*10000*HLOOKUP("GBP/BRL",'Histórico'!$A$1:$FG$983,MATCH(B163,'Histórico'!A:A),FALSE),
IF(LEFT(C163,3)="MEX",O163*10000*HLOOKUP("PTAX",'Histórico'!$A$1:$FG$983,MATCH(B163,'Histórico'!A:A),FALSE),
IF(LEFT(C163,3)="CHL",O163*10000*HLOOKUP("PTAX",'Histórico'!$A$1:$FG$983,MATCH(B163,'Histórico'!A:A),FALSE)
)))))))))))))))))))))))),""))</f>
        <v>-407400768</v>
      </c>
      <c r="O163" s="49">
        <f t="shared" si="2"/>
        <v>-7200</v>
      </c>
      <c r="P163" s="49">
        <f t="shared" si="5"/>
        <v>-50</v>
      </c>
      <c r="Q163" s="51">
        <f>IF($C163&lt;&gt;"",SUMIFS($O$3:$O$401, $C$3:$C$401 ,$C163,$B$3:$B$401,"&lt;="&amp;Controle!$B$6),"")</f>
        <v>-50</v>
      </c>
      <c r="R163" s="51">
        <f>IF($D163&lt;&gt;"",SUMIFS($O$3:$O$401, $C$3:$C$401 ,$C163,$B$3:$B$401,"&lt;="&amp;Controle!$B$6,$F$3:$F$401,$F163),"")</f>
        <v>0</v>
      </c>
      <c r="S163" s="51">
        <f>IF($D163&lt;&gt;"",SUMIFS($O$3:$O$401, $C$3:$C$401 ,$C163,$B$3:$B$401,"&lt;="&amp;'Controle D-1'!$B$6,$F$3:$F$401,$F163),"")</f>
        <v>0</v>
      </c>
      <c r="T163" s="40"/>
      <c r="U163" s="40"/>
      <c r="V163" s="40"/>
      <c r="W163" s="40"/>
      <c r="X163" s="40"/>
      <c r="Y163" s="40"/>
      <c r="Z163" s="40"/>
      <c r="AA163" s="40"/>
      <c r="AB163" s="40"/>
      <c r="AC163" s="40"/>
    </row>
    <row r="164" ht="15.75" customHeight="1">
      <c r="A164" s="28"/>
      <c r="B164" s="100">
        <v>45096.0</v>
      </c>
      <c r="C164" s="88" t="s">
        <v>120</v>
      </c>
      <c r="D164" s="88" t="s">
        <v>12</v>
      </c>
      <c r="E164" s="88" t="s">
        <v>198</v>
      </c>
      <c r="F164" s="88" t="s">
        <v>200</v>
      </c>
      <c r="G164" s="46">
        <v>79355.67</v>
      </c>
      <c r="H164" s="101"/>
      <c r="I164" s="110">
        <v>45932.0</v>
      </c>
      <c r="J164" s="88">
        <v>4000.0</v>
      </c>
      <c r="K164" s="47">
        <f t="array" ref="K164">if(and(J164&lt;&gt;"",D164&lt;&gt;"Futuros"),
if(F164=Controle!$C$2, M164/xlookup(workday(B164,-1,Feriados!A:A),Controle!$B$10:$B$1000,Controle!$C$10:$C$1000),
if(F164=Controle!$F$2, M164/xlookup(workday(B164,-1,Feriados!A:A),Controle!$B$10:$B$1000,Controle!$F$10:$F$1000),
if(F164=Controle!$I$2, M164/xlookup(workday(B164,-1,Feriados!A:A),Controle!$B$10:$B$1000,Controle!$I$10:$I$1000),
if(F164=Controle!$L$2, M164/xlookup(workday(B164,-1,Feriados!A:A),Controle!$B$10:$B$1000,Controle!$L$10:$L$1000),
)))),
if(and(J164&lt;&gt;"",D164="Futuros"),
if(F164=Controle!$C$2, N164/xlookup(workday(B164,-1,Feriados!A:A),Controle!$B$10:$B$1000,Controle!$C$10:$C$1000),
if(F164=Controle!$F$2, N164/xlookup(workday(B164,-1,Feriados!A:A),Controle!$B$10:$B$1000,Controle!$F$10:$F$1000),
if(F164=Controle!$I$2, N164/xlookup(workday(B164,-1,Feriados!A:A),Controle!$B$10:$B$1000,Controle!$I$10:$I$1000),
if(F164=Controle!$L$2, N164/xlookup(workday(B164,-1,Feriados!A:A),Controle!$B$10:$B$1000,Controle!$L$10:$L$1000),
)))),""))</f>
        <v>-2.94135912</v>
      </c>
      <c r="L164" s="47">
        <f t="array" ref="L164">IF($J164&lt;&gt;"", IF($D164 = "Futuros" , $N164/xlookup(WORKDAY(B164,-1,Feriados!A:A),Controle!$B$10:$B$1000,Controle!$T$10:$T$1000) , $M164/xlookup(WORKDAY(B164,-1,Feriados!A:A),Controle!$B$10:$B$1000,Controle!$T$10:$T$1000)),"")</f>
        <v>-0.7492176086</v>
      </c>
      <c r="M164" s="48">
        <f t="shared" si="4"/>
        <v>317422680</v>
      </c>
      <c r="N164" s="48">
        <f>IFERROR(IF(D164="Futuros",
IF(LEFT(C164,3)="DI1",G164*O164,
IF(LEFT(C164,3)="ISP",G164*O164*HLOOKUP("PTAX",'Histórico'!$A$1:$EL$983,MATCH(B164,'Histórico'!A:A),FALSE)*50,
IF(LEFT(C164,3)="WDO",10*G164*O164*HLOOKUP("PTAX",'Histórico'!$A$1:$EL$983,MATCH(B164,'Histórico'!A:A),FALSE),
IF(LEFT(C164,3)="DOL",50*G164*O164,
IF(LEFT(C164,3)="EUR",G164*O164*50,
IF(LEFT(C164,3)="WEU",G164*O164*10,
IF(LEFT(C164,3)="IND",G164*O164,
IF(LEFT(C164,3)="WIN",G164*O164*0.2,
IF(LEFT(C164,3)="T10",G164*O164*1000*HLOOKUP("PTAX",'Histórico'!$A$1:$EL$983,MATCH(B164,'Histórico'!A:A),FALSE),
IF(LEFT(C164,3)="CCM",G164*O164*450,
IF(LEFT(C164,3)="SJC",G164*O164*HLOOKUP("PTAX",'Histórico'!$A$1:$EL$983,MATCH(B164,'Histórico'!A:A),FALSE)*450,
IF(LEFT(C164,3)="BGI",G164*O164*330,
IF(LEFT(C164,3)="OZ1",G164*O164*250,
IF(LEFT(C164,3)="CLP",G164*O164*25,
IF(LEFT(C164,3)="EUP", O164*10000*HLOOKUP("EUR/BRL",'Histórico'!$A$1:$EL$983,MATCH(B164,'Histórico'!A:A),FALSE),
IF(LEFT(C164,3)="JSE", G164*O164*0.4,
IF(LEFT(C164,3)="GBP", O164*10000*HLOOKUP("GBP/BRL",'Histórico'!$A$1:$FG$983,MATCH(B164,'Histórico'!A:A),FALSE),
IF(LEFT(C164,3)="JAP",O164*10000*HLOOKUP("PTAX",'Histórico'!$A$1:$FG$983,MATCH(B164,'Histórico'!A:A),FALSE),
IF(LEFT(C164,3)="CNH",O164*10000*HLOOKUP("PTAX",'Histórico'!$A$1:$FG$983,MATCH(B164,'Histórico'!A:A),FALSE),
IF(LEFT(C164,3)="AUS",O164*10000*HLOOKUP("PTAX",'Histórico'!$A$1:$FG$983,MATCH(B164,'Histórico'!A:A),FALSE),
IF(LEFT(C164,3)="CAN",O164*10000*HLOOKUP("PTAX",'Histórico'!$A$1:$FG$983,MATCH(B164,'Histórico'!A:A),FALSE),
IF(LEFT(C164,3)="GBR",O164*10000*HLOOKUP("GBP/BRL",'Histórico'!$A$1:$FG$983,MATCH(B164,'Histórico'!A:A),FALSE),
IF(LEFT(C164,3)="MEX",O164*10000*HLOOKUP("PTAX",'Histórico'!$A$1:$FG$983,MATCH(B164,'Histórico'!A:A),FALSE),
IF(LEFT(C164,3)="CHL",O164*10000*HLOOKUP("PTAX",'Histórico'!$A$1:$FG$983,MATCH(B164,'Histórico'!A:A),FALSE)
)))))))))))))))))))))))),""))</f>
        <v>-317422680</v>
      </c>
      <c r="O164" s="49">
        <f t="shared" si="2"/>
        <v>-4000</v>
      </c>
      <c r="P164" s="49">
        <f t="shared" si="5"/>
        <v>0</v>
      </c>
      <c r="Q164" s="51">
        <f>IF($C164&lt;&gt;"",SUMIFS($O$3:$O$401, $C$3:$C$401 ,$C164,$B$3:$B$401,"&lt;="&amp;Controle!$B$6),"")</f>
        <v>0</v>
      </c>
      <c r="R164" s="51">
        <f>IF($D164&lt;&gt;"",SUMIFS($O$3:$O$401, $C$3:$C$401 ,$C164,$B$3:$B$401,"&lt;="&amp;Controle!$B$6,$F$3:$F$401,$F164),"")</f>
        <v>0</v>
      </c>
      <c r="S164" s="51">
        <f>IF($D164&lt;&gt;"",SUMIFS($O$3:$O$401, $C$3:$C$401 ,$C164,$B$3:$B$401,"&lt;="&amp;'Controle D-1'!$B$6,$F$3:$F$401,$F164),"")</f>
        <v>0</v>
      </c>
      <c r="T164" s="40"/>
      <c r="U164" s="40"/>
      <c r="V164" s="40"/>
      <c r="W164" s="40"/>
      <c r="X164" s="40"/>
      <c r="Y164" s="40"/>
      <c r="Z164" s="40"/>
      <c r="AA164" s="40"/>
      <c r="AB164" s="40"/>
      <c r="AC164" s="40"/>
    </row>
    <row r="165" ht="15.75" customHeight="1">
      <c r="A165" s="28"/>
      <c r="B165" s="100">
        <v>45099.0</v>
      </c>
      <c r="C165" s="88" t="s">
        <v>73</v>
      </c>
      <c r="D165" s="88" t="str">
        <f>IF(ISTEXT(C165),VLOOKUP(C165,'Cadastro dos Ativos'!$A$2:$C$1000,3,0),"")</f>
        <v>Futuros</v>
      </c>
      <c r="E165" s="88" t="s">
        <v>198</v>
      </c>
      <c r="F165" s="88" t="s">
        <v>200</v>
      </c>
      <c r="G165" s="46">
        <v>56816.66</v>
      </c>
      <c r="H165" s="46" t="str">
        <f>if($D165="Ações Americanas", HLOOKUP("PTAX",'Histórico'!$A$1:$EL$983,(MATCH(B165,'Histórico'!A:A))-1,""),
if($D165="Ações Europeias", HLOOKUP("EUR/BRL",'Histórico'!$A$1:$EL$983,(MATCH(B165,'Histórico'!A:A))-1,""),""))</f>
        <v/>
      </c>
      <c r="I165" s="102">
        <f t="array" ref="I165">IF(ISTEXT(C165),xlookup(C165,'Cadastro dos Ativos'!$A$2:$A$1000,'Cadastro dos Ativos'!$D$2:$D$1000),"")</f>
        <v>47120</v>
      </c>
      <c r="J165" s="88">
        <v>1800.0</v>
      </c>
      <c r="K165" s="47">
        <f t="array" ref="K165">if(and(J165&lt;&gt;"",D165&lt;&gt;"Futuros"),
if(F165=Controle!$C$2, M165/xlookup(workday(B165,-1,Feriados!A:A),Controle!$B$10:$B$1000,Controle!$C$10:$C$1000),
if(F165=Controle!$F$2, M165/xlookup(workday(B165,-1,Feriados!A:A),Controle!$B$10:$B$1000,Controle!$F$10:$F$1000),
if(F165=Controle!$I$2, M165/xlookup(workday(B165,-1,Feriados!A:A),Controle!$B$10:$B$1000,Controle!$I$10:$I$1000),
if(F165=Controle!$L$2, M165/xlookup(workday(B165,-1,Feriados!A:A),Controle!$B$10:$B$1000,Controle!$L$10:$L$1000),
)))),
if(and(J165&lt;&gt;"",D165="Futuros"),
if(F165=Controle!$C$2, N165/xlookup(workday(B165,-1,Feriados!A:A),Controle!$B$10:$B$1000,Controle!$C$10:$C$1000),
if(F165=Controle!$F$2, N165/xlookup(workday(B165,-1,Feriados!A:A),Controle!$B$10:$B$1000,Controle!$F$10:$F$1000),
if(F165=Controle!$I$2, N165/xlookup(workday(B165,-1,Feriados!A:A),Controle!$B$10:$B$1000,Controle!$I$10:$I$1000),
if(F165=Controle!$L$2, N165/xlookup(workday(B165,-1,Feriados!A:A),Controle!$B$10:$B$1000,Controle!$L$10:$L$1000),
)))),""))</f>
        <v>-0.9412085569</v>
      </c>
      <c r="L165" s="47">
        <f t="array" ref="L165">IF($J165&lt;&gt;"", IF($D165 = "Futuros" , $N165/xlookup(WORKDAY(B165,-1,Feriados!A:A),Controle!$B$10:$B$1000,Controle!$T$10:$T$1000) , $M165/xlookup(WORKDAY(B165,-1,Feriados!A:A),Controle!$B$10:$B$1000,Controle!$T$10:$T$1000)),"")</f>
        <v>-0.2421158008</v>
      </c>
      <c r="M165" s="48">
        <f t="shared" si="4"/>
        <v>102269988</v>
      </c>
      <c r="N165" s="48">
        <f>IFERROR(IF(D165="Futuros",
IF(LEFT(C165,3)="DI1",G165*O165,
IF(LEFT(C165,3)="ISP",G165*O165*HLOOKUP("PTAX",'Histórico'!$A$1:$EL$983,MATCH(B165,'Histórico'!A:A),FALSE)*50,
IF(LEFT(C165,3)="WDO",10*G165*O165*HLOOKUP("PTAX",'Histórico'!$A$1:$EL$983,MATCH(B165,'Histórico'!A:A),FALSE),
IF(LEFT(C165,3)="DOL",50*G165*O165,
IF(LEFT(C165,3)="EUR",G165*O165*50,
IF(LEFT(C165,3)="WEU",G165*O165*10,
IF(LEFT(C165,3)="IND",G165*O165,
IF(LEFT(C165,3)="WIN",G165*O165*0.2,
IF(LEFT(C165,3)="T10",G165*O165*1000*HLOOKUP("PTAX",'Histórico'!$A$1:$EL$983,MATCH(B165,'Histórico'!A:A),FALSE),
IF(LEFT(C165,3)="CCM",G165*O165*450,
IF(LEFT(C165,3)="SJC",G165*O165*HLOOKUP("PTAX",'Histórico'!$A$1:$EL$983,MATCH(B165,'Histórico'!A:A),FALSE)*450,
IF(LEFT(C165,3)="BGI",G165*O165*330,
IF(LEFT(C165,3)="OZ1",G165*O165*250,
IF(LEFT(C165,3)="CLP",G165*O165*25,
IF(LEFT(C165,3)="EUP", O165*10000*HLOOKUP("EUR/BRL",'Histórico'!$A$1:$EL$983,MATCH(B165,'Histórico'!A:A),FALSE),
IF(LEFT(C165,3)="JSE", G165*O165*0.4,
IF(LEFT(C165,3)="GBP", O165*10000*HLOOKUP("GBP/BRL",'Histórico'!$A$1:$FG$983,MATCH(B165,'Histórico'!A:A),FALSE),
IF(LEFT(C165,3)="JAP",O165*10000*HLOOKUP("PTAX",'Histórico'!$A$1:$FG$983,MATCH(B165,'Histórico'!A:A),FALSE),
IF(LEFT(C165,3)="CNH",O165*10000*HLOOKUP("PTAX",'Histórico'!$A$1:$FG$983,MATCH(B165,'Histórico'!A:A),FALSE),
IF(LEFT(C165,3)="AUS",O165*10000*HLOOKUP("PTAX",'Histórico'!$A$1:$FG$983,MATCH(B165,'Histórico'!A:A),FALSE),
IF(LEFT(C165,3)="CAN",O165*10000*HLOOKUP("PTAX",'Histórico'!$A$1:$FG$983,MATCH(B165,'Histórico'!A:A),FALSE),
IF(LEFT(C165,3)="GBR",O165*10000*HLOOKUP("GBP/BRL",'Histórico'!$A$1:$FG$983,MATCH(B165,'Histórico'!A:A),FALSE),
IF(LEFT(C165,3)="MEX",O165*10000*HLOOKUP("PTAX",'Histórico'!$A$1:$FG$983,MATCH(B165,'Histórico'!A:A),FALSE),
IF(LEFT(C165,3)="CHL",O165*10000*HLOOKUP("PTAX",'Histórico'!$A$1:$FG$983,MATCH(B165,'Histórico'!A:A),FALSE)
)))))))))))))))))))))))),""))</f>
        <v>-102269988</v>
      </c>
      <c r="O165" s="49">
        <f t="shared" si="2"/>
        <v>-1800</v>
      </c>
      <c r="P165" s="49">
        <f t="shared" si="5"/>
        <v>-50</v>
      </c>
      <c r="Q165" s="51">
        <f>IF($C165&lt;&gt;"",SUMIFS($O$3:$O$401, $C$3:$C$401 ,$C165,$B$3:$B$401,"&lt;="&amp;Controle!$B$6),"")</f>
        <v>-50</v>
      </c>
      <c r="R165" s="51">
        <f>IF($D165&lt;&gt;"",SUMIFS($O$3:$O$401, $C$3:$C$401 ,$C165,$B$3:$B$401,"&lt;="&amp;Controle!$B$6,$F$3:$F$401,$F165),"")</f>
        <v>0</v>
      </c>
      <c r="S165" s="51">
        <f>IF($D165&lt;&gt;"",SUMIFS($O$3:$O$401, $C$3:$C$401 ,$C165,$B$3:$B$401,"&lt;="&amp;'Controle D-1'!$B$6,$F$3:$F$401,$F165),"")</f>
        <v>0</v>
      </c>
      <c r="T165" s="40"/>
      <c r="U165" s="40"/>
      <c r="V165" s="40"/>
      <c r="W165" s="40"/>
      <c r="X165" s="40"/>
      <c r="Y165" s="40"/>
      <c r="Z165" s="40"/>
      <c r="AA165" s="40"/>
      <c r="AB165" s="40"/>
      <c r="AC165" s="40"/>
    </row>
    <row r="166" ht="15.75" customHeight="1">
      <c r="A166" s="28"/>
      <c r="B166" s="100">
        <v>45099.0</v>
      </c>
      <c r="C166" s="88" t="s">
        <v>115</v>
      </c>
      <c r="D166" s="88" t="str">
        <f>IF(ISTEXT(C166),VLOOKUP(C166,'Cadastro dos Ativos'!$A$2:$C$1000,3,0),"")</f>
        <v>Ações Listadas na B3</v>
      </c>
      <c r="E166" s="88" t="s">
        <v>198</v>
      </c>
      <c r="F166" s="88" t="s">
        <v>273</v>
      </c>
      <c r="G166" s="46">
        <v>11.0</v>
      </c>
      <c r="H166" s="101" t="str">
        <f>if($D166="Ações Americanas", HLOOKUP("PTAX",'Histórico'!$A$1:$EL$983,(MATCH(B166,'Histórico'!A:A))-1,""),
if($D166="Ações Europeias", HLOOKUP("EUR/BRL",'Histórico'!$A$1:$EL$983,(MATCH(B166,'Histórico'!A:A))-1,""),""))</f>
        <v/>
      </c>
      <c r="I166" s="88" t="str">
        <f t="array" ref="I166">IF(ISTEXT(C166),xlookup(C166,'Cadastro dos Ativos'!$A$2:$A$1000,'Cadastro dos Ativos'!$D$2:$D$1000),"")</f>
        <v/>
      </c>
      <c r="J166" s="88">
        <v>970000.0</v>
      </c>
      <c r="K166" s="47">
        <f t="array" ref="K166">if(and(J166&lt;&gt;"",D166&lt;&gt;"Futuros"),
if(F166=Controle!$C$2, M166/xlookup(workday(B166,-1,Feriados!A:A),Controle!$B$10:$B$1000,Controle!$C$10:$C$1000),
if(F166=Controle!$F$2, M166/xlookup(workday(B166,-1,Feriados!A:A),Controle!$B$10:$B$1000,Controle!$F$10:$F$1000),
if(F166=Controle!$I$2, M166/xlookup(workday(B166,-1,Feriados!A:A),Controle!$B$10:$B$1000,Controle!$I$10:$I$1000),
if(F166=Controle!$L$2, M166/xlookup(workday(B166,-1,Feriados!A:A),Controle!$B$10:$B$1000,Controle!$L$10:$L$1000),
)))),
if(and(J166&lt;&gt;"",D166="Futuros"),
if(F166=Controle!$C$2, N166/xlookup(workday(B166,-1,Feriados!A:A),Controle!$B$10:$B$1000,Controle!$C$10:$C$1000),
if(F166=Controle!$F$2, N166/xlookup(workday(B166,-1,Feriados!A:A),Controle!$B$10:$B$1000,Controle!$F$10:$F$1000),
if(F166=Controle!$I$2, N166/xlookup(workday(B166,-1,Feriados!A:A),Controle!$B$10:$B$1000,Controle!$I$10:$I$1000),
if(F166=Controle!$L$2, N166/xlookup(workday(B166,-1,Feriados!A:A),Controle!$B$10:$B$1000,Controle!$L$10:$L$1000),
)))),""))</f>
        <v>0.1017090667</v>
      </c>
      <c r="L166" s="47">
        <f t="array" ref="L166">IF($J166&lt;&gt;"", IF($D166 = "Futuros" , $N166/xlookup(WORKDAY(B166,-1,Feriados!A:A),Controle!$B$10:$B$1000,Controle!$T$10:$T$1000) , $M166/xlookup(WORKDAY(B166,-1,Feriados!A:A),Controle!$B$10:$B$1000,Controle!$T$10:$T$1000)),"")</f>
        <v>0.02526034905</v>
      </c>
      <c r="M166" s="48">
        <f t="shared" si="4"/>
        <v>10670000</v>
      </c>
      <c r="N166" s="48" t="str">
        <f>IFERROR(IF(D166="Futuros",
IF(LEFT(C166,3)="DI1",G166*O166,
IF(LEFT(C166,3)="ISP",G166*O166*HLOOKUP("PTAX",'Histórico'!$A$1:$EL$983,MATCH(B166,'Histórico'!A:A),FALSE)*50,
IF(LEFT(C166,3)="WDO",10*G166*O166*HLOOKUP("PTAX",'Histórico'!$A$1:$EL$983,MATCH(B166,'Histórico'!A:A),FALSE),
IF(LEFT(C166,3)="DOL",50*G166*O166,
IF(LEFT(C166,3)="EUR",G166*O166*50,
IF(LEFT(C166,3)="WEU",G166*O166*10,
IF(LEFT(C166,3)="IND",G166*O166,
IF(LEFT(C166,3)="WIN",G166*O166*0.2,
IF(LEFT(C166,3)="T10",G166*O166*1000*HLOOKUP("PTAX",'Histórico'!$A$1:$EL$983,MATCH(B166,'Histórico'!A:A),FALSE),
IF(LEFT(C166,3)="CCM",G166*O166*450,
IF(LEFT(C166,3)="SJC",G166*O166*HLOOKUP("PTAX",'Histórico'!$A$1:$EL$983,MATCH(B166,'Histórico'!A:A),FALSE)*450,
IF(LEFT(C166,3)="BGI",G166*O166*330,
IF(LEFT(C166,3)="OZ1",G166*O166*250,
IF(LEFT(C166,3)="CLP",G166*O166*25,
IF(LEFT(C166,3)="EUP", O166*10000*HLOOKUP("EUR/BRL",'Histórico'!$A$1:$EL$983,MATCH(B166,'Histórico'!A:A),FALSE),
IF(LEFT(C166,3)="JSE", G166*O166*0.4,
IF(LEFT(C166,3)="GBP", O166*10000*HLOOKUP("GBP/BRL",'Histórico'!$A$1:$FG$983,MATCH(B166,'Histórico'!A:A),FALSE),
IF(LEFT(C166,3)="JAP",O166*10000*HLOOKUP("PTAX",'Histórico'!$A$1:$FG$983,MATCH(B166,'Histórico'!A:A),FALSE),
IF(LEFT(C166,3)="CNH",O166*10000*HLOOKUP("PTAX",'Histórico'!$A$1:$FG$983,MATCH(B166,'Histórico'!A:A),FALSE),
IF(LEFT(C166,3)="AUS",O166*10000*HLOOKUP("PTAX",'Histórico'!$A$1:$FG$983,MATCH(B166,'Histórico'!A:A),FALSE),
IF(LEFT(C166,3)="CAN",O166*10000*HLOOKUP("PTAX",'Histórico'!$A$1:$FG$983,MATCH(B166,'Histórico'!A:A),FALSE),
IF(LEFT(C166,3)="GBR",O166*10000*HLOOKUP("GBP/BRL",'Histórico'!$A$1:$FG$983,MATCH(B166,'Histórico'!A:A),FALSE),
IF(LEFT(C166,3)="MEX",O166*10000*HLOOKUP("PTAX",'Histórico'!$A$1:$FG$983,MATCH(B166,'Histórico'!A:A),FALSE),
IF(LEFT(C166,3)="CHL",O166*10000*HLOOKUP("PTAX",'Histórico'!$A$1:$FG$983,MATCH(B166,'Histórico'!A:A),FALSE)
)))))))))))))))))))))))),""))</f>
        <v/>
      </c>
      <c r="O166" s="49">
        <f t="shared" si="2"/>
        <v>-970000</v>
      </c>
      <c r="P166" s="49">
        <f t="shared" si="5"/>
        <v>0</v>
      </c>
      <c r="Q166" s="51">
        <f>IF($C166&lt;&gt;"",SUMIFS($O$3:$O$401, $C$3:$C$401 ,$C166,$B$3:$B$401,"&lt;="&amp;Controle!$B$6),"")</f>
        <v>0</v>
      </c>
      <c r="R166" s="51">
        <f>IF($D166&lt;&gt;"",SUMIFS($O$3:$O$401, $C$3:$C$401 ,$C166,$B$3:$B$401,"&lt;="&amp;Controle!$B$6,$F$3:$F$401,$F166),"")</f>
        <v>0</v>
      </c>
      <c r="S166" s="51">
        <f>IF($D166&lt;&gt;"",SUMIFS($O$3:$O$401, $C$3:$C$401 ,$C166,$B$3:$B$401,"&lt;="&amp;'Controle D-1'!$B$6,$F$3:$F$401,$F166),"")</f>
        <v>0</v>
      </c>
      <c r="T166" s="40"/>
      <c r="U166" s="40"/>
      <c r="V166" s="40"/>
      <c r="W166" s="40"/>
      <c r="X166" s="40"/>
      <c r="Y166" s="40"/>
      <c r="Z166" s="40"/>
      <c r="AA166" s="40"/>
      <c r="AB166" s="40"/>
      <c r="AC166" s="40"/>
    </row>
    <row r="167" ht="15.75" customHeight="1">
      <c r="A167" s="28"/>
      <c r="B167" s="100">
        <v>45103.0</v>
      </c>
      <c r="C167" s="88" t="s">
        <v>50</v>
      </c>
      <c r="D167" s="88" t="str">
        <f>IF(ISTEXT(C167),VLOOKUP(C167,'Cadastro dos Ativos'!$A$2:$C$1000,3,0),"")</f>
        <v>Ações Americanas</v>
      </c>
      <c r="E167" s="88" t="s">
        <v>208</v>
      </c>
      <c r="F167" s="88" t="s">
        <v>201</v>
      </c>
      <c r="G167" s="46">
        <v>39.58</v>
      </c>
      <c r="H167" s="46">
        <f>if($D167="Ações Americanas", HLOOKUP("PTAX",'Histórico'!$A$1:$EL$983,(MATCH(B167,'Histórico'!A:A))-1,""),
if($D167="Ações Europeias", HLOOKUP("EUR/BRL",'Histórico'!$A$1:$EL$983,(MATCH(B167,'Histórico'!A:A))-1,""),""))</f>
        <v>4.7697</v>
      </c>
      <c r="I167" s="140" t="str">
        <f t="array" ref="I167">IF(ISTEXT(C167),xlookup(C167,'Cadastro dos Ativos'!$A$2:$A$1000,'Cadastro dos Ativos'!$D$2:$D$1000),"")</f>
        <v/>
      </c>
      <c r="J167" s="88">
        <v>23250.0</v>
      </c>
      <c r="K167" s="47">
        <f t="array" ref="K167">if(and(J167&lt;&gt;"",D167&lt;&gt;"Futuros"),
if(F167=Controle!$C$2, M167/xlookup(workday(B167,-1,Feriados!A:A),Controle!$B$10:$B$1000,Controle!$C$10:$C$1000),
if(F167=Controle!$F$2, M167/xlookup(workday(B167,-1,Feriados!A:A),Controle!$B$10:$B$1000,Controle!$F$10:$F$1000),
if(F167=Controle!$I$2, M167/xlookup(workday(B167,-1,Feriados!A:A),Controle!$B$10:$B$1000,Controle!$I$10:$I$1000),
if(F167=Controle!$L$2, M167/xlookup(workday(B167,-1,Feriados!A:A),Controle!$B$10:$B$1000,Controle!$L$10:$L$1000),
)))),
if(and(J167&lt;&gt;"",D167="Futuros"),
if(F167=Controle!$C$2, N167/xlookup(workday(B167,-1,Feriados!A:A),Controle!$B$10:$B$1000,Controle!$C$10:$C$1000),
if(F167=Controle!$F$2, N167/xlookup(workday(B167,-1,Feriados!A:A),Controle!$B$10:$B$1000,Controle!$F$10:$F$1000),
if(F167=Controle!$I$2, N167/xlookup(workday(B167,-1,Feriados!A:A),Controle!$B$10:$B$1000,Controle!$I$10:$I$1000),
if(F167=Controle!$L$2, N167/xlookup(workday(B167,-1,Feriados!A:A),Controle!$B$10:$B$1000,Controle!$L$10:$L$1000),
)))),""))</f>
        <v>-0.04110144853</v>
      </c>
      <c r="L167" s="47">
        <f t="array" ref="L167">IF($J167&lt;&gt;"", IF($D167 = "Futuros" , $N167/xlookup(WORKDAY(B167,-1,Feriados!A:A),Controle!$B$10:$B$1000,Controle!$T$10:$T$1000) , $M167/xlookup(WORKDAY(B167,-1,Feriados!A:A),Controle!$B$10:$B$1000,Controle!$T$10:$T$1000)),"")</f>
        <v>-0.01032156158</v>
      </c>
      <c r="M167" s="48">
        <f t="shared" si="4"/>
        <v>-4389244.88</v>
      </c>
      <c r="N167" s="48" t="str">
        <f>IFERROR(IF(D167="Futuros",
IF(LEFT(C167,3)="DI1",G167*O167,
IF(LEFT(C167,3)="ISP",G167*O167*HLOOKUP("PTAX",'Histórico'!$A$1:$EL$983,MATCH(B167,'Histórico'!A:A),FALSE)*50,
IF(LEFT(C167,3)="WDO",10*G167*O167*HLOOKUP("PTAX",'Histórico'!$A$1:$EL$983,MATCH(B167,'Histórico'!A:A),FALSE),
IF(LEFT(C167,3)="DOL",50*G167*O167,
IF(LEFT(C167,3)="EUR",G167*O167*50,
IF(LEFT(C167,3)="WEU",G167*O167*10,
IF(LEFT(C167,3)="IND",G167*O167,
IF(LEFT(C167,3)="WIN",G167*O167*0.2,
IF(LEFT(C167,3)="T10",G167*O167*1000*HLOOKUP("PTAX",'Histórico'!$A$1:$EL$983,MATCH(B167,'Histórico'!A:A),FALSE),
IF(LEFT(C167,3)="CCM",G167*O167*450,
IF(LEFT(C167,3)="SJC",G167*O167*HLOOKUP("PTAX",'Histórico'!$A$1:$EL$983,MATCH(B167,'Histórico'!A:A),FALSE)*450,
IF(LEFT(C167,3)="BGI",G167*O167*330,
IF(LEFT(C167,3)="OZ1",G167*O167*250,
IF(LEFT(C167,3)="CLP",G167*O167*25,
IF(LEFT(C167,3)="EUP", O167*10000*HLOOKUP("EUR/BRL",'Histórico'!$A$1:$EL$983,MATCH(B167,'Histórico'!A:A),FALSE),
IF(LEFT(C167,3)="JSE", G167*O167*0.4,
IF(LEFT(C167,3)="GBP", O167*10000*HLOOKUP("GBP/BRL",'Histórico'!$A$1:$FG$983,MATCH(B167,'Histórico'!A:A),FALSE),
IF(LEFT(C167,3)="JAP",O167*10000*HLOOKUP("PTAX",'Histórico'!$A$1:$FG$983,MATCH(B167,'Histórico'!A:A),FALSE),
IF(LEFT(C167,3)="CNH",O167*10000*HLOOKUP("PTAX",'Histórico'!$A$1:$FG$983,MATCH(B167,'Histórico'!A:A),FALSE),
IF(LEFT(C167,3)="AUS",O167*10000*HLOOKUP("PTAX",'Histórico'!$A$1:$FG$983,MATCH(B167,'Histórico'!A:A),FALSE),
IF(LEFT(C167,3)="CAN",O167*10000*HLOOKUP("PTAX",'Histórico'!$A$1:$FG$983,MATCH(B167,'Histórico'!A:A),FALSE),
IF(LEFT(C167,3)="GBR",O167*10000*HLOOKUP("GBP/BRL",'Histórico'!$A$1:$FG$983,MATCH(B167,'Histórico'!A:A),FALSE),
IF(LEFT(C167,3)="MEX",O167*10000*HLOOKUP("PTAX",'Histórico'!$A$1:$FG$983,MATCH(B167,'Histórico'!A:A),FALSE),
IF(LEFT(C167,3)="CHL",O167*10000*HLOOKUP("PTAX",'Histórico'!$A$1:$FG$983,MATCH(B167,'Histórico'!A:A),FALSE)
)))))))))))))))))))))))),""))</f>
        <v/>
      </c>
      <c r="O167" s="49">
        <f t="shared" si="2"/>
        <v>23250</v>
      </c>
      <c r="P167" s="49">
        <f t="shared" si="5"/>
        <v>0</v>
      </c>
      <c r="Q167" s="51">
        <f>IF($C167&lt;&gt;"",SUMIFS($O$3:$O$401, $C$3:$C$401 ,$C167,$B$3:$B$401,"&lt;="&amp;Controle!$B$6),"")</f>
        <v>0</v>
      </c>
      <c r="R167" s="51">
        <f>IF($D167&lt;&gt;"",SUMIFS($O$3:$O$401, $C$3:$C$401 ,$C167,$B$3:$B$401,"&lt;="&amp;Controle!$B$6,$F$3:$F$401,$F167),"")</f>
        <v>0</v>
      </c>
      <c r="S167" s="51">
        <f>IF($D167&lt;&gt;"",SUMIFS($O$3:$O$401, $C$3:$C$401 ,$C167,$B$3:$B$401,"&lt;="&amp;'Controle D-1'!$B$6,$F$3:$F$401,$F167),"")</f>
        <v>0</v>
      </c>
      <c r="T167" s="40"/>
      <c r="U167" s="40"/>
      <c r="V167" s="40"/>
      <c r="W167" s="40"/>
      <c r="X167" s="40"/>
      <c r="Y167" s="40"/>
      <c r="Z167" s="40"/>
      <c r="AA167" s="40"/>
      <c r="AB167" s="40"/>
      <c r="AC167" s="40"/>
    </row>
    <row r="168" ht="15.75" customHeight="1">
      <c r="A168" s="28"/>
      <c r="B168" s="100">
        <v>45106.0</v>
      </c>
      <c r="C168" s="88" t="s">
        <v>59</v>
      </c>
      <c r="D168" s="88" t="str">
        <f>IF(ISTEXT(C168),VLOOKUP(C168,'Cadastro dos Ativos'!$A$2:$C$1000,3,0),"")</f>
        <v>Ações Americanas</v>
      </c>
      <c r="E168" s="88" t="s">
        <v>198</v>
      </c>
      <c r="F168" s="88" t="s">
        <v>201</v>
      </c>
      <c r="G168" s="46">
        <v>170.84</v>
      </c>
      <c r="H168" s="46">
        <f>if($D168="Ações Americanas", HLOOKUP("PTAX",'Histórico'!$A$1:$EL$983,(MATCH(B168,'Histórico'!A:A))-1,""),
if($D168="Ações Europeias", HLOOKUP("EUR/BRL",'Histórico'!$A$1:$EL$983,(MATCH(B168,'Histórico'!A:A))-1,""),""))</f>
        <v>4.8105</v>
      </c>
      <c r="I168" s="140" t="str">
        <f t="array" ref="I168">IF(ISTEXT(C168),xlookup(C168,'Cadastro dos Ativos'!$A$2:$A$1000,'Cadastro dos Ativos'!$D$2:$D$1000),"")</f>
        <v/>
      </c>
      <c r="J168" s="88">
        <v>4000.0</v>
      </c>
      <c r="K168" s="47">
        <f t="array" ref="K168">if(and(J168&lt;&gt;"",D168&lt;&gt;"Futuros"),
if(F168=Controle!$C$2, M168/xlookup(workday(B168,-1,Feriados!A:A),Controle!$B$10:$B$1000,Controle!$C$10:$C$1000),
if(F168=Controle!$F$2, M168/xlookup(workday(B168,-1,Feriados!A:A),Controle!$B$10:$B$1000,Controle!$F$10:$F$1000),
if(F168=Controle!$I$2, M168/xlookup(workday(B168,-1,Feriados!A:A),Controle!$B$10:$B$1000,Controle!$I$10:$I$1000),
if(F168=Controle!$L$2, M168/xlookup(workday(B168,-1,Feriados!A:A),Controle!$B$10:$B$1000,Controle!$L$10:$L$1000),
)))),
if(and(J168&lt;&gt;"",D168="Futuros"),
if(F168=Controle!$C$2, N168/xlookup(workday(B168,-1,Feriados!A:A),Controle!$B$10:$B$1000,Controle!$C$10:$C$1000),
if(F168=Controle!$F$2, N168/xlookup(workday(B168,-1,Feriados!A:A),Controle!$B$10:$B$1000,Controle!$F$10:$F$1000),
if(F168=Controle!$I$2, N168/xlookup(workday(B168,-1,Feriados!A:A),Controle!$B$10:$B$1000,Controle!$I$10:$I$1000),
if(F168=Controle!$L$2, N168/xlookup(workday(B168,-1,Feriados!A:A),Controle!$B$10:$B$1000,Controle!$L$10:$L$1000),
)))),""))</f>
        <v>0.03047619235</v>
      </c>
      <c r="L168" s="47">
        <f t="array" ref="L168">IF($J168&lt;&gt;"", IF($D168 = "Futuros" , $N168/xlookup(WORKDAY(B168,-1,Feriados!A:A),Controle!$B$10:$B$1000,Controle!$T$10:$T$1000) , $M168/xlookup(WORKDAY(B168,-1,Feriados!A:A),Controle!$B$10:$B$1000,Controle!$T$10:$T$1000)),"")</f>
        <v>0.007745775466</v>
      </c>
      <c r="M168" s="48">
        <f t="shared" si="4"/>
        <v>3287303.28</v>
      </c>
      <c r="N168" s="48" t="str">
        <f>IFERROR(IF(D168="Futuros",
IF(LEFT(C168,3)="DI1",G168*O168,
IF(LEFT(C168,3)="ISP",G168*O168*HLOOKUP("PTAX",'Histórico'!$A$1:$EL$983,MATCH(B168,'Histórico'!A:A),FALSE)*50,
IF(LEFT(C168,3)="WDO",10*G168*O168*HLOOKUP("PTAX",'Histórico'!$A$1:$EL$983,MATCH(B168,'Histórico'!A:A),FALSE),
IF(LEFT(C168,3)="DOL",50*G168*O168,
IF(LEFT(C168,3)="EUR",G168*O168*50,
IF(LEFT(C168,3)="WEU",G168*O168*10,
IF(LEFT(C168,3)="IND",G168*O168,
IF(LEFT(C168,3)="WIN",G168*O168*0.2,
IF(LEFT(C168,3)="T10",G168*O168*1000*HLOOKUP("PTAX",'Histórico'!$A$1:$EL$983,MATCH(B168,'Histórico'!A:A),FALSE),
IF(LEFT(C168,3)="CCM",G168*O168*450,
IF(LEFT(C168,3)="SJC",G168*O168*HLOOKUP("PTAX",'Histórico'!$A$1:$EL$983,MATCH(B168,'Histórico'!A:A),FALSE)*450,
IF(LEFT(C168,3)="BGI",G168*O168*330,
IF(LEFT(C168,3)="OZ1",G168*O168*250,
IF(LEFT(C168,3)="CLP",G168*O168*25,
IF(LEFT(C168,3)="EUP", O168*10000*HLOOKUP("EUR/BRL",'Histórico'!$A$1:$EL$983,MATCH(B168,'Histórico'!A:A),FALSE),
IF(LEFT(C168,3)="JSE", G168*O168*0.4,
IF(LEFT(C168,3)="GBP", O168*10000*HLOOKUP("GBP/BRL",'Histórico'!$A$1:$FG$983,MATCH(B168,'Histórico'!A:A),FALSE),
IF(LEFT(C168,3)="JAP",O168*10000*HLOOKUP("PTAX",'Histórico'!$A$1:$FG$983,MATCH(B168,'Histórico'!A:A),FALSE),
IF(LEFT(C168,3)="CNH",O168*10000*HLOOKUP("PTAX",'Histórico'!$A$1:$FG$983,MATCH(B168,'Histórico'!A:A),FALSE),
IF(LEFT(C168,3)="AUS",O168*10000*HLOOKUP("PTAX",'Histórico'!$A$1:$FG$983,MATCH(B168,'Histórico'!A:A),FALSE),
IF(LEFT(C168,3)="CAN",O168*10000*HLOOKUP("PTAX",'Histórico'!$A$1:$FG$983,MATCH(B168,'Histórico'!A:A),FALSE),
IF(LEFT(C168,3)="GBR",O168*10000*HLOOKUP("GBP/BRL",'Histórico'!$A$1:$FG$983,MATCH(B168,'Histórico'!A:A),FALSE),
IF(LEFT(C168,3)="MEX",O168*10000*HLOOKUP("PTAX",'Histórico'!$A$1:$FG$983,MATCH(B168,'Histórico'!A:A),FALSE),
IF(LEFT(C168,3)="CHL",O168*10000*HLOOKUP("PTAX",'Histórico'!$A$1:$FG$983,MATCH(B168,'Histórico'!A:A),FALSE)
)))))))))))))))))))))))),""))</f>
        <v/>
      </c>
      <c r="O168" s="49">
        <f t="shared" si="2"/>
        <v>-4000</v>
      </c>
      <c r="P168" s="49">
        <f t="shared" si="5"/>
        <v>0</v>
      </c>
      <c r="Q168" s="51">
        <f>IF($C168&lt;&gt;"",SUMIFS($O$3:$O$401, $C$3:$C$401 ,$C168,$B$3:$B$401,"&lt;="&amp;Controle!$B$6),"")</f>
        <v>0</v>
      </c>
      <c r="R168" s="51">
        <f>IF($D168&lt;&gt;"",SUMIFS($O$3:$O$401, $C$3:$C$401 ,$C168,$B$3:$B$401,"&lt;="&amp;Controle!$B$6,$F$3:$F$401,$F168),"")</f>
        <v>0</v>
      </c>
      <c r="S168" s="51">
        <f>IF($D168&lt;&gt;"",SUMIFS($O$3:$O$401, $C$3:$C$401 ,$C168,$B$3:$B$401,"&lt;="&amp;'Controle D-1'!$B$6,$F$3:$F$401,$F168),"")</f>
        <v>0</v>
      </c>
      <c r="T168" s="40"/>
      <c r="U168" s="40"/>
      <c r="V168" s="40"/>
      <c r="W168" s="40"/>
      <c r="X168" s="40"/>
      <c r="Y168" s="40"/>
      <c r="Z168" s="40"/>
      <c r="AA168" s="40"/>
      <c r="AB168" s="40"/>
      <c r="AC168" s="40"/>
    </row>
    <row r="169" ht="15.75" customHeight="1">
      <c r="A169" s="28"/>
      <c r="B169" s="100">
        <v>45106.0</v>
      </c>
      <c r="C169" s="88" t="s">
        <v>53</v>
      </c>
      <c r="D169" s="88" t="str">
        <f>IF(ISTEXT(C169),VLOOKUP(C169,'Cadastro dos Ativos'!$A$2:$C$1000,3,0),"")</f>
        <v>Ações Americanas</v>
      </c>
      <c r="E169" s="88" t="s">
        <v>198</v>
      </c>
      <c r="F169" s="88" t="s">
        <v>201</v>
      </c>
      <c r="G169" s="46">
        <v>167.5</v>
      </c>
      <c r="H169" s="101">
        <f>if($D169="Ações Americanas", HLOOKUP("PTAX",'Histórico'!$A$1:$EL$983,(MATCH(B169,'Histórico'!A:A))-1,""),
if($D169="Ações Europeias", HLOOKUP("EUR/BRL",'Histórico'!$A$1:$EL$983,(MATCH(B169,'Histórico'!A:A))-1,""),""))</f>
        <v>4.8105</v>
      </c>
      <c r="I169" s="88" t="str">
        <f t="array" ref="I169">IF(ISTEXT(C169),xlookup(C169,'Cadastro dos Ativos'!$A$2:$A$1000,'Cadastro dos Ativos'!$D$2:$D$1000),"")</f>
        <v/>
      </c>
      <c r="J169" s="88">
        <v>3700.0</v>
      </c>
      <c r="K169" s="47">
        <f t="array" ref="K169">if(and(J169&lt;&gt;"",D169&lt;&gt;"Futuros"),
if(F169=Controle!$C$2, M169/xlookup(workday(B169,-1,Feriados!A:A),Controle!$B$10:$B$1000,Controle!$C$10:$C$1000),
if(F169=Controle!$F$2, M169/xlookup(workday(B169,-1,Feriados!A:A),Controle!$B$10:$B$1000,Controle!$F$10:$F$1000),
if(F169=Controle!$I$2, M169/xlookup(workday(B169,-1,Feriados!A:A),Controle!$B$10:$B$1000,Controle!$I$10:$I$1000),
if(F169=Controle!$L$2, M169/xlookup(workday(B169,-1,Feriados!A:A),Controle!$B$10:$B$1000,Controle!$L$10:$L$1000),
)))),
if(and(J169&lt;&gt;"",D169="Futuros"),
if(F169=Controle!$C$2, N169/xlookup(workday(B169,-1,Feriados!A:A),Controle!$B$10:$B$1000,Controle!$C$10:$C$1000),
if(F169=Controle!$F$2, N169/xlookup(workday(B169,-1,Feriados!A:A),Controle!$B$10:$B$1000,Controle!$F$10:$F$1000),
if(F169=Controle!$I$2, N169/xlookup(workday(B169,-1,Feriados!A:A),Controle!$B$10:$B$1000,Controle!$I$10:$I$1000),
if(F169=Controle!$L$2, N169/xlookup(workday(B169,-1,Feriados!A:A),Controle!$B$10:$B$1000,Controle!$L$10:$L$1000),
)))),""))</f>
        <v>0.02763934121</v>
      </c>
      <c r="L169" s="47">
        <f t="array" ref="L169">IF($J169&lt;&gt;"", IF($D169 = "Futuros" , $N169/xlookup(WORKDAY(B169,-1,Feriados!A:A),Controle!$B$10:$B$1000,Controle!$T$10:$T$1000) , $M169/xlookup(WORKDAY(B169,-1,Feriados!A:A),Controle!$B$10:$B$1000,Controle!$T$10:$T$1000)),"")</f>
        <v>0.007024766368</v>
      </c>
      <c r="M169" s="48">
        <f t="shared" si="4"/>
        <v>2981307.375</v>
      </c>
      <c r="N169" s="48" t="str">
        <f>IFERROR(IF(D169="Futuros",
IF(LEFT(C169,3)="DI1",G169*O169,
IF(LEFT(C169,3)="ISP",G169*O169*HLOOKUP("PTAX",'Histórico'!$A$1:$EL$983,MATCH(B169,'Histórico'!A:A),FALSE)*50,
IF(LEFT(C169,3)="WDO",10*G169*O169*HLOOKUP("PTAX",'Histórico'!$A$1:$EL$983,MATCH(B169,'Histórico'!A:A),FALSE),
IF(LEFT(C169,3)="DOL",50*G169*O169,
IF(LEFT(C169,3)="EUR",G169*O169*50,
IF(LEFT(C169,3)="WEU",G169*O169*10,
IF(LEFT(C169,3)="IND",G169*O169,
IF(LEFT(C169,3)="WIN",G169*O169*0.2,
IF(LEFT(C169,3)="T10",G169*O169*1000*HLOOKUP("PTAX",'Histórico'!$A$1:$EL$983,MATCH(B169,'Histórico'!A:A),FALSE),
IF(LEFT(C169,3)="CCM",G169*O169*450,
IF(LEFT(C169,3)="SJC",G169*O169*HLOOKUP("PTAX",'Histórico'!$A$1:$EL$983,MATCH(B169,'Histórico'!A:A),FALSE)*450,
IF(LEFT(C169,3)="BGI",G169*O169*330,
IF(LEFT(C169,3)="OZ1",G169*O169*250,
IF(LEFT(C169,3)="CLP",G169*O169*25,
IF(LEFT(C169,3)="EUP", O169*10000*HLOOKUP("EUR/BRL",'Histórico'!$A$1:$EL$983,MATCH(B169,'Histórico'!A:A),FALSE),
IF(LEFT(C169,3)="JSE", G169*O169*0.4,
IF(LEFT(C169,3)="GBP", O169*10000*HLOOKUP("GBP/BRL",'Histórico'!$A$1:$FG$983,MATCH(B169,'Histórico'!A:A),FALSE),
IF(LEFT(C169,3)="JAP",O169*10000*HLOOKUP("PTAX",'Histórico'!$A$1:$FG$983,MATCH(B169,'Histórico'!A:A),FALSE),
IF(LEFT(C169,3)="CNH",O169*10000*HLOOKUP("PTAX",'Histórico'!$A$1:$FG$983,MATCH(B169,'Histórico'!A:A),FALSE),
IF(LEFT(C169,3)="AUS",O169*10000*HLOOKUP("PTAX",'Histórico'!$A$1:$FG$983,MATCH(B169,'Histórico'!A:A),FALSE),
IF(LEFT(C169,3)="CAN",O169*10000*HLOOKUP("PTAX",'Histórico'!$A$1:$FG$983,MATCH(B169,'Histórico'!A:A),FALSE),
IF(LEFT(C169,3)="GBR",O169*10000*HLOOKUP("GBP/BRL",'Histórico'!$A$1:$FG$983,MATCH(B169,'Histórico'!A:A),FALSE),
IF(LEFT(C169,3)="MEX",O169*10000*HLOOKUP("PTAX",'Histórico'!$A$1:$FG$983,MATCH(B169,'Histórico'!A:A),FALSE),
IF(LEFT(C169,3)="CHL",O169*10000*HLOOKUP("PTAX",'Histórico'!$A$1:$FG$983,MATCH(B169,'Histórico'!A:A),FALSE)
)))))))))))))))))))))))),""))</f>
        <v/>
      </c>
      <c r="O169" s="49">
        <f t="shared" si="2"/>
        <v>-3700</v>
      </c>
      <c r="P169" s="49">
        <f t="shared" si="5"/>
        <v>0</v>
      </c>
      <c r="Q169" s="51">
        <f>IF($C169&lt;&gt;"",SUMIFS($O$3:$O$401, $C$3:$C$401 ,$C169,$B$3:$B$401,"&lt;="&amp;Controle!$B$6),"")</f>
        <v>0</v>
      </c>
      <c r="R169" s="51">
        <f>IF($D169&lt;&gt;"",SUMIFS($O$3:$O$401, $C$3:$C$401 ,$C169,$B$3:$B$401,"&lt;="&amp;Controle!$B$6,$F$3:$F$401,$F169),"")</f>
        <v>0</v>
      </c>
      <c r="S169" s="51">
        <f>IF($D169&lt;&gt;"",SUMIFS($O$3:$O$401, $C$3:$C$401 ,$C169,$B$3:$B$401,"&lt;="&amp;'Controle D-1'!$B$6,$F$3:$F$401,$F169),"")</f>
        <v>0</v>
      </c>
      <c r="T169" s="40"/>
      <c r="U169" s="40"/>
      <c r="V169" s="40"/>
      <c r="W169" s="40"/>
      <c r="X169" s="40"/>
      <c r="Y169" s="40"/>
      <c r="Z169" s="40"/>
      <c r="AA169" s="40"/>
      <c r="AB169" s="40"/>
      <c r="AC169" s="40"/>
    </row>
    <row r="170" ht="15.75" customHeight="1">
      <c r="A170" s="28"/>
      <c r="B170" s="100">
        <v>45106.0</v>
      </c>
      <c r="C170" s="88" t="s">
        <v>120</v>
      </c>
      <c r="D170" s="88" t="str">
        <f>IF(ISTEXT(C170),VLOOKUP(C170,'Cadastro dos Ativos'!$A$2:$C$1000,3,0),"")</f>
        <v>Futuros</v>
      </c>
      <c r="E170" s="88" t="s">
        <v>198</v>
      </c>
      <c r="F170" s="88" t="s">
        <v>200</v>
      </c>
      <c r="G170" s="46">
        <v>80026.93</v>
      </c>
      <c r="H170" s="46" t="str">
        <f>if($D170="Ações Americanas", HLOOKUP("PTAX",'Histórico'!$A$1:$EL$983,(MATCH(B170,'Histórico'!A:A))-1,""),
if($D170="Ações Europeias", HLOOKUP("EUR/BRL",'Histórico'!$A$1:$EL$983,(MATCH(B170,'Histórico'!A:A))-1,""),""))</f>
        <v/>
      </c>
      <c r="I170" s="102">
        <f t="array" ref="I170">IF(ISTEXT(C170),xlookup(C170,'Cadastro dos Ativos'!$A$2:$A$1000,'Cadastro dos Ativos'!$D$2:$D$1000),"")</f>
        <v>45932</v>
      </c>
      <c r="J170" s="88">
        <v>1000.0</v>
      </c>
      <c r="K170" s="47">
        <f t="array" ref="K170">if(and(J170&lt;&gt;"",D170&lt;&gt;"Futuros"),
if(F170=Controle!$C$2, M170/xlookup(workday(B170,-1,Feriados!A:A),Controle!$B$10:$B$1000,Controle!$C$10:$C$1000),
if(F170=Controle!$F$2, M170/xlookup(workday(B170,-1,Feriados!A:A),Controle!$B$10:$B$1000,Controle!$F$10:$F$1000),
if(F170=Controle!$I$2, M170/xlookup(workday(B170,-1,Feriados!A:A),Controle!$B$10:$B$1000,Controle!$I$10:$I$1000),
if(F170=Controle!$L$2, M170/xlookup(workday(B170,-1,Feriados!A:A),Controle!$B$10:$B$1000,Controle!$L$10:$L$1000),
)))),
if(and(J170&lt;&gt;"",D170="Futuros"),
if(F170=Controle!$C$2, N170/xlookup(workday(B170,-1,Feriados!A:A),Controle!$B$10:$B$1000,Controle!$C$10:$C$1000),
if(F170=Controle!$F$2, N170/xlookup(workday(B170,-1,Feriados!A:A),Controle!$B$10:$B$1000,Controle!$F$10:$F$1000),
if(F170=Controle!$I$2, N170/xlookup(workday(B170,-1,Feriados!A:A),Controle!$B$10:$B$1000,Controle!$I$10:$I$1000),
if(F170=Controle!$L$2, N170/xlookup(workday(B170,-1,Feriados!A:A),Controle!$B$10:$B$1000,Controle!$L$10:$L$1000),
)))),""))</f>
        <v>-0.7267632355</v>
      </c>
      <c r="L170" s="47">
        <f t="array" ref="L170">IF($J170&lt;&gt;"", IF($D170 = "Futuros" , $N170/xlookup(WORKDAY(B170,-1,Feriados!A:A),Controle!$B$10:$B$1000,Controle!$T$10:$T$1000) , $M170/xlookup(WORKDAY(B170,-1,Feriados!A:A),Controle!$B$10:$B$1000,Controle!$T$10:$T$1000)),"")</f>
        <v>-0.1885650876</v>
      </c>
      <c r="M170" s="48">
        <f t="shared" si="4"/>
        <v>80026930</v>
      </c>
      <c r="N170" s="48">
        <f>IFERROR(IF(D170="Futuros",
IF(LEFT(C170,3)="DI1",G170*O170,
IF(LEFT(C170,3)="ISP",G170*O170*HLOOKUP("PTAX",'Histórico'!$A$1:$EL$983,MATCH(B170,'Histórico'!A:A),FALSE)*50,
IF(LEFT(C170,3)="WDO",10*G170*O170*HLOOKUP("PTAX",'Histórico'!$A$1:$EL$983,MATCH(B170,'Histórico'!A:A),FALSE),
IF(LEFT(C170,3)="DOL",50*G170*O170,
IF(LEFT(C170,3)="EUR",G170*O170*50,
IF(LEFT(C170,3)="WEU",G170*O170*10,
IF(LEFT(C170,3)="IND",G170*O170,
IF(LEFT(C170,3)="WIN",G170*O170*0.2,
IF(LEFT(C170,3)="T10",G170*O170*1000*HLOOKUP("PTAX",'Histórico'!$A$1:$EL$983,MATCH(B170,'Histórico'!A:A),FALSE),
IF(LEFT(C170,3)="CCM",G170*O170*450,
IF(LEFT(C170,3)="SJC",G170*O170*HLOOKUP("PTAX",'Histórico'!$A$1:$EL$983,MATCH(B170,'Histórico'!A:A),FALSE)*450,
IF(LEFT(C170,3)="BGI",G170*O170*330,
IF(LEFT(C170,3)="OZ1",G170*O170*250,
IF(LEFT(C170,3)="CLP",G170*O170*25,
IF(LEFT(C170,3)="EUP", O170*10000*HLOOKUP("EUR/BRL",'Histórico'!$A$1:$EL$983,MATCH(B170,'Histórico'!A:A),FALSE),
IF(LEFT(C170,3)="JSE", G170*O170*0.4,
IF(LEFT(C170,3)="GBP", O170*10000*HLOOKUP("GBP/BRL",'Histórico'!$A$1:$FG$983,MATCH(B170,'Histórico'!A:A),FALSE),
IF(LEFT(C170,3)="JAP",O170*10000*HLOOKUP("PTAX",'Histórico'!$A$1:$FG$983,MATCH(B170,'Histórico'!A:A),FALSE),
IF(LEFT(C170,3)="CNH",O170*10000*HLOOKUP("PTAX",'Histórico'!$A$1:$FG$983,MATCH(B170,'Histórico'!A:A),FALSE),
IF(LEFT(C170,3)="AUS",O170*10000*HLOOKUP("PTAX",'Histórico'!$A$1:$FG$983,MATCH(B170,'Histórico'!A:A),FALSE),
IF(LEFT(C170,3)="CAN",O170*10000*HLOOKUP("PTAX",'Histórico'!$A$1:$FG$983,MATCH(B170,'Histórico'!A:A),FALSE),
IF(LEFT(C170,3)="GBR",O170*10000*HLOOKUP("GBP/BRL",'Histórico'!$A$1:$FG$983,MATCH(B170,'Histórico'!A:A),FALSE),
IF(LEFT(C170,3)="MEX",O170*10000*HLOOKUP("PTAX",'Histórico'!$A$1:$FG$983,MATCH(B170,'Histórico'!A:A),FALSE),
IF(LEFT(C170,3)="CHL",O170*10000*HLOOKUP("PTAX",'Histórico'!$A$1:$FG$983,MATCH(B170,'Histórico'!A:A),FALSE)
)))))))))))))))))))))))),""))</f>
        <v>-80026930</v>
      </c>
      <c r="O170" s="49">
        <f t="shared" si="2"/>
        <v>-1000</v>
      </c>
      <c r="P170" s="49">
        <f t="shared" si="5"/>
        <v>0</v>
      </c>
      <c r="Q170" s="51">
        <f>IF($C170&lt;&gt;"",SUMIFS($O$3:$O$401, $C$3:$C$401 ,$C170,$B$3:$B$401,"&lt;="&amp;Controle!$B$6),"")</f>
        <v>0</v>
      </c>
      <c r="R170" s="51">
        <f>IF($D170&lt;&gt;"",SUMIFS($O$3:$O$401, $C$3:$C$401 ,$C170,$B$3:$B$401,"&lt;="&amp;Controle!$B$6,$F$3:$F$401,$F170),"")</f>
        <v>0</v>
      </c>
      <c r="S170" s="51">
        <f>IF($D170&lt;&gt;"",SUMIFS($O$3:$O$401, $C$3:$C$401 ,$C170,$B$3:$B$401,"&lt;="&amp;'Controle D-1'!$B$6,$F$3:$F$401,$F170),"")</f>
        <v>0</v>
      </c>
      <c r="T170" s="40"/>
      <c r="U170" s="40"/>
      <c r="V170" s="40"/>
      <c r="W170" s="40"/>
      <c r="X170" s="40"/>
      <c r="Y170" s="40"/>
      <c r="Z170" s="40"/>
      <c r="AA170" s="40"/>
      <c r="AB170" s="40"/>
      <c r="AC170" s="40"/>
    </row>
    <row r="171" ht="15.75" customHeight="1">
      <c r="A171" s="28"/>
      <c r="B171" s="100">
        <v>45110.0</v>
      </c>
      <c r="C171" s="88" t="s">
        <v>117</v>
      </c>
      <c r="D171" s="88" t="str">
        <f>IF(ISTEXT(C171),VLOOKUP(C171,'Cadastro dos Ativos'!$A$2:$C$1000,3,0),"")</f>
        <v>Futuros</v>
      </c>
      <c r="E171" s="88" t="s">
        <v>198</v>
      </c>
      <c r="F171" s="88" t="s">
        <v>200</v>
      </c>
      <c r="G171" s="46">
        <v>144535.0</v>
      </c>
      <c r="H171" s="101" t="str">
        <f>if($D171="Ações Americanas", HLOOKUP("PTAX",'Histórico'!$A$1:$EL$983,(MATCH(B171,'Histórico'!A:A))-1,""),
if($D171="Ações Europeias", HLOOKUP("EUR/BRL",'Histórico'!$A$1:$EL$983,(MATCH(B171,'Histórico'!A:A))-1,""),""))</f>
        <v/>
      </c>
      <c r="I171" s="110">
        <f t="array" ref="I171">IF(ISTEXT(C171),xlookup(C171,'Cadastro dos Ativos'!$A$2:$A$1000,'Cadastro dos Ativos'!$D$2:$D$1000),"")</f>
        <v>45110</v>
      </c>
      <c r="J171" s="88">
        <v>550.0</v>
      </c>
      <c r="K171" s="47">
        <f t="array" ref="K171">if(and(J171&lt;&gt;"",D171&lt;&gt;"Futuros"),
if(F171=Controle!$C$2, M171/xlookup(workday(B171,-1,Feriados!A:A),Controle!$B$10:$B$1000,Controle!$C$10:$C$1000),
if(F171=Controle!$F$2, M171/xlookup(workday(B171,-1,Feriados!A:A),Controle!$B$10:$B$1000,Controle!$F$10:$F$1000),
if(F171=Controle!$I$2, M171/xlookup(workday(B171,-1,Feriados!A:A),Controle!$B$10:$B$1000,Controle!$I$10:$I$1000),
if(F171=Controle!$L$2, M171/xlookup(workday(B171,-1,Feriados!A:A),Controle!$B$10:$B$1000,Controle!$L$10:$L$1000),
)))),
if(and(J171&lt;&gt;"",D171="Futuros"),
if(F171=Controle!$C$2, N171/xlookup(workday(B171,-1,Feriados!A:A),Controle!$B$10:$B$1000,Controle!$C$10:$C$1000),
if(F171=Controle!$F$2, N171/xlookup(workday(B171,-1,Feriados!A:A),Controle!$B$10:$B$1000,Controle!$F$10:$F$1000),
if(F171=Controle!$I$2, N171/xlookup(workday(B171,-1,Feriados!A:A),Controle!$B$10:$B$1000,Controle!$I$10:$I$1000),
if(F171=Controle!$L$2, N171/xlookup(workday(B171,-1,Feriados!A:A),Controle!$B$10:$B$1000,Controle!$L$10:$L$1000),
)))),""))</f>
        <v>-0.2381844769</v>
      </c>
      <c r="L171" s="47">
        <f t="array" ref="L171">IF($J171&lt;&gt;"", IF($D171 = "Futuros" , $N171/xlookup(WORKDAY(B171,-1,Feriados!A:A),Controle!$B$10:$B$1000,Controle!$T$10:$T$1000) , $M171/xlookup(WORKDAY(B171,-1,Feriados!A:A),Controle!$B$10:$B$1000,Controle!$T$10:$T$1000)),"")</f>
        <v>-0.06150842716</v>
      </c>
      <c r="M171" s="48">
        <f t="shared" si="4"/>
        <v>79494250</v>
      </c>
      <c r="N171" s="48">
        <f>IFERROR(IF(D171="Futuros",
IF(LEFT(C171,3)="DI1",G171*O171,
IF(LEFT(C171,3)="ISP",G171*O171*HLOOKUP("PTAX",'Histórico'!$A$1:$EL$983,MATCH(B171,'Histórico'!A:A),FALSE)*50,
IF(LEFT(C171,3)="WDO",10*G171*O171*HLOOKUP("PTAX",'Histórico'!$A$1:$EL$983,MATCH(B171,'Histórico'!A:A),FALSE),
IF(LEFT(C171,3)="DOL",50*G171*O171,
IF(LEFT(C171,3)="EUR",G171*O171*50,
IF(LEFT(C171,3)="WEU",G171*O171*10,
IF(LEFT(C171,3)="IND",G171*O171,
IF(LEFT(C171,3)="WIN",G171*O171*0.2,
IF(LEFT(C171,3)="T10",G171*O171*1000*HLOOKUP("PTAX",'Histórico'!$A$1:$EL$983,MATCH(B171,'Histórico'!A:A),FALSE),
IF(LEFT(C171,3)="CCM",G171*O171*450,
IF(LEFT(C171,3)="SJC",G171*O171*HLOOKUP("PTAX",'Histórico'!$A$1:$EL$983,MATCH(B171,'Histórico'!A:A),FALSE)*450,
IF(LEFT(C171,3)="BGI",G171*O171*330,
IF(LEFT(C171,3)="OZ1",G171*O171*250,
IF(LEFT(C171,3)="CLP",G171*O171*25,
IF(LEFT(C171,3)="EUP", O171*10000*HLOOKUP("EUR/BRL",'Histórico'!$A$1:$EL$983,MATCH(B171,'Histórico'!A:A),FALSE),
IF(LEFT(C171,3)="JSE", G171*O171*0.4,
IF(LEFT(C171,3)="GBP", O171*10000*HLOOKUP("GBP/BRL",'Histórico'!$A$1:$FG$983,MATCH(B171,'Histórico'!A:A),FALSE),
IF(LEFT(C171,3)="JAP",O171*10000*HLOOKUP("PTAX",'Histórico'!$A$1:$FG$983,MATCH(B171,'Histórico'!A:A),FALSE),
IF(LEFT(C171,3)="CNH",O171*10000*HLOOKUP("PTAX",'Histórico'!$A$1:$FG$983,MATCH(B171,'Histórico'!A:A),FALSE),
IF(LEFT(C171,3)="AUS",O171*10000*HLOOKUP("PTAX",'Histórico'!$A$1:$FG$983,MATCH(B171,'Histórico'!A:A),FALSE),
IF(LEFT(C171,3)="CAN",O171*10000*HLOOKUP("PTAX",'Histórico'!$A$1:$FG$983,MATCH(B171,'Histórico'!A:A),FALSE),
IF(LEFT(C171,3)="GBR",O171*10000*HLOOKUP("GBP/BRL",'Histórico'!$A$1:$FG$983,MATCH(B171,'Histórico'!A:A),FALSE),
IF(LEFT(C171,3)="MEX",O171*10000*HLOOKUP("PTAX",'Histórico'!$A$1:$FG$983,MATCH(B171,'Histórico'!A:A),FALSE),
IF(LEFT(C171,3)="CHL",O171*10000*HLOOKUP("PTAX",'Histórico'!$A$1:$FG$983,MATCH(B171,'Histórico'!A:A),FALSE)
)))))))))))))))))))))))),""))</f>
        <v>-26335100</v>
      </c>
      <c r="O171" s="49">
        <f t="shared" si="2"/>
        <v>-550</v>
      </c>
      <c r="P171" s="49">
        <f t="shared" si="5"/>
        <v>0</v>
      </c>
      <c r="Q171" s="51">
        <f>IF($C171&lt;&gt;"",SUMIFS($O$3:$O$401, $C$3:$C$401 ,$C171,$B$3:$B$401,"&lt;="&amp;Controle!$B$6),"")</f>
        <v>0</v>
      </c>
      <c r="R171" s="51">
        <f>IF($D171&lt;&gt;"",SUMIFS($O$3:$O$401, $C$3:$C$401 ,$C171,$B$3:$B$401,"&lt;="&amp;Controle!$B$6,$F$3:$F$401,$F171),"")</f>
        <v>0</v>
      </c>
      <c r="S171" s="51">
        <f>IF($D171&lt;&gt;"",SUMIFS($O$3:$O$401, $C$3:$C$401 ,$C171,$B$3:$B$401,"&lt;="&amp;'Controle D-1'!$B$6,$F$3:$F$401,$F171),"")</f>
        <v>0</v>
      </c>
      <c r="T171" s="40"/>
      <c r="U171" s="40"/>
      <c r="V171" s="40"/>
      <c r="W171" s="40"/>
      <c r="X171" s="40"/>
      <c r="Y171" s="40"/>
      <c r="Z171" s="40"/>
      <c r="AA171" s="40"/>
      <c r="AB171" s="40"/>
      <c r="AC171" s="40"/>
    </row>
    <row r="172" ht="15.75" customHeight="1">
      <c r="A172" s="28"/>
      <c r="B172" s="100">
        <v>45110.0</v>
      </c>
      <c r="C172" s="88" t="s">
        <v>121</v>
      </c>
      <c r="D172" s="88" t="str">
        <f>IF(ISTEXT(C172),VLOOKUP(C172,'Cadastro dos Ativos'!$A$2:$C$1000,3,0),"")</f>
        <v>Futuros</v>
      </c>
      <c r="E172" s="88" t="s">
        <v>198</v>
      </c>
      <c r="F172" s="88" t="s">
        <v>200</v>
      </c>
      <c r="G172" s="46">
        <v>7274.8</v>
      </c>
      <c r="H172" s="46" t="str">
        <f>if($D172="Ações Americanas", HLOOKUP("PTAX",'Histórico'!$A$1:$EL$983,(MATCH(B172,'Histórico'!A:A))-1,""),
if($D172="Ações Europeias", HLOOKUP("EUR/BRL",'Histórico'!$A$1:$EL$983,(MATCH(B172,'Histórico'!A:A))-1,""),""))</f>
        <v/>
      </c>
      <c r="I172" s="102">
        <f t="array" ref="I172">IF(ISTEXT(C172),xlookup(C172,'Cadastro dos Ativos'!$A$2:$A$1000,'Cadastro dos Ativos'!$D$2:$D$1000),"")</f>
        <v>45110</v>
      </c>
      <c r="J172" s="88">
        <v>550.0</v>
      </c>
      <c r="K172" s="47">
        <f t="array" ref="K172">if(and(J172&lt;&gt;"",D172&lt;&gt;"Futuros"),
if(F172=Controle!$C$2, M172/xlookup(workday(B172,-1,Feriados!A:A),Controle!$B$10:$B$1000,Controle!$C$10:$C$1000),
if(F172=Controle!$F$2, M172/xlookup(workday(B172,-1,Feriados!A:A),Controle!$B$10:$B$1000,Controle!$F$10:$F$1000),
if(F172=Controle!$I$2, M172/xlookup(workday(B172,-1,Feriados!A:A),Controle!$B$10:$B$1000,Controle!$I$10:$I$1000),
if(F172=Controle!$L$2, M172/xlookup(workday(B172,-1,Feriados!A:A),Controle!$B$10:$B$1000,Controle!$L$10:$L$1000),
)))),
if(and(J172&lt;&gt;"",D172="Futuros"),
if(F172=Controle!$C$2, N172/xlookup(workday(B172,-1,Feriados!A:A),Controle!$B$10:$B$1000,Controle!$C$10:$C$1000),
if(F172=Controle!$F$2, N172/xlookup(workday(B172,-1,Feriados!A:A),Controle!$B$10:$B$1000,Controle!$F$10:$F$1000),
if(F172=Controle!$I$2, N172/xlookup(workday(B172,-1,Feriados!A:A),Controle!$B$10:$B$1000,Controle!$I$10:$I$1000),
if(F172=Controle!$L$2, N172/xlookup(workday(B172,-1,Feriados!A:A),Controle!$B$10:$B$1000,Controle!$L$10:$L$1000),
)))),""))</f>
        <v>-0.2381844769</v>
      </c>
      <c r="L172" s="47">
        <f t="array" ref="L172">IF($J172&lt;&gt;"", IF($D172 = "Futuros" , $N172/xlookup(WORKDAY(B172,-1,Feriados!A:A),Controle!$B$10:$B$1000,Controle!$T$10:$T$1000) , $M172/xlookup(WORKDAY(B172,-1,Feriados!A:A),Controle!$B$10:$B$1000,Controle!$T$10:$T$1000)),"")</f>
        <v>-0.06150842716</v>
      </c>
      <c r="M172" s="48">
        <f t="shared" si="4"/>
        <v>4001140</v>
      </c>
      <c r="N172" s="48">
        <f>IFERROR(IF(D172="Futuros",
IF(LEFT(C172,3)="DI1",G172*O172,
IF(LEFT(C172,3)="ISP",G172*O172*HLOOKUP("PTAX",'Histórico'!$A$1:$EL$983,MATCH(B172,'Histórico'!A:A),FALSE)*50,
IF(LEFT(C172,3)="WDO",10*G172*O172*HLOOKUP("PTAX",'Histórico'!$A$1:$EL$983,MATCH(B172,'Histórico'!A:A),FALSE),
IF(LEFT(C172,3)="DOL",50*G172*O172,
IF(LEFT(C172,3)="EUR",G172*O172*50,
IF(LEFT(C172,3)="WEU",G172*O172*10,
IF(LEFT(C172,3)="IND",G172*O172,
IF(LEFT(C172,3)="WIN",G172*O172*0.2,
IF(LEFT(C172,3)="T10",G172*O172*1000*HLOOKUP("PTAX",'Histórico'!$A$1:$EL$983,MATCH(B172,'Histórico'!A:A),FALSE),
IF(LEFT(C172,3)="CCM",G172*O172*450,
IF(LEFT(C172,3)="SJC",G172*O172*HLOOKUP("PTAX",'Histórico'!$A$1:$EL$983,MATCH(B172,'Histórico'!A:A),FALSE)*450,
IF(LEFT(C172,3)="BGI",G172*O172*330,
IF(LEFT(C172,3)="OZ1",G172*O172*250,
IF(LEFT(C172,3)="CLP",G172*O172*25,
IF(LEFT(C172,3)="EUP", O172*10000*HLOOKUP("EUR/BRL",'Histórico'!$A$1:$EL$983,MATCH(B172,'Histórico'!A:A),FALSE),
IF(LEFT(C172,3)="JSE", G172*O172*0.4,
IF(LEFT(C172,3)="GBP", O172*10000*HLOOKUP("GBP/BRL",'Histórico'!$A$1:$FG$983,MATCH(B172,'Histórico'!A:A),FALSE),
IF(LEFT(C172,3)="JAP",O172*10000*HLOOKUP("PTAX",'Histórico'!$A$1:$FG$983,MATCH(B172,'Histórico'!A:A),FALSE),
IF(LEFT(C172,3)="CNH",O172*10000*HLOOKUP("PTAX",'Histórico'!$A$1:$FG$983,MATCH(B172,'Histórico'!A:A),FALSE),
IF(LEFT(C172,3)="AUS",O172*10000*HLOOKUP("PTAX",'Histórico'!$A$1:$FG$983,MATCH(B172,'Histórico'!A:A),FALSE),
IF(LEFT(C172,3)="CAN",O172*10000*HLOOKUP("PTAX",'Histórico'!$A$1:$FG$983,MATCH(B172,'Histórico'!A:A),FALSE),
IF(LEFT(C172,3)="GBR",O172*10000*HLOOKUP("GBP/BRL",'Histórico'!$A$1:$FG$983,MATCH(B172,'Histórico'!A:A),FALSE),
IF(LEFT(C172,3)="MEX",O172*10000*HLOOKUP("PTAX",'Histórico'!$A$1:$FG$983,MATCH(B172,'Histórico'!A:A),FALSE),
IF(LEFT(C172,3)="CHL",O172*10000*HLOOKUP("PTAX",'Histórico'!$A$1:$FG$983,MATCH(B172,'Histórico'!A:A),FALSE)
)))))))))))))))))))))))),""))</f>
        <v>-26335100</v>
      </c>
      <c r="O172" s="49">
        <f t="shared" si="2"/>
        <v>-550</v>
      </c>
      <c r="P172" s="49">
        <f t="shared" si="5"/>
        <v>0</v>
      </c>
      <c r="Q172" s="51">
        <f>IF($C172&lt;&gt;"",SUMIFS($O$3:$O$401, $C$3:$C$401 ,$C172,$B$3:$B$401,"&lt;="&amp;Controle!$B$6),"")</f>
        <v>0</v>
      </c>
      <c r="R172" s="51">
        <f>IF($D172&lt;&gt;"",SUMIFS($O$3:$O$401, $C$3:$C$401 ,$C172,$B$3:$B$401,"&lt;="&amp;Controle!$B$6,$F$3:$F$401,$F172),"")</f>
        <v>0</v>
      </c>
      <c r="S172" s="51">
        <f>IF($D172&lt;&gt;"",SUMIFS($O$3:$O$401, $C$3:$C$401 ,$C172,$B$3:$B$401,"&lt;="&amp;'Controle D-1'!$B$6,$F$3:$F$401,$F172),"")</f>
        <v>0</v>
      </c>
      <c r="T172" s="40"/>
      <c r="U172" s="40"/>
      <c r="V172" s="40"/>
      <c r="W172" s="40"/>
      <c r="X172" s="40"/>
      <c r="Y172" s="40"/>
      <c r="Z172" s="40"/>
      <c r="AA172" s="40"/>
      <c r="AB172" s="40"/>
      <c r="AC172" s="40"/>
    </row>
    <row r="173" ht="15.75" customHeight="1">
      <c r="A173" s="28"/>
      <c r="B173" s="100">
        <v>45110.0</v>
      </c>
      <c r="C173" s="88" t="s">
        <v>117</v>
      </c>
      <c r="D173" s="88" t="s">
        <v>12</v>
      </c>
      <c r="E173" s="88" t="s">
        <v>198</v>
      </c>
      <c r="F173" s="88" t="s">
        <v>201</v>
      </c>
      <c r="G173" s="46">
        <v>144535.0</v>
      </c>
      <c r="H173" s="101"/>
      <c r="I173" s="110">
        <v>45110.0</v>
      </c>
      <c r="J173" s="88">
        <v>1550.0</v>
      </c>
      <c r="K173" s="47">
        <f t="array" ref="K173">if(and(J173&lt;&gt;"",D173&lt;&gt;"Futuros"),
if(F173=Controle!$C$2, M173/xlookup(workday(B173,-1,Feriados!A:A),Controle!$B$10:$B$1000,Controle!$C$10:$C$1000),
if(F173=Controle!$F$2, M173/xlookup(workday(B173,-1,Feriados!A:A),Controle!$B$10:$B$1000,Controle!$F$10:$F$1000),
if(F173=Controle!$I$2, M173/xlookup(workday(B173,-1,Feriados!A:A),Controle!$B$10:$B$1000,Controle!$I$10:$I$1000),
if(F173=Controle!$L$2, M173/xlookup(workday(B173,-1,Feriados!A:A),Controle!$B$10:$B$1000,Controle!$L$10:$L$1000),
)))),
if(and(J173&lt;&gt;"",D173="Futuros"),
if(F173=Controle!$C$2, N173/xlookup(workday(B173,-1,Feriados!A:A),Controle!$B$10:$B$1000,Controle!$C$10:$C$1000),
if(F173=Controle!$F$2, N173/xlookup(workday(B173,-1,Feriados!A:A),Controle!$B$10:$B$1000,Controle!$F$10:$F$1000),
if(F173=Controle!$I$2, N173/xlookup(workday(B173,-1,Feriados!A:A),Controle!$B$10:$B$1000,Controle!$I$10:$I$1000),
if(F173=Controle!$L$2, N173/xlookup(workday(B173,-1,Feriados!A:A),Controle!$B$10:$B$1000,Controle!$L$10:$L$1000),
)))),""))</f>
        <v>-0.6800421175</v>
      </c>
      <c r="L173" s="47">
        <f t="array" ref="L173">IF($J173&lt;&gt;"", IF($D173 = "Futuros" , $N173/xlookup(WORKDAY(B173,-1,Feriados!A:A),Controle!$B$10:$B$1000,Controle!$T$10:$T$1000) , $M173/xlookup(WORKDAY(B173,-1,Feriados!A:A),Controle!$B$10:$B$1000,Controle!$T$10:$T$1000)),"")</f>
        <v>-0.1733419311</v>
      </c>
      <c r="M173" s="48">
        <f t="shared" si="4"/>
        <v>224029250</v>
      </c>
      <c r="N173" s="48">
        <f>IFERROR(IF(D173="Futuros",
IF(LEFT(C173,3)="DI1",G173*O173,
IF(LEFT(C173,3)="ISP",G173*O173*HLOOKUP("PTAX",'Histórico'!$A$1:$EL$983,MATCH(B173,'Histórico'!A:A),FALSE)*50,
IF(LEFT(C173,3)="WDO",10*G173*O173*HLOOKUP("PTAX",'Histórico'!$A$1:$EL$983,MATCH(B173,'Histórico'!A:A),FALSE),
IF(LEFT(C173,3)="DOL",50*G173*O173,
IF(LEFT(C173,3)="EUR",G173*O173*50,
IF(LEFT(C173,3)="WEU",G173*O173*10,
IF(LEFT(C173,3)="IND",G173*O173,
IF(LEFT(C173,3)="WIN",G173*O173*0.2,
IF(LEFT(C173,3)="T10",G173*O173*1000*HLOOKUP("PTAX",'Histórico'!$A$1:$EL$983,MATCH(B173,'Histórico'!A:A),FALSE),
IF(LEFT(C173,3)="CCM",G173*O173*450,
IF(LEFT(C173,3)="SJC",G173*O173*HLOOKUP("PTAX",'Histórico'!$A$1:$EL$983,MATCH(B173,'Histórico'!A:A),FALSE)*450,
IF(LEFT(C173,3)="BGI",G173*O173*330,
IF(LEFT(C173,3)="OZ1",G173*O173*250,
IF(LEFT(C173,3)="CLP",G173*O173*25,
IF(LEFT(C173,3)="EUP", O173*10000*HLOOKUP("EUR/BRL",'Histórico'!$A$1:$EL$983,MATCH(B173,'Histórico'!A:A),FALSE),
IF(LEFT(C173,3)="JSE", G173*O173*0.4,
IF(LEFT(C173,3)="GBP", O173*10000*HLOOKUP("GBP/BRL",'Histórico'!$A$1:$FG$983,MATCH(B173,'Histórico'!A:A),FALSE),
IF(LEFT(C173,3)="JAP",O173*10000*HLOOKUP("PTAX",'Histórico'!$A$1:$FG$983,MATCH(B173,'Histórico'!A:A),FALSE),
IF(LEFT(C173,3)="CNH",O173*10000*HLOOKUP("PTAX",'Histórico'!$A$1:$FG$983,MATCH(B173,'Histórico'!A:A),FALSE),
IF(LEFT(C173,3)="AUS",O173*10000*HLOOKUP("PTAX",'Histórico'!$A$1:$FG$983,MATCH(B173,'Histórico'!A:A),FALSE),
IF(LEFT(C173,3)="CAN",O173*10000*HLOOKUP("PTAX",'Histórico'!$A$1:$FG$983,MATCH(B173,'Histórico'!A:A),FALSE),
IF(LEFT(C173,3)="GBR",O173*10000*HLOOKUP("GBP/BRL",'Histórico'!$A$1:$FG$983,MATCH(B173,'Histórico'!A:A),FALSE),
IF(LEFT(C173,3)="MEX",O173*10000*HLOOKUP("PTAX",'Histórico'!$A$1:$FG$983,MATCH(B173,'Histórico'!A:A),FALSE),
IF(LEFT(C173,3)="CHL",O173*10000*HLOOKUP("PTAX",'Histórico'!$A$1:$FG$983,MATCH(B173,'Histórico'!A:A),FALSE)
)))))))))))))))))))))))),""))</f>
        <v>-74217100</v>
      </c>
      <c r="O173" s="49">
        <f t="shared" si="2"/>
        <v>-1550</v>
      </c>
      <c r="P173" s="49">
        <f t="shared" si="5"/>
        <v>0</v>
      </c>
      <c r="Q173" s="51">
        <f>IF($C173&lt;&gt;"",SUMIFS($O$3:$O$401, $C$3:$C$401 ,$C173,$B$3:$B$401,"&lt;="&amp;Controle!$B$6),"")</f>
        <v>0</v>
      </c>
      <c r="R173" s="51">
        <f>IF($D173&lt;&gt;"",SUMIFS($O$3:$O$401, $C$3:$C$401 ,$C173,$B$3:$B$401,"&lt;="&amp;Controle!$B$6,$F$3:$F$401,$F173),"")</f>
        <v>0</v>
      </c>
      <c r="S173" s="51">
        <f>IF($D173&lt;&gt;"",SUMIFS($O$3:$O$401, $C$3:$C$401 ,$C173,$B$3:$B$401,"&lt;="&amp;'Controle D-1'!$B$6,$F$3:$F$401,$F173),"")</f>
        <v>0</v>
      </c>
      <c r="T173" s="40"/>
      <c r="U173" s="40"/>
      <c r="V173" s="40"/>
      <c r="W173" s="40"/>
      <c r="X173" s="40"/>
      <c r="Y173" s="40"/>
      <c r="Z173" s="40"/>
      <c r="AA173" s="40"/>
      <c r="AB173" s="40"/>
      <c r="AC173" s="40"/>
    </row>
    <row r="174" ht="15.75" customHeight="1">
      <c r="A174" s="28"/>
      <c r="B174" s="100">
        <v>45110.0</v>
      </c>
      <c r="C174" s="88" t="s">
        <v>125</v>
      </c>
      <c r="D174" s="88" t="s">
        <v>12</v>
      </c>
      <c r="E174" s="88" t="s">
        <v>208</v>
      </c>
      <c r="F174" s="88" t="s">
        <v>200</v>
      </c>
      <c r="G174" s="46">
        <v>144005.695</v>
      </c>
      <c r="H174" s="46"/>
      <c r="I174" s="110">
        <v>45110.0</v>
      </c>
      <c r="J174" s="88">
        <v>550.0</v>
      </c>
      <c r="K174" s="47">
        <f t="array" ref="K174">if(and(J174&lt;&gt;"",D174&lt;&gt;"Futuros"),
if(F174=Controle!$C$2, M174/xlookup(workday(B174,-1,Feriados!A:A),Controle!$B$10:$B$1000,Controle!$C$10:$C$1000),
if(F174=Controle!$F$2, M174/xlookup(workday(B174,-1,Feriados!A:A),Controle!$B$10:$B$1000,Controle!$F$10:$F$1000),
if(F174=Controle!$I$2, M174/xlookup(workday(B174,-1,Feriados!A:A),Controle!$B$10:$B$1000,Controle!$I$10:$I$1000),
if(F174=Controle!$L$2, M174/xlookup(workday(B174,-1,Feriados!A:A),Controle!$B$10:$B$1000,Controle!$L$10:$L$1000),
)))),
if(and(J174&lt;&gt;"",D174="Futuros"),
if(F174=Controle!$C$2, N174/xlookup(workday(B174,-1,Feriados!A:A),Controle!$B$10:$B$1000,Controle!$C$10:$C$1000),
if(F174=Controle!$F$2, N174/xlookup(workday(B174,-1,Feriados!A:A),Controle!$B$10:$B$1000,Controle!$F$10:$F$1000),
if(F174=Controle!$I$2, N174/xlookup(workday(B174,-1,Feriados!A:A),Controle!$B$10:$B$1000,Controle!$I$10:$I$1000),
if(F174=Controle!$L$2, N174/xlookup(workday(B174,-1,Feriados!A:A),Controle!$B$10:$B$1000,Controle!$L$10:$L$1000),
)))),""))</f>
        <v>0.2381844769</v>
      </c>
      <c r="L174" s="47">
        <f t="array" ref="L174">IF($J174&lt;&gt;"", IF($D174 = "Futuros" , $N174/xlookup(WORKDAY(B174,-1,Feriados!A:A),Controle!$B$10:$B$1000,Controle!$T$10:$T$1000) , $M174/xlookup(WORKDAY(B174,-1,Feriados!A:A),Controle!$B$10:$B$1000,Controle!$T$10:$T$1000)),"")</f>
        <v>0.06150842716</v>
      </c>
      <c r="M174" s="48">
        <f t="shared" si="4"/>
        <v>-79203132.25</v>
      </c>
      <c r="N174" s="48">
        <f>IFERROR(IF(D174="Futuros",
IF(LEFT(C174,3)="DI1",G174*O174,
IF(LEFT(C174,3)="ISP",G174*O174*HLOOKUP("PTAX",'Histórico'!$A$1:$EL$983,MATCH(B174,'Histórico'!A:A),FALSE)*50,
IF(LEFT(C174,3)="WDO",10*G174*O174*HLOOKUP("PTAX",'Histórico'!$A$1:$EL$983,MATCH(B174,'Histórico'!A:A),FALSE),
IF(LEFT(C174,3)="DOL",50*G174*O174,
IF(LEFT(C174,3)="EUR",G174*O174*50,
IF(LEFT(C174,3)="WEU",G174*O174*10,
IF(LEFT(C174,3)="IND",G174*O174,
IF(LEFT(C174,3)="WIN",G174*O174*0.2,
IF(LEFT(C174,3)="T10",G174*O174*1000*HLOOKUP("PTAX",'Histórico'!$A$1:$EL$983,MATCH(B174,'Histórico'!A:A),FALSE),
IF(LEFT(C174,3)="CCM",G174*O174*450,
IF(LEFT(C174,3)="SJC",G174*O174*HLOOKUP("PTAX",'Histórico'!$A$1:$EL$983,MATCH(B174,'Histórico'!A:A),FALSE)*450,
IF(LEFT(C174,3)="BGI",G174*O174*330,
IF(LEFT(C174,3)="OZ1",G174*O174*250,
IF(LEFT(C174,3)="CLP",G174*O174*25,
IF(LEFT(C174,3)="EUP", O174*10000*HLOOKUP("EUR/BRL",'Histórico'!$A$1:$EL$983,MATCH(B174,'Histórico'!A:A),FALSE),
IF(LEFT(C174,3)="JSE", G174*O174*0.4,
IF(LEFT(C174,3)="GBP", O174*10000*HLOOKUP("GBP/BRL",'Histórico'!$A$1:$FG$983,MATCH(B174,'Histórico'!A:A),FALSE),
IF(LEFT(C174,3)="JAP",O174*10000*HLOOKUP("PTAX",'Histórico'!$A$1:$FG$983,MATCH(B174,'Histórico'!A:A),FALSE),
IF(LEFT(C174,3)="CNH",O174*10000*HLOOKUP("PTAX",'Histórico'!$A$1:$FG$983,MATCH(B174,'Histórico'!A:A),FALSE),
IF(LEFT(C174,3)="AUS",O174*10000*HLOOKUP("PTAX",'Histórico'!$A$1:$FG$983,MATCH(B174,'Histórico'!A:A),FALSE),
IF(LEFT(C174,3)="CAN",O174*10000*HLOOKUP("PTAX",'Histórico'!$A$1:$FG$983,MATCH(B174,'Histórico'!A:A),FALSE),
IF(LEFT(C174,3)="GBR",O174*10000*HLOOKUP("GBP/BRL",'Histórico'!$A$1:$FG$983,MATCH(B174,'Histórico'!A:A),FALSE),
IF(LEFT(C174,3)="MEX",O174*10000*HLOOKUP("PTAX",'Histórico'!$A$1:$FG$983,MATCH(B174,'Histórico'!A:A),FALSE),
IF(LEFT(C174,3)="CHL",O174*10000*HLOOKUP("PTAX",'Histórico'!$A$1:$FG$983,MATCH(B174,'Histórico'!A:A),FALSE)
)))))))))))))))))))))))),""))</f>
        <v>26335100</v>
      </c>
      <c r="O174" s="49">
        <f t="shared" si="2"/>
        <v>550</v>
      </c>
      <c r="P174" s="49">
        <f t="shared" si="5"/>
        <v>0</v>
      </c>
      <c r="Q174" s="51">
        <f>IF($C174&lt;&gt;"",SUMIFS($O$3:$O$401, $C$3:$C$401 ,$C174,$B$3:$B$401,"&lt;="&amp;Controle!$B$6),"")</f>
        <v>0</v>
      </c>
      <c r="R174" s="51">
        <f>IF($D174&lt;&gt;"",SUMIFS($O$3:$O$401, $C$3:$C$401 ,$C174,$B$3:$B$401,"&lt;="&amp;Controle!$B$6,$F$3:$F$401,$F174),"")</f>
        <v>0</v>
      </c>
      <c r="S174" s="51">
        <f>IF($D174&lt;&gt;"",SUMIFS($O$3:$O$401, $C$3:$C$401 ,$C174,$B$3:$B$401,"&lt;="&amp;'Controle D-1'!$B$6,$F$3:$F$401,$F174),"")</f>
        <v>0</v>
      </c>
      <c r="T174" s="40"/>
      <c r="U174" s="40"/>
      <c r="V174" s="40"/>
      <c r="W174" s="40"/>
      <c r="X174" s="40"/>
      <c r="Y174" s="40"/>
      <c r="Z174" s="40"/>
      <c r="AA174" s="40"/>
      <c r="AB174" s="40"/>
      <c r="AC174" s="40"/>
    </row>
    <row r="175" ht="15.75" customHeight="1">
      <c r="A175" s="28"/>
      <c r="B175" s="100">
        <v>45110.0</v>
      </c>
      <c r="C175" s="88" t="s">
        <v>126</v>
      </c>
      <c r="D175" s="88" t="s">
        <v>12</v>
      </c>
      <c r="E175" s="88" t="s">
        <v>208</v>
      </c>
      <c r="F175" s="88" t="s">
        <v>200</v>
      </c>
      <c r="G175" s="46">
        <v>7274.8</v>
      </c>
      <c r="H175" s="101"/>
      <c r="I175" s="102">
        <v>45110.0</v>
      </c>
      <c r="J175" s="88">
        <v>550.0</v>
      </c>
      <c r="K175" s="47">
        <f t="array" ref="K175">if(and(J175&lt;&gt;"",D175&lt;&gt;"Futuros"),
if(F175=Controle!$C$2, M175/xlookup(workday(B175,-1,Feriados!A:A),Controle!$B$10:$B$1000,Controle!$C$10:$C$1000),
if(F175=Controle!$F$2, M175/xlookup(workday(B175,-1,Feriados!A:A),Controle!$B$10:$B$1000,Controle!$F$10:$F$1000),
if(F175=Controle!$I$2, M175/xlookup(workday(B175,-1,Feriados!A:A),Controle!$B$10:$B$1000,Controle!$I$10:$I$1000),
if(F175=Controle!$L$2, M175/xlookup(workday(B175,-1,Feriados!A:A),Controle!$B$10:$B$1000,Controle!$L$10:$L$1000),
)))),
if(and(J175&lt;&gt;"",D175="Futuros"),
if(F175=Controle!$C$2, N175/xlookup(workday(B175,-1,Feriados!A:A),Controle!$B$10:$B$1000,Controle!$C$10:$C$1000),
if(F175=Controle!$F$2, N175/xlookup(workday(B175,-1,Feriados!A:A),Controle!$B$10:$B$1000,Controle!$F$10:$F$1000),
if(F175=Controle!$I$2, N175/xlookup(workday(B175,-1,Feriados!A:A),Controle!$B$10:$B$1000,Controle!$I$10:$I$1000),
if(F175=Controle!$L$2, N175/xlookup(workday(B175,-1,Feriados!A:A),Controle!$B$10:$B$1000,Controle!$L$10:$L$1000),
)))),""))</f>
        <v>0.2381844769</v>
      </c>
      <c r="L175" s="47">
        <f t="array" ref="L175">IF($J175&lt;&gt;"", IF($D175 = "Futuros" , $N175/xlookup(WORKDAY(B175,-1,Feriados!A:A),Controle!$B$10:$B$1000,Controle!$T$10:$T$1000) , $M175/xlookup(WORKDAY(B175,-1,Feriados!A:A),Controle!$B$10:$B$1000,Controle!$T$10:$T$1000)),"")</f>
        <v>0.06150842716</v>
      </c>
      <c r="M175" s="48">
        <f t="shared" si="4"/>
        <v>-4001140</v>
      </c>
      <c r="N175" s="48">
        <f>IFERROR(IF(D175="Futuros",
IF(LEFT(C175,3)="DI1",G175*O175,
IF(LEFT(C175,3)="ISP",G175*O175*HLOOKUP("PTAX",'Histórico'!$A$1:$EL$983,MATCH(B175,'Histórico'!A:A),FALSE)*50,
IF(LEFT(C175,3)="WDO",10*G175*O175*HLOOKUP("PTAX",'Histórico'!$A$1:$EL$983,MATCH(B175,'Histórico'!A:A),FALSE),
IF(LEFT(C175,3)="DOL",50*G175*O175,
IF(LEFT(C175,3)="EUR",G175*O175*50,
IF(LEFT(C175,3)="WEU",G175*O175*10,
IF(LEFT(C175,3)="IND",G175*O175,
IF(LEFT(C175,3)="WIN",G175*O175*0.2,
IF(LEFT(C175,3)="T10",G175*O175*1000*HLOOKUP("PTAX",'Histórico'!$A$1:$EL$983,MATCH(B175,'Histórico'!A:A),FALSE),
IF(LEFT(C175,3)="CCM",G175*O175*450,
IF(LEFT(C175,3)="SJC",G175*O175*HLOOKUP("PTAX",'Histórico'!$A$1:$EL$983,MATCH(B175,'Histórico'!A:A),FALSE)*450,
IF(LEFT(C175,3)="BGI",G175*O175*330,
IF(LEFT(C175,3)="OZ1",G175*O175*250,
IF(LEFT(C175,3)="CLP",G175*O175*25,
IF(LEFT(C175,3)="EUP", O175*10000*HLOOKUP("EUR/BRL",'Histórico'!$A$1:$EL$983,MATCH(B175,'Histórico'!A:A),FALSE),
IF(LEFT(C175,3)="JSE", G175*O175*0.4,
IF(LEFT(C175,3)="GBP", O175*10000*HLOOKUP("GBP/BRL",'Histórico'!$A$1:$FG$983,MATCH(B175,'Histórico'!A:A),FALSE),
IF(LEFT(C175,3)="JAP",O175*10000*HLOOKUP("PTAX",'Histórico'!$A$1:$FG$983,MATCH(B175,'Histórico'!A:A),FALSE),
IF(LEFT(C175,3)="CNH",O175*10000*HLOOKUP("PTAX",'Histórico'!$A$1:$FG$983,MATCH(B175,'Histórico'!A:A),FALSE),
IF(LEFT(C175,3)="AUS",O175*10000*HLOOKUP("PTAX",'Histórico'!$A$1:$FG$983,MATCH(B175,'Histórico'!A:A),FALSE),
IF(LEFT(C175,3)="CAN",O175*10000*HLOOKUP("PTAX",'Histórico'!$A$1:$FG$983,MATCH(B175,'Histórico'!A:A),FALSE),
IF(LEFT(C175,3)="GBR",O175*10000*HLOOKUP("GBP/BRL",'Histórico'!$A$1:$FG$983,MATCH(B175,'Histórico'!A:A),FALSE),
IF(LEFT(C175,3)="MEX",O175*10000*HLOOKUP("PTAX",'Histórico'!$A$1:$FG$983,MATCH(B175,'Histórico'!A:A),FALSE),
IF(LEFT(C175,3)="CHL",O175*10000*HLOOKUP("PTAX",'Histórico'!$A$1:$FG$983,MATCH(B175,'Histórico'!A:A),FALSE)
)))))))))))))))))))))))),""))</f>
        <v>26335100</v>
      </c>
      <c r="O175" s="49">
        <f t="shared" si="2"/>
        <v>550</v>
      </c>
      <c r="P175" s="49">
        <f t="shared" si="5"/>
        <v>0</v>
      </c>
      <c r="Q175" s="51">
        <f>IF($C175&lt;&gt;"",SUMIFS($O$3:$O$401, $C$3:$C$401 ,$C175,$B$3:$B$401,"&lt;="&amp;Controle!$B$6),"")</f>
        <v>0</v>
      </c>
      <c r="R175" s="51">
        <f>IF($D175&lt;&gt;"",SUMIFS($O$3:$O$401, $C$3:$C$401 ,$C175,$B$3:$B$401,"&lt;="&amp;Controle!$B$6,$F$3:$F$401,$F175),"")</f>
        <v>0</v>
      </c>
      <c r="S175" s="51">
        <f>IF($D175&lt;&gt;"",SUMIFS($O$3:$O$401, $C$3:$C$401 ,$C175,$B$3:$B$401,"&lt;="&amp;'Controle D-1'!$B$6,$F$3:$F$401,$F175),"")</f>
        <v>0</v>
      </c>
      <c r="T175" s="40"/>
      <c r="U175" s="40"/>
      <c r="V175" s="40"/>
      <c r="W175" s="40"/>
      <c r="X175" s="40"/>
      <c r="Y175" s="40"/>
      <c r="Z175" s="40"/>
      <c r="AA175" s="40"/>
      <c r="AB175" s="40"/>
      <c r="AC175" s="40"/>
    </row>
    <row r="176" ht="15.75" customHeight="1">
      <c r="A176" s="28"/>
      <c r="B176" s="100">
        <v>45110.0</v>
      </c>
      <c r="C176" s="88" t="s">
        <v>125</v>
      </c>
      <c r="D176" s="88" t="s">
        <v>12</v>
      </c>
      <c r="E176" s="88" t="s">
        <v>208</v>
      </c>
      <c r="F176" s="88" t="s">
        <v>201</v>
      </c>
      <c r="G176" s="46">
        <v>144005.695</v>
      </c>
      <c r="H176" s="46"/>
      <c r="I176" s="110">
        <v>45110.0</v>
      </c>
      <c r="J176" s="88">
        <v>1550.0</v>
      </c>
      <c r="K176" s="47">
        <f t="array" ref="K176">if(and(J176&lt;&gt;"",D176&lt;&gt;"Futuros"),
if(F176=Controle!$C$2, M176/xlookup(workday(B176,-1,Feriados!A:A),Controle!$B$10:$B$1000,Controle!$C$10:$C$1000),
if(F176=Controle!$F$2, M176/xlookup(workday(B176,-1,Feriados!A:A),Controle!$B$10:$B$1000,Controle!$F$10:$F$1000),
if(F176=Controle!$I$2, M176/xlookup(workday(B176,-1,Feriados!A:A),Controle!$B$10:$B$1000,Controle!$I$10:$I$1000),
if(F176=Controle!$L$2, M176/xlookup(workday(B176,-1,Feriados!A:A),Controle!$B$10:$B$1000,Controle!$L$10:$L$1000),
)))),
if(and(J176&lt;&gt;"",D176="Futuros"),
if(F176=Controle!$C$2, N176/xlookup(workday(B176,-1,Feriados!A:A),Controle!$B$10:$B$1000,Controle!$C$10:$C$1000),
if(F176=Controle!$F$2, N176/xlookup(workday(B176,-1,Feriados!A:A),Controle!$B$10:$B$1000,Controle!$F$10:$F$1000),
if(F176=Controle!$I$2, N176/xlookup(workday(B176,-1,Feriados!A:A),Controle!$B$10:$B$1000,Controle!$I$10:$I$1000),
if(F176=Controle!$L$2, N176/xlookup(workday(B176,-1,Feriados!A:A),Controle!$B$10:$B$1000,Controle!$L$10:$L$1000),
)))),""))</f>
        <v>0.6800421175</v>
      </c>
      <c r="L176" s="47">
        <f t="array" ref="L176">IF($J176&lt;&gt;"", IF($D176 = "Futuros" , $N176/xlookup(WORKDAY(B176,-1,Feriados!A:A),Controle!$B$10:$B$1000,Controle!$T$10:$T$1000) , $M176/xlookup(WORKDAY(B176,-1,Feriados!A:A),Controle!$B$10:$B$1000,Controle!$T$10:$T$1000)),"")</f>
        <v>0.1733419311</v>
      </c>
      <c r="M176" s="48">
        <f t="shared" si="4"/>
        <v>-223208827.3</v>
      </c>
      <c r="N176" s="48">
        <f>IFERROR(IF(D176="Futuros",
IF(LEFT(C176,3)="DI1",G176*O176,
IF(LEFT(C176,3)="ISP",G176*O176*HLOOKUP("PTAX",'Histórico'!$A$1:$EL$983,MATCH(B176,'Histórico'!A:A),FALSE)*50,
IF(LEFT(C176,3)="WDO",10*G176*O176*HLOOKUP("PTAX",'Histórico'!$A$1:$EL$983,MATCH(B176,'Histórico'!A:A),FALSE),
IF(LEFT(C176,3)="DOL",50*G176*O176,
IF(LEFT(C176,3)="EUR",G176*O176*50,
IF(LEFT(C176,3)="WEU",G176*O176*10,
IF(LEFT(C176,3)="IND",G176*O176,
IF(LEFT(C176,3)="WIN",G176*O176*0.2,
IF(LEFT(C176,3)="T10",G176*O176*1000*HLOOKUP("PTAX",'Histórico'!$A$1:$EL$983,MATCH(B176,'Histórico'!A:A),FALSE),
IF(LEFT(C176,3)="CCM",G176*O176*450,
IF(LEFT(C176,3)="SJC",G176*O176*HLOOKUP("PTAX",'Histórico'!$A$1:$EL$983,MATCH(B176,'Histórico'!A:A),FALSE)*450,
IF(LEFT(C176,3)="BGI",G176*O176*330,
IF(LEFT(C176,3)="OZ1",G176*O176*250,
IF(LEFT(C176,3)="CLP",G176*O176*25,
IF(LEFT(C176,3)="EUP", O176*10000*HLOOKUP("EUR/BRL",'Histórico'!$A$1:$EL$983,MATCH(B176,'Histórico'!A:A),FALSE),
IF(LEFT(C176,3)="JSE", G176*O176*0.4,
IF(LEFT(C176,3)="GBP", O176*10000*HLOOKUP("GBP/BRL",'Histórico'!$A$1:$FG$983,MATCH(B176,'Histórico'!A:A),FALSE),
IF(LEFT(C176,3)="JAP",O176*10000*HLOOKUP("PTAX",'Histórico'!$A$1:$FG$983,MATCH(B176,'Histórico'!A:A),FALSE),
IF(LEFT(C176,3)="CNH",O176*10000*HLOOKUP("PTAX",'Histórico'!$A$1:$FG$983,MATCH(B176,'Histórico'!A:A),FALSE),
IF(LEFT(C176,3)="AUS",O176*10000*HLOOKUP("PTAX",'Histórico'!$A$1:$FG$983,MATCH(B176,'Histórico'!A:A),FALSE),
IF(LEFT(C176,3)="CAN",O176*10000*HLOOKUP("PTAX",'Histórico'!$A$1:$FG$983,MATCH(B176,'Histórico'!A:A),FALSE),
IF(LEFT(C176,3)="GBR",O176*10000*HLOOKUP("GBP/BRL",'Histórico'!$A$1:$FG$983,MATCH(B176,'Histórico'!A:A),FALSE),
IF(LEFT(C176,3)="MEX",O176*10000*HLOOKUP("PTAX",'Histórico'!$A$1:$FG$983,MATCH(B176,'Histórico'!A:A),FALSE),
IF(LEFT(C176,3)="CHL",O176*10000*HLOOKUP("PTAX",'Histórico'!$A$1:$FG$983,MATCH(B176,'Histórico'!A:A),FALSE)
)))))))))))))))))))))))),""))</f>
        <v>74217100</v>
      </c>
      <c r="O176" s="49">
        <f t="shared" si="2"/>
        <v>1550</v>
      </c>
      <c r="P176" s="49">
        <f t="shared" si="5"/>
        <v>0</v>
      </c>
      <c r="Q176" s="51">
        <f>IF($C176&lt;&gt;"",SUMIFS($O$3:$O$401, $C$3:$C$401 ,$C176,$B$3:$B$401,"&lt;="&amp;Controle!$B$6),"")</f>
        <v>0</v>
      </c>
      <c r="R176" s="51">
        <f>IF($D176&lt;&gt;"",SUMIFS($O$3:$O$401, $C$3:$C$401 ,$C176,$B$3:$B$401,"&lt;="&amp;Controle!$B$6,$F$3:$F$401,$F176),"")</f>
        <v>0</v>
      </c>
      <c r="S176" s="51">
        <f>IF($D176&lt;&gt;"",SUMIFS($O$3:$O$401, $C$3:$C$401 ,$C176,$B$3:$B$401,"&lt;="&amp;'Controle D-1'!$B$6,$F$3:$F$401,$F176),"")</f>
        <v>0</v>
      </c>
      <c r="T176" s="40"/>
      <c r="U176" s="40"/>
      <c r="V176" s="40"/>
      <c r="W176" s="40"/>
      <c r="X176" s="40"/>
      <c r="Y176" s="40"/>
      <c r="Z176" s="40"/>
      <c r="AA176" s="40"/>
      <c r="AB176" s="40"/>
      <c r="AC176" s="40"/>
    </row>
    <row r="177" ht="15.75" customHeight="1">
      <c r="A177" s="28"/>
      <c r="B177" s="100">
        <v>45117.0</v>
      </c>
      <c r="C177" s="88" t="s">
        <v>82</v>
      </c>
      <c r="D177" s="88" t="str">
        <f>IF(ISTEXT(C177),VLOOKUP(C177,'Cadastro dos Ativos'!$A$2:$C$1000,3,0),"")</f>
        <v>Ações Americanas</v>
      </c>
      <c r="E177" s="88" t="s">
        <v>208</v>
      </c>
      <c r="F177" s="88" t="s">
        <v>200</v>
      </c>
      <c r="G177" s="46">
        <v>37.509998</v>
      </c>
      <c r="H177" s="101">
        <f>if($D177="Ações Americanas", HLOOKUP("PTAX",'Histórico'!$A$1:$EL$983,(MATCH(B177,'Histórico'!A:A))-1,""),
if($D177="Ações Europeias", HLOOKUP("EUR/BRL",'Histórico'!$A$1:$EL$983,(MATCH(B177,'Histórico'!A:A))-1,""),""))</f>
        <v>4.918700218</v>
      </c>
      <c r="I177" s="88" t="str">
        <f t="array" ref="I177">IF(ISTEXT(C177),xlookup(C177,'Cadastro dos Ativos'!$A$2:$A$1000,'Cadastro dos Ativos'!$D$2:$D$1000),"")</f>
        <v/>
      </c>
      <c r="J177" s="88">
        <v>8000.0</v>
      </c>
      <c r="K177" s="47">
        <f t="array" ref="K177">if(and(J177&lt;&gt;"",D177&lt;&gt;"Futuros"),
if(F177=Controle!$C$2, M177/xlookup(workday(B177,-1,Feriados!A:A),Controle!$B$10:$B$1000,Controle!$C$10:$C$1000),
if(F177=Controle!$F$2, M177/xlookup(workday(B177,-1,Feriados!A:A),Controle!$B$10:$B$1000,Controle!$F$10:$F$1000),
if(F177=Controle!$I$2, M177/xlookup(workday(B177,-1,Feriados!A:A),Controle!$B$10:$B$1000,Controle!$I$10:$I$1000),
if(F177=Controle!$L$2, M177/xlookup(workday(B177,-1,Feriados!A:A),Controle!$B$10:$B$1000,Controle!$L$10:$L$1000),
)))),
if(and(J177&lt;&gt;"",D177="Futuros"),
if(F177=Controle!$C$2, N177/xlookup(workday(B177,-1,Feriados!A:A),Controle!$B$10:$B$1000,Controle!$C$10:$C$1000),
if(F177=Controle!$F$2, N177/xlookup(workday(B177,-1,Feriados!A:A),Controle!$B$10:$B$1000,Controle!$F$10:$F$1000),
if(F177=Controle!$I$2, N177/xlookup(workday(B177,-1,Feriados!A:A),Controle!$B$10:$B$1000,Controle!$I$10:$I$1000),
if(F177=Controle!$L$2, N177/xlookup(workday(B177,-1,Feriados!A:A),Controle!$B$10:$B$1000,Controle!$L$10:$L$1000),
)))),""))</f>
        <v>-0.01336664298</v>
      </c>
      <c r="L177" s="47">
        <f t="array" ref="L177">IF($J177&lt;&gt;"", IF($D177 = "Futuros" , $N177/xlookup(WORKDAY(B177,-1,Feriados!A:A),Controle!$B$10:$B$1000,Controle!$T$10:$T$1000) , $M177/xlookup(WORKDAY(B177,-1,Feriados!A:A),Controle!$B$10:$B$1000,Controle!$T$10:$T$1000)),"")</f>
        <v>-0.003444977018</v>
      </c>
      <c r="M177" s="48">
        <f t="shared" si="4"/>
        <v>-1476003.483</v>
      </c>
      <c r="N177" s="48" t="str">
        <f>IFERROR(IF(D177="Futuros",
IF(LEFT(C177,3)="DI1",G177*O177,
IF(LEFT(C177,3)="ISP",G177*O177*HLOOKUP("PTAX",'Histórico'!$A$1:$EL$983,MATCH(B177,'Histórico'!A:A),FALSE)*50,
IF(LEFT(C177,3)="WDO",10*G177*O177*HLOOKUP("PTAX",'Histórico'!$A$1:$EL$983,MATCH(B177,'Histórico'!A:A),FALSE),
IF(LEFT(C177,3)="DOL",50*G177*O177,
IF(LEFT(C177,3)="EUR",G177*O177*50,
IF(LEFT(C177,3)="WEU",G177*O177*10,
IF(LEFT(C177,3)="IND",G177*O177,
IF(LEFT(C177,3)="WIN",G177*O177*0.2,
IF(LEFT(C177,3)="T10",G177*O177*1000*HLOOKUP("PTAX",'Histórico'!$A$1:$EL$983,MATCH(B177,'Histórico'!A:A),FALSE),
IF(LEFT(C177,3)="CCM",G177*O177*450,
IF(LEFT(C177,3)="SJC",G177*O177*HLOOKUP("PTAX",'Histórico'!$A$1:$EL$983,MATCH(B177,'Histórico'!A:A),FALSE)*450,
IF(LEFT(C177,3)="BGI",G177*O177*330,
IF(LEFT(C177,3)="OZ1",G177*O177*250,
IF(LEFT(C177,3)="CLP",G177*O177*25,
IF(LEFT(C177,3)="EUP", O177*10000*HLOOKUP("EUR/BRL",'Histórico'!$A$1:$EL$983,MATCH(B177,'Histórico'!A:A),FALSE),
IF(LEFT(C177,3)="JSE", G177*O177*0.4,
IF(LEFT(C177,3)="GBP", O177*10000*HLOOKUP("GBP/BRL",'Histórico'!$A$1:$FG$983,MATCH(B177,'Histórico'!A:A),FALSE),
IF(LEFT(C177,3)="JAP",O177*10000*HLOOKUP("PTAX",'Histórico'!$A$1:$FG$983,MATCH(B177,'Histórico'!A:A),FALSE),
IF(LEFT(C177,3)="CNH",O177*10000*HLOOKUP("PTAX",'Histórico'!$A$1:$FG$983,MATCH(B177,'Histórico'!A:A),FALSE),
IF(LEFT(C177,3)="AUS",O177*10000*HLOOKUP("PTAX",'Histórico'!$A$1:$FG$983,MATCH(B177,'Histórico'!A:A),FALSE),
IF(LEFT(C177,3)="CAN",O177*10000*HLOOKUP("PTAX",'Histórico'!$A$1:$FG$983,MATCH(B177,'Histórico'!A:A),FALSE),
IF(LEFT(C177,3)="GBR",O177*10000*HLOOKUP("GBP/BRL",'Histórico'!$A$1:$FG$983,MATCH(B177,'Histórico'!A:A),FALSE),
IF(LEFT(C177,3)="MEX",O177*10000*HLOOKUP("PTAX",'Histórico'!$A$1:$FG$983,MATCH(B177,'Histórico'!A:A),FALSE),
IF(LEFT(C177,3)="CHL",O177*10000*HLOOKUP("PTAX",'Histórico'!$A$1:$FG$983,MATCH(B177,'Histórico'!A:A),FALSE)
)))))))))))))))))))))))),""))</f>
        <v/>
      </c>
      <c r="O177" s="49">
        <f t="shared" si="2"/>
        <v>8000</v>
      </c>
      <c r="P177" s="49">
        <f t="shared" si="5"/>
        <v>0</v>
      </c>
      <c r="Q177" s="51">
        <f>IF($C177&lt;&gt;"",SUMIFS($O$3:$O$401, $C$3:$C$401 ,$C177,$B$3:$B$401,"&lt;="&amp;Controle!$B$6),"")</f>
        <v>0</v>
      </c>
      <c r="R177" s="51">
        <f>IF($D177&lt;&gt;"",SUMIFS($O$3:$O$401, $C$3:$C$401 ,$C177,$B$3:$B$401,"&lt;="&amp;Controle!$B$6,$F$3:$F$401,$F177),"")</f>
        <v>0</v>
      </c>
      <c r="S177" s="51">
        <f>IF($D177&lt;&gt;"",SUMIFS($O$3:$O$401, $C$3:$C$401 ,$C177,$B$3:$B$401,"&lt;="&amp;'Controle D-1'!$B$6,$F$3:$F$401,$F177),"")</f>
        <v>0</v>
      </c>
      <c r="T177" s="40"/>
      <c r="U177" s="40"/>
      <c r="V177" s="40"/>
      <c r="W177" s="40"/>
      <c r="X177" s="40"/>
      <c r="Y177" s="40"/>
      <c r="Z177" s="40"/>
      <c r="AA177" s="40"/>
      <c r="AB177" s="40"/>
      <c r="AC177" s="40"/>
    </row>
    <row r="178" ht="15.75" customHeight="1">
      <c r="A178" s="28"/>
      <c r="B178" s="100">
        <v>45117.0</v>
      </c>
      <c r="C178" s="88" t="s">
        <v>79</v>
      </c>
      <c r="D178" s="88" t="str">
        <f>IF(ISTEXT(C178),VLOOKUP(C178,'Cadastro dos Ativos'!$A$2:$C$1000,3,0),"")</f>
        <v>Ações Europeias</v>
      </c>
      <c r="E178" s="88" t="s">
        <v>208</v>
      </c>
      <c r="F178" s="88" t="s">
        <v>200</v>
      </c>
      <c r="G178" s="46">
        <v>44.610001</v>
      </c>
      <c r="H178" s="46">
        <f>if($D178="Ações Americanas", HLOOKUP("PTAX",'Histórico'!$A$1:$EL$983,(MATCH(B178,'Histórico'!A:A))-1,""),
if($D178="Ações Europeias", HLOOKUP("EUR/BRL",'Histórico'!$A$1:$EL$983,(MATCH(B178,'Histórico'!A:A))-1,""),""))</f>
        <v>5.342700005</v>
      </c>
      <c r="I178" s="140" t="str">
        <f t="array" ref="I178">IF(ISTEXT(C178),xlookup(C178,'Cadastro dos Ativos'!$A$2:$A$1000,'Cadastro dos Ativos'!$D$2:$D$1000),"")</f>
        <v/>
      </c>
      <c r="J178" s="88">
        <v>30700.0</v>
      </c>
      <c r="K178" s="47">
        <f t="array" ref="K178">if(and(J178&lt;&gt;"",D178&lt;&gt;"Futuros"),
if(F178=Controle!$C$2, M178/xlookup(workday(B178,-1,Feriados!A:A),Controle!$B$10:$B$1000,Controle!$C$10:$C$1000),
if(F178=Controle!$F$2, M178/xlookup(workday(B178,-1,Feriados!A:A),Controle!$B$10:$B$1000,Controle!$F$10:$F$1000),
if(F178=Controle!$I$2, M178/xlookup(workday(B178,-1,Feriados!A:A),Controle!$B$10:$B$1000,Controle!$I$10:$I$1000),
if(F178=Controle!$L$2, M178/xlookup(workday(B178,-1,Feriados!A:A),Controle!$B$10:$B$1000,Controle!$L$10:$L$1000),
)))),
if(and(J178&lt;&gt;"",D178="Futuros"),
if(F178=Controle!$C$2, N178/xlookup(workday(B178,-1,Feriados!A:A),Controle!$B$10:$B$1000,Controle!$C$10:$C$1000),
if(F178=Controle!$F$2, N178/xlookup(workday(B178,-1,Feriados!A:A),Controle!$B$10:$B$1000,Controle!$F$10:$F$1000),
if(F178=Controle!$I$2, N178/xlookup(workday(B178,-1,Feriados!A:A),Controle!$B$10:$B$1000,Controle!$I$10:$I$1000),
if(F178=Controle!$L$2, N178/xlookup(workday(B178,-1,Feriados!A:A),Controle!$B$10:$B$1000,Controle!$L$10:$L$1000),
)))),""))</f>
        <v>-0.06626227821</v>
      </c>
      <c r="L178" s="47">
        <f t="array" ref="L178">IF($J178&lt;&gt;"", IF($D178 = "Futuros" , $N178/xlookup(WORKDAY(B178,-1,Feriados!A:A),Controle!$B$10:$B$1000,Controle!$T$10:$T$1000) , $M178/xlookup(WORKDAY(B178,-1,Feriados!A:A),Controle!$B$10:$B$1000,Controle!$T$10:$T$1000)),"")</f>
        <v>-0.01707773791</v>
      </c>
      <c r="M178" s="48">
        <f t="shared" si="4"/>
        <v>-7316972.073</v>
      </c>
      <c r="N178" s="48" t="str">
        <f>IFERROR(IF(D178="Futuros",
IF(LEFT(C178,3)="DI1",G178*O178,
IF(LEFT(C178,3)="ISP",G178*O178*HLOOKUP("PTAX",'Histórico'!$A$1:$EL$983,MATCH(B178,'Histórico'!A:A),FALSE)*50,
IF(LEFT(C178,3)="WDO",10*G178*O178*HLOOKUP("PTAX",'Histórico'!$A$1:$EL$983,MATCH(B178,'Histórico'!A:A),FALSE),
IF(LEFT(C178,3)="DOL",50*G178*O178,
IF(LEFT(C178,3)="EUR",G178*O178*50,
IF(LEFT(C178,3)="WEU",G178*O178*10,
IF(LEFT(C178,3)="IND",G178*O178,
IF(LEFT(C178,3)="WIN",G178*O178*0.2,
IF(LEFT(C178,3)="T10",G178*O178*1000*HLOOKUP("PTAX",'Histórico'!$A$1:$EL$983,MATCH(B178,'Histórico'!A:A),FALSE),
IF(LEFT(C178,3)="CCM",G178*O178*450,
IF(LEFT(C178,3)="SJC",G178*O178*HLOOKUP("PTAX",'Histórico'!$A$1:$EL$983,MATCH(B178,'Histórico'!A:A),FALSE)*450,
IF(LEFT(C178,3)="BGI",G178*O178*330,
IF(LEFT(C178,3)="OZ1",G178*O178*250,
IF(LEFT(C178,3)="CLP",G178*O178*25,
IF(LEFT(C178,3)="EUP", O178*10000*HLOOKUP("EUR/BRL",'Histórico'!$A$1:$EL$983,MATCH(B178,'Histórico'!A:A),FALSE),
IF(LEFT(C178,3)="JSE", G178*O178*0.4,
IF(LEFT(C178,3)="GBP", O178*10000*HLOOKUP("GBP/BRL",'Histórico'!$A$1:$FG$983,MATCH(B178,'Histórico'!A:A),FALSE),
IF(LEFT(C178,3)="JAP",O178*10000*HLOOKUP("PTAX",'Histórico'!$A$1:$FG$983,MATCH(B178,'Histórico'!A:A),FALSE),
IF(LEFT(C178,3)="CNH",O178*10000*HLOOKUP("PTAX",'Histórico'!$A$1:$FG$983,MATCH(B178,'Histórico'!A:A),FALSE),
IF(LEFT(C178,3)="AUS",O178*10000*HLOOKUP("PTAX",'Histórico'!$A$1:$FG$983,MATCH(B178,'Histórico'!A:A),FALSE),
IF(LEFT(C178,3)="CAN",O178*10000*HLOOKUP("PTAX",'Histórico'!$A$1:$FG$983,MATCH(B178,'Histórico'!A:A),FALSE),
IF(LEFT(C178,3)="GBR",O178*10000*HLOOKUP("GBP/BRL",'Histórico'!$A$1:$FG$983,MATCH(B178,'Histórico'!A:A),FALSE),
IF(LEFT(C178,3)="MEX",O178*10000*HLOOKUP("PTAX",'Histórico'!$A$1:$FG$983,MATCH(B178,'Histórico'!A:A),FALSE),
IF(LEFT(C178,3)="CHL",O178*10000*HLOOKUP("PTAX",'Histórico'!$A$1:$FG$983,MATCH(B178,'Histórico'!A:A),FALSE)
)))))))))))))))))))))))),""))</f>
        <v/>
      </c>
      <c r="O178" s="49">
        <f t="shared" si="2"/>
        <v>30700</v>
      </c>
      <c r="P178" s="49">
        <f t="shared" si="5"/>
        <v>0</v>
      </c>
      <c r="Q178" s="51">
        <f>IF($C178&lt;&gt;"",SUMIFS($O$3:$O$401, $C$3:$C$401 ,$C178,$B$3:$B$401,"&lt;="&amp;Controle!$B$6),"")</f>
        <v>0</v>
      </c>
      <c r="R178" s="51">
        <f>IF($D178&lt;&gt;"",SUMIFS($O$3:$O$401, $C$3:$C$401 ,$C178,$B$3:$B$401,"&lt;="&amp;Controle!$B$6,$F$3:$F$401,$F178),"")</f>
        <v>0</v>
      </c>
      <c r="S178" s="51">
        <f>IF($D178&lt;&gt;"",SUMIFS($O$3:$O$401, $C$3:$C$401 ,$C178,$B$3:$B$401,"&lt;="&amp;'Controle D-1'!$B$6,$F$3:$F$401,$F178),"")</f>
        <v>0</v>
      </c>
      <c r="T178" s="40"/>
      <c r="U178" s="40"/>
      <c r="V178" s="40"/>
      <c r="W178" s="40"/>
      <c r="X178" s="40"/>
      <c r="Y178" s="40"/>
      <c r="Z178" s="40"/>
      <c r="AA178" s="40"/>
      <c r="AB178" s="40"/>
      <c r="AC178" s="40"/>
    </row>
    <row r="179" ht="15.75" customHeight="1">
      <c r="A179" s="28"/>
      <c r="B179" s="100">
        <v>45117.0</v>
      </c>
      <c r="C179" s="88" t="s">
        <v>86</v>
      </c>
      <c r="D179" s="88" t="str">
        <f>IF(ISTEXT(C179),VLOOKUP(C179,'Cadastro dos Ativos'!$A$2:$C$1000,3,0),"")</f>
        <v>Ações Americanas</v>
      </c>
      <c r="E179" s="88" t="s">
        <v>208</v>
      </c>
      <c r="F179" s="88" t="s">
        <v>200</v>
      </c>
      <c r="G179" s="46">
        <v>61.549999</v>
      </c>
      <c r="H179" s="101">
        <f>if($D179="Ações Americanas", HLOOKUP("PTAX",'Histórico'!$A$1:$EL$983,(MATCH(B179,'Histórico'!A:A))-1,""),
if($D179="Ações Europeias", HLOOKUP("EUR/BRL",'Histórico'!$A$1:$EL$983,(MATCH(B179,'Histórico'!A:A))-1,""),""))</f>
        <v>4.918700218</v>
      </c>
      <c r="I179" s="88" t="str">
        <f t="array" ref="I179">IF(ISTEXT(C179),xlookup(C179,'Cadastro dos Ativos'!$A$2:$A$1000,'Cadastro dos Ativos'!$D$2:$D$1000),"")</f>
        <v/>
      </c>
      <c r="J179" s="88">
        <v>42380.0</v>
      </c>
      <c r="K179" s="47">
        <f t="array" ref="K179">if(and(J179&lt;&gt;"",D179&lt;&gt;"Futuros"),
if(F179=Controle!$C$2, M179/xlookup(workday(B179,-1,Feriados!A:A),Controle!$B$10:$B$1000,Controle!$C$10:$C$1000),
if(F179=Controle!$F$2, M179/xlookup(workday(B179,-1,Feriados!A:A),Controle!$B$10:$B$1000,Controle!$F$10:$F$1000),
if(F179=Controle!$I$2, M179/xlookup(workday(B179,-1,Feriados!A:A),Controle!$B$10:$B$1000,Controle!$I$10:$I$1000),
if(F179=Controle!$L$2, M179/xlookup(workday(B179,-1,Feriados!A:A),Controle!$B$10:$B$1000,Controle!$L$10:$L$1000),
)))),
if(and(J179&lt;&gt;"",D179="Futuros"),
if(F179=Controle!$C$2, N179/xlookup(workday(B179,-1,Feriados!A:A),Controle!$B$10:$B$1000,Controle!$C$10:$C$1000),
if(F179=Controle!$F$2, N179/xlookup(workday(B179,-1,Feriados!A:A),Controle!$B$10:$B$1000,Controle!$F$10:$F$1000),
if(F179=Controle!$I$2, N179/xlookup(workday(B179,-1,Feriados!A:A),Controle!$B$10:$B$1000,Controle!$I$10:$I$1000),
if(F179=Controle!$L$2, N179/xlookup(workday(B179,-1,Feriados!A:A),Controle!$B$10:$B$1000,Controle!$L$10:$L$1000),
)))),""))</f>
        <v>-0.1161914905</v>
      </c>
      <c r="L179" s="47">
        <f t="array" ref="L179">IF($J179&lt;&gt;"", IF($D179 = "Futuros" , $N179/xlookup(WORKDAY(B179,-1,Feriados!A:A),Controle!$B$10:$B$1000,Controle!$T$10:$T$1000) , $M179/xlookup(WORKDAY(B179,-1,Feriados!A:A),Controle!$B$10:$B$1000,Controle!$T$10:$T$1000)),"")</f>
        <v>-0.02994596437</v>
      </c>
      <c r="M179" s="48">
        <f t="shared" si="4"/>
        <v>-12830375.21</v>
      </c>
      <c r="N179" s="48" t="str">
        <f>IFERROR(IF(D179="Futuros",
IF(LEFT(C179,3)="DI1",G179*O179,
IF(LEFT(C179,3)="ISP",G179*O179*HLOOKUP("PTAX",'Histórico'!$A$1:$EL$983,MATCH(B179,'Histórico'!A:A),FALSE)*50,
IF(LEFT(C179,3)="WDO",10*G179*O179*HLOOKUP("PTAX",'Histórico'!$A$1:$EL$983,MATCH(B179,'Histórico'!A:A),FALSE),
IF(LEFT(C179,3)="DOL",50*G179*O179,
IF(LEFT(C179,3)="EUR",G179*O179*50,
IF(LEFT(C179,3)="WEU",G179*O179*10,
IF(LEFT(C179,3)="IND",G179*O179,
IF(LEFT(C179,3)="WIN",G179*O179*0.2,
IF(LEFT(C179,3)="T10",G179*O179*1000*HLOOKUP("PTAX",'Histórico'!$A$1:$EL$983,MATCH(B179,'Histórico'!A:A),FALSE),
IF(LEFT(C179,3)="CCM",G179*O179*450,
IF(LEFT(C179,3)="SJC",G179*O179*HLOOKUP("PTAX",'Histórico'!$A$1:$EL$983,MATCH(B179,'Histórico'!A:A),FALSE)*450,
IF(LEFT(C179,3)="BGI",G179*O179*330,
IF(LEFT(C179,3)="OZ1",G179*O179*250,
IF(LEFT(C179,3)="CLP",G179*O179*25,
IF(LEFT(C179,3)="EUP", O179*10000*HLOOKUP("EUR/BRL",'Histórico'!$A$1:$EL$983,MATCH(B179,'Histórico'!A:A),FALSE),
IF(LEFT(C179,3)="JSE", G179*O179*0.4,
IF(LEFT(C179,3)="GBP", O179*10000*HLOOKUP("GBP/BRL",'Histórico'!$A$1:$FG$983,MATCH(B179,'Histórico'!A:A),FALSE),
IF(LEFT(C179,3)="JAP",O179*10000*HLOOKUP("PTAX",'Histórico'!$A$1:$FG$983,MATCH(B179,'Histórico'!A:A),FALSE),
IF(LEFT(C179,3)="CNH",O179*10000*HLOOKUP("PTAX",'Histórico'!$A$1:$FG$983,MATCH(B179,'Histórico'!A:A),FALSE),
IF(LEFT(C179,3)="AUS",O179*10000*HLOOKUP("PTAX",'Histórico'!$A$1:$FG$983,MATCH(B179,'Histórico'!A:A),FALSE),
IF(LEFT(C179,3)="CAN",O179*10000*HLOOKUP("PTAX",'Histórico'!$A$1:$FG$983,MATCH(B179,'Histórico'!A:A),FALSE),
IF(LEFT(C179,3)="GBR",O179*10000*HLOOKUP("GBP/BRL",'Histórico'!$A$1:$FG$983,MATCH(B179,'Histórico'!A:A),FALSE),
IF(LEFT(C179,3)="MEX",O179*10000*HLOOKUP("PTAX",'Histórico'!$A$1:$FG$983,MATCH(B179,'Histórico'!A:A),FALSE),
IF(LEFT(C179,3)="CHL",O179*10000*HLOOKUP("PTAX",'Histórico'!$A$1:$FG$983,MATCH(B179,'Histórico'!A:A),FALSE)
)))))))))))))))))))))))),""))</f>
        <v/>
      </c>
      <c r="O179" s="49">
        <f t="shared" si="2"/>
        <v>42380</v>
      </c>
      <c r="P179" s="49">
        <f t="shared" si="5"/>
        <v>0</v>
      </c>
      <c r="Q179" s="51">
        <f>IF($C179&lt;&gt;"",SUMIFS($O$3:$O$401, $C$3:$C$401 ,$C179,$B$3:$B$401,"&lt;="&amp;Controle!$B$6),"")</f>
        <v>0</v>
      </c>
      <c r="R179" s="51">
        <f>IF($D179&lt;&gt;"",SUMIFS($O$3:$O$401, $C$3:$C$401 ,$C179,$B$3:$B$401,"&lt;="&amp;Controle!$B$6,$F$3:$F$401,$F179),"")</f>
        <v>0</v>
      </c>
      <c r="S179" s="51">
        <f>IF($D179&lt;&gt;"",SUMIFS($O$3:$O$401, $C$3:$C$401 ,$C179,$B$3:$B$401,"&lt;="&amp;'Controle D-1'!$B$6,$F$3:$F$401,$F179),"")</f>
        <v>0</v>
      </c>
      <c r="T179" s="40"/>
      <c r="U179" s="40"/>
      <c r="V179" s="40"/>
      <c r="W179" s="40"/>
      <c r="X179" s="40"/>
      <c r="Y179" s="40"/>
      <c r="Z179" s="40"/>
      <c r="AA179" s="40"/>
      <c r="AB179" s="40"/>
      <c r="AC179" s="40"/>
    </row>
    <row r="180" ht="15.75" customHeight="1">
      <c r="A180" s="28"/>
      <c r="B180" s="100">
        <v>45117.0</v>
      </c>
      <c r="C180" s="88" t="s">
        <v>7</v>
      </c>
      <c r="D180" s="88" t="str">
        <f>IF(ISTEXT(C180),VLOOKUP(C180,'Cadastro dos Ativos'!$A$2:$C$1000,3,0),"")</f>
        <v>Ações Americanas</v>
      </c>
      <c r="E180" s="88" t="s">
        <v>198</v>
      </c>
      <c r="F180" s="88" t="s">
        <v>200</v>
      </c>
      <c r="G180" s="46">
        <v>439.660004</v>
      </c>
      <c r="H180" s="46">
        <f>if($D180="Ações Americanas", HLOOKUP("PTAX",'Histórico'!$A$1:$EL$983,(MATCH(B180,'Histórico'!A:A))-1,""),
if($D180="Ações Europeias", HLOOKUP("EUR/BRL",'Histórico'!$A$1:$EL$983,(MATCH(B180,'Histórico'!A:A))-1,""),""))</f>
        <v>4.918700218</v>
      </c>
      <c r="I180" s="140" t="str">
        <f t="array" ref="I180">IF(ISTEXT(C180),xlookup(C180,'Cadastro dos Ativos'!$A$2:$A$1000,'Cadastro dos Ativos'!$D$2:$D$1000),"")</f>
        <v/>
      </c>
      <c r="J180" s="88">
        <v>6200.0</v>
      </c>
      <c r="K180" s="47">
        <f t="array" ref="K180">if(and(J180&lt;&gt;"",D180&lt;&gt;"Futuros"),
if(F180=Controle!$C$2, M180/xlookup(workday(B180,-1,Feriados!A:A),Controle!$B$10:$B$1000,Controle!$C$10:$C$1000),
if(F180=Controle!$F$2, M180/xlookup(workday(B180,-1,Feriados!A:A),Controle!$B$10:$B$1000,Controle!$F$10:$F$1000),
if(F180=Controle!$I$2, M180/xlookup(workday(B180,-1,Feriados!A:A),Controle!$B$10:$B$1000,Controle!$I$10:$I$1000),
if(F180=Controle!$L$2, M180/xlookup(workday(B180,-1,Feriados!A:A),Controle!$B$10:$B$1000,Controle!$L$10:$L$1000),
)))),
if(and(J180&lt;&gt;"",D180="Futuros"),
if(F180=Controle!$C$2, N180/xlookup(workday(B180,-1,Feriados!A:A),Controle!$B$10:$B$1000,Controle!$C$10:$C$1000),
if(F180=Controle!$F$2, N180/xlookup(workday(B180,-1,Feriados!A:A),Controle!$B$10:$B$1000,Controle!$F$10:$F$1000),
if(F180=Controle!$I$2, N180/xlookup(workday(B180,-1,Feriados!A:A),Controle!$B$10:$B$1000,Controle!$I$10:$I$1000),
if(F180=Controle!$L$2, N180/xlookup(workday(B180,-1,Feriados!A:A),Controle!$B$10:$B$1000,Controle!$L$10:$L$1000),
)))),""))</f>
        <v>0.1214210459</v>
      </c>
      <c r="L180" s="47">
        <f t="array" ref="L180">IF($J180&lt;&gt;"", IF($D180 = "Futuros" , $N180/xlookup(WORKDAY(B180,-1,Feriados!A:A),Controle!$B$10:$B$1000,Controle!$T$10:$T$1000) , $M180/xlookup(WORKDAY(B180,-1,Feriados!A:A),Controle!$B$10:$B$1000,Controle!$T$10:$T$1000)),"")</f>
        <v>0.03129377459</v>
      </c>
      <c r="M180" s="48">
        <f t="shared" si="4"/>
        <v>13407845.7</v>
      </c>
      <c r="N180" s="48" t="str">
        <f>IFERROR(IF(D180="Futuros",
IF(LEFT(C180,3)="DI1",G180*O180,
IF(LEFT(C180,3)="ISP",G180*O180*HLOOKUP("PTAX",'Histórico'!$A$1:$EL$983,MATCH(B180,'Histórico'!A:A),FALSE)*50,
IF(LEFT(C180,3)="WDO",10*G180*O180*HLOOKUP("PTAX",'Histórico'!$A$1:$EL$983,MATCH(B180,'Histórico'!A:A),FALSE),
IF(LEFT(C180,3)="DOL",50*G180*O180,
IF(LEFT(C180,3)="EUR",G180*O180*50,
IF(LEFT(C180,3)="WEU",G180*O180*10,
IF(LEFT(C180,3)="IND",G180*O180,
IF(LEFT(C180,3)="WIN",G180*O180*0.2,
IF(LEFT(C180,3)="T10",G180*O180*1000*HLOOKUP("PTAX",'Histórico'!$A$1:$EL$983,MATCH(B180,'Histórico'!A:A),FALSE),
IF(LEFT(C180,3)="CCM",G180*O180*450,
IF(LEFT(C180,3)="SJC",G180*O180*HLOOKUP("PTAX",'Histórico'!$A$1:$EL$983,MATCH(B180,'Histórico'!A:A),FALSE)*450,
IF(LEFT(C180,3)="BGI",G180*O180*330,
IF(LEFT(C180,3)="OZ1",G180*O180*250,
IF(LEFT(C180,3)="CLP",G180*O180*25,
IF(LEFT(C180,3)="EUP", O180*10000*HLOOKUP("EUR/BRL",'Histórico'!$A$1:$EL$983,MATCH(B180,'Histórico'!A:A),FALSE),
IF(LEFT(C180,3)="JSE", G180*O180*0.4,
IF(LEFT(C180,3)="GBP", O180*10000*HLOOKUP("GBP/BRL",'Histórico'!$A$1:$FG$983,MATCH(B180,'Histórico'!A:A),FALSE),
IF(LEFT(C180,3)="JAP",O180*10000*HLOOKUP("PTAX",'Histórico'!$A$1:$FG$983,MATCH(B180,'Histórico'!A:A),FALSE),
IF(LEFT(C180,3)="CNH",O180*10000*HLOOKUP("PTAX",'Histórico'!$A$1:$FG$983,MATCH(B180,'Histórico'!A:A),FALSE),
IF(LEFT(C180,3)="AUS",O180*10000*HLOOKUP("PTAX",'Histórico'!$A$1:$FG$983,MATCH(B180,'Histórico'!A:A),FALSE),
IF(LEFT(C180,3)="CAN",O180*10000*HLOOKUP("PTAX",'Histórico'!$A$1:$FG$983,MATCH(B180,'Histórico'!A:A),FALSE),
IF(LEFT(C180,3)="GBR",O180*10000*HLOOKUP("GBP/BRL",'Histórico'!$A$1:$FG$983,MATCH(B180,'Histórico'!A:A),FALSE),
IF(LEFT(C180,3)="MEX",O180*10000*HLOOKUP("PTAX",'Histórico'!$A$1:$FG$983,MATCH(B180,'Histórico'!A:A),FALSE),
IF(LEFT(C180,3)="CHL",O180*10000*HLOOKUP("PTAX",'Histórico'!$A$1:$FG$983,MATCH(B180,'Histórico'!A:A),FALSE)
)))))))))))))))))))))))),""))</f>
        <v/>
      </c>
      <c r="O180" s="49">
        <f t="shared" si="2"/>
        <v>-6200</v>
      </c>
      <c r="P180" s="49">
        <f t="shared" si="5"/>
        <v>3500</v>
      </c>
      <c r="Q180" s="51">
        <f>IF($C180&lt;&gt;"",SUMIFS($O$3:$O$401, $C$3:$C$401 ,$C180,$B$3:$B$401,"&lt;="&amp;Controle!$B$6),"")</f>
        <v>0</v>
      </c>
      <c r="R180" s="51">
        <f>IF($D180&lt;&gt;"",SUMIFS($O$3:$O$401, $C$3:$C$401 ,$C180,$B$3:$B$401,"&lt;="&amp;Controle!$B$6,$F$3:$F$401,$F180),"")</f>
        <v>0</v>
      </c>
      <c r="S180" s="51">
        <f>IF($D180&lt;&gt;"",SUMIFS($O$3:$O$401, $C$3:$C$401 ,$C180,$B$3:$B$401,"&lt;="&amp;'Controle D-1'!$B$6,$F$3:$F$401,$F180),"")</f>
        <v>0</v>
      </c>
      <c r="T180" s="40"/>
      <c r="U180" s="40"/>
      <c r="V180" s="40"/>
      <c r="W180" s="40"/>
      <c r="X180" s="40"/>
      <c r="Y180" s="40"/>
      <c r="Z180" s="40"/>
      <c r="AA180" s="40"/>
      <c r="AB180" s="40"/>
      <c r="AC180" s="40"/>
    </row>
    <row r="181" ht="15.75" customHeight="1">
      <c r="A181" s="28"/>
      <c r="B181" s="100">
        <v>45117.0</v>
      </c>
      <c r="C181" s="88" t="s">
        <v>125</v>
      </c>
      <c r="D181" s="88" t="str">
        <f>IF(ISTEXT(C181),VLOOKUP(C181,'Cadastro dos Ativos'!$A$2:$C$1000,3,0),"")</f>
        <v>Futuros</v>
      </c>
      <c r="E181" s="88" t="s">
        <v>198</v>
      </c>
      <c r="F181" s="88" t="s">
        <v>200</v>
      </c>
      <c r="G181" s="46">
        <v>140789.486</v>
      </c>
      <c r="H181" s="101" t="str">
        <f>if($D181="Ações Americanas", HLOOKUP("PTAX",'Histórico'!$A$1:$EL$983,(MATCH(B181,'Histórico'!A:A))-1,""),
if($D181="Ações Europeias", HLOOKUP("EUR/BRL",'Histórico'!$A$1:$EL$983,(MATCH(B181,'Histórico'!A:A))-1,""),""))</f>
        <v/>
      </c>
      <c r="I181" s="110">
        <f t="array" ref="I181">IF(ISTEXT(C181),xlookup(C181,'Cadastro dos Ativos'!$A$2:$A$1000,'Cadastro dos Ativos'!$D$2:$D$1000),"")</f>
        <v>45139</v>
      </c>
      <c r="J181" s="88">
        <v>550.0</v>
      </c>
      <c r="K181" s="47">
        <f t="array" ref="K181">if(and(J181&lt;&gt;"",D181&lt;&gt;"Futuros"),
if(F181=Controle!$C$2, M181/xlookup(workday(B181,-1,Feriados!A:A),Controle!$B$10:$B$1000,Controle!$C$10:$C$1000),
if(F181=Controle!$F$2, M181/xlookup(workday(B181,-1,Feriados!A:A),Controle!$B$10:$B$1000,Controle!$F$10:$F$1000),
if(F181=Controle!$I$2, M181/xlookup(workday(B181,-1,Feriados!A:A),Controle!$B$10:$B$1000,Controle!$I$10:$I$1000),
if(F181=Controle!$L$2, M181/xlookup(workday(B181,-1,Feriados!A:A),Controle!$B$10:$B$1000,Controle!$L$10:$L$1000),
)))),
if(and(J181&lt;&gt;"",D181="Futuros"),
if(F181=Controle!$C$2, N181/xlookup(workday(B181,-1,Feriados!A:A),Controle!$B$10:$B$1000,Controle!$C$10:$C$1000),
if(F181=Controle!$F$2, N181/xlookup(workday(B181,-1,Feriados!A:A),Controle!$B$10:$B$1000,Controle!$F$10:$F$1000),
if(F181=Controle!$I$2, N181/xlookup(workday(B181,-1,Feriados!A:A),Controle!$B$10:$B$1000,Controle!$I$10:$I$1000),
if(F181=Controle!$L$2, N181/xlookup(workday(B181,-1,Feriados!A:A),Controle!$B$10:$B$1000,Controle!$L$10:$L$1000),
)))),""))</f>
        <v>-0.243958759</v>
      </c>
      <c r="L181" s="47">
        <f t="array" ref="L181">IF($J181&lt;&gt;"", IF($D181 = "Futuros" , $N181/xlookup(WORKDAY(B181,-1,Feriados!A:A),Controle!$B$10:$B$1000,Controle!$T$10:$T$1000) , $M181/xlookup(WORKDAY(B181,-1,Feriados!A:A),Controle!$B$10:$B$1000,Controle!$T$10:$T$1000)),"")</f>
        <v>-0.06287534716</v>
      </c>
      <c r="M181" s="48">
        <f t="shared" si="4"/>
        <v>77434217.3</v>
      </c>
      <c r="N181" s="48">
        <f>IFERROR(IF(D181="Futuros",
IF(LEFT(C181,3)="DI1",G181*O181,
IF(LEFT(C181,3)="ISP",G181*O181*HLOOKUP("PTAX",'Histórico'!$A$1:$EL$983,MATCH(B181,'Histórico'!A:A),FALSE)*50,
IF(LEFT(C181,3)="WDO",10*G181*O181*HLOOKUP("PTAX",'Histórico'!$A$1:$EL$983,MATCH(B181,'Histórico'!A:A),FALSE),
IF(LEFT(C181,3)="DOL",50*G181*O181,
IF(LEFT(C181,3)="EUR",G181*O181*50,
IF(LEFT(C181,3)="WEU",G181*O181*10,
IF(LEFT(C181,3)="IND",G181*O181,
IF(LEFT(C181,3)="WIN",G181*O181*0.2,
IF(LEFT(C181,3)="T10",G181*O181*1000*HLOOKUP("PTAX",'Histórico'!$A$1:$EL$983,MATCH(B181,'Histórico'!A:A),FALSE),
IF(LEFT(C181,3)="CCM",G181*O181*450,
IF(LEFT(C181,3)="SJC",G181*O181*HLOOKUP("PTAX",'Histórico'!$A$1:$EL$983,MATCH(B181,'Histórico'!A:A),FALSE)*450,
IF(LEFT(C181,3)="BGI",G181*O181*330,
IF(LEFT(C181,3)="OZ1",G181*O181*250,
IF(LEFT(C181,3)="CLP",G181*O181*25,
IF(LEFT(C181,3)="EUP", O181*10000*HLOOKUP("EUR/BRL",'Histórico'!$A$1:$EL$983,MATCH(B181,'Histórico'!A:A),FALSE),
IF(LEFT(C181,3)="JSE", G181*O181*0.4,
IF(LEFT(C181,3)="GBP", O181*10000*HLOOKUP("GBP/BRL",'Histórico'!$A$1:$FG$983,MATCH(B181,'Histórico'!A:A),FALSE),
IF(LEFT(C181,3)="JAP",O181*10000*HLOOKUP("PTAX",'Histórico'!$A$1:$FG$983,MATCH(B181,'Histórico'!A:A),FALSE),
IF(LEFT(C181,3)="CNH",O181*10000*HLOOKUP("PTAX",'Histórico'!$A$1:$FG$983,MATCH(B181,'Histórico'!A:A),FALSE),
IF(LEFT(C181,3)="AUS",O181*10000*HLOOKUP("PTAX",'Histórico'!$A$1:$FG$983,MATCH(B181,'Histórico'!A:A),FALSE),
IF(LEFT(C181,3)="CAN",O181*10000*HLOOKUP("PTAX",'Histórico'!$A$1:$FG$983,MATCH(B181,'Histórico'!A:A),FALSE),
IF(LEFT(C181,3)="GBR",O181*10000*HLOOKUP("GBP/BRL",'Histórico'!$A$1:$FG$983,MATCH(B181,'Histórico'!A:A),FALSE),
IF(LEFT(C181,3)="MEX",O181*10000*HLOOKUP("PTAX",'Histórico'!$A$1:$FG$983,MATCH(B181,'Histórico'!A:A),FALSE),
IF(LEFT(C181,3)="CHL",O181*10000*HLOOKUP("PTAX",'Histórico'!$A$1:$FG$983,MATCH(B181,'Histórico'!A:A),FALSE)
)))))))))))))))))))))))),""))</f>
        <v>-26938998.7</v>
      </c>
      <c r="O181" s="49">
        <f t="shared" si="2"/>
        <v>-550</v>
      </c>
      <c r="P181" s="49">
        <f t="shared" si="5"/>
        <v>0</v>
      </c>
      <c r="Q181" s="51">
        <f>IF($C181&lt;&gt;"",SUMIFS($O$3:$O$401, $C$3:$C$401 ,$C181,$B$3:$B$401,"&lt;="&amp;Controle!$B$6),"")</f>
        <v>0</v>
      </c>
      <c r="R181" s="51">
        <f>IF($D181&lt;&gt;"",SUMIFS($O$3:$O$401, $C$3:$C$401 ,$C181,$B$3:$B$401,"&lt;="&amp;Controle!$B$6,$F$3:$F$401,$F181),"")</f>
        <v>0</v>
      </c>
      <c r="S181" s="51">
        <f>IF($D181&lt;&gt;"",SUMIFS($O$3:$O$401, $C$3:$C$401 ,$C181,$B$3:$B$401,"&lt;="&amp;'Controle D-1'!$B$6,$F$3:$F$401,$F181),"")</f>
        <v>0</v>
      </c>
      <c r="T181" s="40"/>
      <c r="U181" s="40"/>
      <c r="V181" s="40"/>
      <c r="W181" s="40"/>
      <c r="X181" s="40"/>
      <c r="Y181" s="40"/>
      <c r="Z181" s="40"/>
      <c r="AA181" s="40"/>
      <c r="AB181" s="40"/>
      <c r="AC181" s="40"/>
    </row>
    <row r="182" ht="15.75" customHeight="1">
      <c r="A182" s="28"/>
      <c r="B182" s="100">
        <v>45117.0</v>
      </c>
      <c r="C182" s="88" t="s">
        <v>126</v>
      </c>
      <c r="D182" s="88" t="str">
        <f>IF(ISTEXT(C182),VLOOKUP(C182,'Cadastro dos Ativos'!$A$2:$C$1000,3,0),"")</f>
        <v>Futuros</v>
      </c>
      <c r="E182" s="88" t="s">
        <v>198</v>
      </c>
      <c r="F182" s="88" t="s">
        <v>200</v>
      </c>
      <c r="G182" s="46">
        <v>7214.658</v>
      </c>
      <c r="H182" s="46" t="str">
        <f>if($D182="Ações Americanas", HLOOKUP("PTAX",'Histórico'!$A$1:$EL$983,(MATCH(B182,'Histórico'!A:A))-1,""),
if($D182="Ações Europeias", HLOOKUP("EUR/BRL",'Histórico'!$A$1:$EL$983,(MATCH(B182,'Histórico'!A:A))-1,""),""))</f>
        <v/>
      </c>
      <c r="I182" s="102">
        <f t="array" ref="I182">IF(ISTEXT(C182),xlookup(C182,'Cadastro dos Ativos'!$A$2:$A$1000,'Cadastro dos Ativos'!$D$2:$D$1000),"")</f>
        <v>45139</v>
      </c>
      <c r="J182" s="88">
        <v>550.0</v>
      </c>
      <c r="K182" s="47">
        <f t="array" ref="K182">if(and(J182&lt;&gt;"",D182&lt;&gt;"Futuros"),
if(F182=Controle!$C$2, M182/xlookup(workday(B182,-1,Feriados!A:A),Controle!$B$10:$B$1000,Controle!$C$10:$C$1000),
if(F182=Controle!$F$2, M182/xlookup(workday(B182,-1,Feriados!A:A),Controle!$B$10:$B$1000,Controle!$F$10:$F$1000),
if(F182=Controle!$I$2, M182/xlookup(workday(B182,-1,Feriados!A:A),Controle!$B$10:$B$1000,Controle!$I$10:$I$1000),
if(F182=Controle!$L$2, M182/xlookup(workday(B182,-1,Feriados!A:A),Controle!$B$10:$B$1000,Controle!$L$10:$L$1000),
)))),
if(and(J182&lt;&gt;"",D182="Futuros"),
if(F182=Controle!$C$2, N182/xlookup(workday(B182,-1,Feriados!A:A),Controle!$B$10:$B$1000,Controle!$C$10:$C$1000),
if(F182=Controle!$F$2, N182/xlookup(workday(B182,-1,Feriados!A:A),Controle!$B$10:$B$1000,Controle!$F$10:$F$1000),
if(F182=Controle!$I$2, N182/xlookup(workday(B182,-1,Feriados!A:A),Controle!$B$10:$B$1000,Controle!$I$10:$I$1000),
if(F182=Controle!$L$2, N182/xlookup(workday(B182,-1,Feriados!A:A),Controle!$B$10:$B$1000,Controle!$L$10:$L$1000),
)))),""))</f>
        <v>-0.243958759</v>
      </c>
      <c r="L182" s="47">
        <f t="array" ref="L182">IF($J182&lt;&gt;"", IF($D182 = "Futuros" , $N182/xlookup(WORKDAY(B182,-1,Feriados!A:A),Controle!$B$10:$B$1000,Controle!$T$10:$T$1000) , $M182/xlookup(WORKDAY(B182,-1,Feriados!A:A),Controle!$B$10:$B$1000,Controle!$T$10:$T$1000)),"")</f>
        <v>-0.06287534716</v>
      </c>
      <c r="M182" s="48">
        <f t="shared" si="4"/>
        <v>3968061.9</v>
      </c>
      <c r="N182" s="48">
        <f>IFERROR(IF(D182="Futuros",
IF(LEFT(C182,3)="DI1",G182*O182,
IF(LEFT(C182,3)="ISP",G182*O182*HLOOKUP("PTAX",'Histórico'!$A$1:$EL$983,MATCH(B182,'Histórico'!A:A),FALSE)*50,
IF(LEFT(C182,3)="WDO",10*G182*O182*HLOOKUP("PTAX",'Histórico'!$A$1:$EL$983,MATCH(B182,'Histórico'!A:A),FALSE),
IF(LEFT(C182,3)="DOL",50*G182*O182,
IF(LEFT(C182,3)="EUR",G182*O182*50,
IF(LEFT(C182,3)="WEU",G182*O182*10,
IF(LEFT(C182,3)="IND",G182*O182,
IF(LEFT(C182,3)="WIN",G182*O182*0.2,
IF(LEFT(C182,3)="T10",G182*O182*1000*HLOOKUP("PTAX",'Histórico'!$A$1:$EL$983,MATCH(B182,'Histórico'!A:A),FALSE),
IF(LEFT(C182,3)="CCM",G182*O182*450,
IF(LEFT(C182,3)="SJC",G182*O182*HLOOKUP("PTAX",'Histórico'!$A$1:$EL$983,MATCH(B182,'Histórico'!A:A),FALSE)*450,
IF(LEFT(C182,3)="BGI",G182*O182*330,
IF(LEFT(C182,3)="OZ1",G182*O182*250,
IF(LEFT(C182,3)="CLP",G182*O182*25,
IF(LEFT(C182,3)="EUP", O182*10000*HLOOKUP("EUR/BRL",'Histórico'!$A$1:$EL$983,MATCH(B182,'Histórico'!A:A),FALSE),
IF(LEFT(C182,3)="JSE", G182*O182*0.4,
IF(LEFT(C182,3)="GBP", O182*10000*HLOOKUP("GBP/BRL",'Histórico'!$A$1:$FG$983,MATCH(B182,'Histórico'!A:A),FALSE),
IF(LEFT(C182,3)="JAP",O182*10000*HLOOKUP("PTAX",'Histórico'!$A$1:$FG$983,MATCH(B182,'Histórico'!A:A),FALSE),
IF(LEFT(C182,3)="CNH",O182*10000*HLOOKUP("PTAX",'Histórico'!$A$1:$FG$983,MATCH(B182,'Histórico'!A:A),FALSE),
IF(LEFT(C182,3)="AUS",O182*10000*HLOOKUP("PTAX",'Histórico'!$A$1:$FG$983,MATCH(B182,'Histórico'!A:A),FALSE),
IF(LEFT(C182,3)="CAN",O182*10000*HLOOKUP("PTAX",'Histórico'!$A$1:$FG$983,MATCH(B182,'Histórico'!A:A),FALSE),
IF(LEFT(C182,3)="GBR",O182*10000*HLOOKUP("GBP/BRL",'Histórico'!$A$1:$FG$983,MATCH(B182,'Histórico'!A:A),FALSE),
IF(LEFT(C182,3)="MEX",O182*10000*HLOOKUP("PTAX",'Histórico'!$A$1:$FG$983,MATCH(B182,'Histórico'!A:A),FALSE),
IF(LEFT(C182,3)="CHL",O182*10000*HLOOKUP("PTAX",'Histórico'!$A$1:$FG$983,MATCH(B182,'Histórico'!A:A),FALSE)
)))))))))))))))))))))))),""))</f>
        <v>-26938998.7</v>
      </c>
      <c r="O182" s="49">
        <f t="shared" si="2"/>
        <v>-550</v>
      </c>
      <c r="P182" s="49">
        <f t="shared" si="5"/>
        <v>0</v>
      </c>
      <c r="Q182" s="51">
        <f>IF($C182&lt;&gt;"",SUMIFS($O$3:$O$401, $C$3:$C$401 ,$C182,$B$3:$B$401,"&lt;="&amp;Controle!$B$6),"")</f>
        <v>0</v>
      </c>
      <c r="R182" s="51">
        <f>IF($D182&lt;&gt;"",SUMIFS($O$3:$O$401, $C$3:$C$401 ,$C182,$B$3:$B$401,"&lt;="&amp;Controle!$B$6,$F$3:$F$401,$F182),"")</f>
        <v>0</v>
      </c>
      <c r="S182" s="51">
        <f>IF($D182&lt;&gt;"",SUMIFS($O$3:$O$401, $C$3:$C$401 ,$C182,$B$3:$B$401,"&lt;="&amp;'Controle D-1'!$B$6,$F$3:$F$401,$F182),"")</f>
        <v>0</v>
      </c>
      <c r="T182" s="40"/>
      <c r="U182" s="40"/>
      <c r="V182" s="40"/>
      <c r="W182" s="40"/>
      <c r="X182" s="40"/>
      <c r="Y182" s="40"/>
      <c r="Z182" s="40"/>
      <c r="AA182" s="40"/>
      <c r="AB182" s="40"/>
      <c r="AC182" s="40"/>
    </row>
    <row r="183" ht="15.75" customHeight="1">
      <c r="A183" s="28"/>
      <c r="B183" s="100">
        <v>45117.0</v>
      </c>
      <c r="C183" s="88" t="s">
        <v>84</v>
      </c>
      <c r="D183" s="88" t="str">
        <f>IF(ISTEXT(C183),VLOOKUP(C183,'Cadastro dos Ativos'!$A$2:$C$1000,3,0),"")</f>
        <v>Ações Listadas na B3</v>
      </c>
      <c r="E183" s="88" t="s">
        <v>198</v>
      </c>
      <c r="F183" s="88" t="s">
        <v>199</v>
      </c>
      <c r="G183" s="46">
        <v>114.099998</v>
      </c>
      <c r="H183" s="101" t="str">
        <f>if($D183="Ações Americanas", HLOOKUP("PTAX",'Histórico'!$A$1:$EL$983,(MATCH(B183,'Histórico'!A:A))-1,""),
if($D183="Ações Europeias", HLOOKUP("EUR/BRL",'Histórico'!$A$1:$EL$983,(MATCH(B183,'Histórico'!A:A))-1,""),""))</f>
        <v/>
      </c>
      <c r="I183" s="88" t="str">
        <f t="array" ref="I183">IF(ISTEXT(C183),xlookup(C183,'Cadastro dos Ativos'!$A$2:$A$1000,'Cadastro dos Ativos'!$D$2:$D$1000),"")</f>
        <v/>
      </c>
      <c r="J183" s="88">
        <v>100000.0</v>
      </c>
      <c r="K183" s="47">
        <f t="array" ref="K183">if(and(J183&lt;&gt;"",D183&lt;&gt;"Futuros"),
if(F183=Controle!$C$2, M183/xlookup(workday(B183,-1,Feriados!A:A),Controle!$B$10:$B$1000,Controle!$C$10:$C$1000),
if(F183=Controle!$F$2, M183/xlookup(workday(B183,-1,Feriados!A:A),Controle!$B$10:$B$1000,Controle!$F$10:$F$1000),
if(F183=Controle!$I$2, M183/xlookup(workday(B183,-1,Feriados!A:A),Controle!$B$10:$B$1000,Controle!$I$10:$I$1000),
if(F183=Controle!$L$2, M183/xlookup(workday(B183,-1,Feriados!A:A),Controle!$B$10:$B$1000,Controle!$L$10:$L$1000),
)))),
if(and(J183&lt;&gt;"",D183="Futuros"),
if(F183=Controle!$C$2, N183/xlookup(workday(B183,-1,Feriados!A:A),Controle!$B$10:$B$1000,Controle!$C$10:$C$1000),
if(F183=Controle!$F$2, N183/xlookup(workday(B183,-1,Feriados!A:A),Controle!$B$10:$B$1000,Controle!$F$10:$F$1000),
if(F183=Controle!$I$2, N183/xlookup(workday(B183,-1,Feriados!A:A),Controle!$B$10:$B$1000,Controle!$I$10:$I$1000),
if(F183=Controle!$L$2, N183/xlookup(workday(B183,-1,Feriados!A:A),Controle!$B$10:$B$1000,Controle!$L$10:$L$1000),
)))),""))</f>
        <v>0.1101773919</v>
      </c>
      <c r="L183" s="47">
        <f t="array" ref="L183">IF($J183&lt;&gt;"", IF($D183 = "Futuros" , $N183/xlookup(WORKDAY(B183,-1,Feriados!A:A),Controle!$B$10:$B$1000,Controle!$T$10:$T$1000) , $M183/xlookup(WORKDAY(B183,-1,Feriados!A:A),Controle!$B$10:$B$1000,Controle!$T$10:$T$1000)),"")</f>
        <v>0.02663082272</v>
      </c>
      <c r="M183" s="48">
        <f t="shared" si="4"/>
        <v>11409999.8</v>
      </c>
      <c r="N183" s="48" t="str">
        <f>IFERROR(IF(D183="Futuros",
IF(LEFT(C183,3)="DI1",G183*O183,
IF(LEFT(C183,3)="ISP",G183*O183*HLOOKUP("PTAX",'Histórico'!$A$1:$EL$983,MATCH(B183,'Histórico'!A:A),FALSE)*50,
IF(LEFT(C183,3)="WDO",10*G183*O183*HLOOKUP("PTAX",'Histórico'!$A$1:$EL$983,MATCH(B183,'Histórico'!A:A),FALSE),
IF(LEFT(C183,3)="DOL",50*G183*O183,
IF(LEFT(C183,3)="EUR",G183*O183*50,
IF(LEFT(C183,3)="WEU",G183*O183*10,
IF(LEFT(C183,3)="IND",G183*O183,
IF(LEFT(C183,3)="WIN",G183*O183*0.2,
IF(LEFT(C183,3)="T10",G183*O183*1000*HLOOKUP("PTAX",'Histórico'!$A$1:$EL$983,MATCH(B183,'Histórico'!A:A),FALSE),
IF(LEFT(C183,3)="CCM",G183*O183*450,
IF(LEFT(C183,3)="SJC",G183*O183*HLOOKUP("PTAX",'Histórico'!$A$1:$EL$983,MATCH(B183,'Histórico'!A:A),FALSE)*450,
IF(LEFT(C183,3)="BGI",G183*O183*330,
IF(LEFT(C183,3)="OZ1",G183*O183*250,
IF(LEFT(C183,3)="CLP",G183*O183*25,
IF(LEFT(C183,3)="EUP", O183*10000*HLOOKUP("EUR/BRL",'Histórico'!$A$1:$EL$983,MATCH(B183,'Histórico'!A:A),FALSE),
IF(LEFT(C183,3)="JSE", G183*O183*0.4,
IF(LEFT(C183,3)="GBP", O183*10000*HLOOKUP("GBP/BRL",'Histórico'!$A$1:$FG$983,MATCH(B183,'Histórico'!A:A),FALSE),
IF(LEFT(C183,3)="JAP",O183*10000*HLOOKUP("PTAX",'Histórico'!$A$1:$FG$983,MATCH(B183,'Histórico'!A:A),FALSE),
IF(LEFT(C183,3)="CNH",O183*10000*HLOOKUP("PTAX",'Histórico'!$A$1:$FG$983,MATCH(B183,'Histórico'!A:A),FALSE),
IF(LEFT(C183,3)="AUS",O183*10000*HLOOKUP("PTAX",'Histórico'!$A$1:$FG$983,MATCH(B183,'Histórico'!A:A),FALSE),
IF(LEFT(C183,3)="CAN",O183*10000*HLOOKUP("PTAX",'Histórico'!$A$1:$FG$983,MATCH(B183,'Histórico'!A:A),FALSE),
IF(LEFT(C183,3)="GBR",O183*10000*HLOOKUP("GBP/BRL",'Histórico'!$A$1:$FG$983,MATCH(B183,'Histórico'!A:A),FALSE),
IF(LEFT(C183,3)="MEX",O183*10000*HLOOKUP("PTAX",'Histórico'!$A$1:$FG$983,MATCH(B183,'Histórico'!A:A),FALSE),
IF(LEFT(C183,3)="CHL",O183*10000*HLOOKUP("PTAX",'Histórico'!$A$1:$FG$983,MATCH(B183,'Histórico'!A:A),FALSE)
)))))))))))))))))))))))),""))</f>
        <v/>
      </c>
      <c r="O183" s="49">
        <f t="shared" si="2"/>
        <v>-100000</v>
      </c>
      <c r="P183" s="49">
        <f t="shared" si="5"/>
        <v>-85000</v>
      </c>
      <c r="Q183" s="51">
        <f>IF($C183&lt;&gt;"",SUMIFS($O$3:$O$401, $C$3:$C$401 ,$C183,$B$3:$B$401,"&lt;="&amp;Controle!$B$6),"")</f>
        <v>-85000</v>
      </c>
      <c r="R183" s="51">
        <f>IF($D183&lt;&gt;"",SUMIFS($O$3:$O$401, $C$3:$C$401 ,$C183,$B$3:$B$401,"&lt;="&amp;Controle!$B$6,$F$3:$F$401,$F183),"")</f>
        <v>-85000</v>
      </c>
      <c r="S183" s="51">
        <f>IF($D183&lt;&gt;"",SUMIFS($O$3:$O$401, $C$3:$C$401 ,$C183,$B$3:$B$401,"&lt;="&amp;'Controle D-1'!$B$6,$F$3:$F$401,$F183),"")</f>
        <v>-85000</v>
      </c>
      <c r="T183" s="40"/>
      <c r="U183" s="40"/>
      <c r="V183" s="40"/>
      <c r="W183" s="40"/>
      <c r="X183" s="40"/>
      <c r="Y183" s="40"/>
      <c r="Z183" s="40"/>
      <c r="AA183" s="40"/>
      <c r="AB183" s="40"/>
      <c r="AC183" s="40"/>
    </row>
    <row r="184" ht="15.75" customHeight="1">
      <c r="A184" s="28"/>
      <c r="B184" s="100">
        <v>45117.0</v>
      </c>
      <c r="C184" s="88" t="s">
        <v>59</v>
      </c>
      <c r="D184" s="88" t="str">
        <f>IF(ISTEXT(C184),VLOOKUP(C184,'Cadastro dos Ativos'!$A$2:$C$1000,3,0),"")</f>
        <v>Ações Americanas</v>
      </c>
      <c r="E184" s="88" t="s">
        <v>198</v>
      </c>
      <c r="F184" s="88" t="s">
        <v>199</v>
      </c>
      <c r="G184" s="46">
        <v>171.660004</v>
      </c>
      <c r="H184" s="46">
        <f>if($D184="Ações Americanas", HLOOKUP("PTAX",'Histórico'!$A$1:$EL$983,(MATCH(B184,'Histórico'!A:A))-1,""),
if($D184="Ações Europeias", HLOOKUP("EUR/BRL",'Histórico'!$A$1:$EL$983,(MATCH(B184,'Histórico'!A:A))-1,""),""))</f>
        <v>4.918700218</v>
      </c>
      <c r="I184" s="140" t="str">
        <f t="array" ref="I184">IF(ISTEXT(C184),xlookup(C184,'Cadastro dos Ativos'!$A$2:$A$1000,'Cadastro dos Ativos'!$D$2:$D$1000),"")</f>
        <v/>
      </c>
      <c r="J184" s="88">
        <v>15000.0</v>
      </c>
      <c r="K184" s="47">
        <f t="array" ref="K184">if(and(J184&lt;&gt;"",D184&lt;&gt;"Futuros"),
if(F184=Controle!$C$2, M184/xlookup(workday(B184,-1,Feriados!A:A),Controle!$B$10:$B$1000,Controle!$C$10:$C$1000),
if(F184=Controle!$F$2, M184/xlookup(workday(B184,-1,Feriados!A:A),Controle!$B$10:$B$1000,Controle!$F$10:$F$1000),
if(F184=Controle!$I$2, M184/xlookup(workday(B184,-1,Feriados!A:A),Controle!$B$10:$B$1000,Controle!$I$10:$I$1000),
if(F184=Controle!$L$2, M184/xlookup(workday(B184,-1,Feriados!A:A),Controle!$B$10:$B$1000,Controle!$L$10:$L$1000),
)))),
if(and(J184&lt;&gt;"",D184="Futuros"),
if(F184=Controle!$C$2, N184/xlookup(workday(B184,-1,Feriados!A:A),Controle!$B$10:$B$1000,Controle!$C$10:$C$1000),
if(F184=Controle!$F$2, N184/xlookup(workday(B184,-1,Feriados!A:A),Controle!$B$10:$B$1000,Controle!$F$10:$F$1000),
if(F184=Controle!$I$2, N184/xlookup(workday(B184,-1,Feriados!A:A),Controle!$B$10:$B$1000,Controle!$I$10:$I$1000),
if(F184=Controle!$L$2, N184/xlookup(workday(B184,-1,Feriados!A:A),Controle!$B$10:$B$1000,Controle!$L$10:$L$1000),
)))),""))</f>
        <v>0.1222975008</v>
      </c>
      <c r="L184" s="47">
        <f t="array" ref="L184">IF($J184&lt;&gt;"", IF($D184 = "Futuros" , $N184/xlookup(WORKDAY(B184,-1,Feriados!A:A),Controle!$B$10:$B$1000,Controle!$T$10:$T$1000) , $M184/xlookup(WORKDAY(B184,-1,Feriados!A:A),Controle!$B$10:$B$1000,Controle!$T$10:$T$1000)),"")</f>
        <v>0.02956035725</v>
      </c>
      <c r="M184" s="48">
        <f t="shared" si="4"/>
        <v>12665161.49</v>
      </c>
      <c r="N184" s="48" t="str">
        <f>IFERROR(IF(D184="Futuros",
IF(LEFT(C184,3)="DI1",G184*O184,
IF(LEFT(C184,3)="ISP",G184*O184*HLOOKUP("PTAX",'Histórico'!$A$1:$EL$983,MATCH(B184,'Histórico'!A:A),FALSE)*50,
IF(LEFT(C184,3)="WDO",10*G184*O184*HLOOKUP("PTAX",'Histórico'!$A$1:$EL$983,MATCH(B184,'Histórico'!A:A),FALSE),
IF(LEFT(C184,3)="DOL",50*G184*O184,
IF(LEFT(C184,3)="EUR",G184*O184*50,
IF(LEFT(C184,3)="WEU",G184*O184*10,
IF(LEFT(C184,3)="IND",G184*O184,
IF(LEFT(C184,3)="WIN",G184*O184*0.2,
IF(LEFT(C184,3)="T10",G184*O184*1000*HLOOKUP("PTAX",'Histórico'!$A$1:$EL$983,MATCH(B184,'Histórico'!A:A),FALSE),
IF(LEFT(C184,3)="CCM",G184*O184*450,
IF(LEFT(C184,3)="SJC",G184*O184*HLOOKUP("PTAX",'Histórico'!$A$1:$EL$983,MATCH(B184,'Histórico'!A:A),FALSE)*450,
IF(LEFT(C184,3)="BGI",G184*O184*330,
IF(LEFT(C184,3)="OZ1",G184*O184*250,
IF(LEFT(C184,3)="CLP",G184*O184*25,
IF(LEFT(C184,3)="EUP", O184*10000*HLOOKUP("EUR/BRL",'Histórico'!$A$1:$EL$983,MATCH(B184,'Histórico'!A:A),FALSE),
IF(LEFT(C184,3)="JSE", G184*O184*0.4,
IF(LEFT(C184,3)="GBP", O184*10000*HLOOKUP("GBP/BRL",'Histórico'!$A$1:$FG$983,MATCH(B184,'Histórico'!A:A),FALSE),
IF(LEFT(C184,3)="JAP",O184*10000*HLOOKUP("PTAX",'Histórico'!$A$1:$FG$983,MATCH(B184,'Histórico'!A:A),FALSE),
IF(LEFT(C184,3)="CNH",O184*10000*HLOOKUP("PTAX",'Histórico'!$A$1:$FG$983,MATCH(B184,'Histórico'!A:A),FALSE),
IF(LEFT(C184,3)="AUS",O184*10000*HLOOKUP("PTAX",'Histórico'!$A$1:$FG$983,MATCH(B184,'Histórico'!A:A),FALSE),
IF(LEFT(C184,3)="CAN",O184*10000*HLOOKUP("PTAX",'Histórico'!$A$1:$FG$983,MATCH(B184,'Histórico'!A:A),FALSE),
IF(LEFT(C184,3)="GBR",O184*10000*HLOOKUP("GBP/BRL",'Histórico'!$A$1:$FG$983,MATCH(B184,'Histórico'!A:A),FALSE),
IF(LEFT(C184,3)="MEX",O184*10000*HLOOKUP("PTAX",'Histórico'!$A$1:$FG$983,MATCH(B184,'Histórico'!A:A),FALSE),
IF(LEFT(C184,3)="CHL",O184*10000*HLOOKUP("PTAX",'Histórico'!$A$1:$FG$983,MATCH(B184,'Histórico'!A:A),FALSE)
)))))))))))))))))))))))),""))</f>
        <v/>
      </c>
      <c r="O184" s="49">
        <f t="shared" si="2"/>
        <v>-15000</v>
      </c>
      <c r="P184" s="49">
        <f t="shared" si="5"/>
        <v>0</v>
      </c>
      <c r="Q184" s="51">
        <f>IF($C184&lt;&gt;"",SUMIFS($O$3:$O$401, $C$3:$C$401 ,$C184,$B$3:$B$401,"&lt;="&amp;Controle!$B$6),"")</f>
        <v>0</v>
      </c>
      <c r="R184" s="51">
        <f>IF($D184&lt;&gt;"",SUMIFS($O$3:$O$401, $C$3:$C$401 ,$C184,$B$3:$B$401,"&lt;="&amp;Controle!$B$6,$F$3:$F$401,$F184),"")</f>
        <v>0</v>
      </c>
      <c r="S184" s="51">
        <f>IF($D184&lt;&gt;"",SUMIFS($O$3:$O$401, $C$3:$C$401 ,$C184,$B$3:$B$401,"&lt;="&amp;'Controle D-1'!$B$6,$F$3:$F$401,$F184),"")</f>
        <v>0</v>
      </c>
      <c r="T184" s="40"/>
      <c r="U184" s="40"/>
      <c r="V184" s="40"/>
      <c r="W184" s="40"/>
      <c r="X184" s="40"/>
      <c r="Y184" s="40"/>
      <c r="Z184" s="40"/>
      <c r="AA184" s="40"/>
      <c r="AB184" s="40"/>
      <c r="AC184" s="40"/>
    </row>
    <row r="185" ht="15.75" customHeight="1">
      <c r="A185" s="28"/>
      <c r="B185" s="100">
        <v>45117.0</v>
      </c>
      <c r="C185" s="88" t="s">
        <v>53</v>
      </c>
      <c r="D185" s="88" t="str">
        <f>IF(ISTEXT(C185),VLOOKUP(C185,'Cadastro dos Ativos'!$A$2:$C$1000,3,0),"")</f>
        <v>Ações Americanas</v>
      </c>
      <c r="E185" s="88" t="s">
        <v>198</v>
      </c>
      <c r="F185" s="88" t="s">
        <v>201</v>
      </c>
      <c r="G185" s="46">
        <v>169.889999</v>
      </c>
      <c r="H185" s="46">
        <f>if($D185="Ações Americanas", HLOOKUP("PTAX",'Histórico'!$A$1:$EL$983,(MATCH(B185,'Histórico'!A:A))-1,""),
if($D185="Ações Europeias", HLOOKUP("EUR/BRL",'Histórico'!$A$1:$EL$983,(MATCH(B185,'Histórico'!A:A))-1,""),""))</f>
        <v>4.918700218</v>
      </c>
      <c r="I185" s="140" t="str">
        <f t="array" ref="I185">IF(ISTEXT(C185),xlookup(C185,'Cadastro dos Ativos'!$A$2:$A$1000,'Cadastro dos Ativos'!$D$2:$D$1000),"")</f>
        <v/>
      </c>
      <c r="J185" s="88">
        <v>6800.0</v>
      </c>
      <c r="K185" s="47">
        <f t="array" ref="K185">if(and(J185&lt;&gt;"",D185&lt;&gt;"Futuros"),
if(F185=Controle!$C$2, M185/xlookup(workday(B185,-1,Feriados!A:A),Controle!$B$10:$B$1000,Controle!$C$10:$C$1000),
if(F185=Controle!$F$2, M185/xlookup(workday(B185,-1,Feriados!A:A),Controle!$B$10:$B$1000,Controle!$F$10:$F$1000),
if(F185=Controle!$I$2, M185/xlookup(workday(B185,-1,Feriados!A:A),Controle!$B$10:$B$1000,Controle!$I$10:$I$1000),
if(F185=Controle!$L$2, M185/xlookup(workday(B185,-1,Feriados!A:A),Controle!$B$10:$B$1000,Controle!$L$10:$L$1000),
)))),
if(and(J185&lt;&gt;"",D185="Futuros"),
if(F185=Controle!$C$2, N185/xlookup(workday(B185,-1,Feriados!A:A),Controle!$B$10:$B$1000,Controle!$C$10:$C$1000),
if(F185=Controle!$F$2, N185/xlookup(workday(B185,-1,Feriados!A:A),Controle!$B$10:$B$1000,Controle!$F$10:$F$1000),
if(F185=Controle!$I$2, N185/xlookup(workday(B185,-1,Feriados!A:A),Controle!$B$10:$B$1000,Controle!$I$10:$I$1000),
if(F185=Controle!$L$2, N185/xlookup(workday(B185,-1,Feriados!A:A),Controle!$B$10:$B$1000,Controle!$L$10:$L$1000),
)))),""))</f>
        <v>0.05237901985</v>
      </c>
      <c r="L185" s="47">
        <f t="array" ref="L185">IF($J185&lt;&gt;"", IF($D185 = "Futuros" , $N185/xlookup(WORKDAY(B185,-1,Feriados!A:A),Controle!$B$10:$B$1000,Controle!$T$10:$T$1000) , $M185/xlookup(WORKDAY(B185,-1,Feriados!A:A),Controle!$B$10:$B$1000,Controle!$T$10:$T$1000)),"")</f>
        <v>0.01326251926</v>
      </c>
      <c r="M185" s="48">
        <f t="shared" si="4"/>
        <v>5682338.231</v>
      </c>
      <c r="N185" s="48" t="str">
        <f>IFERROR(IF(D185="Futuros",
IF(LEFT(C185,3)="DI1",G185*O185,
IF(LEFT(C185,3)="ISP",G185*O185*HLOOKUP("PTAX",'Histórico'!$A$1:$EL$983,MATCH(B185,'Histórico'!A:A),FALSE)*50,
IF(LEFT(C185,3)="WDO",10*G185*O185*HLOOKUP("PTAX",'Histórico'!$A$1:$EL$983,MATCH(B185,'Histórico'!A:A),FALSE),
IF(LEFT(C185,3)="DOL",50*G185*O185,
IF(LEFT(C185,3)="EUR",G185*O185*50,
IF(LEFT(C185,3)="WEU",G185*O185*10,
IF(LEFT(C185,3)="IND",G185*O185,
IF(LEFT(C185,3)="WIN",G185*O185*0.2,
IF(LEFT(C185,3)="T10",G185*O185*1000*HLOOKUP("PTAX",'Histórico'!$A$1:$EL$983,MATCH(B185,'Histórico'!A:A),FALSE),
IF(LEFT(C185,3)="CCM",G185*O185*450,
IF(LEFT(C185,3)="SJC",G185*O185*HLOOKUP("PTAX",'Histórico'!$A$1:$EL$983,MATCH(B185,'Histórico'!A:A),FALSE)*450,
IF(LEFT(C185,3)="BGI",G185*O185*330,
IF(LEFT(C185,3)="OZ1",G185*O185*250,
IF(LEFT(C185,3)="CLP",G185*O185*25,
IF(LEFT(C185,3)="EUP", O185*10000*HLOOKUP("EUR/BRL",'Histórico'!$A$1:$EL$983,MATCH(B185,'Histórico'!A:A),FALSE),
IF(LEFT(C185,3)="JSE", G185*O185*0.4,
IF(LEFT(C185,3)="GBP", O185*10000*HLOOKUP("GBP/BRL",'Histórico'!$A$1:$FG$983,MATCH(B185,'Histórico'!A:A),FALSE),
IF(LEFT(C185,3)="JAP",O185*10000*HLOOKUP("PTAX",'Histórico'!$A$1:$FG$983,MATCH(B185,'Histórico'!A:A),FALSE),
IF(LEFT(C185,3)="CNH",O185*10000*HLOOKUP("PTAX",'Histórico'!$A$1:$FG$983,MATCH(B185,'Histórico'!A:A),FALSE),
IF(LEFT(C185,3)="AUS",O185*10000*HLOOKUP("PTAX",'Histórico'!$A$1:$FG$983,MATCH(B185,'Histórico'!A:A),FALSE),
IF(LEFT(C185,3)="CAN",O185*10000*HLOOKUP("PTAX",'Histórico'!$A$1:$FG$983,MATCH(B185,'Histórico'!A:A),FALSE),
IF(LEFT(C185,3)="GBR",O185*10000*HLOOKUP("GBP/BRL",'Histórico'!$A$1:$FG$983,MATCH(B185,'Histórico'!A:A),FALSE),
IF(LEFT(C185,3)="MEX",O185*10000*HLOOKUP("PTAX",'Histórico'!$A$1:$FG$983,MATCH(B185,'Histórico'!A:A),FALSE),
IF(LEFT(C185,3)="CHL",O185*10000*HLOOKUP("PTAX",'Histórico'!$A$1:$FG$983,MATCH(B185,'Histórico'!A:A),FALSE)
)))))))))))))))))))))))),""))</f>
        <v/>
      </c>
      <c r="O185" s="49">
        <f t="shared" si="2"/>
        <v>-6800</v>
      </c>
      <c r="P185" s="49">
        <f t="shared" si="5"/>
        <v>0</v>
      </c>
      <c r="Q185" s="51">
        <f>IF($C185&lt;&gt;"",SUMIFS($O$3:$O$401, $C$3:$C$401 ,$C185,$B$3:$B$401,"&lt;="&amp;Controle!$B$6),"")</f>
        <v>0</v>
      </c>
      <c r="R185" s="51">
        <f>IF($D185&lt;&gt;"",SUMIFS($O$3:$O$401, $C$3:$C$401 ,$C185,$B$3:$B$401,"&lt;="&amp;Controle!$B$6,$F$3:$F$401,$F185),"")</f>
        <v>0</v>
      </c>
      <c r="S185" s="51">
        <f>IF($D185&lt;&gt;"",SUMIFS($O$3:$O$401, $C$3:$C$401 ,$C185,$B$3:$B$401,"&lt;="&amp;'Controle D-1'!$B$6,$F$3:$F$401,$F185),"")</f>
        <v>0</v>
      </c>
      <c r="T185" s="40"/>
      <c r="U185" s="40"/>
      <c r="V185" s="40"/>
      <c r="W185" s="40"/>
      <c r="X185" s="40"/>
      <c r="Y185" s="40"/>
      <c r="Z185" s="40"/>
      <c r="AA185" s="40"/>
      <c r="AB185" s="40"/>
      <c r="AC185" s="40"/>
    </row>
    <row r="186" ht="15.75" customHeight="1">
      <c r="A186" s="28"/>
      <c r="B186" s="100">
        <v>45117.0</v>
      </c>
      <c r="C186" s="88" t="s">
        <v>19</v>
      </c>
      <c r="D186" s="88" t="str">
        <f>IF(ISTEXT(C186),VLOOKUP(C186,'Cadastro dos Ativos'!$A$2:$C$1000,3,0),"")</f>
        <v>Ações Americanas</v>
      </c>
      <c r="E186" s="88" t="s">
        <v>198</v>
      </c>
      <c r="F186" s="88" t="s">
        <v>201</v>
      </c>
      <c r="G186" s="46">
        <v>33.740002</v>
      </c>
      <c r="H186" s="101">
        <f>if($D186="Ações Americanas", HLOOKUP("PTAX",'Histórico'!$A$1:$EL$983,(MATCH(B186,'Histórico'!A:A))-1,""),
if($D186="Ações Europeias", HLOOKUP("EUR/BRL",'Histórico'!$A$1:$EL$983,(MATCH(B186,'Histórico'!A:A))-1,""),""))</f>
        <v>4.918700218</v>
      </c>
      <c r="I186" s="88" t="str">
        <f t="array" ref="I186">IF(ISTEXT(C186),xlookup(C186,'Cadastro dos Ativos'!$A$2:$A$1000,'Cadastro dos Ativos'!$D$2:$D$1000),"")</f>
        <v/>
      </c>
      <c r="J186" s="88">
        <v>33850.0</v>
      </c>
      <c r="K186" s="47">
        <f t="array" ref="K186">if(and(J186&lt;&gt;"",D186&lt;&gt;"Futuros"),
if(F186=Controle!$C$2, M186/xlookup(workday(B186,-1,Feriados!A:A),Controle!$B$10:$B$1000,Controle!$C$10:$C$1000),
if(F186=Controle!$F$2, M186/xlookup(workday(B186,-1,Feriados!A:A),Controle!$B$10:$B$1000,Controle!$F$10:$F$1000),
if(F186=Controle!$I$2, M186/xlookup(workday(B186,-1,Feriados!A:A),Controle!$B$10:$B$1000,Controle!$I$10:$I$1000),
if(F186=Controle!$L$2, M186/xlookup(workday(B186,-1,Feriados!A:A),Controle!$B$10:$B$1000,Controle!$L$10:$L$1000),
)))),
if(and(J186&lt;&gt;"",D186="Futuros"),
if(F186=Controle!$C$2, N186/xlookup(workday(B186,-1,Feriados!A:A),Controle!$B$10:$B$1000,Controle!$C$10:$C$1000),
if(F186=Controle!$F$2, N186/xlookup(workday(B186,-1,Feriados!A:A),Controle!$B$10:$B$1000,Controle!$F$10:$F$1000),
if(F186=Controle!$I$2, N186/xlookup(workday(B186,-1,Feriados!A:A),Controle!$B$10:$B$1000,Controle!$I$10:$I$1000),
if(F186=Controle!$L$2, N186/xlookup(workday(B186,-1,Feriados!A:A),Controle!$B$10:$B$1000,Controle!$L$10:$L$1000),
)))),""))</f>
        <v>0.05178266741</v>
      </c>
      <c r="L186" s="47">
        <f t="array" ref="L186">IF($J186&lt;&gt;"", IF($D186 = "Futuros" , $N186/xlookup(WORKDAY(B186,-1,Feriados!A:A),Controle!$B$10:$B$1000,Controle!$T$10:$T$1000) , $M186/xlookup(WORKDAY(B186,-1,Feriados!A:A),Controle!$B$10:$B$1000,Controle!$T$10:$T$1000)),"")</f>
        <v>0.01311152109</v>
      </c>
      <c r="M186" s="48">
        <f t="shared" si="4"/>
        <v>5617642.934</v>
      </c>
      <c r="N186" s="48" t="str">
        <f>IFERROR(IF(D186="Futuros",
IF(LEFT(C186,3)="DI1",G186*O186,
IF(LEFT(C186,3)="ISP",G186*O186*HLOOKUP("PTAX",'Histórico'!$A$1:$EL$983,MATCH(B186,'Histórico'!A:A),FALSE)*50,
IF(LEFT(C186,3)="WDO",10*G186*O186*HLOOKUP("PTAX",'Histórico'!$A$1:$EL$983,MATCH(B186,'Histórico'!A:A),FALSE),
IF(LEFT(C186,3)="DOL",50*G186*O186,
IF(LEFT(C186,3)="EUR",G186*O186*50,
IF(LEFT(C186,3)="WEU",G186*O186*10,
IF(LEFT(C186,3)="IND",G186*O186,
IF(LEFT(C186,3)="WIN",G186*O186*0.2,
IF(LEFT(C186,3)="T10",G186*O186*1000*HLOOKUP("PTAX",'Histórico'!$A$1:$EL$983,MATCH(B186,'Histórico'!A:A),FALSE),
IF(LEFT(C186,3)="CCM",G186*O186*450,
IF(LEFT(C186,3)="SJC",G186*O186*HLOOKUP("PTAX",'Histórico'!$A$1:$EL$983,MATCH(B186,'Histórico'!A:A),FALSE)*450,
IF(LEFT(C186,3)="BGI",G186*O186*330,
IF(LEFT(C186,3)="OZ1",G186*O186*250,
IF(LEFT(C186,3)="CLP",G186*O186*25,
IF(LEFT(C186,3)="EUP", O186*10000*HLOOKUP("EUR/BRL",'Histórico'!$A$1:$EL$983,MATCH(B186,'Histórico'!A:A),FALSE),
IF(LEFT(C186,3)="JSE", G186*O186*0.4,
IF(LEFT(C186,3)="GBP", O186*10000*HLOOKUP("GBP/BRL",'Histórico'!$A$1:$FG$983,MATCH(B186,'Histórico'!A:A),FALSE),
IF(LEFT(C186,3)="JAP",O186*10000*HLOOKUP("PTAX",'Histórico'!$A$1:$FG$983,MATCH(B186,'Histórico'!A:A),FALSE),
IF(LEFT(C186,3)="CNH",O186*10000*HLOOKUP("PTAX",'Histórico'!$A$1:$FG$983,MATCH(B186,'Histórico'!A:A),FALSE),
IF(LEFT(C186,3)="AUS",O186*10000*HLOOKUP("PTAX",'Histórico'!$A$1:$FG$983,MATCH(B186,'Histórico'!A:A),FALSE),
IF(LEFT(C186,3)="CAN",O186*10000*HLOOKUP("PTAX",'Histórico'!$A$1:$FG$983,MATCH(B186,'Histórico'!A:A),FALSE),
IF(LEFT(C186,3)="GBR",O186*10000*HLOOKUP("GBP/BRL",'Histórico'!$A$1:$FG$983,MATCH(B186,'Histórico'!A:A),FALSE),
IF(LEFT(C186,3)="MEX",O186*10000*HLOOKUP("PTAX",'Histórico'!$A$1:$FG$983,MATCH(B186,'Histórico'!A:A),FALSE),
IF(LEFT(C186,3)="CHL",O186*10000*HLOOKUP("PTAX",'Histórico'!$A$1:$FG$983,MATCH(B186,'Histórico'!A:A),FALSE)
)))))))))))))))))))))))),""))</f>
        <v/>
      </c>
      <c r="O186" s="49">
        <f t="shared" si="2"/>
        <v>-33850</v>
      </c>
      <c r="P186" s="49">
        <f t="shared" si="5"/>
        <v>0</v>
      </c>
      <c r="Q186" s="51">
        <f>IF($C186&lt;&gt;"",SUMIFS($O$3:$O$401, $C$3:$C$401 ,$C186,$B$3:$B$401,"&lt;="&amp;Controle!$B$6),"")</f>
        <v>0</v>
      </c>
      <c r="R186" s="51">
        <f>IF($D186&lt;&gt;"",SUMIFS($O$3:$O$401, $C$3:$C$401 ,$C186,$B$3:$B$401,"&lt;="&amp;Controle!$B$6,$F$3:$F$401,$F186),"")</f>
        <v>0</v>
      </c>
      <c r="S186" s="51">
        <f>IF($D186&lt;&gt;"",SUMIFS($O$3:$O$401, $C$3:$C$401 ,$C186,$B$3:$B$401,"&lt;="&amp;'Controle D-1'!$B$6,$F$3:$F$401,$F186),"")</f>
        <v>0</v>
      </c>
      <c r="T186" s="40"/>
      <c r="U186" s="40"/>
      <c r="V186" s="40"/>
      <c r="W186" s="40"/>
      <c r="X186" s="40"/>
      <c r="Y186" s="40"/>
      <c r="Z186" s="40"/>
      <c r="AA186" s="40"/>
      <c r="AB186" s="40"/>
      <c r="AC186" s="40"/>
    </row>
    <row r="187" ht="15.75" customHeight="1">
      <c r="A187" s="28"/>
      <c r="B187" s="100">
        <v>45117.0</v>
      </c>
      <c r="C187" s="88" t="s">
        <v>59</v>
      </c>
      <c r="D187" s="88" t="str">
        <f>IF(ISTEXT(C187),VLOOKUP(C187,'Cadastro dos Ativos'!$A$2:$C$1000,3,0),"")</f>
        <v>Ações Americanas</v>
      </c>
      <c r="E187" s="88" t="s">
        <v>198</v>
      </c>
      <c r="F187" s="88" t="s">
        <v>201</v>
      </c>
      <c r="G187" s="46">
        <v>171.660004</v>
      </c>
      <c r="H187" s="46">
        <f>if($D187="Ações Americanas", HLOOKUP("PTAX",'Histórico'!$A$1:$EL$983,(MATCH(B187,'Histórico'!A:A))-1,""),
if($D187="Ações Europeias", HLOOKUP("EUR/BRL",'Histórico'!$A$1:$EL$983,(MATCH(B187,'Histórico'!A:A))-1,""),""))</f>
        <v>4.918700218</v>
      </c>
      <c r="I187" s="140" t="str">
        <f t="array" ref="I187">IF(ISTEXT(C187),xlookup(C187,'Cadastro dos Ativos'!$A$2:$A$1000,'Cadastro dos Ativos'!$D$2:$D$1000),"")</f>
        <v/>
      </c>
      <c r="J187" s="88">
        <v>9500.0</v>
      </c>
      <c r="K187" s="47">
        <f t="array" ref="K187">if(and(J187&lt;&gt;"",D187&lt;&gt;"Futuros"),
if(F187=Controle!$C$2, M187/xlookup(workday(B187,-1,Feriados!A:A),Controle!$B$10:$B$1000,Controle!$C$10:$C$1000),
if(F187=Controle!$F$2, M187/xlookup(workday(B187,-1,Feriados!A:A),Controle!$B$10:$B$1000,Controle!$F$10:$F$1000),
if(F187=Controle!$I$2, M187/xlookup(workday(B187,-1,Feriados!A:A),Controle!$B$10:$B$1000,Controle!$I$10:$I$1000),
if(F187=Controle!$L$2, M187/xlookup(workday(B187,-1,Feriados!A:A),Controle!$B$10:$B$1000,Controle!$L$10:$L$1000),
)))),
if(and(J187&lt;&gt;"",D187="Futuros"),
if(F187=Controle!$C$2, N187/xlookup(workday(B187,-1,Feriados!A:A),Controle!$B$10:$B$1000,Controle!$C$10:$C$1000),
if(F187=Controle!$F$2, N187/xlookup(workday(B187,-1,Feriados!A:A),Controle!$B$10:$B$1000,Controle!$F$10:$F$1000),
if(F187=Controle!$I$2, N187/xlookup(workday(B187,-1,Feriados!A:A),Controle!$B$10:$B$1000,Controle!$I$10:$I$1000),
if(F187=Controle!$L$2, N187/xlookup(workday(B187,-1,Feriados!A:A),Controle!$B$10:$B$1000,Controle!$L$10:$L$1000),
)))),""))</f>
        <v>0.07393896457</v>
      </c>
      <c r="L187" s="47">
        <f t="array" ref="L187">IF($J187&lt;&gt;"", IF($D187 = "Futuros" , $N187/xlookup(WORKDAY(B187,-1,Feriados!A:A),Controle!$B$10:$B$1000,Controle!$T$10:$T$1000) , $M187/xlookup(WORKDAY(B187,-1,Feriados!A:A),Controle!$B$10:$B$1000,Controle!$T$10:$T$1000)),"")</f>
        <v>0.01872155959</v>
      </c>
      <c r="M187" s="48">
        <f t="shared" si="4"/>
        <v>8021268.942</v>
      </c>
      <c r="N187" s="48" t="str">
        <f>IFERROR(IF(D187="Futuros",
IF(LEFT(C187,3)="DI1",G187*O187,
IF(LEFT(C187,3)="ISP",G187*O187*HLOOKUP("PTAX",'Histórico'!$A$1:$EL$983,MATCH(B187,'Histórico'!A:A),FALSE)*50,
IF(LEFT(C187,3)="WDO",10*G187*O187*HLOOKUP("PTAX",'Histórico'!$A$1:$EL$983,MATCH(B187,'Histórico'!A:A),FALSE),
IF(LEFT(C187,3)="DOL",50*G187*O187,
IF(LEFT(C187,3)="EUR",G187*O187*50,
IF(LEFT(C187,3)="WEU",G187*O187*10,
IF(LEFT(C187,3)="IND",G187*O187,
IF(LEFT(C187,3)="WIN",G187*O187*0.2,
IF(LEFT(C187,3)="T10",G187*O187*1000*HLOOKUP("PTAX",'Histórico'!$A$1:$EL$983,MATCH(B187,'Histórico'!A:A),FALSE),
IF(LEFT(C187,3)="CCM",G187*O187*450,
IF(LEFT(C187,3)="SJC",G187*O187*HLOOKUP("PTAX",'Histórico'!$A$1:$EL$983,MATCH(B187,'Histórico'!A:A),FALSE)*450,
IF(LEFT(C187,3)="BGI",G187*O187*330,
IF(LEFT(C187,3)="OZ1",G187*O187*250,
IF(LEFT(C187,3)="CLP",G187*O187*25,
IF(LEFT(C187,3)="EUP", O187*10000*HLOOKUP("EUR/BRL",'Histórico'!$A$1:$EL$983,MATCH(B187,'Histórico'!A:A),FALSE),
IF(LEFT(C187,3)="JSE", G187*O187*0.4,
IF(LEFT(C187,3)="GBP", O187*10000*HLOOKUP("GBP/BRL",'Histórico'!$A$1:$FG$983,MATCH(B187,'Histórico'!A:A),FALSE),
IF(LEFT(C187,3)="JAP",O187*10000*HLOOKUP("PTAX",'Histórico'!$A$1:$FG$983,MATCH(B187,'Histórico'!A:A),FALSE),
IF(LEFT(C187,3)="CNH",O187*10000*HLOOKUP("PTAX",'Histórico'!$A$1:$FG$983,MATCH(B187,'Histórico'!A:A),FALSE),
IF(LEFT(C187,3)="AUS",O187*10000*HLOOKUP("PTAX",'Histórico'!$A$1:$FG$983,MATCH(B187,'Histórico'!A:A),FALSE),
IF(LEFT(C187,3)="CAN",O187*10000*HLOOKUP("PTAX",'Histórico'!$A$1:$FG$983,MATCH(B187,'Histórico'!A:A),FALSE),
IF(LEFT(C187,3)="GBR",O187*10000*HLOOKUP("GBP/BRL",'Histórico'!$A$1:$FG$983,MATCH(B187,'Histórico'!A:A),FALSE),
IF(LEFT(C187,3)="MEX",O187*10000*HLOOKUP("PTAX",'Histórico'!$A$1:$FG$983,MATCH(B187,'Histórico'!A:A),FALSE),
IF(LEFT(C187,3)="CHL",O187*10000*HLOOKUP("PTAX",'Histórico'!$A$1:$FG$983,MATCH(B187,'Histórico'!A:A),FALSE)
)))))))))))))))))))))))),""))</f>
        <v/>
      </c>
      <c r="O187" s="49">
        <f t="shared" si="2"/>
        <v>-9500</v>
      </c>
      <c r="P187" s="49">
        <f t="shared" si="5"/>
        <v>0</v>
      </c>
      <c r="Q187" s="51">
        <f>IF($C187&lt;&gt;"",SUMIFS($O$3:$O$401, $C$3:$C$401 ,$C187,$B$3:$B$401,"&lt;="&amp;Controle!$B$6),"")</f>
        <v>0</v>
      </c>
      <c r="R187" s="51">
        <f>IF($D187&lt;&gt;"",SUMIFS($O$3:$O$401, $C$3:$C$401 ,$C187,$B$3:$B$401,"&lt;="&amp;Controle!$B$6,$F$3:$F$401,$F187),"")</f>
        <v>0</v>
      </c>
      <c r="S187" s="51">
        <f>IF($D187&lt;&gt;"",SUMIFS($O$3:$O$401, $C$3:$C$401 ,$C187,$B$3:$B$401,"&lt;="&amp;'Controle D-1'!$B$6,$F$3:$F$401,$F187),"")</f>
        <v>0</v>
      </c>
      <c r="T187" s="40"/>
      <c r="U187" s="40"/>
      <c r="V187" s="40"/>
      <c r="W187" s="40"/>
      <c r="X187" s="40"/>
      <c r="Y187" s="40"/>
      <c r="Z187" s="40"/>
      <c r="AA187" s="40"/>
      <c r="AB187" s="40"/>
      <c r="AC187" s="40"/>
    </row>
    <row r="188" ht="15.75" customHeight="1">
      <c r="A188" s="28"/>
      <c r="B188" s="100">
        <v>45117.0</v>
      </c>
      <c r="C188" s="88" t="s">
        <v>65</v>
      </c>
      <c r="D188" s="88" t="str">
        <f>IF(ISTEXT(C188),VLOOKUP(C188,'Cadastro dos Ativos'!$A$2:$C$1000,3,0),"")</f>
        <v>Futuros</v>
      </c>
      <c r="E188" s="88" t="s">
        <v>198</v>
      </c>
      <c r="F188" s="88" t="s">
        <v>201</v>
      </c>
      <c r="G188" s="46">
        <v>92783.28</v>
      </c>
      <c r="H188" s="46" t="str">
        <f>if($D188="Ações Americanas", HLOOKUP("PTAX",'Histórico'!$A$1:$EL$983,(MATCH(B188,'Histórico'!A:A))-1,""),
if($D188="Ações Europeias", HLOOKUP("EUR/BRL",'Histórico'!$A$1:$EL$983,(MATCH(B188,'Histórico'!A:A))-1,""),""))</f>
        <v/>
      </c>
      <c r="I188" s="110">
        <f t="array" ref="I188">IF(ISTEXT(C188),xlookup(C188,'Cadastro dos Ativos'!$A$2:$A$1000,'Cadastro dos Ativos'!$D$2:$D$1000),"")</f>
        <v>45352</v>
      </c>
      <c r="J188" s="88">
        <v>1120.0</v>
      </c>
      <c r="K188" s="47">
        <f t="array" ref="K188">if(and(J188&lt;&gt;"",D188&lt;&gt;"Futuros"),
if(F188=Controle!$C$2, M188/xlookup(workday(B188,-1,Feriados!A:A),Controle!$B$10:$B$1000,Controle!$C$10:$C$1000),
if(F188=Controle!$F$2, M188/xlookup(workday(B188,-1,Feriados!A:A),Controle!$B$10:$B$1000,Controle!$F$10:$F$1000),
if(F188=Controle!$I$2, M188/xlookup(workday(B188,-1,Feriados!A:A),Controle!$B$10:$B$1000,Controle!$I$10:$I$1000),
if(F188=Controle!$L$2, M188/xlookup(workday(B188,-1,Feriados!A:A),Controle!$B$10:$B$1000,Controle!$L$10:$L$1000),
)))),
if(and(J188&lt;&gt;"",D188="Futuros"),
if(F188=Controle!$C$2, N188/xlookup(workday(B188,-1,Feriados!A:A),Controle!$B$10:$B$1000,Controle!$C$10:$C$1000),
if(F188=Controle!$F$2, N188/xlookup(workday(B188,-1,Feriados!A:A),Controle!$B$10:$B$1000,Controle!$F$10:$F$1000),
if(F188=Controle!$I$2, N188/xlookup(workday(B188,-1,Feriados!A:A),Controle!$B$10:$B$1000,Controle!$I$10:$I$1000),
if(F188=Controle!$L$2, N188/xlookup(workday(B188,-1,Feriados!A:A),Controle!$B$10:$B$1000,Controle!$L$10:$L$1000),
)))),""))</f>
        <v>-0.957895274</v>
      </c>
      <c r="L188" s="47">
        <f t="array" ref="L188">IF($J188&lt;&gt;"", IF($D188 = "Futuros" , $N188/xlookup(WORKDAY(B188,-1,Feriados!A:A),Controle!$B$10:$B$1000,Controle!$T$10:$T$1000) , $M188/xlookup(WORKDAY(B188,-1,Feriados!A:A),Controle!$B$10:$B$1000,Controle!$T$10:$T$1000)),"")</f>
        <v>-0.2425418527</v>
      </c>
      <c r="M188" s="48">
        <f t="shared" si="4"/>
        <v>103917273.6</v>
      </c>
      <c r="N188" s="48">
        <f>IFERROR(IF(D188="Futuros",
IF(LEFT(C188,3)="DI1",G188*O188,
IF(LEFT(C188,3)="ISP",G188*O188*HLOOKUP("PTAX",'Histórico'!$A$1:$EL$983,MATCH(B188,'Histórico'!A:A),FALSE)*50,
IF(LEFT(C188,3)="WDO",10*G188*O188*HLOOKUP("PTAX",'Histórico'!$A$1:$EL$983,MATCH(B188,'Histórico'!A:A),FALSE),
IF(LEFT(C188,3)="DOL",50*G188*O188,
IF(LEFT(C188,3)="EUR",G188*O188*50,
IF(LEFT(C188,3)="WEU",G188*O188*10,
IF(LEFT(C188,3)="IND",G188*O188,
IF(LEFT(C188,3)="WIN",G188*O188*0.2,
IF(LEFT(C188,3)="T10",G188*O188*1000*HLOOKUP("PTAX",'Histórico'!$A$1:$EL$983,MATCH(B188,'Histórico'!A:A),FALSE),
IF(LEFT(C188,3)="CCM",G188*O188*450,
IF(LEFT(C188,3)="SJC",G188*O188*HLOOKUP("PTAX",'Histórico'!$A$1:$EL$983,MATCH(B188,'Histórico'!A:A),FALSE)*450,
IF(LEFT(C188,3)="BGI",G188*O188*330,
IF(LEFT(C188,3)="OZ1",G188*O188*250,
IF(LEFT(C188,3)="CLP",G188*O188*25,
IF(LEFT(C188,3)="EUP", O188*10000*HLOOKUP("EUR/BRL",'Histórico'!$A$1:$EL$983,MATCH(B188,'Histórico'!A:A),FALSE),
IF(LEFT(C188,3)="JSE", G188*O188*0.4,
IF(LEFT(C188,3)="GBP", O188*10000*HLOOKUP("GBP/BRL",'Histórico'!$A$1:$FG$983,MATCH(B188,'Histórico'!A:A),FALSE),
IF(LEFT(C188,3)="JAP",O188*10000*HLOOKUP("PTAX",'Histórico'!$A$1:$FG$983,MATCH(B188,'Histórico'!A:A),FALSE),
IF(LEFT(C188,3)="CNH",O188*10000*HLOOKUP("PTAX",'Histórico'!$A$1:$FG$983,MATCH(B188,'Histórico'!A:A),FALSE),
IF(LEFT(C188,3)="AUS",O188*10000*HLOOKUP("PTAX",'Histórico'!$A$1:$FG$983,MATCH(B188,'Histórico'!A:A),FALSE),
IF(LEFT(C188,3)="CAN",O188*10000*HLOOKUP("PTAX",'Histórico'!$A$1:$FG$983,MATCH(B188,'Histórico'!A:A),FALSE),
IF(LEFT(C188,3)="GBR",O188*10000*HLOOKUP("GBP/BRL",'Histórico'!$A$1:$FG$983,MATCH(B188,'Histórico'!A:A),FALSE),
IF(LEFT(C188,3)="MEX",O188*10000*HLOOKUP("PTAX",'Histórico'!$A$1:$FG$983,MATCH(B188,'Histórico'!A:A),FALSE),
IF(LEFT(C188,3)="CHL",O188*10000*HLOOKUP("PTAX",'Histórico'!$A$1:$FG$983,MATCH(B188,'Histórico'!A:A),FALSE)
)))))))))))))))))))))))),""))</f>
        <v>-103917273.6</v>
      </c>
      <c r="O188" s="49">
        <f t="shared" si="2"/>
        <v>-1120</v>
      </c>
      <c r="P188" s="49">
        <f t="shared" si="5"/>
        <v>0</v>
      </c>
      <c r="Q188" s="51">
        <f>IF($C188&lt;&gt;"",SUMIFS($O$3:$O$401, $C$3:$C$401 ,$C188,$B$3:$B$401,"&lt;="&amp;Controle!$B$6),"")</f>
        <v>0</v>
      </c>
      <c r="R188" s="51">
        <f>IF($D188&lt;&gt;"",SUMIFS($O$3:$O$401, $C$3:$C$401 ,$C188,$B$3:$B$401,"&lt;="&amp;Controle!$B$6,$F$3:$F$401,$F188),"")</f>
        <v>0</v>
      </c>
      <c r="S188" s="51">
        <f>IF($D188&lt;&gt;"",SUMIFS($O$3:$O$401, $C$3:$C$401 ,$C188,$B$3:$B$401,"&lt;="&amp;'Controle D-1'!$B$6,$F$3:$F$401,$F188),"")</f>
        <v>0</v>
      </c>
      <c r="T188" s="40"/>
      <c r="U188" s="40"/>
      <c r="V188" s="40"/>
      <c r="W188" s="40"/>
      <c r="X188" s="40"/>
      <c r="Y188" s="40"/>
      <c r="Z188" s="40"/>
      <c r="AA188" s="40"/>
      <c r="AB188" s="40"/>
      <c r="AC188" s="40"/>
    </row>
    <row r="189" ht="15.75" customHeight="1">
      <c r="A189" s="28"/>
      <c r="B189" s="100">
        <v>45117.0</v>
      </c>
      <c r="C189" s="88" t="s">
        <v>99</v>
      </c>
      <c r="D189" s="88" t="str">
        <f>IF(ISTEXT(C189),VLOOKUP(C189,'Cadastro dos Ativos'!$A$2:$C$1000,3,0),"")</f>
        <v>Ações Americanas</v>
      </c>
      <c r="E189" s="88" t="s">
        <v>198</v>
      </c>
      <c r="F189" s="88" t="s">
        <v>201</v>
      </c>
      <c r="G189" s="46">
        <v>39.419998</v>
      </c>
      <c r="H189" s="101">
        <f>if($D189="Ações Americanas", HLOOKUP("PTAX",'Histórico'!$A$1:$EL$983,(MATCH(B189,'Histórico'!A:A))-1,""),
if($D189="Ações Europeias", HLOOKUP("EUR/BRL",'Histórico'!$A$1:$EL$983,(MATCH(B189,'Histórico'!A:A))-1,""),""))</f>
        <v>4.918700218</v>
      </c>
      <c r="I189" s="88" t="str">
        <f t="array" ref="I189">IF(ISTEXT(C189),xlookup(C189,'Cadastro dos Ativos'!$A$2:$A$1000,'Cadastro dos Ativos'!$D$2:$D$1000),"")</f>
        <v/>
      </c>
      <c r="J189" s="88">
        <v>28000.0</v>
      </c>
      <c r="K189" s="47">
        <f t="array" ref="K189">if(and(J189&lt;&gt;"",D189&lt;&gt;"Futuros"),
if(F189=Controle!$C$2, M189/xlookup(workday(B189,-1,Feriados!A:A),Controle!$B$10:$B$1000,Controle!$C$10:$C$1000),
if(F189=Controle!$F$2, M189/xlookup(workday(B189,-1,Feriados!A:A),Controle!$B$10:$B$1000,Controle!$F$10:$F$1000),
if(F189=Controle!$I$2, M189/xlookup(workday(B189,-1,Feriados!A:A),Controle!$B$10:$B$1000,Controle!$I$10:$I$1000),
if(F189=Controle!$L$2, M189/xlookup(workday(B189,-1,Feriados!A:A),Controle!$B$10:$B$1000,Controle!$L$10:$L$1000),
)))),
if(and(J189&lt;&gt;"",D189="Futuros"),
if(F189=Controle!$C$2, N189/xlookup(workday(B189,-1,Feriados!A:A),Controle!$B$10:$B$1000,Controle!$C$10:$C$1000),
if(F189=Controle!$F$2, N189/xlookup(workday(B189,-1,Feriados!A:A),Controle!$B$10:$B$1000,Controle!$F$10:$F$1000),
if(F189=Controle!$I$2, N189/xlookup(workday(B189,-1,Feriados!A:A),Controle!$B$10:$B$1000,Controle!$I$10:$I$1000),
if(F189=Controle!$L$2, N189/xlookup(workday(B189,-1,Feriados!A:A),Controle!$B$10:$B$1000,Controle!$L$10:$L$1000),
)))),""))</f>
        <v>0.05004437504</v>
      </c>
      <c r="L189" s="47">
        <f t="array" ref="L189">IF($J189&lt;&gt;"", IF($D189 = "Futuros" , $N189/xlookup(WORKDAY(B189,-1,Feriados!A:A),Controle!$B$10:$B$1000,Controle!$T$10:$T$1000) , $M189/xlookup(WORKDAY(B189,-1,Feriados!A:A),Controle!$B$10:$B$1000,Controle!$T$10:$T$1000)),"")</f>
        <v>0.01267138044</v>
      </c>
      <c r="M189" s="48">
        <f t="shared" si="4"/>
        <v>5429064.277</v>
      </c>
      <c r="N189" s="48" t="str">
        <f>IFERROR(IF(D189="Futuros",
IF(LEFT(C189,3)="DI1",G189*O189,
IF(LEFT(C189,3)="ISP",G189*O189*HLOOKUP("PTAX",'Histórico'!$A$1:$EL$983,MATCH(B189,'Histórico'!A:A),FALSE)*50,
IF(LEFT(C189,3)="WDO",10*G189*O189*HLOOKUP("PTAX",'Histórico'!$A$1:$EL$983,MATCH(B189,'Histórico'!A:A),FALSE),
IF(LEFT(C189,3)="DOL",50*G189*O189,
IF(LEFT(C189,3)="EUR",G189*O189*50,
IF(LEFT(C189,3)="WEU",G189*O189*10,
IF(LEFT(C189,3)="IND",G189*O189,
IF(LEFT(C189,3)="WIN",G189*O189*0.2,
IF(LEFT(C189,3)="T10",G189*O189*1000*HLOOKUP("PTAX",'Histórico'!$A$1:$EL$983,MATCH(B189,'Histórico'!A:A),FALSE),
IF(LEFT(C189,3)="CCM",G189*O189*450,
IF(LEFT(C189,3)="SJC",G189*O189*HLOOKUP("PTAX",'Histórico'!$A$1:$EL$983,MATCH(B189,'Histórico'!A:A),FALSE)*450,
IF(LEFT(C189,3)="BGI",G189*O189*330,
IF(LEFT(C189,3)="OZ1",G189*O189*250,
IF(LEFT(C189,3)="CLP",G189*O189*25,
IF(LEFT(C189,3)="EUP", O189*10000*HLOOKUP("EUR/BRL",'Histórico'!$A$1:$EL$983,MATCH(B189,'Histórico'!A:A),FALSE),
IF(LEFT(C189,3)="JSE", G189*O189*0.4,
IF(LEFT(C189,3)="GBP", O189*10000*HLOOKUP("GBP/BRL",'Histórico'!$A$1:$FG$983,MATCH(B189,'Histórico'!A:A),FALSE),
IF(LEFT(C189,3)="JAP",O189*10000*HLOOKUP("PTAX",'Histórico'!$A$1:$FG$983,MATCH(B189,'Histórico'!A:A),FALSE),
IF(LEFT(C189,3)="CNH",O189*10000*HLOOKUP("PTAX",'Histórico'!$A$1:$FG$983,MATCH(B189,'Histórico'!A:A),FALSE),
IF(LEFT(C189,3)="AUS",O189*10000*HLOOKUP("PTAX",'Histórico'!$A$1:$FG$983,MATCH(B189,'Histórico'!A:A),FALSE),
IF(LEFT(C189,3)="CAN",O189*10000*HLOOKUP("PTAX",'Histórico'!$A$1:$FG$983,MATCH(B189,'Histórico'!A:A),FALSE),
IF(LEFT(C189,3)="GBR",O189*10000*HLOOKUP("GBP/BRL",'Histórico'!$A$1:$FG$983,MATCH(B189,'Histórico'!A:A),FALSE),
IF(LEFT(C189,3)="MEX",O189*10000*HLOOKUP("PTAX",'Histórico'!$A$1:$FG$983,MATCH(B189,'Histórico'!A:A),FALSE),
IF(LEFT(C189,3)="CHL",O189*10000*HLOOKUP("PTAX",'Histórico'!$A$1:$FG$983,MATCH(B189,'Histórico'!A:A),FALSE)
)))))))))))))))))))))))),""))</f>
        <v/>
      </c>
      <c r="O189" s="49">
        <f t="shared" si="2"/>
        <v>-28000</v>
      </c>
      <c r="P189" s="49">
        <f t="shared" si="5"/>
        <v>0</v>
      </c>
      <c r="Q189" s="51">
        <f>IF($C189&lt;&gt;"",SUMIFS($O$3:$O$401, $C$3:$C$401 ,$C189,$B$3:$B$401,"&lt;="&amp;Controle!$B$6),"")</f>
        <v>0</v>
      </c>
      <c r="R189" s="51">
        <f>IF($D189&lt;&gt;"",SUMIFS($O$3:$O$401, $C$3:$C$401 ,$C189,$B$3:$B$401,"&lt;="&amp;Controle!$B$6,$F$3:$F$401,$F189),"")</f>
        <v>0</v>
      </c>
      <c r="S189" s="51">
        <f>IF($D189&lt;&gt;"",SUMIFS($O$3:$O$401, $C$3:$C$401 ,$C189,$B$3:$B$401,"&lt;="&amp;'Controle D-1'!$B$6,$F$3:$F$401,$F189),"")</f>
        <v>0</v>
      </c>
      <c r="T189" s="40"/>
      <c r="U189" s="40"/>
      <c r="V189" s="40"/>
      <c r="W189" s="40"/>
      <c r="X189" s="40"/>
      <c r="Y189" s="40"/>
      <c r="Z189" s="40"/>
      <c r="AA189" s="40"/>
      <c r="AB189" s="40"/>
      <c r="AC189" s="40"/>
    </row>
    <row r="190" ht="15.75" customHeight="1">
      <c r="A190" s="28"/>
      <c r="B190" s="100">
        <v>45117.0</v>
      </c>
      <c r="C190" s="88" t="s">
        <v>113</v>
      </c>
      <c r="D190" s="88" t="str">
        <f>IF(ISTEXT(C190),VLOOKUP(C190,'Cadastro dos Ativos'!$A$2:$C$1000,3,0),"")</f>
        <v>Ações Americanas</v>
      </c>
      <c r="E190" s="88" t="s">
        <v>198</v>
      </c>
      <c r="F190" s="88" t="s">
        <v>201</v>
      </c>
      <c r="G190" s="46">
        <v>28.16</v>
      </c>
      <c r="H190" s="46">
        <f>if($D190="Ações Americanas", HLOOKUP("PTAX",'Histórico'!$A$1:$EL$983,(MATCH(B190,'Histórico'!A:A))-1,""),
if($D190="Ações Europeias", HLOOKUP("EUR/BRL",'Histórico'!$A$1:$EL$983,(MATCH(B190,'Histórico'!A:A))-1,""),""))</f>
        <v>4.918700218</v>
      </c>
      <c r="I190" s="88" t="str">
        <f t="array" ref="I190">IF(ISTEXT(C190),xlookup(C190,'Cadastro dos Ativos'!$A$2:$A$1000,'Cadastro dos Ativos'!$D$2:$D$1000),"")</f>
        <v/>
      </c>
      <c r="J190" s="88">
        <v>50000.0</v>
      </c>
      <c r="K190" s="47">
        <f t="array" ref="K190">if(and(J190&lt;&gt;"",D190&lt;&gt;"Futuros"),
if(F190=Controle!$C$2, M190/xlookup(workday(B190,-1,Feriados!A:A),Controle!$B$10:$B$1000,Controle!$C$10:$C$1000),
if(F190=Controle!$F$2, M190/xlookup(workday(B190,-1,Feriados!A:A),Controle!$B$10:$B$1000,Controle!$F$10:$F$1000),
if(F190=Controle!$I$2, M190/xlookup(workday(B190,-1,Feriados!A:A),Controle!$B$10:$B$1000,Controle!$I$10:$I$1000),
if(F190=Controle!$L$2, M190/xlookup(workday(B190,-1,Feriados!A:A),Controle!$B$10:$B$1000,Controle!$L$10:$L$1000),
)))),
if(and(J190&lt;&gt;"",D190="Futuros"),
if(F190=Controle!$C$2, N190/xlookup(workday(B190,-1,Feriados!A:A),Controle!$B$10:$B$1000,Controle!$C$10:$C$1000),
if(F190=Controle!$F$2, N190/xlookup(workday(B190,-1,Feriados!A:A),Controle!$B$10:$B$1000,Controle!$F$10:$F$1000),
if(F190=Controle!$I$2, N190/xlookup(workday(B190,-1,Feriados!A:A),Controle!$B$10:$B$1000,Controle!$I$10:$I$1000),
if(F190=Controle!$L$2, N190/xlookup(workday(B190,-1,Feriados!A:A),Controle!$B$10:$B$1000,Controle!$L$10:$L$1000),
)))),""))</f>
        <v>0.06383859139</v>
      </c>
      <c r="L190" s="47">
        <f t="array" ref="L190">IF($J190&lt;&gt;"", IF($D190 = "Futuros" , $N190/xlookup(WORKDAY(B190,-1,Feriados!A:A),Controle!$B$10:$B$1000,Controle!$T$10:$T$1000) , $M190/xlookup(WORKDAY(B190,-1,Feriados!A:A),Controle!$B$10:$B$1000,Controle!$T$10:$T$1000)),"")</f>
        <v>0.0161641159</v>
      </c>
      <c r="M190" s="48">
        <f t="shared" si="4"/>
        <v>6925529.907</v>
      </c>
      <c r="N190" s="48" t="str">
        <f>IFERROR(IF(D190="Futuros",
IF(LEFT(C190,3)="DI1",G190*O190,
IF(LEFT(C190,3)="ISP",G190*O190*HLOOKUP("PTAX",'Histórico'!$A$1:$EL$983,MATCH(B190,'Histórico'!A:A),FALSE)*50,
IF(LEFT(C190,3)="WDO",10*G190*O190*HLOOKUP("PTAX",'Histórico'!$A$1:$EL$983,MATCH(B190,'Histórico'!A:A),FALSE),
IF(LEFT(C190,3)="DOL",50*G190*O190,
IF(LEFT(C190,3)="EUR",G190*O190*50,
IF(LEFT(C190,3)="WEU",G190*O190*10,
IF(LEFT(C190,3)="IND",G190*O190,
IF(LEFT(C190,3)="WIN",G190*O190*0.2,
IF(LEFT(C190,3)="T10",G190*O190*1000*HLOOKUP("PTAX",'Histórico'!$A$1:$EL$983,MATCH(B190,'Histórico'!A:A),FALSE),
IF(LEFT(C190,3)="CCM",G190*O190*450,
IF(LEFT(C190,3)="SJC",G190*O190*HLOOKUP("PTAX",'Histórico'!$A$1:$EL$983,MATCH(B190,'Histórico'!A:A),FALSE)*450,
IF(LEFT(C190,3)="BGI",G190*O190*330,
IF(LEFT(C190,3)="OZ1",G190*O190*250,
IF(LEFT(C190,3)="CLP",G190*O190*25,
IF(LEFT(C190,3)="EUP", O190*10000*HLOOKUP("EUR/BRL",'Histórico'!$A$1:$EL$983,MATCH(B190,'Histórico'!A:A),FALSE),
IF(LEFT(C190,3)="JSE", G190*O190*0.4,
IF(LEFT(C190,3)="GBP", O190*10000*HLOOKUP("GBP/BRL",'Histórico'!$A$1:$FG$983,MATCH(B190,'Histórico'!A:A),FALSE),
IF(LEFT(C190,3)="JAP",O190*10000*HLOOKUP("PTAX",'Histórico'!$A$1:$FG$983,MATCH(B190,'Histórico'!A:A),FALSE),
IF(LEFT(C190,3)="CNH",O190*10000*HLOOKUP("PTAX",'Histórico'!$A$1:$FG$983,MATCH(B190,'Histórico'!A:A),FALSE),
IF(LEFT(C190,3)="AUS",O190*10000*HLOOKUP("PTAX",'Histórico'!$A$1:$FG$983,MATCH(B190,'Histórico'!A:A),FALSE),
IF(LEFT(C190,3)="CAN",O190*10000*HLOOKUP("PTAX",'Histórico'!$A$1:$FG$983,MATCH(B190,'Histórico'!A:A),FALSE),
IF(LEFT(C190,3)="GBR",O190*10000*HLOOKUP("GBP/BRL",'Histórico'!$A$1:$FG$983,MATCH(B190,'Histórico'!A:A),FALSE),
IF(LEFT(C190,3)="MEX",O190*10000*HLOOKUP("PTAX",'Histórico'!$A$1:$FG$983,MATCH(B190,'Histórico'!A:A),FALSE),
IF(LEFT(C190,3)="CHL",O190*10000*HLOOKUP("PTAX",'Histórico'!$A$1:$FG$983,MATCH(B190,'Histórico'!A:A),FALSE)
)))))))))))))))))))))))),""))</f>
        <v/>
      </c>
      <c r="O190" s="49">
        <f t="shared" si="2"/>
        <v>-50000</v>
      </c>
      <c r="P190" s="49">
        <f t="shared" si="5"/>
        <v>0</v>
      </c>
      <c r="Q190" s="51">
        <f>IF($C190&lt;&gt;"",SUMIFS($O$3:$O$401, $C$3:$C$401 ,$C190,$B$3:$B$401,"&lt;="&amp;Controle!$B$6),"")</f>
        <v>0</v>
      </c>
      <c r="R190" s="51">
        <f>IF($D190&lt;&gt;"",SUMIFS($O$3:$O$401, $C$3:$C$401 ,$C190,$B$3:$B$401,"&lt;="&amp;Controle!$B$6,$F$3:$F$401,$F190),"")</f>
        <v>0</v>
      </c>
      <c r="S190" s="51">
        <f>IF($D190&lt;&gt;"",SUMIFS($O$3:$O$401, $C$3:$C$401 ,$C190,$B$3:$B$401,"&lt;="&amp;'Controle D-1'!$B$6,$F$3:$F$401,$F190),"")</f>
        <v>0</v>
      </c>
      <c r="T190" s="40"/>
      <c r="U190" s="40"/>
      <c r="V190" s="40"/>
      <c r="W190" s="40"/>
      <c r="X190" s="40"/>
      <c r="Y190" s="40"/>
      <c r="Z190" s="40"/>
      <c r="AA190" s="40"/>
      <c r="AB190" s="40"/>
      <c r="AC190" s="40"/>
    </row>
    <row r="191" ht="15.75" customHeight="1">
      <c r="A191" s="28"/>
      <c r="B191" s="100">
        <v>45117.0</v>
      </c>
      <c r="C191" s="88" t="s">
        <v>125</v>
      </c>
      <c r="D191" s="88" t="str">
        <f>IF(ISTEXT(C191),VLOOKUP(C191,'Cadastro dos Ativos'!$A$2:$C$1000,3,0),"")</f>
        <v>Futuros</v>
      </c>
      <c r="E191" s="88" t="s">
        <v>198</v>
      </c>
      <c r="F191" s="88" t="s">
        <v>201</v>
      </c>
      <c r="G191" s="46">
        <v>140789.486</v>
      </c>
      <c r="H191" s="101" t="str">
        <f>if($D191="Ações Americanas", HLOOKUP("PTAX",'Histórico'!$A$1:$EL$983,(MATCH(B191,'Histórico'!A:A))-1,""),
if($D191="Ações Europeias", HLOOKUP("EUR/BRL",'Histórico'!$A$1:$EL$983,(MATCH(B191,'Histórico'!A:A))-1,""),""))</f>
        <v/>
      </c>
      <c r="I191" s="110">
        <f t="array" ref="I191">IF(ISTEXT(C191),xlookup(C191,'Cadastro dos Ativos'!$A$2:$A$1000,'Cadastro dos Ativos'!$D$2:$D$1000),"")</f>
        <v>45139</v>
      </c>
      <c r="J191" s="88">
        <v>1550.0</v>
      </c>
      <c r="K191" s="47">
        <f t="array" ref="K191">if(and(J191&lt;&gt;"",D191&lt;&gt;"Futuros"),
if(F191=Controle!$C$2, M191/xlookup(workday(B191,-1,Feriados!A:A),Controle!$B$10:$B$1000,Controle!$C$10:$C$1000),
if(F191=Controle!$F$2, M191/xlookup(workday(B191,-1,Feriados!A:A),Controle!$B$10:$B$1000,Controle!$F$10:$F$1000),
if(F191=Controle!$I$2, M191/xlookup(workday(B191,-1,Feriados!A:A),Controle!$B$10:$B$1000,Controle!$I$10:$I$1000),
if(F191=Controle!$L$2, M191/xlookup(workday(B191,-1,Feriados!A:A),Controle!$B$10:$B$1000,Controle!$L$10:$L$1000),
)))),
if(and(J191&lt;&gt;"",D191="Futuros"),
if(F191=Controle!$C$2, N191/xlookup(workday(B191,-1,Feriados!A:A),Controle!$B$10:$B$1000,Controle!$C$10:$C$1000),
if(F191=Controle!$F$2, N191/xlookup(workday(B191,-1,Feriados!A:A),Controle!$B$10:$B$1000,Controle!$F$10:$F$1000),
if(F191=Controle!$I$2, N191/xlookup(workday(B191,-1,Feriados!A:A),Controle!$B$10:$B$1000,Controle!$I$10:$I$1000),
if(F191=Controle!$L$2, N191/xlookup(workday(B191,-1,Feriados!A:A),Controle!$B$10:$B$1000,Controle!$L$10:$L$1000),
)))),""))</f>
        <v>-0.6998109677</v>
      </c>
      <c r="L191" s="47">
        <f t="array" ref="L191">IF($J191&lt;&gt;"", IF($D191 = "Futuros" , $N191/xlookup(WORKDAY(B191,-1,Feriados!A:A),Controle!$B$10:$B$1000,Controle!$T$10:$T$1000) , $M191/xlookup(WORKDAY(B191,-1,Feriados!A:A),Controle!$B$10:$B$1000,Controle!$T$10:$T$1000)),"")</f>
        <v>-0.1771941602</v>
      </c>
      <c r="M191" s="48">
        <f t="shared" si="4"/>
        <v>218223703.3</v>
      </c>
      <c r="N191" s="48">
        <f>IFERROR(IF(D191="Futuros",
IF(LEFT(C191,3)="DI1",G191*O191,
IF(LEFT(C191,3)="ISP",G191*O191*HLOOKUP("PTAX",'Histórico'!$A$1:$EL$983,MATCH(B191,'Histórico'!A:A),FALSE)*50,
IF(LEFT(C191,3)="WDO",10*G191*O191*HLOOKUP("PTAX",'Histórico'!$A$1:$EL$983,MATCH(B191,'Histórico'!A:A),FALSE),
IF(LEFT(C191,3)="DOL",50*G191*O191,
IF(LEFT(C191,3)="EUR",G191*O191*50,
IF(LEFT(C191,3)="WEU",G191*O191*10,
IF(LEFT(C191,3)="IND",G191*O191,
IF(LEFT(C191,3)="WIN",G191*O191*0.2,
IF(LEFT(C191,3)="T10",G191*O191*1000*HLOOKUP("PTAX",'Histórico'!$A$1:$EL$983,MATCH(B191,'Histórico'!A:A),FALSE),
IF(LEFT(C191,3)="CCM",G191*O191*450,
IF(LEFT(C191,3)="SJC",G191*O191*HLOOKUP("PTAX",'Histórico'!$A$1:$EL$983,MATCH(B191,'Histórico'!A:A),FALSE)*450,
IF(LEFT(C191,3)="BGI",G191*O191*330,
IF(LEFT(C191,3)="OZ1",G191*O191*250,
IF(LEFT(C191,3)="CLP",G191*O191*25,
IF(LEFT(C191,3)="EUP", O191*10000*HLOOKUP("EUR/BRL",'Histórico'!$A$1:$EL$983,MATCH(B191,'Histórico'!A:A),FALSE),
IF(LEFT(C191,3)="JSE", G191*O191*0.4,
IF(LEFT(C191,3)="GBP", O191*10000*HLOOKUP("GBP/BRL",'Histórico'!$A$1:$FG$983,MATCH(B191,'Histórico'!A:A),FALSE),
IF(LEFT(C191,3)="JAP",O191*10000*HLOOKUP("PTAX",'Histórico'!$A$1:$FG$983,MATCH(B191,'Histórico'!A:A),FALSE),
IF(LEFT(C191,3)="CNH",O191*10000*HLOOKUP("PTAX",'Histórico'!$A$1:$FG$983,MATCH(B191,'Histórico'!A:A),FALSE),
IF(LEFT(C191,3)="AUS",O191*10000*HLOOKUP("PTAX",'Histórico'!$A$1:$FG$983,MATCH(B191,'Histórico'!A:A),FALSE),
IF(LEFT(C191,3)="CAN",O191*10000*HLOOKUP("PTAX",'Histórico'!$A$1:$FG$983,MATCH(B191,'Histórico'!A:A),FALSE),
IF(LEFT(C191,3)="GBR",O191*10000*HLOOKUP("GBP/BRL",'Histórico'!$A$1:$FG$983,MATCH(B191,'Histórico'!A:A),FALSE),
IF(LEFT(C191,3)="MEX",O191*10000*HLOOKUP("PTAX",'Histórico'!$A$1:$FG$983,MATCH(B191,'Histórico'!A:A),FALSE),
IF(LEFT(C191,3)="CHL",O191*10000*HLOOKUP("PTAX",'Histórico'!$A$1:$FG$983,MATCH(B191,'Histórico'!A:A),FALSE)
)))))))))))))))))))))))),""))</f>
        <v>-75918996.33</v>
      </c>
      <c r="O191" s="49">
        <f t="shared" si="2"/>
        <v>-1550</v>
      </c>
      <c r="P191" s="49">
        <f t="shared" si="5"/>
        <v>0</v>
      </c>
      <c r="Q191" s="51">
        <f>IF($C191&lt;&gt;"",SUMIFS($O$3:$O$401, $C$3:$C$401 ,$C191,$B$3:$B$401,"&lt;="&amp;Controle!$B$6),"")</f>
        <v>0</v>
      </c>
      <c r="R191" s="51">
        <f>IF($D191&lt;&gt;"",SUMIFS($O$3:$O$401, $C$3:$C$401 ,$C191,$B$3:$B$401,"&lt;="&amp;Controle!$B$6,$F$3:$F$401,$F191),"")</f>
        <v>0</v>
      </c>
      <c r="S191" s="51">
        <f>IF($D191&lt;&gt;"",SUMIFS($O$3:$O$401, $C$3:$C$401 ,$C191,$B$3:$B$401,"&lt;="&amp;'Controle D-1'!$B$6,$F$3:$F$401,$F191),"")</f>
        <v>0</v>
      </c>
      <c r="T191" s="40"/>
      <c r="U191" s="40"/>
      <c r="V191" s="40"/>
      <c r="W191" s="40"/>
      <c r="X191" s="40"/>
      <c r="Y191" s="40"/>
      <c r="Z191" s="40"/>
      <c r="AA191" s="40"/>
      <c r="AB191" s="40"/>
      <c r="AC191" s="40"/>
    </row>
    <row r="192" ht="15.75" customHeight="1">
      <c r="A192" s="28"/>
      <c r="B192" s="100">
        <v>45128.0</v>
      </c>
      <c r="C192" s="88" t="s">
        <v>127</v>
      </c>
      <c r="D192" s="88" t="str">
        <f>IF(ISTEXT(C192),VLOOKUP(C192,'Cadastro dos Ativos'!$A$2:$C$1000,3,0),"")</f>
        <v>Futuros</v>
      </c>
      <c r="E192" s="88" t="s">
        <v>208</v>
      </c>
      <c r="F192" s="88" t="s">
        <v>199</v>
      </c>
      <c r="G192" s="101">
        <v>4781.0</v>
      </c>
      <c r="H192" s="46" t="str">
        <f>if($D192="Ações Americanas", HLOOKUP("PTAX",'Histórico'!$A$1:$EL$983,(MATCH(B192,'Histórico'!A:A))-1,""),
if($D192="Ações Europeias", HLOOKUP("EUR/BRL",'Histórico'!$A$1:$EL$983,(MATCH(B192,'Histórico'!A:A))-1,""),""))</f>
        <v/>
      </c>
      <c r="I192" s="110">
        <f t="array" ref="I192">IF(ISTEXT(C192),xlookup(C192,'Cadastro dos Ativos'!$A$2:$A$1000,'Cadastro dos Ativos'!$D$2:$D$1000),"")</f>
        <v>45139</v>
      </c>
      <c r="J192" s="88">
        <v>225.0</v>
      </c>
      <c r="K192" s="47">
        <f t="array" ref="K192">if(and(J192&lt;&gt;"",D192&lt;&gt;"Futuros"),
if(F192=Controle!$C$2, M192/xlookup(workday(B192,-1,Feriados!A:A),Controle!$B$10:$B$1000,Controle!$C$10:$C$1000),
if(F192=Controle!$F$2, M192/xlookup(workday(B192,-1,Feriados!A:A),Controle!$B$10:$B$1000,Controle!$F$10:$F$1000),
if(F192=Controle!$I$2, M192/xlookup(workday(B192,-1,Feriados!A:A),Controle!$B$10:$B$1000,Controle!$I$10:$I$1000),
if(F192=Controle!$L$2, M192/xlookup(workday(B192,-1,Feriados!A:A),Controle!$B$10:$B$1000,Controle!$L$10:$L$1000),
)))),
if(and(J192&lt;&gt;"",D192="Futuros"),
if(F192=Controle!$C$2, N192/xlookup(workday(B192,-1,Feriados!A:A),Controle!$B$10:$B$1000,Controle!$C$10:$C$1000),
if(F192=Controle!$F$2, N192/xlookup(workday(B192,-1,Feriados!A:A),Controle!$B$10:$B$1000,Controle!$F$10:$F$1000),
if(F192=Controle!$I$2, N192/xlookup(workday(B192,-1,Feriados!A:A),Controle!$B$10:$B$1000,Controle!$I$10:$I$1000),
if(F192=Controle!$L$2, N192/xlookup(workday(B192,-1,Feriados!A:A),Controle!$B$10:$B$1000,Controle!$L$10:$L$1000),
)))),""))</f>
        <v>0.5177184198</v>
      </c>
      <c r="L192" s="47">
        <f t="array" ref="L192">IF($J192&lt;&gt;"", IF($D192 = "Futuros" , $N192/xlookup(WORKDAY(B192,-1,Feriados!A:A),Controle!$B$10:$B$1000,Controle!$T$10:$T$1000) , $M192/xlookup(WORKDAY(B192,-1,Feriados!A:A),Controle!$B$10:$B$1000,Controle!$T$10:$T$1000)),"")</f>
        <v>0.1254423431</v>
      </c>
      <c r="M192" s="48">
        <f t="shared" si="4"/>
        <v>-1075725</v>
      </c>
      <c r="N192" s="48">
        <f>IFERROR(IF(D192="Futuros",
IF(LEFT(C192,3)="DI1",G192*O192,
IF(LEFT(C192,3)="ISP",G192*O192*HLOOKUP("PTAX",'Histórico'!$A$1:$EL$983,MATCH(B192,'Histórico'!A:A),FALSE)*50,
IF(LEFT(C192,3)="WDO",10*G192*O192*HLOOKUP("PTAX",'Histórico'!$A$1:$EL$983,MATCH(B192,'Histórico'!A:A),FALSE),
IF(LEFT(C192,3)="DOL",50*G192*O192,
IF(LEFT(C192,3)="EUR",G192*O192*50,
IF(LEFT(C192,3)="WEU",G192*O192*10,
IF(LEFT(C192,3)="IND",G192*O192,
IF(LEFT(C192,3)="WIN",G192*O192*0.2,
IF(LEFT(C192,3)="T10",G192*O192*1000*HLOOKUP("PTAX",'Histórico'!$A$1:$EL$983,MATCH(B192,'Histórico'!A:A),FALSE),
IF(LEFT(C192,3)="CCM",G192*O192*450,
IF(LEFT(C192,3)="SJC",G192*O192*HLOOKUP("PTAX",'Histórico'!$A$1:$EL$983,MATCH(B192,'Histórico'!A:A),FALSE)*450,
IF(LEFT(C192,3)="BGI",G192*O192*330,
IF(LEFT(C192,3)="OZ1",G192*O192*250,
IF(LEFT(C192,3)="CLP",G192*O192*25,
IF(LEFT(C192,3)="EUP", O192*10000*HLOOKUP("EUR/BRL",'Histórico'!$A$1:$EL$983,MATCH(B192,'Histórico'!A:A),FALSE),
IF(LEFT(C192,3)="JSE", G192*O192*0.4,
IF(LEFT(C192,3)="GBP", O192*10000*HLOOKUP("GBP/BRL",'Histórico'!$A$1:$FG$983,MATCH(B192,'Histórico'!A:A),FALSE),
IF(LEFT(C192,3)="JAP",O192*10000*HLOOKUP("PTAX",'Histórico'!$A$1:$FG$983,MATCH(B192,'Histórico'!A:A),FALSE),
IF(LEFT(C192,3)="CNH",O192*10000*HLOOKUP("PTAX",'Histórico'!$A$1:$FG$983,MATCH(B192,'Histórico'!A:A),FALSE),
IF(LEFT(C192,3)="AUS",O192*10000*HLOOKUP("PTAX",'Histórico'!$A$1:$FG$983,MATCH(B192,'Histórico'!A:A),FALSE),
IF(LEFT(C192,3)="CAN",O192*10000*HLOOKUP("PTAX",'Histórico'!$A$1:$FG$983,MATCH(B192,'Histórico'!A:A),FALSE),
IF(LEFT(C192,3)="GBR",O192*10000*HLOOKUP("GBP/BRL",'Histórico'!$A$1:$FG$983,MATCH(B192,'Histórico'!A:A),FALSE),
IF(LEFT(C192,3)="MEX",O192*10000*HLOOKUP("PTAX",'Histórico'!$A$1:$FG$983,MATCH(B192,'Histórico'!A:A),FALSE),
IF(LEFT(C192,3)="CHL",O192*10000*HLOOKUP("PTAX",'Histórico'!$A$1:$FG$983,MATCH(B192,'Histórico'!A:A),FALSE)
)))))))))))))))))))))))),""))</f>
        <v>53786250</v>
      </c>
      <c r="O192" s="49">
        <f t="shared" si="2"/>
        <v>225</v>
      </c>
      <c r="P192" s="49">
        <f t="shared" si="5"/>
        <v>0</v>
      </c>
      <c r="Q192" s="51">
        <f>IF($C192&lt;&gt;"",SUMIFS($O$3:$O$401, $C$3:$C$401 ,$C192,$B$3:$B$401,"&lt;="&amp;Controle!$B$6),"")</f>
        <v>0</v>
      </c>
      <c r="R192" s="51">
        <f>IF($D192&lt;&gt;"",SUMIFS($O$3:$O$401, $C$3:$C$401 ,$C192,$B$3:$B$401,"&lt;="&amp;Controle!$B$6,$F$3:$F$401,$F192),"")</f>
        <v>0</v>
      </c>
      <c r="S192" s="51">
        <f>IF($D192&lt;&gt;"",SUMIFS($O$3:$O$401, $C$3:$C$401 ,$C192,$B$3:$B$401,"&lt;="&amp;'Controle D-1'!$B$6,$F$3:$F$401,$F192),"")</f>
        <v>0</v>
      </c>
      <c r="T192" s="40"/>
      <c r="U192" s="40"/>
      <c r="V192" s="40"/>
      <c r="W192" s="40"/>
      <c r="X192" s="40"/>
      <c r="Y192" s="40"/>
      <c r="Z192" s="40"/>
      <c r="AA192" s="40"/>
      <c r="AB192" s="40"/>
      <c r="AC192" s="40"/>
    </row>
    <row r="193" ht="15.75" customHeight="1">
      <c r="A193" s="28"/>
      <c r="B193" s="100">
        <v>45128.0</v>
      </c>
      <c r="C193" s="88" t="s">
        <v>84</v>
      </c>
      <c r="D193" s="88" t="str">
        <f>IF(ISTEXT(C193),VLOOKUP(C193,'Cadastro dos Ativos'!$A$2:$C$1000,3,0),"")</f>
        <v>Ações Listadas na B3</v>
      </c>
      <c r="E193" s="88" t="s">
        <v>198</v>
      </c>
      <c r="F193" s="88" t="s">
        <v>199</v>
      </c>
      <c r="G193" s="101">
        <v>116.4</v>
      </c>
      <c r="H193" s="101" t="str">
        <f>if($D193="Ações Americanas", HLOOKUP("PTAX",'Histórico'!$A$1:$EL$983,(MATCH(B193,'Histórico'!A:A))-1,""),
if($D193="Ações Europeias", HLOOKUP("EUR/BRL",'Histórico'!$A$1:$EL$983,(MATCH(B193,'Histórico'!A:A))-1,""),""))</f>
        <v/>
      </c>
      <c r="I193" s="110" t="str">
        <f t="array" ref="I193">IF(ISTEXT(C193),xlookup(C193,'Cadastro dos Ativos'!$A$2:$A$1000,'Cadastro dos Ativos'!$D$2:$D$1000),"")</f>
        <v/>
      </c>
      <c r="J193" s="88">
        <v>85000.0</v>
      </c>
      <c r="K193" s="47">
        <f t="array" ref="K193">if(and(J193&lt;&gt;"",D193&lt;&gt;"Futuros"),
if(F193=Controle!$C$2, M193/xlookup(workday(B193,-1,Feriados!A:A),Controle!$B$10:$B$1000,Controle!$C$10:$C$1000),
if(F193=Controle!$F$2, M193/xlookup(workday(B193,-1,Feriados!A:A),Controle!$B$10:$B$1000,Controle!$F$10:$F$1000),
if(F193=Controle!$I$2, M193/xlookup(workday(B193,-1,Feriados!A:A),Controle!$B$10:$B$1000,Controle!$I$10:$I$1000),
if(F193=Controle!$L$2, M193/xlookup(workday(B193,-1,Feriados!A:A),Controle!$B$10:$B$1000,Controle!$L$10:$L$1000),
)))),
if(and(J193&lt;&gt;"",D193="Futuros"),
if(F193=Controle!$C$2, N193/xlookup(workday(B193,-1,Feriados!A:A),Controle!$B$10:$B$1000,Controle!$C$10:$C$1000),
if(F193=Controle!$F$2, N193/xlookup(workday(B193,-1,Feriados!A:A),Controle!$B$10:$B$1000,Controle!$F$10:$F$1000),
if(F193=Controle!$I$2, N193/xlookup(workday(B193,-1,Feriados!A:A),Controle!$B$10:$B$1000,Controle!$I$10:$I$1000),
if(F193=Controle!$L$2, N193/xlookup(workday(B193,-1,Feriados!A:A),Controle!$B$10:$B$1000,Controle!$L$10:$L$1000),
)))),""))</f>
        <v>0.09523448921</v>
      </c>
      <c r="L193" s="47">
        <f t="array" ref="L193">IF($J193&lt;&gt;"", IF($D193 = "Futuros" , $N193/xlookup(WORKDAY(B193,-1,Feriados!A:A),Controle!$B$10:$B$1000,Controle!$T$10:$T$1000) , $M193/xlookup(WORKDAY(B193,-1,Feriados!A:A),Controle!$B$10:$B$1000,Controle!$T$10:$T$1000)),"")</f>
        <v>0.02307516406</v>
      </c>
      <c r="M193" s="48">
        <f t="shared" si="4"/>
        <v>9894000</v>
      </c>
      <c r="N193" s="48" t="str">
        <f>IFERROR(IF(D193="Futuros",
IF(LEFT(C193,3)="DI1",G193*O193,
IF(LEFT(C193,3)="ISP",G193*O193*HLOOKUP("PTAX",'Histórico'!$A$1:$EL$983,MATCH(B193,'Histórico'!A:A),FALSE)*50,
IF(LEFT(C193,3)="WDO",10*G193*O193*HLOOKUP("PTAX",'Histórico'!$A$1:$EL$983,MATCH(B193,'Histórico'!A:A),FALSE),
IF(LEFT(C193,3)="DOL",50*G193*O193,
IF(LEFT(C193,3)="EUR",G193*O193*50,
IF(LEFT(C193,3)="WEU",G193*O193*10,
IF(LEFT(C193,3)="IND",G193*O193,
IF(LEFT(C193,3)="WIN",G193*O193*0.2,
IF(LEFT(C193,3)="T10",G193*O193*1000*HLOOKUP("PTAX",'Histórico'!$A$1:$EL$983,MATCH(B193,'Histórico'!A:A),FALSE),
IF(LEFT(C193,3)="CCM",G193*O193*450,
IF(LEFT(C193,3)="SJC",G193*O193*HLOOKUP("PTAX",'Histórico'!$A$1:$EL$983,MATCH(B193,'Histórico'!A:A),FALSE)*450,
IF(LEFT(C193,3)="BGI",G193*O193*330,
IF(LEFT(C193,3)="OZ1",G193*O193*250,
IF(LEFT(C193,3)="CLP",G193*O193*25,
IF(LEFT(C193,3)="EUP", O193*10000*HLOOKUP("EUR/BRL",'Histórico'!$A$1:$EL$983,MATCH(B193,'Histórico'!A:A),FALSE),
IF(LEFT(C193,3)="JSE", G193*O193*0.4,
IF(LEFT(C193,3)="GBP", O193*10000*HLOOKUP("GBP/BRL",'Histórico'!$A$1:$FG$983,MATCH(B193,'Histórico'!A:A),FALSE),
IF(LEFT(C193,3)="JAP",O193*10000*HLOOKUP("PTAX",'Histórico'!$A$1:$FG$983,MATCH(B193,'Histórico'!A:A),FALSE),
IF(LEFT(C193,3)="CNH",O193*10000*HLOOKUP("PTAX",'Histórico'!$A$1:$FG$983,MATCH(B193,'Histórico'!A:A),FALSE),
IF(LEFT(C193,3)="AUS",O193*10000*HLOOKUP("PTAX",'Histórico'!$A$1:$FG$983,MATCH(B193,'Histórico'!A:A),FALSE),
IF(LEFT(C193,3)="CAN",O193*10000*HLOOKUP("PTAX",'Histórico'!$A$1:$FG$983,MATCH(B193,'Histórico'!A:A),FALSE),
IF(LEFT(C193,3)="GBR",O193*10000*HLOOKUP("GBP/BRL",'Histórico'!$A$1:$FG$983,MATCH(B193,'Histórico'!A:A),FALSE),
IF(LEFT(C193,3)="MEX",O193*10000*HLOOKUP("PTAX",'Histórico'!$A$1:$FG$983,MATCH(B193,'Histórico'!A:A),FALSE),
IF(LEFT(C193,3)="CHL",O193*10000*HLOOKUP("PTAX",'Histórico'!$A$1:$FG$983,MATCH(B193,'Histórico'!A:A),FALSE)
)))))))))))))))))))))))),""))</f>
        <v/>
      </c>
      <c r="O193" s="49">
        <f t="shared" si="2"/>
        <v>-85000</v>
      </c>
      <c r="P193" s="49">
        <f t="shared" si="5"/>
        <v>-85000</v>
      </c>
      <c r="Q193" s="51">
        <f>IF($C193&lt;&gt;"",SUMIFS($O$3:$O$401, $C$3:$C$401 ,$C193,$B$3:$B$401,"&lt;="&amp;Controle!$B$6),"")</f>
        <v>-85000</v>
      </c>
      <c r="R193" s="51">
        <f>IF($D193&lt;&gt;"",SUMIFS($O$3:$O$401, $C$3:$C$401 ,$C193,$B$3:$B$401,"&lt;="&amp;Controle!$B$6,$F$3:$F$401,$F193),"")</f>
        <v>-85000</v>
      </c>
      <c r="S193" s="51">
        <f>IF($D193&lt;&gt;"",SUMIFS($O$3:$O$401, $C$3:$C$401 ,$C193,$B$3:$B$401,"&lt;="&amp;'Controle D-1'!$B$6,$F$3:$F$401,$F193),"")</f>
        <v>-85000</v>
      </c>
      <c r="T193" s="40"/>
      <c r="U193" s="40"/>
      <c r="V193" s="40"/>
      <c r="W193" s="40"/>
      <c r="X193" s="40"/>
      <c r="Y193" s="40"/>
      <c r="Z193" s="40"/>
      <c r="AA193" s="40"/>
      <c r="AB193" s="40"/>
      <c r="AC193" s="40"/>
    </row>
    <row r="194" ht="15.75" customHeight="1">
      <c r="A194" s="28"/>
      <c r="B194" s="100">
        <v>45134.0</v>
      </c>
      <c r="C194" s="88" t="s">
        <v>130</v>
      </c>
      <c r="D194" s="88" t="str">
        <f>IF(ISTEXT(C194),VLOOKUP(C194,'Cadastro dos Ativos'!$A$2:$C$1000,3,0),"")</f>
        <v>Ações Americanas</v>
      </c>
      <c r="E194" s="88" t="s">
        <v>208</v>
      </c>
      <c r="F194" s="88" t="s">
        <v>201</v>
      </c>
      <c r="G194" s="88">
        <v>27.05</v>
      </c>
      <c r="H194" s="141">
        <v>4.736199855804443</v>
      </c>
      <c r="I194" s="110" t="str">
        <f t="array" ref="I194">IF(ISTEXT(C194),xlookup(C194,'Cadastro dos Ativos'!$A$2:$A$1000,'Cadastro dos Ativos'!$D$2:$D$1000),"")</f>
        <v/>
      </c>
      <c r="J194" s="88">
        <v>45000.0</v>
      </c>
      <c r="K194" s="47">
        <f t="array" ref="K194">if(and(J194&lt;&gt;"",D194&lt;&gt;"Futuros"),
if(F194=Controle!$C$2, M194/xlookup(workday(B194,-1,Feriados!A:A),Controle!$B$10:$B$1000,Controle!$C$10:$C$1000),
if(F194=Controle!$F$2, M194/xlookup(workday(B194,-1,Feriados!A:A),Controle!$B$10:$B$1000,Controle!$F$10:$F$1000),
if(F194=Controle!$I$2, M194/xlookup(workday(B194,-1,Feriados!A:A),Controle!$B$10:$B$1000,Controle!$I$10:$I$1000),
if(F194=Controle!$L$2, M194/xlookup(workday(B194,-1,Feriados!A:A),Controle!$B$10:$B$1000,Controle!$L$10:$L$1000),
)))),
if(and(J194&lt;&gt;"",D194="Futuros"),
if(F194=Controle!$C$2, N194/xlookup(workday(B194,-1,Feriados!A:A),Controle!$B$10:$B$1000,Controle!$C$10:$C$1000),
if(F194=Controle!$F$2, N194/xlookup(workday(B194,-1,Feriados!A:A),Controle!$B$10:$B$1000,Controle!$F$10:$F$1000),
if(F194=Controle!$I$2, N194/xlookup(workday(B194,-1,Feriados!A:A),Controle!$B$10:$B$1000,Controle!$I$10:$I$1000),
if(F194=Controle!$L$2, N194/xlookup(workday(B194,-1,Feriados!A:A),Controle!$B$10:$B$1000,Controle!$L$10:$L$1000),
)))),""))</f>
        <v>-0.05281652224</v>
      </c>
      <c r="L194" s="47">
        <f t="array" ref="L194">IF($J194&lt;&gt;"", IF($D194 = "Futuros" , $N194/xlookup(WORKDAY(B194,-1,Feriados!A:A),Controle!$B$10:$B$1000,Controle!$T$10:$T$1000) , $M194/xlookup(WORKDAY(B194,-1,Feriados!A:A),Controle!$B$10:$B$1000,Controle!$T$10:$T$1000)),"")</f>
        <v>-0.01339932242</v>
      </c>
      <c r="M194" s="48">
        <f t="shared" si="4"/>
        <v>-5765139.274</v>
      </c>
      <c r="N194" s="48" t="str">
        <f>IFERROR(IF(D194="Futuros",
IF(LEFT(C194,3)="DI1",G194*O194,
IF(LEFT(C194,3)="ISP",G194*O194*HLOOKUP("PTAX",'Histórico'!$A$1:$EL$983,MATCH(B194,'Histórico'!A:A),FALSE)*50,
IF(LEFT(C194,3)="WDO",10*G194*O194*HLOOKUP("PTAX",'Histórico'!$A$1:$EL$983,MATCH(B194,'Histórico'!A:A),FALSE),
IF(LEFT(C194,3)="DOL",50*G194*O194,
IF(LEFT(C194,3)="EUR",G194*O194*50,
IF(LEFT(C194,3)="WEU",G194*O194*10,
IF(LEFT(C194,3)="IND",G194*O194,
IF(LEFT(C194,3)="WIN",G194*O194*0.2,
IF(LEFT(C194,3)="T10",G194*O194*1000*HLOOKUP("PTAX",'Histórico'!$A$1:$EL$983,MATCH(B194,'Histórico'!A:A),FALSE),
IF(LEFT(C194,3)="CCM",G194*O194*450,
IF(LEFT(C194,3)="SJC",G194*O194*HLOOKUP("PTAX",'Histórico'!$A$1:$EL$983,MATCH(B194,'Histórico'!A:A),FALSE)*450,
IF(LEFT(C194,3)="BGI",G194*O194*330,
IF(LEFT(C194,3)="OZ1",G194*O194*250,
IF(LEFT(C194,3)="CLP",G194*O194*25,
IF(LEFT(C194,3)="EUP", O194*10000*HLOOKUP("EUR/BRL",'Histórico'!$A$1:$EL$983,MATCH(B194,'Histórico'!A:A),FALSE),
IF(LEFT(C194,3)="JSE", G194*O194*0.4,
IF(LEFT(C194,3)="GBP", O194*10000*HLOOKUP("GBP/BRL",'Histórico'!$A$1:$FG$983,MATCH(B194,'Histórico'!A:A),FALSE),
IF(LEFT(C194,3)="JAP",O194*10000*HLOOKUP("PTAX",'Histórico'!$A$1:$FG$983,MATCH(B194,'Histórico'!A:A),FALSE),
IF(LEFT(C194,3)="CNH",O194*10000*HLOOKUP("PTAX",'Histórico'!$A$1:$FG$983,MATCH(B194,'Histórico'!A:A),FALSE),
IF(LEFT(C194,3)="AUS",O194*10000*HLOOKUP("PTAX",'Histórico'!$A$1:$FG$983,MATCH(B194,'Histórico'!A:A),FALSE),
IF(LEFT(C194,3)="CAN",O194*10000*HLOOKUP("PTAX",'Histórico'!$A$1:$FG$983,MATCH(B194,'Histórico'!A:A),FALSE),
IF(LEFT(C194,3)="GBR",O194*10000*HLOOKUP("GBP/BRL",'Histórico'!$A$1:$FG$983,MATCH(B194,'Histórico'!A:A),FALSE),
IF(LEFT(C194,3)="MEX",O194*10000*HLOOKUP("PTAX",'Histórico'!$A$1:$FG$983,MATCH(B194,'Histórico'!A:A),FALSE),
IF(LEFT(C194,3)="CHL",O194*10000*HLOOKUP("PTAX",'Histórico'!$A$1:$FG$983,MATCH(B194,'Histórico'!A:A),FALSE)
)))))))))))))))))))))))),""))</f>
        <v/>
      </c>
      <c r="O194" s="49">
        <f t="shared" si="2"/>
        <v>45000</v>
      </c>
      <c r="P194" s="49">
        <f t="shared" si="5"/>
        <v>50000</v>
      </c>
      <c r="Q194" s="51">
        <f>IF($C194&lt;&gt;"",SUMIFS($O$3:$O$401, $C$3:$C$401 ,$C194,$B$3:$B$401,"&lt;="&amp;Controle!$B$6),"")</f>
        <v>50000</v>
      </c>
      <c r="R194" s="51">
        <f>IF($D194&lt;&gt;"",SUMIFS($O$3:$O$401, $C$3:$C$401 ,$C194,$B$3:$B$401,"&lt;="&amp;Controle!$B$6,$F$3:$F$401,$F194),"")</f>
        <v>50000</v>
      </c>
      <c r="S194" s="51">
        <f>IF($D194&lt;&gt;"",SUMIFS($O$3:$O$401, $C$3:$C$401 ,$C194,$B$3:$B$401,"&lt;="&amp;'Controle D-1'!$B$6,$F$3:$F$401,$F194),"")</f>
        <v>50000</v>
      </c>
      <c r="T194" s="40"/>
      <c r="U194" s="40"/>
      <c r="V194" s="40"/>
      <c r="W194" s="40"/>
      <c r="X194" s="40"/>
      <c r="Y194" s="40"/>
      <c r="Z194" s="40"/>
      <c r="AA194" s="40"/>
      <c r="AB194" s="40"/>
      <c r="AC194" s="40"/>
    </row>
    <row r="195" ht="15.75" customHeight="1">
      <c r="A195" s="28"/>
      <c r="B195" s="100">
        <v>45134.0</v>
      </c>
      <c r="C195" s="88" t="s">
        <v>128</v>
      </c>
      <c r="D195" s="88" t="str">
        <f>IF(ISTEXT(C195),VLOOKUP(C195,'Cadastro dos Ativos'!$A$2:$C$1000,3,0),"")</f>
        <v>Ações Americanas</v>
      </c>
      <c r="E195" s="88" t="s">
        <v>208</v>
      </c>
      <c r="F195" s="88" t="s">
        <v>201</v>
      </c>
      <c r="G195" s="101">
        <v>52.26</v>
      </c>
      <c r="H195" s="142">
        <v>4.736199855804443</v>
      </c>
      <c r="I195" s="110" t="str">
        <f t="array" ref="I195">IF(ISTEXT(C195),xlookup(C195,'Cadastro dos Ativos'!$A$2:$A$1000,'Cadastro dos Ativos'!$D$2:$D$1000),"")</f>
        <v/>
      </c>
      <c r="J195" s="88">
        <v>24000.0</v>
      </c>
      <c r="K195" s="47">
        <f t="array" ref="K195">if(and(J195&lt;&gt;"",D195&lt;&gt;"Futuros"),
if(F195=Controle!$C$2, M195/xlookup(workday(B195,-1,Feriados!A:A),Controle!$B$10:$B$1000,Controle!$C$10:$C$1000),
if(F195=Controle!$F$2, M195/xlookup(workday(B195,-1,Feriados!A:A),Controle!$B$10:$B$1000,Controle!$F$10:$F$1000),
if(F195=Controle!$I$2, M195/xlookup(workday(B195,-1,Feriados!A:A),Controle!$B$10:$B$1000,Controle!$I$10:$I$1000),
if(F195=Controle!$L$2, M195/xlookup(workday(B195,-1,Feriados!A:A),Controle!$B$10:$B$1000,Controle!$L$10:$L$1000),
)))),
if(and(J195&lt;&gt;"",D195="Futuros"),
if(F195=Controle!$C$2, N195/xlookup(workday(B195,-1,Feriados!A:A),Controle!$B$10:$B$1000,Controle!$C$10:$C$1000),
if(F195=Controle!$F$2, N195/xlookup(workday(B195,-1,Feriados!A:A),Controle!$B$10:$B$1000,Controle!$F$10:$F$1000),
if(F195=Controle!$I$2, N195/xlookup(workday(B195,-1,Feriados!A:A),Controle!$B$10:$B$1000,Controle!$I$10:$I$1000),
if(F195=Controle!$L$2, N195/xlookup(workday(B195,-1,Feriados!A:A),Controle!$B$10:$B$1000,Controle!$L$10:$L$1000),
)))),""))</f>
        <v>-0.0544215197</v>
      </c>
      <c r="L195" s="47">
        <f t="array" ref="L195">IF($J195&lt;&gt;"", IF($D195 = "Futuros" , $N195/xlookup(WORKDAY(B195,-1,Feriados!A:A),Controle!$B$10:$B$1000,Controle!$T$10:$T$1000) , $M195/xlookup(WORKDAY(B195,-1,Feriados!A:A),Controle!$B$10:$B$1000,Controle!$T$10:$T$1000)),"")</f>
        <v>-0.01380650331</v>
      </c>
      <c r="M195" s="48">
        <f t="shared" si="4"/>
        <v>-5940331.307</v>
      </c>
      <c r="N195" s="48" t="str">
        <f>IFERROR(IF(D195="Futuros",
IF(LEFT(C195,3)="DI1",G195*O195,
IF(LEFT(C195,3)="ISP",G195*O195*HLOOKUP("PTAX",'Histórico'!$A$1:$EL$983,MATCH(B195,'Histórico'!A:A),FALSE)*50,
IF(LEFT(C195,3)="WDO",10*G195*O195*HLOOKUP("PTAX",'Histórico'!$A$1:$EL$983,MATCH(B195,'Histórico'!A:A),FALSE),
IF(LEFT(C195,3)="DOL",50*G195*O195,
IF(LEFT(C195,3)="EUR",G195*O195*50,
IF(LEFT(C195,3)="WEU",G195*O195*10,
IF(LEFT(C195,3)="IND",G195*O195,
IF(LEFT(C195,3)="WIN",G195*O195*0.2,
IF(LEFT(C195,3)="T10",G195*O195*1000*HLOOKUP("PTAX",'Histórico'!$A$1:$EL$983,MATCH(B195,'Histórico'!A:A),FALSE),
IF(LEFT(C195,3)="CCM",G195*O195*450,
IF(LEFT(C195,3)="SJC",G195*O195*HLOOKUP("PTAX",'Histórico'!$A$1:$EL$983,MATCH(B195,'Histórico'!A:A),FALSE)*450,
IF(LEFT(C195,3)="BGI",G195*O195*330,
IF(LEFT(C195,3)="OZ1",G195*O195*250,
IF(LEFT(C195,3)="CLP",G195*O195*25,
IF(LEFT(C195,3)="EUP", O195*10000*HLOOKUP("EUR/BRL",'Histórico'!$A$1:$EL$983,MATCH(B195,'Histórico'!A:A),FALSE),
IF(LEFT(C195,3)="JSE", G195*O195*0.4,
IF(LEFT(C195,3)="GBP", O195*10000*HLOOKUP("GBP/BRL",'Histórico'!$A$1:$FG$983,MATCH(B195,'Histórico'!A:A),FALSE),
IF(LEFT(C195,3)="JAP",O195*10000*HLOOKUP("PTAX",'Histórico'!$A$1:$FG$983,MATCH(B195,'Histórico'!A:A),FALSE),
IF(LEFT(C195,3)="CNH",O195*10000*HLOOKUP("PTAX",'Histórico'!$A$1:$FG$983,MATCH(B195,'Histórico'!A:A),FALSE),
IF(LEFT(C195,3)="AUS",O195*10000*HLOOKUP("PTAX",'Histórico'!$A$1:$FG$983,MATCH(B195,'Histórico'!A:A),FALSE),
IF(LEFT(C195,3)="CAN",O195*10000*HLOOKUP("PTAX",'Histórico'!$A$1:$FG$983,MATCH(B195,'Histórico'!A:A),FALSE),
IF(LEFT(C195,3)="GBR",O195*10000*HLOOKUP("GBP/BRL",'Histórico'!$A$1:$FG$983,MATCH(B195,'Histórico'!A:A),FALSE),
IF(LEFT(C195,3)="MEX",O195*10000*HLOOKUP("PTAX",'Histórico'!$A$1:$FG$983,MATCH(B195,'Histórico'!A:A),FALSE),
IF(LEFT(C195,3)="CHL",O195*10000*HLOOKUP("PTAX",'Histórico'!$A$1:$FG$983,MATCH(B195,'Histórico'!A:A),FALSE)
)))))))))))))))))))))))),""))</f>
        <v/>
      </c>
      <c r="O195" s="49">
        <f t="shared" si="2"/>
        <v>24000</v>
      </c>
      <c r="P195" s="49">
        <f t="shared" si="5"/>
        <v>0</v>
      </c>
      <c r="Q195" s="51">
        <f>IF($C195&lt;&gt;"",SUMIFS($O$3:$O$401, $C$3:$C$401 ,$C195,$B$3:$B$401,"&lt;="&amp;Controle!$B$6),"")</f>
        <v>0</v>
      </c>
      <c r="R195" s="51">
        <f>IF($D195&lt;&gt;"",SUMIFS($O$3:$O$401, $C$3:$C$401 ,$C195,$B$3:$B$401,"&lt;="&amp;Controle!$B$6,$F$3:$F$401,$F195),"")</f>
        <v>0</v>
      </c>
      <c r="S195" s="51">
        <f>IF($D195&lt;&gt;"",SUMIFS($O$3:$O$401, $C$3:$C$401 ,$C195,$B$3:$B$401,"&lt;="&amp;'Controle D-1'!$B$6,$F$3:$F$401,$F195),"")</f>
        <v>0</v>
      </c>
      <c r="T195" s="40"/>
      <c r="U195" s="40"/>
      <c r="V195" s="40"/>
      <c r="W195" s="40"/>
      <c r="X195" s="40"/>
      <c r="Y195" s="40"/>
      <c r="Z195" s="40"/>
      <c r="AA195" s="40"/>
      <c r="AB195" s="40"/>
      <c r="AC195" s="40"/>
    </row>
    <row r="196" ht="15.75" customHeight="1">
      <c r="A196" s="28"/>
      <c r="B196" s="100">
        <v>45134.0</v>
      </c>
      <c r="C196" s="88" t="s">
        <v>48</v>
      </c>
      <c r="D196" s="88" t="str">
        <f>IF(ISTEXT(C196),VLOOKUP(C196,'Cadastro dos Ativos'!$A$2:$C$1000,3,0),"")</f>
        <v>Ações Listadas na B3</v>
      </c>
      <c r="E196" s="88" t="s">
        <v>208</v>
      </c>
      <c r="F196" s="88" t="s">
        <v>201</v>
      </c>
      <c r="G196" s="101">
        <v>71.76</v>
      </c>
      <c r="H196" s="46" t="str">
        <f>if($D196="Ações Americanas", HLOOKUP("PTAX",'Histórico'!$A$1:$EL$983,(MATCH(B196,'Histórico'!A:A))-1,""),
if($D196="Ações Europeias", HLOOKUP("EUR/BRL",'Histórico'!$A$1:$EL$983,(MATCH(B196,'Histórico'!A:A))-1,""),""))</f>
        <v/>
      </c>
      <c r="I196" s="88" t="str">
        <f t="array" ref="I196">IF(ISTEXT(C196),xlookup(C196,'Cadastro dos Ativos'!$A$2:$A$1000,'Cadastro dos Ativos'!$D$2:$D$1000),"")</f>
        <v/>
      </c>
      <c r="J196" s="88">
        <v>85000.0</v>
      </c>
      <c r="K196" s="47">
        <f t="array" ref="K196">if(and(J196&lt;&gt;"",D196&lt;&gt;"Futuros"),
if(F196=Controle!$C$2, M196/xlookup(workday(B196,-1,Feriados!A:A),Controle!$B$10:$B$1000,Controle!$C$10:$C$1000),
if(F196=Controle!$F$2, M196/xlookup(workday(B196,-1,Feriados!A:A),Controle!$B$10:$B$1000,Controle!$F$10:$F$1000),
if(F196=Controle!$I$2, M196/xlookup(workday(B196,-1,Feriados!A:A),Controle!$B$10:$B$1000,Controle!$I$10:$I$1000),
if(F196=Controle!$L$2, M196/xlookup(workday(B196,-1,Feriados!A:A),Controle!$B$10:$B$1000,Controle!$L$10:$L$1000),
)))),
if(and(J196&lt;&gt;"",D196="Futuros"),
if(F196=Controle!$C$2, N196/xlookup(workday(B196,-1,Feriados!A:A),Controle!$B$10:$B$1000,Controle!$C$10:$C$1000),
if(F196=Controle!$F$2, N196/xlookup(workday(B196,-1,Feriados!A:A),Controle!$B$10:$B$1000,Controle!$F$10:$F$1000),
if(F196=Controle!$I$2, N196/xlookup(workday(B196,-1,Feriados!A:A),Controle!$B$10:$B$1000,Controle!$I$10:$I$1000),
if(F196=Controle!$L$2, N196/xlookup(workday(B196,-1,Feriados!A:A),Controle!$B$10:$B$1000,Controle!$L$10:$L$1000),
)))),""))</f>
        <v>-0.05588063769</v>
      </c>
      <c r="L196" s="47">
        <f t="array" ref="L196">IF($J196&lt;&gt;"", IF($D196 = "Futuros" , $N196/xlookup(WORKDAY(B196,-1,Feriados!A:A),Controle!$B$10:$B$1000,Controle!$T$10:$T$1000) , $M196/xlookup(WORKDAY(B196,-1,Feriados!A:A),Controle!$B$10:$B$1000,Controle!$T$10:$T$1000)),"")</f>
        <v>-0.01417667521</v>
      </c>
      <c r="M196" s="48">
        <f t="shared" si="4"/>
        <v>-6099600</v>
      </c>
      <c r="N196" s="48" t="str">
        <f>IFERROR(IF(D196="Futuros",
IF(LEFT(C196,3)="DI1",G196*O196,
IF(LEFT(C196,3)="ISP",G196*O196*HLOOKUP("PTAX",'Histórico'!$A$1:$EL$983,MATCH(B196,'Histórico'!A:A),FALSE)*50,
IF(LEFT(C196,3)="WDO",10*G196*O196*HLOOKUP("PTAX",'Histórico'!$A$1:$EL$983,MATCH(B196,'Histórico'!A:A),FALSE),
IF(LEFT(C196,3)="DOL",50*G196*O196,
IF(LEFT(C196,3)="EUR",G196*O196*50,
IF(LEFT(C196,3)="WEU",G196*O196*10,
IF(LEFT(C196,3)="IND",G196*O196,
IF(LEFT(C196,3)="WIN",G196*O196*0.2,
IF(LEFT(C196,3)="T10",G196*O196*1000*HLOOKUP("PTAX",'Histórico'!$A$1:$EL$983,MATCH(B196,'Histórico'!A:A),FALSE),
IF(LEFT(C196,3)="CCM",G196*O196*450,
IF(LEFT(C196,3)="SJC",G196*O196*HLOOKUP("PTAX",'Histórico'!$A$1:$EL$983,MATCH(B196,'Histórico'!A:A),FALSE)*450,
IF(LEFT(C196,3)="BGI",G196*O196*330,
IF(LEFT(C196,3)="OZ1",G196*O196*250,
IF(LEFT(C196,3)="CLP",G196*O196*25,
IF(LEFT(C196,3)="EUP", O196*10000*HLOOKUP("EUR/BRL",'Histórico'!$A$1:$EL$983,MATCH(B196,'Histórico'!A:A),FALSE),
IF(LEFT(C196,3)="JSE", G196*O196*0.4,
IF(LEFT(C196,3)="GBP", O196*10000*HLOOKUP("GBP/BRL",'Histórico'!$A$1:$FG$983,MATCH(B196,'Histórico'!A:A),FALSE),
IF(LEFT(C196,3)="JAP",O196*10000*HLOOKUP("PTAX",'Histórico'!$A$1:$FG$983,MATCH(B196,'Histórico'!A:A),FALSE),
IF(LEFT(C196,3)="CNH",O196*10000*HLOOKUP("PTAX",'Histórico'!$A$1:$FG$983,MATCH(B196,'Histórico'!A:A),FALSE),
IF(LEFT(C196,3)="AUS",O196*10000*HLOOKUP("PTAX",'Histórico'!$A$1:$FG$983,MATCH(B196,'Histórico'!A:A),FALSE),
IF(LEFT(C196,3)="CAN",O196*10000*HLOOKUP("PTAX",'Histórico'!$A$1:$FG$983,MATCH(B196,'Histórico'!A:A),FALSE),
IF(LEFT(C196,3)="GBR",O196*10000*HLOOKUP("GBP/BRL",'Histórico'!$A$1:$FG$983,MATCH(B196,'Histórico'!A:A),FALSE),
IF(LEFT(C196,3)="MEX",O196*10000*HLOOKUP("PTAX",'Histórico'!$A$1:$FG$983,MATCH(B196,'Histórico'!A:A),FALSE),
IF(LEFT(C196,3)="CHL",O196*10000*HLOOKUP("PTAX",'Histórico'!$A$1:$FG$983,MATCH(B196,'Histórico'!A:A),FALSE)
)))))))))))))))))))))))),""))</f>
        <v/>
      </c>
      <c r="O196" s="49">
        <f t="shared" si="2"/>
        <v>85000</v>
      </c>
      <c r="P196" s="49">
        <f t="shared" si="5"/>
        <v>0</v>
      </c>
      <c r="Q196" s="51">
        <f>IF($C196&lt;&gt;"",SUMIFS($O$3:$O$401, $C$3:$C$401 ,$C196,$B$3:$B$401,"&lt;="&amp;Controle!$B$6),"")</f>
        <v>0</v>
      </c>
      <c r="R196" s="51">
        <f>IF($D196&lt;&gt;"",SUMIFS($O$3:$O$401, $C$3:$C$401 ,$C196,$B$3:$B$401,"&lt;="&amp;Controle!$B$6,$F$3:$F$401,$F196),"")</f>
        <v>0</v>
      </c>
      <c r="S196" s="51">
        <f>IF($D196&lt;&gt;"",SUMIFS($O$3:$O$401, $C$3:$C$401 ,$C196,$B$3:$B$401,"&lt;="&amp;'Controle D-1'!$B$6,$F$3:$F$401,$F196),"")</f>
        <v>0</v>
      </c>
      <c r="T196" s="40"/>
      <c r="U196" s="40"/>
      <c r="V196" s="40"/>
      <c r="W196" s="40"/>
      <c r="X196" s="40"/>
      <c r="Y196" s="40"/>
      <c r="Z196" s="40"/>
      <c r="AA196" s="40"/>
      <c r="AB196" s="40"/>
      <c r="AC196" s="40"/>
    </row>
    <row r="197" ht="15.75" customHeight="1">
      <c r="A197" s="28"/>
      <c r="B197" s="100">
        <v>45135.0</v>
      </c>
      <c r="C197" s="88" t="s">
        <v>132</v>
      </c>
      <c r="D197" s="88" t="str">
        <f>IF(ISTEXT(C197),VLOOKUP(C197,'Cadastro dos Ativos'!$A$2:$C$1000,3,0),"")</f>
        <v>Futuros</v>
      </c>
      <c r="E197" s="88" t="s">
        <v>208</v>
      </c>
      <c r="F197" s="88" t="s">
        <v>200</v>
      </c>
      <c r="G197" s="101">
        <v>1104.27</v>
      </c>
      <c r="H197" s="101" t="str">
        <f>if($D197="Ações Americanas", HLOOKUP("PTAX",'Histórico'!$A$1:$EL$983,(MATCH(B197,'Histórico'!A:A))-1,""),
if($D197="Ações Europeias", HLOOKUP("EUR/BRL",'Histórico'!$A$1:$EL$983,(MATCH(B197,'Histórico'!A:A))-1,""),""))</f>
        <v/>
      </c>
      <c r="I197" s="110">
        <f t="array" ref="I197">IF(ISTEXT(C197),xlookup(C197,'Cadastro dos Ativos'!$A$2:$A$1000,'Cadastro dos Ativos'!$D$2:$D$1000),"")</f>
        <v>45261</v>
      </c>
      <c r="J197" s="88">
        <v>220.0</v>
      </c>
      <c r="K197" s="47">
        <f t="array" ref="K197">if(and(J197&lt;&gt;"",D197&lt;&gt;"Futuros"),
if(F197=Controle!$C$2, M197/xlookup(workday(B197,-1,Feriados!A:A),Controle!$B$10:$B$1000,Controle!$C$10:$C$1000),
if(F197=Controle!$F$2, M197/xlookup(workday(B197,-1,Feriados!A:A),Controle!$B$10:$B$1000,Controle!$F$10:$F$1000),
if(F197=Controle!$I$2, M197/xlookup(workday(B197,-1,Feriados!A:A),Controle!$B$10:$B$1000,Controle!$I$10:$I$1000),
if(F197=Controle!$L$2, M197/xlookup(workday(B197,-1,Feriados!A:A),Controle!$B$10:$B$1000,Controle!$L$10:$L$1000),
)))),
if(and(J197&lt;&gt;"",D197="Futuros"),
if(F197=Controle!$C$2, N197/xlookup(workday(B197,-1,Feriados!A:A),Controle!$B$10:$B$1000,Controle!$C$10:$C$1000),
if(F197=Controle!$F$2, N197/xlookup(workday(B197,-1,Feriados!A:A),Controle!$B$10:$B$1000,Controle!$F$10:$F$1000),
if(F197=Controle!$I$2, N197/xlookup(workday(B197,-1,Feriados!A:A),Controle!$B$10:$B$1000,Controle!$I$10:$I$1000),
if(F197=Controle!$L$2, N197/xlookup(workday(B197,-1,Feriados!A:A),Controle!$B$10:$B$1000,Controle!$L$10:$L$1000),
)))),""))</f>
        <v>0.1031175546</v>
      </c>
      <c r="L197" s="47">
        <f t="array" ref="L197">IF($J197&lt;&gt;"", IF($D197 = "Futuros" , $N197/xlookup(WORKDAY(B197,-1,Feriados!A:A),Controle!$B$10:$B$1000,Controle!$T$10:$T$1000) , $M197/xlookup(WORKDAY(B197,-1,Feriados!A:A),Controle!$B$10:$B$1000,Controle!$T$10:$T$1000)),"")</f>
        <v>0.02661158591</v>
      </c>
      <c r="M197" s="48">
        <f t="shared" si="4"/>
        <v>-242939.4</v>
      </c>
      <c r="N197" s="48">
        <f>IFERROR(IF(D197="Futuros",
IF(LEFT(C197,3)="DI1",G197*O197,
IF(LEFT(C197,3)="ISP",G197*O197*HLOOKUP("PTAX",'Histórico'!$A$1:$EL$983,MATCH(B197,'Histórico'!A:A),FALSE)*50,
IF(LEFT(C197,3)="WDO",10*G197*O197*HLOOKUP("PTAX",'Histórico'!$A$1:$EL$983,MATCH(B197,'Histórico'!A:A),FALSE),
IF(LEFT(C197,3)="DOL",50*G197*O197,
IF(LEFT(C197,3)="EUR",G197*O197*50,
IF(LEFT(C197,3)="WEU",G197*O197*10,
IF(LEFT(C197,3)="IND",G197*O197,
IF(LEFT(C197,3)="WIN",G197*O197*0.2,
IF(LEFT(C197,3)="T10",G197*O197*1000*HLOOKUP("PTAX",'Histórico'!$A$1:$EL$983,MATCH(B197,'Histórico'!A:A),FALSE),
IF(LEFT(C197,3)="CCM",G197*O197*450,
IF(LEFT(C197,3)="SJC",G197*O197*HLOOKUP("PTAX",'Histórico'!$A$1:$EL$983,MATCH(B197,'Histórico'!A:A),FALSE)*450,
IF(LEFT(C197,3)="BGI",G197*O197*330,
IF(LEFT(C197,3)="OZ1",G197*O197*250,
IF(LEFT(C197,3)="CLP",G197*O197*25,
IF(LEFT(C197,3)="EUP", O197*10000*HLOOKUP("EUR/BRL",'Histórico'!$A$1:$EL$983,MATCH(B197,'Histórico'!A:A),FALSE),
IF(LEFT(C197,3)="JSE", G197*O197*0.4,
IF(LEFT(C197,3)="GBP", O197*10000*HLOOKUP("GBP/BRL",'Histórico'!$A$1:$FG$983,MATCH(B197,'Histórico'!A:A),FALSE),
IF(LEFT(C197,3)="JAP",O197*10000*HLOOKUP("PTAX",'Histórico'!$A$1:$FG$983,MATCH(B197,'Histórico'!A:A),FALSE),
IF(LEFT(C197,3)="CNH",O197*10000*HLOOKUP("PTAX",'Histórico'!$A$1:$FG$983,MATCH(B197,'Histórico'!A:A),FALSE),
IF(LEFT(C197,3)="AUS",O197*10000*HLOOKUP("PTAX",'Histórico'!$A$1:$FG$983,MATCH(B197,'Histórico'!A:A),FALSE),
IF(LEFT(C197,3)="CAN",O197*10000*HLOOKUP("PTAX",'Histórico'!$A$1:$FG$983,MATCH(B197,'Histórico'!A:A),FALSE),
IF(LEFT(C197,3)="GBR",O197*10000*HLOOKUP("GBP/BRL",'Histórico'!$A$1:$FG$983,MATCH(B197,'Histórico'!A:A),FALSE),
IF(LEFT(C197,3)="MEX",O197*10000*HLOOKUP("PTAX",'Histórico'!$A$1:$FG$983,MATCH(B197,'Histórico'!A:A),FALSE),
IF(LEFT(C197,3)="CHL",O197*10000*HLOOKUP("PTAX",'Histórico'!$A$1:$FG$983,MATCH(B197,'Histórico'!A:A),FALSE)
)))))))))))))))))))))))),""))</f>
        <v>11461119.94</v>
      </c>
      <c r="O197" s="49">
        <f t="shared" si="2"/>
        <v>220</v>
      </c>
      <c r="P197" s="49">
        <f t="shared" si="5"/>
        <v>0</v>
      </c>
      <c r="Q197" s="51">
        <f>IF($C197&lt;&gt;"",SUMIFS($O$3:$O$401, $C$3:$C$401 ,$C197,$B$3:$B$401,"&lt;="&amp;Controle!$B$6),"")</f>
        <v>0</v>
      </c>
      <c r="R197" s="51">
        <f>IF($D197&lt;&gt;"",SUMIFS($O$3:$O$401, $C$3:$C$401 ,$C197,$B$3:$B$401,"&lt;="&amp;Controle!$B$6,$F$3:$F$401,$F197),"")</f>
        <v>0</v>
      </c>
      <c r="S197" s="51">
        <f>IF($D197&lt;&gt;"",SUMIFS($O$3:$O$401, $C$3:$C$401 ,$C197,$B$3:$B$401,"&lt;="&amp;'Controle D-1'!$B$6,$F$3:$F$401,$F197),"")</f>
        <v>0</v>
      </c>
      <c r="T197" s="40"/>
      <c r="U197" s="40"/>
      <c r="V197" s="40"/>
      <c r="W197" s="40"/>
      <c r="X197" s="40"/>
      <c r="Y197" s="40"/>
      <c r="Z197" s="40"/>
      <c r="AA197" s="40"/>
      <c r="AB197" s="40"/>
      <c r="AC197" s="40"/>
    </row>
    <row r="198" ht="15.75" customHeight="1">
      <c r="A198" s="28"/>
      <c r="B198" s="100">
        <v>45135.0</v>
      </c>
      <c r="C198" s="88" t="s">
        <v>133</v>
      </c>
      <c r="D198" s="88" t="str">
        <f>IF(ISTEXT(C198),VLOOKUP(C198,'Cadastro dos Ativos'!$A$2:$C$1000,3,0),"")</f>
        <v>Futuros</v>
      </c>
      <c r="E198" s="88" t="s">
        <v>208</v>
      </c>
      <c r="F198" s="88" t="s">
        <v>200</v>
      </c>
      <c r="G198" s="101">
        <v>95923.78</v>
      </c>
      <c r="H198" s="46" t="str">
        <f>if($D198="Ações Americanas", HLOOKUP("PTAX",'Histórico'!$A$1:$EL$983,(MATCH(B198,'Histórico'!A:A))-1,""),
if($D198="Ações Europeias", HLOOKUP("EUR/BRL",'Histórico'!$A$1:$EL$983,(MATCH(B198,'Histórico'!A:A))-1,""),""))</f>
        <v/>
      </c>
      <c r="I198" s="110">
        <f t="array" ref="I198">IF(ISTEXT(C198),xlookup(C198,'Cadastro dos Ativos'!$A$2:$A$1000,'Cadastro dos Ativos'!$D$2:$D$1000),"")</f>
        <v>45261</v>
      </c>
      <c r="J198" s="88">
        <v>1200.0</v>
      </c>
      <c r="K198" s="47">
        <f t="array" ref="K198">if(and(J198&lt;&gt;"",D198&lt;&gt;"Futuros"),
if(F198=Controle!$C$2, M198/xlookup(workday(B198,-1,Feriados!A:A),Controle!$B$10:$B$1000,Controle!$C$10:$C$1000),
if(F198=Controle!$F$2, M198/xlookup(workday(B198,-1,Feriados!A:A),Controle!$B$10:$B$1000,Controle!$F$10:$F$1000),
if(F198=Controle!$I$2, M198/xlookup(workday(B198,-1,Feriados!A:A),Controle!$B$10:$B$1000,Controle!$I$10:$I$1000),
if(F198=Controle!$L$2, M198/xlookup(workday(B198,-1,Feriados!A:A),Controle!$B$10:$B$1000,Controle!$L$10:$L$1000),
)))),
if(and(J198&lt;&gt;"",D198="Futuros"),
if(F198=Controle!$C$2, N198/xlookup(workday(B198,-1,Feriados!A:A),Controle!$B$10:$B$1000,Controle!$C$10:$C$1000),
if(F198=Controle!$F$2, N198/xlookup(workday(B198,-1,Feriados!A:A),Controle!$B$10:$B$1000,Controle!$F$10:$F$1000),
if(F198=Controle!$I$2, N198/xlookup(workday(B198,-1,Feriados!A:A),Controle!$B$10:$B$1000,Controle!$I$10:$I$1000),
if(F198=Controle!$L$2, N198/xlookup(workday(B198,-1,Feriados!A:A),Controle!$B$10:$B$1000,Controle!$L$10:$L$1000),
)))),""))</f>
        <v>1.035650164</v>
      </c>
      <c r="L198" s="47">
        <f t="array" ref="L198">IF($J198&lt;&gt;"", IF($D198 = "Futuros" , $N198/xlookup(WORKDAY(B198,-1,Feriados!A:A),Controle!$B$10:$B$1000,Controle!$T$10:$T$1000) , $M198/xlookup(WORKDAY(B198,-1,Feriados!A:A),Controle!$B$10:$B$1000,Controle!$T$10:$T$1000)),"")</f>
        <v>0.2672706255</v>
      </c>
      <c r="M198" s="48">
        <f t="shared" si="4"/>
        <v>-115108536</v>
      </c>
      <c r="N198" s="48">
        <f>IFERROR(IF(D198="Futuros",
IF(LEFT(C198,3)="DI1",G198*O198,
IF(LEFT(C198,3)="ISP",G198*O198*HLOOKUP("PTAX",'Histórico'!$A$1:$EL$983,MATCH(B198,'Histórico'!A:A),FALSE)*50,
IF(LEFT(C198,3)="WDO",10*G198*O198*HLOOKUP("PTAX",'Histórico'!$A$1:$EL$983,MATCH(B198,'Histórico'!A:A),FALSE),
IF(LEFT(C198,3)="DOL",50*G198*O198,
IF(LEFT(C198,3)="EUR",G198*O198*50,
IF(LEFT(C198,3)="WEU",G198*O198*10,
IF(LEFT(C198,3)="IND",G198*O198,
IF(LEFT(C198,3)="WIN",G198*O198*0.2,
IF(LEFT(C198,3)="T10",G198*O198*1000*HLOOKUP("PTAX",'Histórico'!$A$1:$EL$983,MATCH(B198,'Histórico'!A:A),FALSE),
IF(LEFT(C198,3)="CCM",G198*O198*450,
IF(LEFT(C198,3)="SJC",G198*O198*HLOOKUP("PTAX",'Histórico'!$A$1:$EL$983,MATCH(B198,'Histórico'!A:A),FALSE)*450,
IF(LEFT(C198,3)="BGI",G198*O198*330,
IF(LEFT(C198,3)="OZ1",G198*O198*250,
IF(LEFT(C198,3)="CLP",G198*O198*25,
IF(LEFT(C198,3)="EUP", O198*10000*HLOOKUP("EUR/BRL",'Histórico'!$A$1:$EL$983,MATCH(B198,'Histórico'!A:A),FALSE),
IF(LEFT(C198,3)="JSE", G198*O198*0.4,
IF(LEFT(C198,3)="GBP", O198*10000*HLOOKUP("GBP/BRL",'Histórico'!$A$1:$FG$983,MATCH(B198,'Histórico'!A:A),FALSE),
IF(LEFT(C198,3)="JAP",O198*10000*HLOOKUP("PTAX",'Histórico'!$A$1:$FG$983,MATCH(B198,'Histórico'!A:A),FALSE),
IF(LEFT(C198,3)="CNH",O198*10000*HLOOKUP("PTAX",'Histórico'!$A$1:$FG$983,MATCH(B198,'Histórico'!A:A),FALSE),
IF(LEFT(C198,3)="AUS",O198*10000*HLOOKUP("PTAX",'Histórico'!$A$1:$FG$983,MATCH(B198,'Histórico'!A:A),FALSE),
IF(LEFT(C198,3)="CAN",O198*10000*HLOOKUP("PTAX",'Histórico'!$A$1:$FG$983,MATCH(B198,'Histórico'!A:A),FALSE),
IF(LEFT(C198,3)="GBR",O198*10000*HLOOKUP("GBP/BRL",'Histórico'!$A$1:$FG$983,MATCH(B198,'Histórico'!A:A),FALSE),
IF(LEFT(C198,3)="MEX",O198*10000*HLOOKUP("PTAX",'Histórico'!$A$1:$FG$983,MATCH(B198,'Histórico'!A:A),FALSE),
IF(LEFT(C198,3)="CHL",O198*10000*HLOOKUP("PTAX",'Histórico'!$A$1:$FG$983,MATCH(B198,'Histórico'!A:A),FALSE)
)))))))))))))))))))))))),""))</f>
        <v>115108536</v>
      </c>
      <c r="O198" s="49">
        <f t="shared" si="2"/>
        <v>1200</v>
      </c>
      <c r="P198" s="49">
        <f t="shared" si="5"/>
        <v>0</v>
      </c>
      <c r="Q198" s="51">
        <f>IF($C198&lt;&gt;"",SUMIFS($O$3:$O$401, $C$3:$C$401 ,$C198,$B$3:$B$401,"&lt;="&amp;Controle!$B$6),"")</f>
        <v>0</v>
      </c>
      <c r="R198" s="51">
        <f>IF($D198&lt;&gt;"",SUMIFS($O$3:$O$401, $C$3:$C$401 ,$C198,$B$3:$B$401,"&lt;="&amp;Controle!$B$6,$F$3:$F$401,$F198),"")</f>
        <v>0</v>
      </c>
      <c r="S198" s="51">
        <f>IF($D198&lt;&gt;"",SUMIFS($O$3:$O$401, $C$3:$C$401 ,$C198,$B$3:$B$401,"&lt;="&amp;'Controle D-1'!$B$6,$F$3:$F$401,$F198),"")</f>
        <v>0</v>
      </c>
      <c r="T198" s="40"/>
      <c r="U198" s="40"/>
      <c r="V198" s="40"/>
      <c r="W198" s="40"/>
      <c r="X198" s="40"/>
      <c r="Y198" s="40"/>
      <c r="Z198" s="40"/>
      <c r="AA198" s="40"/>
      <c r="AB198" s="40"/>
      <c r="AC198" s="40"/>
    </row>
    <row r="199" ht="15.75" customHeight="1">
      <c r="A199" s="28"/>
      <c r="B199" s="100">
        <v>45135.0</v>
      </c>
      <c r="C199" s="88" t="s">
        <v>119</v>
      </c>
      <c r="D199" s="88" t="str">
        <f>IF(ISTEXT(C199),VLOOKUP(C199,'Cadastro dos Ativos'!$A$2:$C$1000,3,0),"")</f>
        <v>Futuros</v>
      </c>
      <c r="E199" s="88" t="s">
        <v>198</v>
      </c>
      <c r="F199" s="88" t="s">
        <v>200</v>
      </c>
      <c r="G199" s="101">
        <v>79091.02</v>
      </c>
      <c r="H199" s="101" t="str">
        <f>if($D199="Ações Americanas", HLOOKUP("PTAX",'Histórico'!$A$1:$EL$983,(MATCH(B199,'Histórico'!A:A))-1,""),
if($D199="Ações Europeias", HLOOKUP("EUR/BRL",'Histórico'!$A$1:$EL$983,(MATCH(B199,'Histórico'!A:A))-1,""),""))</f>
        <v/>
      </c>
      <c r="I199" s="110">
        <f t="array" ref="I199">IF(ISTEXT(C199),xlookup(C199,'Cadastro dos Ativos'!$A$2:$A$1000,'Cadastro dos Ativos'!$D$2:$D$1000),"")</f>
        <v>46025</v>
      </c>
      <c r="J199" s="88">
        <v>1500.0</v>
      </c>
      <c r="K199" s="47">
        <f t="array" ref="K199">if(and(J199&lt;&gt;"",D199&lt;&gt;"Futuros"),
if(F199=Controle!$C$2, M199/xlookup(workday(B199,-1,Feriados!A:A),Controle!$B$10:$B$1000,Controle!$C$10:$C$1000),
if(F199=Controle!$F$2, M199/xlookup(workday(B199,-1,Feriados!A:A),Controle!$B$10:$B$1000,Controle!$F$10:$F$1000),
if(F199=Controle!$I$2, M199/xlookup(workday(B199,-1,Feriados!A:A),Controle!$B$10:$B$1000,Controle!$I$10:$I$1000),
if(F199=Controle!$L$2, M199/xlookup(workday(B199,-1,Feriados!A:A),Controle!$B$10:$B$1000,Controle!$L$10:$L$1000),
)))),
if(and(J199&lt;&gt;"",D199="Futuros"),
if(F199=Controle!$C$2, N199/xlookup(workday(B199,-1,Feriados!A:A),Controle!$B$10:$B$1000,Controle!$C$10:$C$1000),
if(F199=Controle!$F$2, N199/xlookup(workday(B199,-1,Feriados!A:A),Controle!$B$10:$B$1000,Controle!$F$10:$F$1000),
if(F199=Controle!$I$2, N199/xlookup(workday(B199,-1,Feriados!A:A),Controle!$B$10:$B$1000,Controle!$I$10:$I$1000),
if(F199=Controle!$L$2, N199/xlookup(workday(B199,-1,Feriados!A:A),Controle!$B$10:$B$1000,Controle!$L$10:$L$1000),
)))),""))</f>
        <v>-1.067392098</v>
      </c>
      <c r="L199" s="47">
        <f t="array" ref="L199">IF($J199&lt;&gt;"", IF($D199 = "Futuros" , $N199/xlookup(WORKDAY(B199,-1,Feriados!A:A),Controle!$B$10:$B$1000,Controle!$T$10:$T$1000) , $M199/xlookup(WORKDAY(B199,-1,Feriados!A:A),Controle!$B$10:$B$1000,Controle!$T$10:$T$1000)),"")</f>
        <v>-0.2754622783</v>
      </c>
      <c r="M199" s="48">
        <f t="shared" si="4"/>
        <v>118636530</v>
      </c>
      <c r="N199" s="48">
        <f>IFERROR(IF(D199="Futuros",
IF(LEFT(C199,3)="DI1",G199*O199,
IF(LEFT(C199,3)="ISP",G199*O199*HLOOKUP("PTAX",'Histórico'!$A$1:$EL$983,MATCH(B199,'Histórico'!A:A),FALSE)*50,
IF(LEFT(C199,3)="WDO",10*G199*O199*HLOOKUP("PTAX",'Histórico'!$A$1:$EL$983,MATCH(B199,'Histórico'!A:A),FALSE),
IF(LEFT(C199,3)="DOL",50*G199*O199,
IF(LEFT(C199,3)="EUR",G199*O199*50,
IF(LEFT(C199,3)="WEU",G199*O199*10,
IF(LEFT(C199,3)="IND",G199*O199,
IF(LEFT(C199,3)="WIN",G199*O199*0.2,
IF(LEFT(C199,3)="T10",G199*O199*1000*HLOOKUP("PTAX",'Histórico'!$A$1:$EL$983,MATCH(B199,'Histórico'!A:A),FALSE),
IF(LEFT(C199,3)="CCM",G199*O199*450,
IF(LEFT(C199,3)="SJC",G199*O199*HLOOKUP("PTAX",'Histórico'!$A$1:$EL$983,MATCH(B199,'Histórico'!A:A),FALSE)*450,
IF(LEFT(C199,3)="BGI",G199*O199*330,
IF(LEFT(C199,3)="OZ1",G199*O199*250,
IF(LEFT(C199,3)="CLP",G199*O199*25,
IF(LEFT(C199,3)="EUP", O199*10000*HLOOKUP("EUR/BRL",'Histórico'!$A$1:$EL$983,MATCH(B199,'Histórico'!A:A),FALSE),
IF(LEFT(C199,3)="JSE", G199*O199*0.4,
IF(LEFT(C199,3)="GBP", O199*10000*HLOOKUP("GBP/BRL",'Histórico'!$A$1:$FG$983,MATCH(B199,'Histórico'!A:A),FALSE),
IF(LEFT(C199,3)="JAP",O199*10000*HLOOKUP("PTAX",'Histórico'!$A$1:$FG$983,MATCH(B199,'Histórico'!A:A),FALSE),
IF(LEFT(C199,3)="CNH",O199*10000*HLOOKUP("PTAX",'Histórico'!$A$1:$FG$983,MATCH(B199,'Histórico'!A:A),FALSE),
IF(LEFT(C199,3)="AUS",O199*10000*HLOOKUP("PTAX",'Histórico'!$A$1:$FG$983,MATCH(B199,'Histórico'!A:A),FALSE),
IF(LEFT(C199,3)="CAN",O199*10000*HLOOKUP("PTAX",'Histórico'!$A$1:$FG$983,MATCH(B199,'Histórico'!A:A),FALSE),
IF(LEFT(C199,3)="GBR",O199*10000*HLOOKUP("GBP/BRL",'Histórico'!$A$1:$FG$983,MATCH(B199,'Histórico'!A:A),FALSE),
IF(LEFT(C199,3)="MEX",O199*10000*HLOOKUP("PTAX",'Histórico'!$A$1:$FG$983,MATCH(B199,'Histórico'!A:A),FALSE),
IF(LEFT(C199,3)="CHL",O199*10000*HLOOKUP("PTAX",'Histórico'!$A$1:$FG$983,MATCH(B199,'Histórico'!A:A),FALSE)
)))))))))))))))))))))))),""))</f>
        <v>-118636530</v>
      </c>
      <c r="O199" s="49">
        <f t="shared" si="2"/>
        <v>-1500</v>
      </c>
      <c r="P199" s="49">
        <f t="shared" si="5"/>
        <v>0</v>
      </c>
      <c r="Q199" s="51">
        <f>IF($C199&lt;&gt;"",SUMIFS($O$3:$O$401, $C$3:$C$401 ,$C199,$B$3:$B$401,"&lt;="&amp;Controle!$B$6),"")</f>
        <v>0</v>
      </c>
      <c r="R199" s="51">
        <f>IF($D199&lt;&gt;"",SUMIFS($O$3:$O$401, $C$3:$C$401 ,$C199,$B$3:$B$401,"&lt;="&amp;Controle!$B$6,$F$3:$F$401,$F199),"")</f>
        <v>0</v>
      </c>
      <c r="S199" s="51">
        <f>IF($D199&lt;&gt;"",SUMIFS($O$3:$O$401, $C$3:$C$401 ,$C199,$B$3:$B$401,"&lt;="&amp;'Controle D-1'!$B$6,$F$3:$F$401,$F199),"")</f>
        <v>0</v>
      </c>
      <c r="T199" s="40"/>
      <c r="U199" s="40"/>
      <c r="V199" s="40"/>
      <c r="W199" s="40"/>
      <c r="X199" s="40"/>
      <c r="Y199" s="40"/>
      <c r="Z199" s="40"/>
      <c r="AA199" s="40"/>
      <c r="AB199" s="40"/>
      <c r="AC199" s="40"/>
    </row>
    <row r="200" ht="15.75" customHeight="1">
      <c r="A200" s="28"/>
      <c r="B200" s="100">
        <v>45139.0</v>
      </c>
      <c r="C200" s="88" t="s">
        <v>127</v>
      </c>
      <c r="D200" s="88" t="str">
        <f>IF(ISTEXT(C200),VLOOKUP(C200,'Cadastro dos Ativos'!$A$2:$C$1000,3,0),"")</f>
        <v>Futuros</v>
      </c>
      <c r="E200" s="88" t="s">
        <v>198</v>
      </c>
      <c r="F200" s="88" t="s">
        <v>199</v>
      </c>
      <c r="G200" s="101">
        <v>4741.5</v>
      </c>
      <c r="H200" s="46" t="str">
        <f>if($D200="Ações Americanas", HLOOKUP("PTAX",'Histórico'!$A$1:$EL$983,(MATCH(B200,'Histórico'!A:A))-1,""),
if($D200="Ações Europeias", HLOOKUP("EUR/BRL",'Histórico'!$A$1:$EL$983,(MATCH(B200,'Histórico'!A:A))-1,""),""))</f>
        <v/>
      </c>
      <c r="I200" s="110">
        <f t="array" ref="I200">IF(ISTEXT(C200),xlookup(C200,'Cadastro dos Ativos'!$A$2:$A$1000,'Cadastro dos Ativos'!$D$2:$D$1000),"")</f>
        <v>45139</v>
      </c>
      <c r="J200" s="88">
        <v>225.0</v>
      </c>
      <c r="K200" s="47">
        <f t="array" ref="K200">if(and(J200&lt;&gt;"",D200&lt;&gt;"Futuros"),
if(F200=Controle!$C$2, M200/xlookup(workday(B200,-1,Feriados!A:A),Controle!$B$10:$B$1000,Controle!$C$10:$C$1000),
if(F200=Controle!$F$2, M200/xlookup(workday(B200,-1,Feriados!A:A),Controle!$B$10:$B$1000,Controle!$F$10:$F$1000),
if(F200=Controle!$I$2, M200/xlookup(workday(B200,-1,Feriados!A:A),Controle!$B$10:$B$1000,Controle!$I$10:$I$1000),
if(F200=Controle!$L$2, M200/xlookup(workday(B200,-1,Feriados!A:A),Controle!$B$10:$B$1000,Controle!$L$10:$L$1000),
)))),
if(and(J200&lt;&gt;"",D200="Futuros"),
if(F200=Controle!$C$2, N200/xlookup(workday(B200,-1,Feriados!A:A),Controle!$B$10:$B$1000,Controle!$C$10:$C$1000),
if(F200=Controle!$F$2, N200/xlookup(workday(B200,-1,Feriados!A:A),Controle!$B$10:$B$1000,Controle!$F$10:$F$1000),
if(F200=Controle!$I$2, N200/xlookup(workday(B200,-1,Feriados!A:A),Controle!$B$10:$B$1000,Controle!$I$10:$I$1000),
if(F200=Controle!$L$2, N200/xlookup(workday(B200,-1,Feriados!A:A),Controle!$B$10:$B$1000,Controle!$L$10:$L$1000),
)))),""))</f>
        <v>-0.5161492806</v>
      </c>
      <c r="L200" s="47">
        <f t="array" ref="L200">IF($J200&lt;&gt;"", IF($D200 = "Futuros" , $N200/xlookup(WORKDAY(B200,-1,Feriados!A:A),Controle!$B$10:$B$1000,Controle!$T$10:$T$1000) , $M200/xlookup(WORKDAY(B200,-1,Feriados!A:A),Controle!$B$10:$B$1000,Controle!$T$10:$T$1000)),"")</f>
        <v>-0.1236640501</v>
      </c>
      <c r="M200" s="48">
        <f t="shared" si="4"/>
        <v>1066837.5</v>
      </c>
      <c r="N200" s="48">
        <f>IFERROR(IF(D200="Futuros",
IF(LEFT(C200,3)="DI1",G200*O200,
IF(LEFT(C200,3)="ISP",G200*O200*HLOOKUP("PTAX",'Histórico'!$A$1:$EL$983,MATCH(B200,'Histórico'!A:A),FALSE)*50,
IF(LEFT(C200,3)="WDO",10*G200*O200*HLOOKUP("PTAX",'Histórico'!$A$1:$EL$983,MATCH(B200,'Histórico'!A:A),FALSE),
IF(LEFT(C200,3)="DOL",50*G200*O200,
IF(LEFT(C200,3)="EUR",G200*O200*50,
IF(LEFT(C200,3)="WEU",G200*O200*10,
IF(LEFT(C200,3)="IND",G200*O200,
IF(LEFT(C200,3)="WIN",G200*O200*0.2,
IF(LEFT(C200,3)="T10",G200*O200*1000*HLOOKUP("PTAX",'Histórico'!$A$1:$EL$983,MATCH(B200,'Histórico'!A:A),FALSE),
IF(LEFT(C200,3)="CCM",G200*O200*450,
IF(LEFT(C200,3)="SJC",G200*O200*HLOOKUP("PTAX",'Histórico'!$A$1:$EL$983,MATCH(B200,'Histórico'!A:A),FALSE)*450,
IF(LEFT(C200,3)="BGI",G200*O200*330,
IF(LEFT(C200,3)="OZ1",G200*O200*250,
IF(LEFT(C200,3)="CLP",G200*O200*25,
IF(LEFT(C200,3)="EUP", O200*10000*HLOOKUP("EUR/BRL",'Histórico'!$A$1:$EL$983,MATCH(B200,'Histórico'!A:A),FALSE),
IF(LEFT(C200,3)="JSE", G200*O200*0.4,
IF(LEFT(C200,3)="GBP", O200*10000*HLOOKUP("GBP/BRL",'Histórico'!$A$1:$FG$983,MATCH(B200,'Histórico'!A:A),FALSE),
IF(LEFT(C200,3)="JAP",O200*10000*HLOOKUP("PTAX",'Histórico'!$A$1:$FG$983,MATCH(B200,'Histórico'!A:A),FALSE),
IF(LEFT(C200,3)="CNH",O200*10000*HLOOKUP("PTAX",'Histórico'!$A$1:$FG$983,MATCH(B200,'Histórico'!A:A),FALSE),
IF(LEFT(C200,3)="AUS",O200*10000*HLOOKUP("PTAX",'Histórico'!$A$1:$FG$983,MATCH(B200,'Histórico'!A:A),FALSE),
IF(LEFT(C200,3)="CAN",O200*10000*HLOOKUP("PTAX",'Histórico'!$A$1:$FG$983,MATCH(B200,'Histórico'!A:A),FALSE),
IF(LEFT(C200,3)="GBR",O200*10000*HLOOKUP("GBP/BRL",'Histórico'!$A$1:$FG$983,MATCH(B200,'Histórico'!A:A),FALSE),
IF(LEFT(C200,3)="MEX",O200*10000*HLOOKUP("PTAX",'Histórico'!$A$1:$FG$983,MATCH(B200,'Histórico'!A:A),FALSE),
IF(LEFT(C200,3)="CHL",O200*10000*HLOOKUP("PTAX",'Histórico'!$A$1:$FG$983,MATCH(B200,'Histórico'!A:A),FALSE)
)))))))))))))))))))))))),""))</f>
        <v>-53341875</v>
      </c>
      <c r="O200" s="49">
        <f t="shared" si="2"/>
        <v>-225</v>
      </c>
      <c r="P200" s="49">
        <f t="shared" si="5"/>
        <v>0</v>
      </c>
      <c r="Q200" s="51">
        <f>IF($C200&lt;&gt;"",SUMIFS($O$3:$O$401, $C$3:$C$401 ,$C200,$B$3:$B$401,"&lt;="&amp;Controle!$B$6),"")</f>
        <v>0</v>
      </c>
      <c r="R200" s="51">
        <f>IF($D200&lt;&gt;"",SUMIFS($O$3:$O$401, $C$3:$C$401 ,$C200,$B$3:$B$401,"&lt;="&amp;Controle!$B$6,$F$3:$F$401,$F200),"")</f>
        <v>0</v>
      </c>
      <c r="S200" s="51">
        <f>IF($D200&lt;&gt;"",SUMIFS($O$3:$O$401, $C$3:$C$401 ,$C200,$B$3:$B$401,"&lt;="&amp;'Controle D-1'!$B$6,$F$3:$F$401,$F200),"")</f>
        <v>0</v>
      </c>
      <c r="T200" s="40"/>
      <c r="U200" s="40"/>
      <c r="V200" s="40"/>
      <c r="W200" s="40"/>
      <c r="X200" s="40"/>
      <c r="Y200" s="40"/>
      <c r="Z200" s="40"/>
      <c r="AA200" s="40"/>
      <c r="AB200" s="40"/>
      <c r="AC200" s="40"/>
    </row>
    <row r="201" ht="15.75" customHeight="1">
      <c r="A201" s="28"/>
      <c r="B201" s="100">
        <v>45139.0</v>
      </c>
      <c r="C201" s="88" t="s">
        <v>136</v>
      </c>
      <c r="D201" s="88" t="str">
        <f>IF(ISTEXT(C201),VLOOKUP(C201,'Cadastro dos Ativos'!$A$2:$C$1000,3,0),"")</f>
        <v>Futuros</v>
      </c>
      <c r="E201" s="88" t="s">
        <v>208</v>
      </c>
      <c r="F201" s="88" t="s">
        <v>199</v>
      </c>
      <c r="G201" s="101">
        <v>4821.909</v>
      </c>
      <c r="H201" s="101"/>
      <c r="I201" s="110">
        <f t="array" ref="I201">IF(ISTEXT(C201),xlookup(C201,'Cadastro dos Ativos'!$A$2:$A$1000,'Cadastro dos Ativos'!$D$2:$D$1000),"")</f>
        <v>45170</v>
      </c>
      <c r="J201" s="88">
        <v>225.0</v>
      </c>
      <c r="K201" s="47">
        <f t="array" ref="K201">if(and(J201&lt;&gt;"",D201&lt;&gt;"Futuros"),
if(F201=Controle!$C$2, M201/xlookup(workday(B201,-1,Feriados!A:A),Controle!$B$10:$B$1000,Controle!$C$10:$C$1000),
if(F201=Controle!$F$2, M201/xlookup(workday(B201,-1,Feriados!A:A),Controle!$B$10:$B$1000,Controle!$F$10:$F$1000),
if(F201=Controle!$I$2, M201/xlookup(workday(B201,-1,Feriados!A:A),Controle!$B$10:$B$1000,Controle!$I$10:$I$1000),
if(F201=Controle!$L$2, M201/xlookup(workday(B201,-1,Feriados!A:A),Controle!$B$10:$B$1000,Controle!$L$10:$L$1000),
)))),
if(and(J201&lt;&gt;"",D201="Futuros"),
if(F201=Controle!$C$2, N201/xlookup(workday(B201,-1,Feriados!A:A),Controle!$B$10:$B$1000,Controle!$C$10:$C$1000),
if(F201=Controle!$F$2, N201/xlookup(workday(B201,-1,Feriados!A:A),Controle!$B$10:$B$1000,Controle!$F$10:$F$1000),
if(F201=Controle!$I$2, N201/xlookup(workday(B201,-1,Feriados!A:A),Controle!$B$10:$B$1000,Controle!$I$10:$I$1000),
if(F201=Controle!$L$2, N201/xlookup(workday(B201,-1,Feriados!A:A),Controle!$B$10:$B$1000,Controle!$L$10:$L$1000),
)))),""))</f>
        <v>0.5249024278</v>
      </c>
      <c r="L201" s="47">
        <f t="array" ref="L201">IF($J201&lt;&gt;"", IF($D201 = "Futuros" , $N201/xlookup(WORKDAY(B201,-1,Feriados!A:A),Controle!$B$10:$B$1000,Controle!$T$10:$T$1000) , $M201/xlookup(WORKDAY(B201,-1,Feriados!A:A),Controle!$B$10:$B$1000,Controle!$T$10:$T$1000)),"")</f>
        <v>0.125761214</v>
      </c>
      <c r="M201" s="48">
        <f t="shared" si="4"/>
        <v>-1084929.525</v>
      </c>
      <c r="N201" s="48">
        <f>IFERROR(IF(D201="Futuros",
IF(LEFT(C201,3)="DI1",G201*O201,
IF(LEFT(C201,3)="ISP",G201*O201*HLOOKUP("PTAX",'Histórico'!$A$1:$EL$983,MATCH(B201,'Histórico'!A:A),FALSE)*50,
IF(LEFT(C201,3)="WDO",10*G201*O201*HLOOKUP("PTAX",'Histórico'!$A$1:$EL$983,MATCH(B201,'Histórico'!A:A),FALSE),
IF(LEFT(C201,3)="DOL",50*G201*O201,
IF(LEFT(C201,3)="EUR",G201*O201*50,
IF(LEFT(C201,3)="WEU",G201*O201*10,
IF(LEFT(C201,3)="IND",G201*O201,
IF(LEFT(C201,3)="WIN",G201*O201*0.2,
IF(LEFT(C201,3)="T10",G201*O201*1000*HLOOKUP("PTAX",'Histórico'!$A$1:$EL$983,MATCH(B201,'Histórico'!A:A),FALSE),
IF(LEFT(C201,3)="CCM",G201*O201*450,
IF(LEFT(C201,3)="SJC",G201*O201*HLOOKUP("PTAX",'Histórico'!$A$1:$EL$983,MATCH(B201,'Histórico'!A:A),FALSE)*450,
IF(LEFT(C201,3)="BGI",G201*O201*330,
IF(LEFT(C201,3)="OZ1",G201*O201*250,
IF(LEFT(C201,3)="CLP",G201*O201*25,
IF(LEFT(C201,3)="EUP", O201*10000*HLOOKUP("EUR/BRL",'Histórico'!$A$1:$EL$983,MATCH(B201,'Histórico'!A:A),FALSE),
IF(LEFT(C201,3)="JSE", G201*O201*0.4,
IF(LEFT(C201,3)="GBP", O201*10000*HLOOKUP("GBP/BRL",'Histórico'!$A$1:$FG$983,MATCH(B201,'Histórico'!A:A),FALSE),
IF(LEFT(C201,3)="JAP",O201*10000*HLOOKUP("PTAX",'Histórico'!$A$1:$FG$983,MATCH(B201,'Histórico'!A:A),FALSE),
IF(LEFT(C201,3)="CNH",O201*10000*HLOOKUP("PTAX",'Histórico'!$A$1:$FG$983,MATCH(B201,'Histórico'!A:A),FALSE),
IF(LEFT(C201,3)="AUS",O201*10000*HLOOKUP("PTAX",'Histórico'!$A$1:$FG$983,MATCH(B201,'Histórico'!A:A),FALSE),
IF(LEFT(C201,3)="CAN",O201*10000*HLOOKUP("PTAX",'Histórico'!$A$1:$FG$983,MATCH(B201,'Histórico'!A:A),FALSE),
IF(LEFT(C201,3)="GBR",O201*10000*HLOOKUP("GBP/BRL",'Histórico'!$A$1:$FG$983,MATCH(B201,'Histórico'!A:A),FALSE),
IF(LEFT(C201,3)="MEX",O201*10000*HLOOKUP("PTAX",'Histórico'!$A$1:$FG$983,MATCH(B201,'Histórico'!A:A),FALSE),
IF(LEFT(C201,3)="CHL",O201*10000*HLOOKUP("PTAX",'Histórico'!$A$1:$FG$983,MATCH(B201,'Histórico'!A:A),FALSE)
)))))))))))))))))))))))),""))</f>
        <v>54246476.25</v>
      </c>
      <c r="O201" s="49">
        <f t="shared" si="2"/>
        <v>225</v>
      </c>
      <c r="P201" s="49">
        <f t="shared" si="5"/>
        <v>0</v>
      </c>
      <c r="Q201" s="51">
        <f>IF($C201&lt;&gt;"",SUMIFS($O$3:$O$401, $C$3:$C$401 ,$C201,$B$3:$B$401,"&lt;="&amp;Controle!$B$6),"")</f>
        <v>0</v>
      </c>
      <c r="R201" s="51">
        <f>IF($D201&lt;&gt;"",SUMIFS($O$3:$O$401, $C$3:$C$401 ,$C201,$B$3:$B$401,"&lt;="&amp;Controle!$B$6,$F$3:$F$401,$F201),"")</f>
        <v>0</v>
      </c>
      <c r="S201" s="51">
        <f>IF($D201&lt;&gt;"",SUMIFS($O$3:$O$401, $C$3:$C$401 ,$C201,$B$3:$B$401,"&lt;="&amp;'Controle D-1'!$B$6,$F$3:$F$401,$F201),"")</f>
        <v>225</v>
      </c>
      <c r="T201" s="40"/>
      <c r="U201" s="40"/>
      <c r="V201" s="40"/>
      <c r="W201" s="40"/>
      <c r="X201" s="40"/>
      <c r="Y201" s="40"/>
      <c r="Z201" s="40"/>
      <c r="AA201" s="40"/>
      <c r="AB201" s="40"/>
      <c r="AC201" s="40"/>
    </row>
    <row r="202" ht="15.75" customHeight="1">
      <c r="A202" s="28"/>
      <c r="B202" s="100">
        <v>45147.0</v>
      </c>
      <c r="C202" s="88" t="s">
        <v>133</v>
      </c>
      <c r="D202" s="88" t="str">
        <f>IF(ISTEXT(C202),VLOOKUP(C202,'Cadastro dos Ativos'!$A$2:$C$1000,3,0),"")</f>
        <v>Futuros</v>
      </c>
      <c r="E202" s="88" t="s">
        <v>198</v>
      </c>
      <c r="F202" s="88" t="s">
        <v>200</v>
      </c>
      <c r="G202" s="101">
        <v>96331.2</v>
      </c>
      <c r="H202" s="46" t="str">
        <f>if($D202="Ações Americanas", HLOOKUP("PTAX",'Histórico'!$A$1:$EL$983,(MATCH(B202,'Histórico'!A:A))-1,""),
if($D202="Ações Europeias", HLOOKUP("EUR/BRL",'Histórico'!$A$1:$EL$983,(MATCH(B202,'Histórico'!A:A))-1,""),""))</f>
        <v/>
      </c>
      <c r="I202" s="110">
        <f t="array" ref="I202">IF(ISTEXT(C202),xlookup(C202,'Cadastro dos Ativos'!$A$2:$A$1000,'Cadastro dos Ativos'!$D$2:$D$1000),"")</f>
        <v>45261</v>
      </c>
      <c r="J202" s="88">
        <v>1200.0</v>
      </c>
      <c r="K202" s="47">
        <f t="array" ref="K202">if(and(J202&lt;&gt;"",D202&lt;&gt;"Futuros"),
if(F202=Controle!$C$2, M202/xlookup(workday(B202,-1,Feriados!A:A),Controle!$B$10:$B$1000,Controle!$C$10:$C$1000),
if(F202=Controle!$F$2, M202/xlookup(workday(B202,-1,Feriados!A:A),Controle!$B$10:$B$1000,Controle!$F$10:$F$1000),
if(F202=Controle!$I$2, M202/xlookup(workday(B202,-1,Feriados!A:A),Controle!$B$10:$B$1000,Controle!$I$10:$I$1000),
if(F202=Controle!$L$2, M202/xlookup(workday(B202,-1,Feriados!A:A),Controle!$B$10:$B$1000,Controle!$L$10:$L$1000),
)))),
if(and(J202&lt;&gt;"",D202="Futuros"),
if(F202=Controle!$C$2, N202/xlookup(workday(B202,-1,Feriados!A:A),Controle!$B$10:$B$1000,Controle!$C$10:$C$1000),
if(F202=Controle!$F$2, N202/xlookup(workday(B202,-1,Feriados!A:A),Controle!$B$10:$B$1000,Controle!$F$10:$F$1000),
if(F202=Controle!$I$2, N202/xlookup(workday(B202,-1,Feriados!A:A),Controle!$B$10:$B$1000,Controle!$I$10:$I$1000),
if(F202=Controle!$L$2, N202/xlookup(workday(B202,-1,Feriados!A:A),Controle!$B$10:$B$1000,Controle!$L$10:$L$1000),
)))),""))</f>
        <v>-1.041259796</v>
      </c>
      <c r="L202" s="47">
        <f t="array" ref="L202">IF($J202&lt;&gt;"", IF($D202 = "Futuros" , $N202/xlookup(WORKDAY(B202,-1,Feriados!A:A),Controle!$B$10:$B$1000,Controle!$T$10:$T$1000) , $M202/xlookup(WORKDAY(B202,-1,Feriados!A:A),Controle!$B$10:$B$1000,Controle!$T$10:$T$1000)),"")</f>
        <v>-0.2670995521</v>
      </c>
      <c r="M202" s="48">
        <f t="shared" si="4"/>
        <v>115597440</v>
      </c>
      <c r="N202" s="48">
        <f>IFERROR(IF(D202="Futuros",
IF(LEFT(C202,3)="DI1",G202*O202,
IF(LEFT(C202,3)="ISP",G202*O202*HLOOKUP("PTAX",'Histórico'!$A$1:$EL$983,MATCH(B202,'Histórico'!A:A),FALSE)*50,
IF(LEFT(C202,3)="WDO",10*G202*O202*HLOOKUP("PTAX",'Histórico'!$A$1:$EL$983,MATCH(B202,'Histórico'!A:A),FALSE),
IF(LEFT(C202,3)="DOL",50*G202*O202,
IF(LEFT(C202,3)="EUR",G202*O202*50,
IF(LEFT(C202,3)="WEU",G202*O202*10,
IF(LEFT(C202,3)="IND",G202*O202,
IF(LEFT(C202,3)="WIN",G202*O202*0.2,
IF(LEFT(C202,3)="T10",G202*O202*1000*HLOOKUP("PTAX",'Histórico'!$A$1:$EL$983,MATCH(B202,'Histórico'!A:A),FALSE),
IF(LEFT(C202,3)="CCM",G202*O202*450,
IF(LEFT(C202,3)="SJC",G202*O202*HLOOKUP("PTAX",'Histórico'!$A$1:$EL$983,MATCH(B202,'Histórico'!A:A),FALSE)*450,
IF(LEFT(C202,3)="BGI",G202*O202*330,
IF(LEFT(C202,3)="OZ1",G202*O202*250,
IF(LEFT(C202,3)="CLP",G202*O202*25,
IF(LEFT(C202,3)="EUP", O202*10000*HLOOKUP("EUR/BRL",'Histórico'!$A$1:$EL$983,MATCH(B202,'Histórico'!A:A),FALSE),
IF(LEFT(C202,3)="JSE", G202*O202*0.4,
IF(LEFT(C202,3)="GBP", O202*10000*HLOOKUP("GBP/BRL",'Histórico'!$A$1:$FG$983,MATCH(B202,'Histórico'!A:A),FALSE),
IF(LEFT(C202,3)="JAP",O202*10000*HLOOKUP("PTAX",'Histórico'!$A$1:$FG$983,MATCH(B202,'Histórico'!A:A),FALSE),
IF(LEFT(C202,3)="CNH",O202*10000*HLOOKUP("PTAX",'Histórico'!$A$1:$FG$983,MATCH(B202,'Histórico'!A:A),FALSE),
IF(LEFT(C202,3)="AUS",O202*10000*HLOOKUP("PTAX",'Histórico'!$A$1:$FG$983,MATCH(B202,'Histórico'!A:A),FALSE),
IF(LEFT(C202,3)="CAN",O202*10000*HLOOKUP("PTAX",'Histórico'!$A$1:$FG$983,MATCH(B202,'Histórico'!A:A),FALSE),
IF(LEFT(C202,3)="GBR",O202*10000*HLOOKUP("GBP/BRL",'Histórico'!$A$1:$FG$983,MATCH(B202,'Histórico'!A:A),FALSE),
IF(LEFT(C202,3)="MEX",O202*10000*HLOOKUP("PTAX",'Histórico'!$A$1:$FG$983,MATCH(B202,'Histórico'!A:A),FALSE),
IF(LEFT(C202,3)="CHL",O202*10000*HLOOKUP("PTAX",'Histórico'!$A$1:$FG$983,MATCH(B202,'Histórico'!A:A),FALSE)
)))))))))))))))))))))))),""))</f>
        <v>-115597440</v>
      </c>
      <c r="O202" s="49">
        <f t="shared" si="2"/>
        <v>-1200</v>
      </c>
      <c r="P202" s="49">
        <f t="shared" si="5"/>
        <v>0</v>
      </c>
      <c r="Q202" s="51">
        <f>IF($C202&lt;&gt;"",SUMIFS($O$3:$O$401, $C$3:$C$401 ,$C202,$B$3:$B$401,"&lt;="&amp;Controle!$B$6),"")</f>
        <v>0</v>
      </c>
      <c r="R202" s="51">
        <f>IF($D202&lt;&gt;"",SUMIFS($O$3:$O$401, $C$3:$C$401 ,$C202,$B$3:$B$401,"&lt;="&amp;Controle!$B$6,$F$3:$F$401,$F202),"")</f>
        <v>0</v>
      </c>
      <c r="S202" s="51">
        <f>IF($D202&lt;&gt;"",SUMIFS($O$3:$O$401, $C$3:$C$401 ,$C202,$B$3:$B$401,"&lt;="&amp;'Controle D-1'!$B$6,$F$3:$F$401,$F202),"")</f>
        <v>0</v>
      </c>
      <c r="T202" s="40"/>
      <c r="U202" s="40"/>
      <c r="V202" s="40"/>
      <c r="W202" s="40"/>
      <c r="X202" s="40"/>
      <c r="Y202" s="40"/>
      <c r="Z202" s="40"/>
      <c r="AA202" s="40"/>
      <c r="AB202" s="40"/>
      <c r="AC202" s="40"/>
    </row>
    <row r="203" ht="15.75" customHeight="1">
      <c r="A203" s="28"/>
      <c r="B203" s="100">
        <v>45147.0</v>
      </c>
      <c r="C203" s="88" t="s">
        <v>119</v>
      </c>
      <c r="D203" s="88" t="str">
        <f>IF(ISTEXT(C203),VLOOKUP(C203,'Cadastro dos Ativos'!$A$2:$C$1000,3,0),"")</f>
        <v>Futuros</v>
      </c>
      <c r="E203" s="88" t="s">
        <v>208</v>
      </c>
      <c r="F203" s="88" t="s">
        <v>200</v>
      </c>
      <c r="G203" s="101">
        <v>79529.47</v>
      </c>
      <c r="H203" s="101" t="str">
        <f>if($D203="Ações Americanas", HLOOKUP("PTAX",'Histórico'!$A$1:$EL$983,(MATCH(B203,'Histórico'!A:A))-1,""),
if($D203="Ações Europeias", HLOOKUP("EUR/BRL",'Histórico'!$A$1:$EL$983,(MATCH(B203,'Histórico'!A:A))-1,""),""))</f>
        <v/>
      </c>
      <c r="I203" s="110">
        <f t="array" ref="I203">IF(ISTEXT(C203),xlookup(C203,'Cadastro dos Ativos'!$A$2:$A$1000,'Cadastro dos Ativos'!$D$2:$D$1000),"")</f>
        <v>46025</v>
      </c>
      <c r="J203" s="88">
        <v>1500.0</v>
      </c>
      <c r="K203" s="47">
        <f t="array" ref="K203">if(and(J203&lt;&gt;"",D203&lt;&gt;"Futuros"),
if(F203=Controle!$C$2, M203/xlookup(workday(B203,-1,Feriados!A:A),Controle!$B$10:$B$1000,Controle!$C$10:$C$1000),
if(F203=Controle!$F$2, M203/xlookup(workday(B203,-1,Feriados!A:A),Controle!$B$10:$B$1000,Controle!$F$10:$F$1000),
if(F203=Controle!$I$2, M203/xlookup(workday(B203,-1,Feriados!A:A),Controle!$B$10:$B$1000,Controle!$I$10:$I$1000),
if(F203=Controle!$L$2, M203/xlookup(workday(B203,-1,Feriados!A:A),Controle!$B$10:$B$1000,Controle!$L$10:$L$1000),
)))),
if(and(J203&lt;&gt;"",D203="Futuros"),
if(F203=Controle!$C$2, N203/xlookup(workday(B203,-1,Feriados!A:A),Controle!$B$10:$B$1000,Controle!$C$10:$C$1000),
if(F203=Controle!$F$2, N203/xlookup(workday(B203,-1,Feriados!A:A),Controle!$B$10:$B$1000,Controle!$F$10:$F$1000),
if(F203=Controle!$I$2, N203/xlookup(workday(B203,-1,Feriados!A:A),Controle!$B$10:$B$1000,Controle!$I$10:$I$1000),
if(F203=Controle!$L$2, N203/xlookup(workday(B203,-1,Feriados!A:A),Controle!$B$10:$B$1000,Controle!$L$10:$L$1000),
)))),""))</f>
        <v>1.074558914</v>
      </c>
      <c r="L203" s="47">
        <f t="array" ref="L203">IF($J203&lt;&gt;"", IF($D203 = "Futuros" , $N203/xlookup(WORKDAY(B203,-1,Feriados!A:A),Controle!$B$10:$B$1000,Controle!$T$10:$T$1000) , $M203/xlookup(WORKDAY(B203,-1,Feriados!A:A),Controle!$B$10:$B$1000,Controle!$T$10:$T$1000)),"")</f>
        <v>0.2756413007</v>
      </c>
      <c r="M203" s="48">
        <f t="shared" si="4"/>
        <v>-119294205</v>
      </c>
      <c r="N203" s="48">
        <f>IFERROR(IF(D203="Futuros",
IF(LEFT(C203,3)="DI1",G203*O203,
IF(LEFT(C203,3)="ISP",G203*O203*HLOOKUP("PTAX",'Histórico'!$A$1:$EL$983,MATCH(B203,'Histórico'!A:A),FALSE)*50,
IF(LEFT(C203,3)="WDO",10*G203*O203*HLOOKUP("PTAX",'Histórico'!$A$1:$EL$983,MATCH(B203,'Histórico'!A:A),FALSE),
IF(LEFT(C203,3)="DOL",50*G203*O203,
IF(LEFT(C203,3)="EUR",G203*O203*50,
IF(LEFT(C203,3)="WEU",G203*O203*10,
IF(LEFT(C203,3)="IND",G203*O203,
IF(LEFT(C203,3)="WIN",G203*O203*0.2,
IF(LEFT(C203,3)="T10",G203*O203*1000*HLOOKUP("PTAX",'Histórico'!$A$1:$EL$983,MATCH(B203,'Histórico'!A:A),FALSE),
IF(LEFT(C203,3)="CCM",G203*O203*450,
IF(LEFT(C203,3)="SJC",G203*O203*HLOOKUP("PTAX",'Histórico'!$A$1:$EL$983,MATCH(B203,'Histórico'!A:A),FALSE)*450,
IF(LEFT(C203,3)="BGI",G203*O203*330,
IF(LEFT(C203,3)="OZ1",G203*O203*250,
IF(LEFT(C203,3)="CLP",G203*O203*25,
IF(LEFT(C203,3)="EUP", O203*10000*HLOOKUP("EUR/BRL",'Histórico'!$A$1:$EL$983,MATCH(B203,'Histórico'!A:A),FALSE),
IF(LEFT(C203,3)="JSE", G203*O203*0.4,
IF(LEFT(C203,3)="GBP", O203*10000*HLOOKUP("GBP/BRL",'Histórico'!$A$1:$FG$983,MATCH(B203,'Histórico'!A:A),FALSE),
IF(LEFT(C203,3)="JAP",O203*10000*HLOOKUP("PTAX",'Histórico'!$A$1:$FG$983,MATCH(B203,'Histórico'!A:A),FALSE),
IF(LEFT(C203,3)="CNH",O203*10000*HLOOKUP("PTAX",'Histórico'!$A$1:$FG$983,MATCH(B203,'Histórico'!A:A),FALSE),
IF(LEFT(C203,3)="AUS",O203*10000*HLOOKUP("PTAX",'Histórico'!$A$1:$FG$983,MATCH(B203,'Histórico'!A:A),FALSE),
IF(LEFT(C203,3)="CAN",O203*10000*HLOOKUP("PTAX",'Histórico'!$A$1:$FG$983,MATCH(B203,'Histórico'!A:A),FALSE),
IF(LEFT(C203,3)="GBR",O203*10000*HLOOKUP("GBP/BRL",'Histórico'!$A$1:$FG$983,MATCH(B203,'Histórico'!A:A),FALSE),
IF(LEFT(C203,3)="MEX",O203*10000*HLOOKUP("PTAX",'Histórico'!$A$1:$FG$983,MATCH(B203,'Histórico'!A:A),FALSE),
IF(LEFT(C203,3)="CHL",O203*10000*HLOOKUP("PTAX",'Histórico'!$A$1:$FG$983,MATCH(B203,'Histórico'!A:A),FALSE)
)))))))))))))))))))))))),""))</f>
        <v>119294205</v>
      </c>
      <c r="O203" s="49">
        <f t="shared" si="2"/>
        <v>1500</v>
      </c>
      <c r="P203" s="49">
        <f t="shared" si="5"/>
        <v>0</v>
      </c>
      <c r="Q203" s="51">
        <f>IF($C203&lt;&gt;"",SUMIFS($O$3:$O$401, $C$3:$C$401 ,$C203,$B$3:$B$401,"&lt;="&amp;Controle!$B$6),"")</f>
        <v>0</v>
      </c>
      <c r="R203" s="51">
        <f>IF($D203&lt;&gt;"",SUMIFS($O$3:$O$401, $C$3:$C$401 ,$C203,$B$3:$B$401,"&lt;="&amp;Controle!$B$6,$F$3:$F$401,$F203),"")</f>
        <v>0</v>
      </c>
      <c r="S203" s="51">
        <f>IF($D203&lt;&gt;"",SUMIFS($O$3:$O$401, $C$3:$C$401 ,$C203,$B$3:$B$401,"&lt;="&amp;'Controle D-1'!$B$6,$F$3:$F$401,$F203),"")</f>
        <v>0</v>
      </c>
      <c r="T203" s="40"/>
      <c r="U203" s="40"/>
      <c r="V203" s="40"/>
      <c r="W203" s="40"/>
      <c r="X203" s="40"/>
      <c r="Y203" s="40"/>
      <c r="Z203" s="40"/>
      <c r="AA203" s="40"/>
      <c r="AB203" s="40"/>
      <c r="AC203" s="40"/>
    </row>
    <row r="204" ht="15.75" customHeight="1">
      <c r="A204" s="28"/>
      <c r="B204" s="100">
        <v>45147.0</v>
      </c>
      <c r="C204" s="88" t="s">
        <v>137</v>
      </c>
      <c r="D204" s="88" t="str">
        <f>IF(ISTEXT(C204),VLOOKUP(C204,'Cadastro dos Ativos'!$A$2:$C$1000,3,0),"")</f>
        <v>Ações Listadas na B3</v>
      </c>
      <c r="E204" s="88" t="s">
        <v>208</v>
      </c>
      <c r="F204" s="88" t="s">
        <v>200</v>
      </c>
      <c r="G204" s="101">
        <v>79.3</v>
      </c>
      <c r="H204" s="46" t="str">
        <f>if($D204="Ações Americanas", HLOOKUP("PTAX",'Histórico'!$A$1:$EL$983,(MATCH(B204,'Histórico'!A:A))-1,""),
if($D204="Ações Europeias", HLOOKUP("EUR/BRL",'Histórico'!$A$1:$EL$983,(MATCH(B204,'Histórico'!A:A))-1,""),""))</f>
        <v/>
      </c>
      <c r="I204" s="88" t="str">
        <f t="array" ref="I204">IF(ISTEXT(C204),xlookup(C204,'Cadastro dos Ativos'!$A$2:$A$1000,'Cadastro dos Ativos'!$D$2:$D$1000),"")</f>
        <v/>
      </c>
      <c r="J204" s="88">
        <v>100000.0</v>
      </c>
      <c r="K204" s="47">
        <f t="array" ref="K204">if(and(J204&lt;&gt;"",D204&lt;&gt;"Futuros"),
if(F204=Controle!$C$2, M204/xlookup(workday(B204,-1,Feriados!A:A),Controle!$B$10:$B$1000,Controle!$C$10:$C$1000),
if(F204=Controle!$F$2, M204/xlookup(workday(B204,-1,Feriados!A:A),Controle!$B$10:$B$1000,Controle!$F$10:$F$1000),
if(F204=Controle!$I$2, M204/xlookup(workday(B204,-1,Feriados!A:A),Controle!$B$10:$B$1000,Controle!$I$10:$I$1000),
if(F204=Controle!$L$2, M204/xlookup(workday(B204,-1,Feriados!A:A),Controle!$B$10:$B$1000,Controle!$L$10:$L$1000),
)))),
if(and(J204&lt;&gt;"",D204="Futuros"),
if(F204=Controle!$C$2, N204/xlookup(workday(B204,-1,Feriados!A:A),Controle!$B$10:$B$1000,Controle!$C$10:$C$1000),
if(F204=Controle!$F$2, N204/xlookup(workday(B204,-1,Feriados!A:A),Controle!$B$10:$B$1000,Controle!$F$10:$F$1000),
if(F204=Controle!$I$2, N204/xlookup(workday(B204,-1,Feriados!A:A),Controle!$B$10:$B$1000,Controle!$I$10:$I$1000),
if(F204=Controle!$L$2, N204/xlookup(workday(B204,-1,Feriados!A:A),Controle!$B$10:$B$1000,Controle!$L$10:$L$1000),
)))),""))</f>
        <v>-0.07143056266</v>
      </c>
      <c r="L204" s="47">
        <f t="array" ref="L204">IF($J204&lt;&gt;"", IF($D204 = "Futuros" , $N204/xlookup(WORKDAY(B204,-1,Feriados!A:A),Controle!$B$10:$B$1000,Controle!$T$10:$T$1000) , $M204/xlookup(WORKDAY(B204,-1,Feriados!A:A),Controle!$B$10:$B$1000,Controle!$T$10:$T$1000)),"")</f>
        <v>-0.01832306536</v>
      </c>
      <c r="M204" s="48">
        <f t="shared" si="4"/>
        <v>-7930000</v>
      </c>
      <c r="N204" s="48" t="str">
        <f>IFERROR(IF(D204="Futuros",
IF(LEFT(C204,3)="DI1",G204*O204,
IF(LEFT(C204,3)="ISP",G204*O204*HLOOKUP("PTAX",'Histórico'!$A$1:$EL$983,MATCH(B204,'Histórico'!A:A),FALSE)*50,
IF(LEFT(C204,3)="WDO",10*G204*O204*HLOOKUP("PTAX",'Histórico'!$A$1:$EL$983,MATCH(B204,'Histórico'!A:A),FALSE),
IF(LEFT(C204,3)="DOL",50*G204*O204,
IF(LEFT(C204,3)="EUR",G204*O204*50,
IF(LEFT(C204,3)="WEU",G204*O204*10,
IF(LEFT(C204,3)="IND",G204*O204,
IF(LEFT(C204,3)="WIN",G204*O204*0.2,
IF(LEFT(C204,3)="T10",G204*O204*1000*HLOOKUP("PTAX",'Histórico'!$A$1:$EL$983,MATCH(B204,'Histórico'!A:A),FALSE),
IF(LEFT(C204,3)="CCM",G204*O204*450,
IF(LEFT(C204,3)="SJC",G204*O204*HLOOKUP("PTAX",'Histórico'!$A$1:$EL$983,MATCH(B204,'Histórico'!A:A),FALSE)*450,
IF(LEFT(C204,3)="BGI",G204*O204*330,
IF(LEFT(C204,3)="OZ1",G204*O204*250,
IF(LEFT(C204,3)="CLP",G204*O204*25,
IF(LEFT(C204,3)="EUP", O204*10000*HLOOKUP("EUR/BRL",'Histórico'!$A$1:$EL$983,MATCH(B204,'Histórico'!A:A),FALSE),
IF(LEFT(C204,3)="JSE", G204*O204*0.4,
IF(LEFT(C204,3)="GBP", O204*10000*HLOOKUP("GBP/BRL",'Histórico'!$A$1:$FG$983,MATCH(B204,'Histórico'!A:A),FALSE),
IF(LEFT(C204,3)="JAP",O204*10000*HLOOKUP("PTAX",'Histórico'!$A$1:$FG$983,MATCH(B204,'Histórico'!A:A),FALSE),
IF(LEFT(C204,3)="CNH",O204*10000*HLOOKUP("PTAX",'Histórico'!$A$1:$FG$983,MATCH(B204,'Histórico'!A:A),FALSE),
IF(LEFT(C204,3)="AUS",O204*10000*HLOOKUP("PTAX",'Histórico'!$A$1:$FG$983,MATCH(B204,'Histórico'!A:A),FALSE),
IF(LEFT(C204,3)="CAN",O204*10000*HLOOKUP("PTAX",'Histórico'!$A$1:$FG$983,MATCH(B204,'Histórico'!A:A),FALSE),
IF(LEFT(C204,3)="GBR",O204*10000*HLOOKUP("GBP/BRL",'Histórico'!$A$1:$FG$983,MATCH(B204,'Histórico'!A:A),FALSE),
IF(LEFT(C204,3)="MEX",O204*10000*HLOOKUP("PTAX",'Histórico'!$A$1:$FG$983,MATCH(B204,'Histórico'!A:A),FALSE),
IF(LEFT(C204,3)="CHL",O204*10000*HLOOKUP("PTAX",'Histórico'!$A$1:$FG$983,MATCH(B204,'Histórico'!A:A),FALSE)
)))))))))))))))))))))))),""))</f>
        <v/>
      </c>
      <c r="O204" s="49">
        <f t="shared" si="2"/>
        <v>100000</v>
      </c>
      <c r="P204" s="49">
        <f t="shared" si="5"/>
        <v>100000</v>
      </c>
      <c r="Q204" s="51">
        <f>IF($C204&lt;&gt;"",SUMIFS($O$3:$O$401, $C$3:$C$401 ,$C204,$B$3:$B$401,"&lt;="&amp;Controle!$B$6),"")</f>
        <v>100000</v>
      </c>
      <c r="R204" s="51">
        <f>IF($D204&lt;&gt;"",SUMIFS($O$3:$O$401, $C$3:$C$401 ,$C204,$B$3:$B$401,"&lt;="&amp;Controle!$B$6,$F$3:$F$401,$F204),"")</f>
        <v>100000</v>
      </c>
      <c r="S204" s="51">
        <f>IF($D204&lt;&gt;"",SUMIFS($O$3:$O$401, $C$3:$C$401 ,$C204,$B$3:$B$401,"&lt;="&amp;'Controle D-1'!$B$6,$F$3:$F$401,$F204),"")</f>
        <v>100000</v>
      </c>
      <c r="T204" s="40"/>
      <c r="U204" s="40"/>
      <c r="V204" s="40"/>
      <c r="W204" s="40"/>
      <c r="X204" s="40"/>
      <c r="Y204" s="40"/>
      <c r="Z204" s="40"/>
      <c r="AA204" s="40"/>
      <c r="AB204" s="40"/>
      <c r="AC204" s="40"/>
    </row>
    <row r="205" ht="15.75" customHeight="1">
      <c r="A205" s="28"/>
      <c r="B205" s="100">
        <v>45152.0</v>
      </c>
      <c r="C205" s="88" t="s">
        <v>139</v>
      </c>
      <c r="D205" s="88" t="str">
        <f>IF(ISTEXT(C205),VLOOKUP(C205,'Cadastro dos Ativos'!$A$2:$C$1000,3,0),"")</f>
        <v>Ações Listadas na B3</v>
      </c>
      <c r="E205" s="88" t="s">
        <v>198</v>
      </c>
      <c r="F205" s="88" t="s">
        <v>201</v>
      </c>
      <c r="G205" s="101">
        <v>33.47</v>
      </c>
      <c r="H205" s="101" t="str">
        <f>if($D205="Ações Americanas", HLOOKUP("PTAX",'Histórico'!$A$1:$EL$983,(MATCH(B205,'Histórico'!A:A))-1,""),
if($D205="Ações Europeias", HLOOKUP("EUR/BRL",'Histórico'!$A$1:$EL$983,(MATCH(B205,'Histórico'!A:A))-1,""),""))</f>
        <v/>
      </c>
      <c r="I205" s="88" t="str">
        <f t="array" ref="I205">IF(ISTEXT(C205),xlookup(C205,'Cadastro dos Ativos'!$A$2:$A$1000,'Cadastro dos Ativos'!$D$2:$D$1000),"")</f>
        <v/>
      </c>
      <c r="J205" s="88">
        <v>170000.0</v>
      </c>
      <c r="K205" s="47">
        <f t="array" ref="K205">if(and(J205&lt;&gt;"",D205&lt;&gt;"Futuros"),
if(F205=Controle!$C$2, M205/xlookup(workday(B205,-1,Feriados!A:A),Controle!$B$10:$B$1000,Controle!$C$10:$C$1000),
if(F205=Controle!$F$2, M205/xlookup(workday(B205,-1,Feriados!A:A),Controle!$B$10:$B$1000,Controle!$F$10:$F$1000),
if(F205=Controle!$I$2, M205/xlookup(workday(B205,-1,Feriados!A:A),Controle!$B$10:$B$1000,Controle!$I$10:$I$1000),
if(F205=Controle!$L$2, M205/xlookup(workday(B205,-1,Feriados!A:A),Controle!$B$10:$B$1000,Controle!$L$10:$L$1000),
)))),
if(and(J205&lt;&gt;"",D205="Futuros"),
if(F205=Controle!$C$2, N205/xlookup(workday(B205,-1,Feriados!A:A),Controle!$B$10:$B$1000,Controle!$C$10:$C$1000),
if(F205=Controle!$F$2, N205/xlookup(workday(B205,-1,Feriados!A:A),Controle!$B$10:$B$1000,Controle!$F$10:$F$1000),
if(F205=Controle!$I$2, N205/xlookup(workday(B205,-1,Feriados!A:A),Controle!$B$10:$B$1000,Controle!$I$10:$I$1000),
if(F205=Controle!$L$2, N205/xlookup(workday(B205,-1,Feriados!A:A),Controle!$B$10:$B$1000,Controle!$L$10:$L$1000),
)))),""))</f>
        <v>0.05239775372</v>
      </c>
      <c r="L205" s="47">
        <f t="array" ref="L205">IF($J205&lt;&gt;"", IF($D205 = "Futuros" , $N205/xlookup(WORKDAY(B205,-1,Feriados!A:A),Controle!$B$10:$B$1000,Controle!$T$10:$T$1000) , $M205/xlookup(WORKDAY(B205,-1,Feriados!A:A),Controle!$B$10:$B$1000,Controle!$T$10:$T$1000)),"")</f>
        <v>0.0131784723</v>
      </c>
      <c r="M205" s="48">
        <f t="shared" si="4"/>
        <v>5689900</v>
      </c>
      <c r="N205" s="48" t="str">
        <f>IFERROR(IF(D205="Futuros",
IF(LEFT(C205,3)="DI1",G205*O205,
IF(LEFT(C205,3)="ISP",G205*O205*HLOOKUP("PTAX",'Histórico'!$A$1:$EL$983,MATCH(B205,'Histórico'!A:A),FALSE)*50,
IF(LEFT(C205,3)="WDO",10*G205*O205*HLOOKUP("PTAX",'Histórico'!$A$1:$EL$983,MATCH(B205,'Histórico'!A:A),FALSE),
IF(LEFT(C205,3)="DOL",50*G205*O205,
IF(LEFT(C205,3)="EUR",G205*O205*50,
IF(LEFT(C205,3)="WEU",G205*O205*10,
IF(LEFT(C205,3)="IND",G205*O205,
IF(LEFT(C205,3)="WIN",G205*O205*0.2,
IF(LEFT(C205,3)="T10",G205*O205*1000*HLOOKUP("PTAX",'Histórico'!$A$1:$EL$983,MATCH(B205,'Histórico'!A:A),FALSE),
IF(LEFT(C205,3)="CCM",G205*O205*450,
IF(LEFT(C205,3)="SJC",G205*O205*HLOOKUP("PTAX",'Histórico'!$A$1:$EL$983,MATCH(B205,'Histórico'!A:A),FALSE)*450,
IF(LEFT(C205,3)="BGI",G205*O205*330,
IF(LEFT(C205,3)="OZ1",G205*O205*250,
IF(LEFT(C205,3)="CLP",G205*O205*25,
IF(LEFT(C205,3)="EUP", O205*10000*HLOOKUP("EUR/BRL",'Histórico'!$A$1:$EL$983,MATCH(B205,'Histórico'!A:A),FALSE),
IF(LEFT(C205,3)="JSE", G205*O205*0.4,
IF(LEFT(C205,3)="GBP", O205*10000*HLOOKUP("GBP/BRL",'Histórico'!$A$1:$FG$983,MATCH(B205,'Histórico'!A:A),FALSE),
IF(LEFT(C205,3)="JAP",O205*10000*HLOOKUP("PTAX",'Histórico'!$A$1:$FG$983,MATCH(B205,'Histórico'!A:A),FALSE),
IF(LEFT(C205,3)="CNH",O205*10000*HLOOKUP("PTAX",'Histórico'!$A$1:$FG$983,MATCH(B205,'Histórico'!A:A),FALSE),
IF(LEFT(C205,3)="AUS",O205*10000*HLOOKUP("PTAX",'Histórico'!$A$1:$FG$983,MATCH(B205,'Histórico'!A:A),FALSE),
IF(LEFT(C205,3)="CAN",O205*10000*HLOOKUP("PTAX",'Histórico'!$A$1:$FG$983,MATCH(B205,'Histórico'!A:A),FALSE),
IF(LEFT(C205,3)="GBR",O205*10000*HLOOKUP("GBP/BRL",'Histórico'!$A$1:$FG$983,MATCH(B205,'Histórico'!A:A),FALSE),
IF(LEFT(C205,3)="MEX",O205*10000*HLOOKUP("PTAX",'Histórico'!$A$1:$FG$983,MATCH(B205,'Histórico'!A:A),FALSE),
IF(LEFT(C205,3)="CHL",O205*10000*HLOOKUP("PTAX",'Histórico'!$A$1:$FG$983,MATCH(B205,'Histórico'!A:A),FALSE)
)))))))))))))))))))))))),""))</f>
        <v/>
      </c>
      <c r="O205" s="49">
        <f t="shared" si="2"/>
        <v>-170000</v>
      </c>
      <c r="P205" s="49">
        <f t="shared" si="5"/>
        <v>0</v>
      </c>
      <c r="Q205" s="51">
        <f>IF($C205&lt;&gt;"",SUMIFS($O$3:$O$401, $C$3:$C$401 ,$C205,$B$3:$B$401,"&lt;="&amp;Controle!$B$6),"")</f>
        <v>0</v>
      </c>
      <c r="R205" s="51">
        <f>IF($D205&lt;&gt;"",SUMIFS($O$3:$O$401, $C$3:$C$401 ,$C205,$B$3:$B$401,"&lt;="&amp;Controle!$B$6,$F$3:$F$401,$F205),"")</f>
        <v>0</v>
      </c>
      <c r="S205" s="51">
        <f>IF($D205&lt;&gt;"",SUMIFS($O$3:$O$401, $C$3:$C$401 ,$C205,$B$3:$B$401,"&lt;="&amp;'Controle D-1'!$B$6,$F$3:$F$401,$F205),"")</f>
        <v>0</v>
      </c>
      <c r="T205" s="40"/>
      <c r="U205" s="40"/>
      <c r="V205" s="40"/>
      <c r="W205" s="40"/>
      <c r="X205" s="40"/>
      <c r="Y205" s="40"/>
      <c r="Z205" s="40"/>
      <c r="AA205" s="40"/>
      <c r="AB205" s="40"/>
      <c r="AC205" s="40"/>
    </row>
    <row r="206" ht="15.75" customHeight="1">
      <c r="A206" s="28"/>
      <c r="B206" s="100">
        <v>45152.0</v>
      </c>
      <c r="C206" s="88" t="s">
        <v>143</v>
      </c>
      <c r="D206" s="88" t="str">
        <f>IF(ISTEXT(C206),VLOOKUP(C206,'Cadastro dos Ativos'!$A$2:$C$1000,3,0),"")</f>
        <v>Ações Americanas</v>
      </c>
      <c r="E206" s="88" t="s">
        <v>208</v>
      </c>
      <c r="F206" s="88" t="s">
        <v>201</v>
      </c>
      <c r="G206" s="101">
        <v>74.8</v>
      </c>
      <c r="H206" s="46">
        <f>if($D206="Ações Americanas", HLOOKUP("PTAX",'Histórico'!$A$1:$EL$983,(MATCH(B206,'Histórico'!A:A))-1,""),
if($D206="Ações Europeias", HLOOKUP("EUR/BRL",'Histórico'!$A$1:$EL$983,(MATCH(B206,'Histórico'!A:A))-1,""),""))</f>
        <v>4.8918</v>
      </c>
      <c r="I206" s="88" t="str">
        <f t="array" ref="I206">IF(ISTEXT(C206),xlookup(C206,'Cadastro dos Ativos'!$A$2:$A$1000,'Cadastro dos Ativos'!$D$2:$D$1000),"")</f>
        <v/>
      </c>
      <c r="J206" s="88">
        <v>30000.0</v>
      </c>
      <c r="K206" s="47">
        <f t="array" ref="K206">if(and(J206&lt;&gt;"",D206&lt;&gt;"Futuros"),
if(F206=Controle!$C$2, M206/xlookup(workday(B206,-1,Feriados!A:A),Controle!$B$10:$B$1000,Controle!$C$10:$C$1000),
if(F206=Controle!$F$2, M206/xlookup(workday(B206,-1,Feriados!A:A),Controle!$B$10:$B$1000,Controle!$F$10:$F$1000),
if(F206=Controle!$I$2, M206/xlookup(workday(B206,-1,Feriados!A:A),Controle!$B$10:$B$1000,Controle!$I$10:$I$1000),
if(F206=Controle!$L$2, M206/xlookup(workday(B206,-1,Feriados!A:A),Controle!$B$10:$B$1000,Controle!$L$10:$L$1000),
)))),
if(and(J206&lt;&gt;"",D206="Futuros"),
if(F206=Controle!$C$2, N206/xlookup(workday(B206,-1,Feriados!A:A),Controle!$B$10:$B$1000,Controle!$C$10:$C$1000),
if(F206=Controle!$F$2, N206/xlookup(workday(B206,-1,Feriados!A:A),Controle!$B$10:$B$1000,Controle!$F$10:$F$1000),
if(F206=Controle!$I$2, N206/xlookup(workday(B206,-1,Feriados!A:A),Controle!$B$10:$B$1000,Controle!$I$10:$I$1000),
if(F206=Controle!$L$2, N206/xlookup(workday(B206,-1,Feriados!A:A),Controle!$B$10:$B$1000,Controle!$L$10:$L$1000),
)))),""))</f>
        <v>-0.1010879946</v>
      </c>
      <c r="L206" s="47">
        <f t="array" ref="L206">IF($J206&lt;&gt;"", IF($D206 = "Futuros" , $N206/xlookup(WORKDAY(B206,-1,Feriados!A:A),Controle!$B$10:$B$1000,Controle!$T$10:$T$1000) , $M206/xlookup(WORKDAY(B206,-1,Feriados!A:A),Controle!$B$10:$B$1000,Controle!$T$10:$T$1000)),"")</f>
        <v>-0.02542447417</v>
      </c>
      <c r="M206" s="48">
        <f t="shared" si="4"/>
        <v>-10977199.2</v>
      </c>
      <c r="N206" s="48" t="str">
        <f>IFERROR(IF(D206="Futuros",
IF(LEFT(C206,3)="DI1",G206*O206,
IF(LEFT(C206,3)="ISP",G206*O206*HLOOKUP("PTAX",'Histórico'!$A$1:$EL$983,MATCH(B206,'Histórico'!A:A),FALSE)*50,
IF(LEFT(C206,3)="WDO",10*G206*O206*HLOOKUP("PTAX",'Histórico'!$A$1:$EL$983,MATCH(B206,'Histórico'!A:A),FALSE),
IF(LEFT(C206,3)="DOL",50*G206*O206,
IF(LEFT(C206,3)="EUR",G206*O206*50,
IF(LEFT(C206,3)="WEU",G206*O206*10,
IF(LEFT(C206,3)="IND",G206*O206,
IF(LEFT(C206,3)="WIN",G206*O206*0.2,
IF(LEFT(C206,3)="T10",G206*O206*1000*HLOOKUP("PTAX",'Histórico'!$A$1:$EL$983,MATCH(B206,'Histórico'!A:A),FALSE),
IF(LEFT(C206,3)="CCM",G206*O206*450,
IF(LEFT(C206,3)="SJC",G206*O206*HLOOKUP("PTAX",'Histórico'!$A$1:$EL$983,MATCH(B206,'Histórico'!A:A),FALSE)*450,
IF(LEFT(C206,3)="BGI",G206*O206*330,
IF(LEFT(C206,3)="OZ1",G206*O206*250,
IF(LEFT(C206,3)="CLP",G206*O206*25,
IF(LEFT(C206,3)="EUP", O206*10000*HLOOKUP("EUR/BRL",'Histórico'!$A$1:$EL$983,MATCH(B206,'Histórico'!A:A),FALSE),
IF(LEFT(C206,3)="JSE", G206*O206*0.4,
IF(LEFT(C206,3)="GBP", O206*10000*HLOOKUP("GBP/BRL",'Histórico'!$A$1:$FG$983,MATCH(B206,'Histórico'!A:A),FALSE),
IF(LEFT(C206,3)="JAP",O206*10000*HLOOKUP("PTAX",'Histórico'!$A$1:$FG$983,MATCH(B206,'Histórico'!A:A),FALSE),
IF(LEFT(C206,3)="CNH",O206*10000*HLOOKUP("PTAX",'Histórico'!$A$1:$FG$983,MATCH(B206,'Histórico'!A:A),FALSE),
IF(LEFT(C206,3)="AUS",O206*10000*HLOOKUP("PTAX",'Histórico'!$A$1:$FG$983,MATCH(B206,'Histórico'!A:A),FALSE),
IF(LEFT(C206,3)="CAN",O206*10000*HLOOKUP("PTAX",'Histórico'!$A$1:$FG$983,MATCH(B206,'Histórico'!A:A),FALSE),
IF(LEFT(C206,3)="GBR",O206*10000*HLOOKUP("GBP/BRL",'Histórico'!$A$1:$FG$983,MATCH(B206,'Histórico'!A:A),FALSE),
IF(LEFT(C206,3)="MEX",O206*10000*HLOOKUP("PTAX",'Histórico'!$A$1:$FG$983,MATCH(B206,'Histórico'!A:A),FALSE),
IF(LEFT(C206,3)="CHL",O206*10000*HLOOKUP("PTAX",'Histórico'!$A$1:$FG$983,MATCH(B206,'Histórico'!A:A),FALSE)
)))))))))))))))))))))))),""))</f>
        <v/>
      </c>
      <c r="O206" s="49">
        <f t="shared" si="2"/>
        <v>30000</v>
      </c>
      <c r="P206" s="49">
        <f t="shared" si="5"/>
        <v>30000</v>
      </c>
      <c r="Q206" s="51">
        <f>IF($C206&lt;&gt;"",SUMIFS($O$3:$O$401, $C$3:$C$401 ,$C206,$B$3:$B$401,"&lt;="&amp;Controle!$B$6),"")</f>
        <v>30000</v>
      </c>
      <c r="R206" s="51">
        <f>IF($D206&lt;&gt;"",SUMIFS($O$3:$O$401, $C$3:$C$401 ,$C206,$B$3:$B$401,"&lt;="&amp;Controle!$B$6,$F$3:$F$401,$F206),"")</f>
        <v>30000</v>
      </c>
      <c r="S206" s="51">
        <f>IF($D206&lt;&gt;"",SUMIFS($O$3:$O$401, $C$3:$C$401 ,$C206,$B$3:$B$401,"&lt;="&amp;'Controle D-1'!$B$6,$F$3:$F$401,$F206),"")</f>
        <v>30000</v>
      </c>
      <c r="T206" s="40"/>
      <c r="U206" s="40"/>
      <c r="V206" s="40"/>
      <c r="W206" s="40"/>
      <c r="X206" s="40"/>
      <c r="Y206" s="40"/>
      <c r="Z206" s="40"/>
      <c r="AA206" s="40"/>
      <c r="AB206" s="40"/>
      <c r="AC206" s="40"/>
    </row>
    <row r="207" ht="15.75" customHeight="1">
      <c r="A207" s="28"/>
      <c r="B207" s="100">
        <v>45152.0</v>
      </c>
      <c r="C207" s="88" t="s">
        <v>145</v>
      </c>
      <c r="D207" s="88" t="str">
        <f>IF(ISTEXT(C207),VLOOKUP(C207,'Cadastro dos Ativos'!$A$2:$C$1000,3,0),"")</f>
        <v>Ações Americanas</v>
      </c>
      <c r="E207" s="88" t="s">
        <v>208</v>
      </c>
      <c r="F207" s="88" t="s">
        <v>201</v>
      </c>
      <c r="G207" s="101">
        <v>107.64</v>
      </c>
      <c r="H207" s="101">
        <f>if($D207="Ações Americanas", HLOOKUP("PTAX",'Histórico'!$A$1:$EL$983,(MATCH(B207,'Histórico'!A:A))-1,""),
if($D207="Ações Europeias", HLOOKUP("EUR/BRL",'Histórico'!$A$1:$EL$983,(MATCH(B207,'Histórico'!A:A))-1,""),""))</f>
        <v>4.8918</v>
      </c>
      <c r="I207" s="88" t="str">
        <f t="array" ref="I207">IF(ISTEXT(C207),xlookup(C207,'Cadastro dos Ativos'!$A$2:$A$1000,'Cadastro dos Ativos'!$D$2:$D$1000),"")</f>
        <v/>
      </c>
      <c r="J207" s="88">
        <v>11000.0</v>
      </c>
      <c r="K207" s="47">
        <f t="array" ref="K207">if(and(J207&lt;&gt;"",D207&lt;&gt;"Futuros"),
if(F207=Controle!$C$2, M207/xlookup(workday(B207,-1,Feriados!A:A),Controle!$B$10:$B$1000,Controle!$C$10:$C$1000),
if(F207=Controle!$F$2, M207/xlookup(workday(B207,-1,Feriados!A:A),Controle!$B$10:$B$1000,Controle!$F$10:$F$1000),
if(F207=Controle!$I$2, M207/xlookup(workday(B207,-1,Feriados!A:A),Controle!$B$10:$B$1000,Controle!$I$10:$I$1000),
if(F207=Controle!$L$2, M207/xlookup(workday(B207,-1,Feriados!A:A),Controle!$B$10:$B$1000,Controle!$L$10:$L$1000),
)))),
if(and(J207&lt;&gt;"",D207="Futuros"),
if(F207=Controle!$C$2, N207/xlookup(workday(B207,-1,Feriados!A:A),Controle!$B$10:$B$1000,Controle!$C$10:$C$1000),
if(F207=Controle!$F$2, N207/xlookup(workday(B207,-1,Feriados!A:A),Controle!$B$10:$B$1000,Controle!$F$10:$F$1000),
if(F207=Controle!$I$2, N207/xlookup(workday(B207,-1,Feriados!A:A),Controle!$B$10:$B$1000,Controle!$I$10:$I$1000),
if(F207=Controle!$L$2, N207/xlookup(workday(B207,-1,Feriados!A:A),Controle!$B$10:$B$1000,Controle!$L$10:$L$1000),
)))),""))</f>
        <v>-0.05333878301</v>
      </c>
      <c r="L207" s="47">
        <f t="array" ref="L207">IF($J207&lt;&gt;"", IF($D207 = "Futuros" , $N207/xlookup(WORKDAY(B207,-1,Feriados!A:A),Controle!$B$10:$B$1000,Controle!$T$10:$T$1000) , $M207/xlookup(WORKDAY(B207,-1,Feriados!A:A),Controle!$B$10:$B$1000,Controle!$T$10:$T$1000)),"")</f>
        <v>-0.01341514902</v>
      </c>
      <c r="M207" s="48">
        <f t="shared" si="4"/>
        <v>-5792086.872</v>
      </c>
      <c r="N207" s="48" t="str">
        <f>IFERROR(IF(D207="Futuros",
IF(LEFT(C207,3)="DI1",G207*O207,
IF(LEFT(C207,3)="ISP",G207*O207*HLOOKUP("PTAX",'Histórico'!$A$1:$EL$983,MATCH(B207,'Histórico'!A:A),FALSE)*50,
IF(LEFT(C207,3)="WDO",10*G207*O207*HLOOKUP("PTAX",'Histórico'!$A$1:$EL$983,MATCH(B207,'Histórico'!A:A),FALSE),
IF(LEFT(C207,3)="DOL",50*G207*O207,
IF(LEFT(C207,3)="EUR",G207*O207*50,
IF(LEFT(C207,3)="WEU",G207*O207*10,
IF(LEFT(C207,3)="IND",G207*O207,
IF(LEFT(C207,3)="WIN",G207*O207*0.2,
IF(LEFT(C207,3)="T10",G207*O207*1000*HLOOKUP("PTAX",'Histórico'!$A$1:$EL$983,MATCH(B207,'Histórico'!A:A),FALSE),
IF(LEFT(C207,3)="CCM",G207*O207*450,
IF(LEFT(C207,3)="SJC",G207*O207*HLOOKUP("PTAX",'Histórico'!$A$1:$EL$983,MATCH(B207,'Histórico'!A:A),FALSE)*450,
IF(LEFT(C207,3)="BGI",G207*O207*330,
IF(LEFT(C207,3)="OZ1",G207*O207*250,
IF(LEFT(C207,3)="CLP",G207*O207*25,
IF(LEFT(C207,3)="EUP", O207*10000*HLOOKUP("EUR/BRL",'Histórico'!$A$1:$EL$983,MATCH(B207,'Histórico'!A:A),FALSE),
IF(LEFT(C207,3)="JSE", G207*O207*0.4,
IF(LEFT(C207,3)="GBP", O207*10000*HLOOKUP("GBP/BRL",'Histórico'!$A$1:$FG$983,MATCH(B207,'Histórico'!A:A),FALSE),
IF(LEFT(C207,3)="JAP",O207*10000*HLOOKUP("PTAX",'Histórico'!$A$1:$FG$983,MATCH(B207,'Histórico'!A:A),FALSE),
IF(LEFT(C207,3)="CNH",O207*10000*HLOOKUP("PTAX",'Histórico'!$A$1:$FG$983,MATCH(B207,'Histórico'!A:A),FALSE),
IF(LEFT(C207,3)="AUS",O207*10000*HLOOKUP("PTAX",'Histórico'!$A$1:$FG$983,MATCH(B207,'Histórico'!A:A),FALSE),
IF(LEFT(C207,3)="CAN",O207*10000*HLOOKUP("PTAX",'Histórico'!$A$1:$FG$983,MATCH(B207,'Histórico'!A:A),FALSE),
IF(LEFT(C207,3)="GBR",O207*10000*HLOOKUP("GBP/BRL",'Histórico'!$A$1:$FG$983,MATCH(B207,'Histórico'!A:A),FALSE),
IF(LEFT(C207,3)="MEX",O207*10000*HLOOKUP("PTAX",'Histórico'!$A$1:$FG$983,MATCH(B207,'Histórico'!A:A),FALSE),
IF(LEFT(C207,3)="CHL",O207*10000*HLOOKUP("PTAX",'Histórico'!$A$1:$FG$983,MATCH(B207,'Histórico'!A:A),FALSE)
)))))))))))))))))))))))),""))</f>
        <v/>
      </c>
      <c r="O207" s="49">
        <f t="shared" si="2"/>
        <v>11000</v>
      </c>
      <c r="P207" s="49">
        <f t="shared" si="5"/>
        <v>11000</v>
      </c>
      <c r="Q207" s="51">
        <f>IF($C207&lt;&gt;"",SUMIFS($O$3:$O$401, $C$3:$C$401 ,$C207,$B$3:$B$401,"&lt;="&amp;Controle!$B$6),"")</f>
        <v>11000</v>
      </c>
      <c r="R207" s="51">
        <f>IF($D207&lt;&gt;"",SUMIFS($O$3:$O$401, $C$3:$C$401 ,$C207,$B$3:$B$401,"&lt;="&amp;Controle!$B$6,$F$3:$F$401,$F207),"")</f>
        <v>11000</v>
      </c>
      <c r="S207" s="51">
        <f>IF($D207&lt;&gt;"",SUMIFS($O$3:$O$401, $C$3:$C$401 ,$C207,$B$3:$B$401,"&lt;="&amp;'Controle D-1'!$B$6,$F$3:$F$401,$F207),"")</f>
        <v>11000</v>
      </c>
      <c r="T207" s="40"/>
      <c r="U207" s="40"/>
      <c r="V207" s="40"/>
      <c r="W207" s="40"/>
      <c r="X207" s="40"/>
      <c r="Y207" s="40"/>
      <c r="Z207" s="40"/>
      <c r="AA207" s="40"/>
      <c r="AB207" s="40"/>
      <c r="AC207" s="40"/>
    </row>
    <row r="208" ht="15.75" customHeight="1">
      <c r="A208" s="28"/>
      <c r="B208" s="100">
        <v>45152.0</v>
      </c>
      <c r="C208" s="88" t="s">
        <v>130</v>
      </c>
      <c r="D208" s="88" t="str">
        <f>IF(ISTEXT(C208),VLOOKUP(C208,'Cadastro dos Ativos'!$A$2:$C$1000,3,0),"")</f>
        <v>Ações Americanas</v>
      </c>
      <c r="E208" s="88" t="s">
        <v>198</v>
      </c>
      <c r="F208" s="88" t="s">
        <v>201</v>
      </c>
      <c r="G208" s="101">
        <v>24.98</v>
      </c>
      <c r="H208" s="46">
        <f>if($D208="Ações Americanas", HLOOKUP("PTAX",'Histórico'!$A$1:$EL$983,(MATCH(B208,'Histórico'!A:A))-1,""),
if($D208="Ações Europeias", HLOOKUP("EUR/BRL",'Histórico'!$A$1:$EL$983,(MATCH(B208,'Histórico'!A:A))-1,""),""))</f>
        <v>4.8918</v>
      </c>
      <c r="I208" s="88" t="str">
        <f t="array" ref="I208">IF(ISTEXT(C208),xlookup(C208,'Cadastro dos Ativos'!$A$2:$A$1000,'Cadastro dos Ativos'!$D$2:$D$1000),"")</f>
        <v/>
      </c>
      <c r="J208" s="88">
        <v>45000.0</v>
      </c>
      <c r="K208" s="47">
        <f t="array" ref="K208">if(and(J208&lt;&gt;"",D208&lt;&gt;"Futuros"),
if(F208=Controle!$C$2, M208/xlookup(workday(B208,-1,Feriados!A:A),Controle!$B$10:$B$1000,Controle!$C$10:$C$1000),
if(F208=Controle!$F$2, M208/xlookup(workday(B208,-1,Feriados!A:A),Controle!$B$10:$B$1000,Controle!$F$10:$F$1000),
if(F208=Controle!$I$2, M208/xlookup(workday(B208,-1,Feriados!A:A),Controle!$B$10:$B$1000,Controle!$I$10:$I$1000),
if(F208=Controle!$L$2, M208/xlookup(workday(B208,-1,Feriados!A:A),Controle!$B$10:$B$1000,Controle!$L$10:$L$1000),
)))),
if(and(J208&lt;&gt;"",D208="Futuros"),
if(F208=Controle!$C$2, N208/xlookup(workday(B208,-1,Feriados!A:A),Controle!$B$10:$B$1000,Controle!$C$10:$C$1000),
if(F208=Controle!$F$2, N208/xlookup(workday(B208,-1,Feriados!A:A),Controle!$B$10:$B$1000,Controle!$F$10:$F$1000),
if(F208=Controle!$I$2, N208/xlookup(workday(B208,-1,Feriados!A:A),Controle!$B$10:$B$1000,Controle!$I$10:$I$1000),
if(F208=Controle!$L$2, N208/xlookup(workday(B208,-1,Feriados!A:A),Controle!$B$10:$B$1000,Controle!$L$10:$L$1000),
)))),""))</f>
        <v>0.05063859834</v>
      </c>
      <c r="L208" s="47">
        <f t="array" ref="L208">IF($J208&lt;&gt;"", IF($D208 = "Futuros" , $N208/xlookup(WORKDAY(B208,-1,Feriados!A:A),Controle!$B$10:$B$1000,Controle!$T$10:$T$1000) , $M208/xlookup(WORKDAY(B208,-1,Feriados!A:A),Controle!$B$10:$B$1000,Controle!$T$10:$T$1000)),"")</f>
        <v>0.01273603004</v>
      </c>
      <c r="M208" s="48">
        <f t="shared" si="4"/>
        <v>5498872.38</v>
      </c>
      <c r="N208" s="48" t="str">
        <f>IFERROR(IF(D208="Futuros",
IF(LEFT(C208,3)="DI1",G208*O208,
IF(LEFT(C208,3)="ISP",G208*O208*HLOOKUP("PTAX",'Histórico'!$A$1:$EL$983,MATCH(B208,'Histórico'!A:A),FALSE)*50,
IF(LEFT(C208,3)="WDO",10*G208*O208*HLOOKUP("PTAX",'Histórico'!$A$1:$EL$983,MATCH(B208,'Histórico'!A:A),FALSE),
IF(LEFT(C208,3)="DOL",50*G208*O208,
IF(LEFT(C208,3)="EUR",G208*O208*50,
IF(LEFT(C208,3)="WEU",G208*O208*10,
IF(LEFT(C208,3)="IND",G208*O208,
IF(LEFT(C208,3)="WIN",G208*O208*0.2,
IF(LEFT(C208,3)="T10",G208*O208*1000*HLOOKUP("PTAX",'Histórico'!$A$1:$EL$983,MATCH(B208,'Histórico'!A:A),FALSE),
IF(LEFT(C208,3)="CCM",G208*O208*450,
IF(LEFT(C208,3)="SJC",G208*O208*HLOOKUP("PTAX",'Histórico'!$A$1:$EL$983,MATCH(B208,'Histórico'!A:A),FALSE)*450,
IF(LEFT(C208,3)="BGI",G208*O208*330,
IF(LEFT(C208,3)="OZ1",G208*O208*250,
IF(LEFT(C208,3)="CLP",G208*O208*25,
IF(LEFT(C208,3)="EUP", O208*10000*HLOOKUP("EUR/BRL",'Histórico'!$A$1:$EL$983,MATCH(B208,'Histórico'!A:A),FALSE),
IF(LEFT(C208,3)="JSE", G208*O208*0.4,
IF(LEFT(C208,3)="GBP", O208*10000*HLOOKUP("GBP/BRL",'Histórico'!$A$1:$FG$983,MATCH(B208,'Histórico'!A:A),FALSE),
IF(LEFT(C208,3)="JAP",O208*10000*HLOOKUP("PTAX",'Histórico'!$A$1:$FG$983,MATCH(B208,'Histórico'!A:A),FALSE),
IF(LEFT(C208,3)="CNH",O208*10000*HLOOKUP("PTAX",'Histórico'!$A$1:$FG$983,MATCH(B208,'Histórico'!A:A),FALSE),
IF(LEFT(C208,3)="AUS",O208*10000*HLOOKUP("PTAX",'Histórico'!$A$1:$FG$983,MATCH(B208,'Histórico'!A:A),FALSE),
IF(LEFT(C208,3)="CAN",O208*10000*HLOOKUP("PTAX",'Histórico'!$A$1:$FG$983,MATCH(B208,'Histórico'!A:A),FALSE),
IF(LEFT(C208,3)="GBR",O208*10000*HLOOKUP("GBP/BRL",'Histórico'!$A$1:$FG$983,MATCH(B208,'Histórico'!A:A),FALSE),
IF(LEFT(C208,3)="MEX",O208*10000*HLOOKUP("PTAX",'Histórico'!$A$1:$FG$983,MATCH(B208,'Histórico'!A:A),FALSE),
IF(LEFT(C208,3)="CHL",O208*10000*HLOOKUP("PTAX",'Histórico'!$A$1:$FG$983,MATCH(B208,'Histórico'!A:A),FALSE)
)))))))))))))))))))))))),""))</f>
        <v/>
      </c>
      <c r="O208" s="49">
        <f t="shared" si="2"/>
        <v>-45000</v>
      </c>
      <c r="P208" s="49">
        <f t="shared" si="5"/>
        <v>50000</v>
      </c>
      <c r="Q208" s="51">
        <f>IF($C208&lt;&gt;"",SUMIFS($O$3:$O$401, $C$3:$C$401 ,$C208,$B$3:$B$401,"&lt;="&amp;Controle!$B$6),"")</f>
        <v>50000</v>
      </c>
      <c r="R208" s="51">
        <f>IF($D208&lt;&gt;"",SUMIFS($O$3:$O$401, $C$3:$C$401 ,$C208,$B$3:$B$401,"&lt;="&amp;Controle!$B$6,$F$3:$F$401,$F208),"")</f>
        <v>50000</v>
      </c>
      <c r="S208" s="51">
        <f>IF($D208&lt;&gt;"",SUMIFS($O$3:$O$401, $C$3:$C$401 ,$C208,$B$3:$B$401,"&lt;="&amp;'Controle D-1'!$B$6,$F$3:$F$401,$F208),"")</f>
        <v>50000</v>
      </c>
      <c r="T208" s="40"/>
      <c r="U208" s="40"/>
      <c r="V208" s="40"/>
      <c r="W208" s="40"/>
      <c r="X208" s="40"/>
      <c r="Y208" s="40"/>
      <c r="Z208" s="40"/>
      <c r="AA208" s="40"/>
      <c r="AB208" s="40"/>
      <c r="AC208" s="40"/>
    </row>
    <row r="209" ht="15.75" customHeight="1">
      <c r="A209" s="28"/>
      <c r="B209" s="100">
        <v>45152.0</v>
      </c>
      <c r="C209" s="88" t="s">
        <v>128</v>
      </c>
      <c r="D209" s="88" t="str">
        <f>IF(ISTEXT(C209),VLOOKUP(C209,'Cadastro dos Ativos'!$A$2:$C$1000,3,0),"")</f>
        <v>Ações Americanas</v>
      </c>
      <c r="E209" s="88" t="s">
        <v>198</v>
      </c>
      <c r="F209" s="88" t="s">
        <v>201</v>
      </c>
      <c r="G209" s="101">
        <v>49.89</v>
      </c>
      <c r="H209" s="101">
        <f>if($D209="Ações Americanas", HLOOKUP("PTAX",'Histórico'!$A$1:$EL$983,(MATCH(B209,'Histórico'!A:A))-1,""),
if($D209="Ações Europeias", HLOOKUP("EUR/BRL",'Histórico'!$A$1:$EL$983,(MATCH(B209,'Histórico'!A:A))-1,""),""))</f>
        <v>4.8918</v>
      </c>
      <c r="I209" s="110" t="str">
        <f t="array" ref="I209">IF(ISTEXT(C209),xlookup(C209,'Cadastro dos Ativos'!$A$2:$A$1000,'Cadastro dos Ativos'!$D$2:$D$1000),"")</f>
        <v/>
      </c>
      <c r="J209" s="88">
        <v>24000.0</v>
      </c>
      <c r="K209" s="47">
        <f t="array" ref="K209">if(and(J209&lt;&gt;"",D209&lt;&gt;"Futuros"),
if(F209=Controle!$C$2, M209/xlookup(workday(B209,-1,Feriados!A:A),Controle!$B$10:$B$1000,Controle!$C$10:$C$1000),
if(F209=Controle!$F$2, M209/xlookup(workday(B209,-1,Feriados!A:A),Controle!$B$10:$B$1000,Controle!$F$10:$F$1000),
if(F209=Controle!$I$2, M209/xlookup(workday(B209,-1,Feriados!A:A),Controle!$B$10:$B$1000,Controle!$I$10:$I$1000),
if(F209=Controle!$L$2, M209/xlookup(workday(B209,-1,Feriados!A:A),Controle!$B$10:$B$1000,Controle!$L$10:$L$1000),
)))),
if(and(J209&lt;&gt;"",D209="Futuros"),
if(F209=Controle!$C$2, N209/xlookup(workday(B209,-1,Feriados!A:A),Controle!$B$10:$B$1000,Controle!$C$10:$C$1000),
if(F209=Controle!$F$2, N209/xlookup(workday(B209,-1,Feriados!A:A),Controle!$B$10:$B$1000,Controle!$F$10:$F$1000),
if(F209=Controle!$I$2, N209/xlookup(workday(B209,-1,Feriados!A:A),Controle!$B$10:$B$1000,Controle!$I$10:$I$1000),
if(F209=Controle!$L$2, N209/xlookup(workday(B209,-1,Feriados!A:A),Controle!$B$10:$B$1000,Controle!$L$10:$L$1000),
)))),""))</f>
        <v>0.05393882404</v>
      </c>
      <c r="L209" s="47">
        <f t="array" ref="L209">IF($J209&lt;&gt;"", IF($D209 = "Futuros" , $N209/xlookup(WORKDAY(B209,-1,Feriados!A:A),Controle!$B$10:$B$1000,Controle!$T$10:$T$1000) , $M209/xlookup(WORKDAY(B209,-1,Feriados!A:A),Controle!$B$10:$B$1000,Controle!$T$10:$T$1000)),"")</f>
        <v>0.01356606434</v>
      </c>
      <c r="M209" s="48">
        <f t="shared" si="4"/>
        <v>5857245.648</v>
      </c>
      <c r="N209" s="48" t="str">
        <f>IFERROR(IF(D209="Futuros",
IF(LEFT(C209,3)="DI1",G209*O209,
IF(LEFT(C209,3)="ISP",G209*O209*HLOOKUP("PTAX",'Histórico'!$A$1:$EL$983,MATCH(B209,'Histórico'!A:A),FALSE)*50,
IF(LEFT(C209,3)="WDO",10*G209*O209*HLOOKUP("PTAX",'Histórico'!$A$1:$EL$983,MATCH(B209,'Histórico'!A:A),FALSE),
IF(LEFT(C209,3)="DOL",50*G209*O209,
IF(LEFT(C209,3)="EUR",G209*O209*50,
IF(LEFT(C209,3)="WEU",G209*O209*10,
IF(LEFT(C209,3)="IND",G209*O209,
IF(LEFT(C209,3)="WIN",G209*O209*0.2,
IF(LEFT(C209,3)="T10",G209*O209*1000*HLOOKUP("PTAX",'Histórico'!$A$1:$EL$983,MATCH(B209,'Histórico'!A:A),FALSE),
IF(LEFT(C209,3)="CCM",G209*O209*450,
IF(LEFT(C209,3)="SJC",G209*O209*HLOOKUP("PTAX",'Histórico'!$A$1:$EL$983,MATCH(B209,'Histórico'!A:A),FALSE)*450,
IF(LEFT(C209,3)="BGI",G209*O209*330,
IF(LEFT(C209,3)="OZ1",G209*O209*250,
IF(LEFT(C209,3)="CLP",G209*O209*25,
IF(LEFT(C209,3)="EUP", O209*10000*HLOOKUP("EUR/BRL",'Histórico'!$A$1:$EL$983,MATCH(B209,'Histórico'!A:A),FALSE),
IF(LEFT(C209,3)="JSE", G209*O209*0.4,
IF(LEFT(C209,3)="GBP", O209*10000*HLOOKUP("GBP/BRL",'Histórico'!$A$1:$FG$983,MATCH(B209,'Histórico'!A:A),FALSE),
IF(LEFT(C209,3)="JAP",O209*10000*HLOOKUP("PTAX",'Histórico'!$A$1:$FG$983,MATCH(B209,'Histórico'!A:A),FALSE),
IF(LEFT(C209,3)="CNH",O209*10000*HLOOKUP("PTAX",'Histórico'!$A$1:$FG$983,MATCH(B209,'Histórico'!A:A),FALSE),
IF(LEFT(C209,3)="AUS",O209*10000*HLOOKUP("PTAX",'Histórico'!$A$1:$FG$983,MATCH(B209,'Histórico'!A:A),FALSE),
IF(LEFT(C209,3)="CAN",O209*10000*HLOOKUP("PTAX",'Histórico'!$A$1:$FG$983,MATCH(B209,'Histórico'!A:A),FALSE),
IF(LEFT(C209,3)="GBR",O209*10000*HLOOKUP("GBP/BRL",'Histórico'!$A$1:$FG$983,MATCH(B209,'Histórico'!A:A),FALSE),
IF(LEFT(C209,3)="MEX",O209*10000*HLOOKUP("PTAX",'Histórico'!$A$1:$FG$983,MATCH(B209,'Histórico'!A:A),FALSE),
IF(LEFT(C209,3)="CHL",O209*10000*HLOOKUP("PTAX",'Histórico'!$A$1:$FG$983,MATCH(B209,'Histórico'!A:A),FALSE)
)))))))))))))))))))))))),""))</f>
        <v/>
      </c>
      <c r="O209" s="49">
        <f t="shared" si="2"/>
        <v>-24000</v>
      </c>
      <c r="P209" s="49">
        <f t="shared" si="5"/>
        <v>0</v>
      </c>
      <c r="Q209" s="51">
        <f>IF($C209&lt;&gt;"",SUMIFS($O$3:$O$401, $C$3:$C$401 ,$C209,$B$3:$B$401,"&lt;="&amp;Controle!$B$6),"")</f>
        <v>0</v>
      </c>
      <c r="R209" s="51">
        <f>IF($D209&lt;&gt;"",SUMIFS($O$3:$O$401, $C$3:$C$401 ,$C209,$B$3:$B$401,"&lt;="&amp;Controle!$B$6,$F$3:$F$401,$F209),"")</f>
        <v>0</v>
      </c>
      <c r="S209" s="51">
        <f>IF($D209&lt;&gt;"",SUMIFS($O$3:$O$401, $C$3:$C$401 ,$C209,$B$3:$B$401,"&lt;="&amp;'Controle D-1'!$B$6,$F$3:$F$401,$F209),"")</f>
        <v>0</v>
      </c>
      <c r="T209" s="40"/>
      <c r="U209" s="40"/>
      <c r="V209" s="40"/>
      <c r="W209" s="40"/>
      <c r="X209" s="40"/>
      <c r="Y209" s="40"/>
      <c r="Z209" s="40"/>
      <c r="AA209" s="40"/>
      <c r="AB209" s="40"/>
      <c r="AC209" s="40"/>
    </row>
    <row r="210" ht="15.75" customHeight="1">
      <c r="A210" s="28"/>
      <c r="B210" s="100">
        <v>45154.0</v>
      </c>
      <c r="C210" s="88" t="s">
        <v>139</v>
      </c>
      <c r="D210" s="88" t="str">
        <f>IF(ISTEXT(C210),VLOOKUP(C210,'Cadastro dos Ativos'!$A$2:$C$1000,3,0),"")</f>
        <v>Ações Listadas na B3</v>
      </c>
      <c r="E210" s="88" t="s">
        <v>208</v>
      </c>
      <c r="F210" s="88" t="s">
        <v>201</v>
      </c>
      <c r="G210" s="101">
        <v>33.56</v>
      </c>
      <c r="H210" s="46"/>
      <c r="I210" s="88" t="str">
        <f t="array" ref="I210">IF(ISTEXT(C210),xlookup(C210,'Cadastro dos Ativos'!$A$2:$A$1000,'Cadastro dos Ativos'!$D$2:$D$1000),"")</f>
        <v/>
      </c>
      <c r="J210" s="88">
        <v>170000.0</v>
      </c>
      <c r="K210" s="47">
        <f t="array" ref="K210">if(and(J210&lt;&gt;"",D210&lt;&gt;"Futuros"),
if(F210=Controle!$C$2, M210/xlookup(workday(B210,-1,Feriados!A:A),Controle!$B$10:$B$1000,Controle!$C$10:$C$1000),
if(F210=Controle!$F$2, M210/xlookup(workday(B210,-1,Feriados!A:A),Controle!$B$10:$B$1000,Controle!$F$10:$F$1000),
if(F210=Controle!$I$2, M210/xlookup(workday(B210,-1,Feriados!A:A),Controle!$B$10:$B$1000,Controle!$I$10:$I$1000),
if(F210=Controle!$L$2, M210/xlookup(workday(B210,-1,Feriados!A:A),Controle!$B$10:$B$1000,Controle!$L$10:$L$1000),
)))),
if(and(J210&lt;&gt;"",D210="Futuros"),
if(F210=Controle!$C$2, N210/xlookup(workday(B210,-1,Feriados!A:A),Controle!$B$10:$B$1000,Controle!$C$10:$C$1000),
if(F210=Controle!$F$2, N210/xlookup(workday(B210,-1,Feriados!A:A),Controle!$B$10:$B$1000,Controle!$F$10:$F$1000),
if(F210=Controle!$I$2, N210/xlookup(workday(B210,-1,Feriados!A:A),Controle!$B$10:$B$1000,Controle!$I$10:$I$1000),
if(F210=Controle!$L$2, N210/xlookup(workday(B210,-1,Feriados!A:A),Controle!$B$10:$B$1000,Controle!$L$10:$L$1000),
)))),""))</f>
        <v>-0.0525997224</v>
      </c>
      <c r="L210" s="47">
        <f t="array" ref="L210">IF($J210&lt;&gt;"", IF($D210 = "Futuros" , $N210/xlookup(WORKDAY(B210,-1,Feriados!A:A),Controle!$B$10:$B$1000,Controle!$T$10:$T$1000) , $M210/xlookup(WORKDAY(B210,-1,Feriados!A:A),Controle!$B$10:$B$1000,Controle!$T$10:$T$1000)),"")</f>
        <v>-0.01321817803</v>
      </c>
      <c r="M210" s="48">
        <f t="shared" si="4"/>
        <v>-5705200</v>
      </c>
      <c r="N210" s="48" t="str">
        <f>IFERROR(IF(D210="Futuros",
IF(LEFT(C210,3)="DI1",G210*O210,
IF(LEFT(C210,3)="ISP",G210*O210*HLOOKUP("PTAX",'Histórico'!$A$1:$EL$983,MATCH(B210,'Histórico'!A:A),FALSE)*50,
IF(LEFT(C210,3)="WDO",10*G210*O210*HLOOKUP("PTAX",'Histórico'!$A$1:$EL$983,MATCH(B210,'Histórico'!A:A),FALSE),
IF(LEFT(C210,3)="DOL",50*G210*O210,
IF(LEFT(C210,3)="EUR",G210*O210*50,
IF(LEFT(C210,3)="WEU",G210*O210*10,
IF(LEFT(C210,3)="IND",G210*O210,
IF(LEFT(C210,3)="WIN",G210*O210*0.2,
IF(LEFT(C210,3)="T10",G210*O210*1000*HLOOKUP("PTAX",'Histórico'!$A$1:$EL$983,MATCH(B210,'Histórico'!A:A),FALSE),
IF(LEFT(C210,3)="CCM",G210*O210*450,
IF(LEFT(C210,3)="SJC",G210*O210*HLOOKUP("PTAX",'Histórico'!$A$1:$EL$983,MATCH(B210,'Histórico'!A:A),FALSE)*450,
IF(LEFT(C210,3)="BGI",G210*O210*330,
IF(LEFT(C210,3)="OZ1",G210*O210*250,
IF(LEFT(C210,3)="CLP",G210*O210*25,
IF(LEFT(C210,3)="EUP", O210*10000*HLOOKUP("EUR/BRL",'Histórico'!$A$1:$EL$983,MATCH(B210,'Histórico'!A:A),FALSE),
IF(LEFT(C210,3)="JSE", G210*O210*0.4,
IF(LEFT(C210,3)="GBP", O210*10000*HLOOKUP("GBP/BRL",'Histórico'!$A$1:$FG$983,MATCH(B210,'Histórico'!A:A),FALSE),
IF(LEFT(C210,3)="JAP",O210*10000*HLOOKUP("PTAX",'Histórico'!$A$1:$FG$983,MATCH(B210,'Histórico'!A:A),FALSE),
IF(LEFT(C210,3)="CNH",O210*10000*HLOOKUP("PTAX",'Histórico'!$A$1:$FG$983,MATCH(B210,'Histórico'!A:A),FALSE),
IF(LEFT(C210,3)="AUS",O210*10000*HLOOKUP("PTAX",'Histórico'!$A$1:$FG$983,MATCH(B210,'Histórico'!A:A),FALSE),
IF(LEFT(C210,3)="CAN",O210*10000*HLOOKUP("PTAX",'Histórico'!$A$1:$FG$983,MATCH(B210,'Histórico'!A:A),FALSE),
IF(LEFT(C210,3)="GBR",O210*10000*HLOOKUP("GBP/BRL",'Histórico'!$A$1:$FG$983,MATCH(B210,'Histórico'!A:A),FALSE),
IF(LEFT(C210,3)="MEX",O210*10000*HLOOKUP("PTAX",'Histórico'!$A$1:$FG$983,MATCH(B210,'Histórico'!A:A),FALSE),
IF(LEFT(C210,3)="CHL",O210*10000*HLOOKUP("PTAX",'Histórico'!$A$1:$FG$983,MATCH(B210,'Histórico'!A:A),FALSE)
)))))))))))))))))))))))),""))</f>
        <v/>
      </c>
      <c r="O210" s="49">
        <f t="shared" si="2"/>
        <v>170000</v>
      </c>
      <c r="P210" s="49">
        <f t="shared" si="5"/>
        <v>0</v>
      </c>
      <c r="Q210" s="51">
        <f>IF($C210&lt;&gt;"",SUMIFS($O$3:$O$401, $C$3:$C$401 ,$C210,$B$3:$B$401,"&lt;="&amp;Controle!$B$6),"")</f>
        <v>0</v>
      </c>
      <c r="R210" s="51">
        <f>IF($D210&lt;&gt;"",SUMIFS($O$3:$O$401, $C$3:$C$401 ,$C210,$B$3:$B$401,"&lt;="&amp;Controle!$B$6,$F$3:$F$401,$F210),"")</f>
        <v>0</v>
      </c>
      <c r="S210" s="51">
        <f>IF($D210&lt;&gt;"",SUMIFS($O$3:$O$401, $C$3:$C$401 ,$C210,$B$3:$B$401,"&lt;="&amp;'Controle D-1'!$B$6,$F$3:$F$401,$F210),"")</f>
        <v>0</v>
      </c>
      <c r="T210" s="40"/>
      <c r="U210" s="40"/>
      <c r="V210" s="40"/>
      <c r="W210" s="40"/>
      <c r="X210" s="40"/>
      <c r="Y210" s="40"/>
      <c r="Z210" s="40"/>
      <c r="AA210" s="40"/>
      <c r="AB210" s="40"/>
      <c r="AC210" s="40"/>
    </row>
    <row r="211" ht="15.75" customHeight="1">
      <c r="A211" s="28"/>
      <c r="B211" s="100">
        <v>45166.0</v>
      </c>
      <c r="C211" s="88" t="s">
        <v>48</v>
      </c>
      <c r="D211" s="88" t="str">
        <f>IF(ISTEXT(C211),VLOOKUP(C211,'Cadastro dos Ativos'!$A$2:$C$1000,3,0),"")</f>
        <v>Ações Listadas na B3</v>
      </c>
      <c r="E211" s="88" t="s">
        <v>198</v>
      </c>
      <c r="F211" s="88" t="s">
        <v>201</v>
      </c>
      <c r="G211" s="101">
        <v>62.07</v>
      </c>
      <c r="H211" s="101"/>
      <c r="I211" s="88"/>
      <c r="J211" s="88">
        <v>85000.0</v>
      </c>
      <c r="K211" s="47">
        <f t="array" ref="K211">if(and(J211&lt;&gt;"",D211&lt;&gt;"Futuros"),
if(F211=Controle!$C$2, M211/xlookup(workday(B211,-1,Feriados!A:A),Controle!$B$10:$B$1000,Controle!$C$10:$C$1000),
if(F211=Controle!$F$2, M211/xlookup(workday(B211,-1,Feriados!A:A),Controle!$B$10:$B$1000,Controle!$F$10:$F$1000),
if(F211=Controle!$I$2, M211/xlookup(workday(B211,-1,Feriados!A:A),Controle!$B$10:$B$1000,Controle!$I$10:$I$1000),
if(F211=Controle!$L$2, M211/xlookup(workday(B211,-1,Feriados!A:A),Controle!$B$10:$B$1000,Controle!$L$10:$L$1000),
)))),
if(and(J211&lt;&gt;"",D211="Futuros"),
if(F211=Controle!$C$2, N211/xlookup(workday(B211,-1,Feriados!A:A),Controle!$B$10:$B$1000,Controle!$C$10:$C$1000),
if(F211=Controle!$F$2, N211/xlookup(workday(B211,-1,Feriados!A:A),Controle!$B$10:$B$1000,Controle!$F$10:$F$1000),
if(F211=Controle!$I$2, N211/xlookup(workday(B211,-1,Feriados!A:A),Controle!$B$10:$B$1000,Controle!$I$10:$I$1000),
if(F211=Controle!$L$2, N211/xlookup(workday(B211,-1,Feriados!A:A),Controle!$B$10:$B$1000,Controle!$L$10:$L$1000),
)))),""))</f>
        <v>0.04887197754</v>
      </c>
      <c r="L211" s="47">
        <f t="array" ref="L211">IF($J211&lt;&gt;"", IF($D211 = "Futuros" , $N211/xlookup(WORKDAY(B211,-1,Feriados!A:A),Controle!$B$10:$B$1000,Controle!$T$10:$T$1000) , $M211/xlookup(WORKDAY(B211,-1,Feriados!A:A),Controle!$B$10:$B$1000,Controle!$T$10:$T$1000)),"")</f>
        <v>0.01227240724</v>
      </c>
      <c r="M211" s="48">
        <f t="shared" si="4"/>
        <v>5275950</v>
      </c>
      <c r="N211" s="48" t="str">
        <f>IFERROR(IF(D211="Futuros",
IF(LEFT(C211,3)="DI1",G211*O211,
IF(LEFT(C211,3)="ISP",G211*O211*HLOOKUP("PTAX",'Histórico'!$A$1:$EL$983,MATCH(B211,'Histórico'!A:A),FALSE)*50,
IF(LEFT(C211,3)="WDO",10*G211*O211*HLOOKUP("PTAX",'Histórico'!$A$1:$EL$983,MATCH(B211,'Histórico'!A:A),FALSE),
IF(LEFT(C211,3)="DOL",50*G211*O211,
IF(LEFT(C211,3)="EUR",G211*O211*50,
IF(LEFT(C211,3)="WEU",G211*O211*10,
IF(LEFT(C211,3)="IND",G211*O211,
IF(LEFT(C211,3)="WIN",G211*O211*0.2,
IF(LEFT(C211,3)="T10",G211*O211*1000*HLOOKUP("PTAX",'Histórico'!$A$1:$EL$983,MATCH(B211,'Histórico'!A:A),FALSE),
IF(LEFT(C211,3)="CCM",G211*O211*450,
IF(LEFT(C211,3)="SJC",G211*O211*HLOOKUP("PTAX",'Histórico'!$A$1:$EL$983,MATCH(B211,'Histórico'!A:A),FALSE)*450,
IF(LEFT(C211,3)="BGI",G211*O211*330,
IF(LEFT(C211,3)="OZ1",G211*O211*250,
IF(LEFT(C211,3)="CLP",G211*O211*25,
IF(LEFT(C211,3)="EUP", O211*10000*HLOOKUP("EUR/BRL",'Histórico'!$A$1:$EL$983,MATCH(B211,'Histórico'!A:A),FALSE),
IF(LEFT(C211,3)="JSE", G211*O211*0.4,
IF(LEFT(C211,3)="GBP", O211*10000*HLOOKUP("GBP/BRL",'Histórico'!$A$1:$FG$983,MATCH(B211,'Histórico'!A:A),FALSE),
IF(LEFT(C211,3)="JAP",O211*10000*HLOOKUP("PTAX",'Histórico'!$A$1:$FG$983,MATCH(B211,'Histórico'!A:A),FALSE),
IF(LEFT(C211,3)="CNH",O211*10000*HLOOKUP("PTAX",'Histórico'!$A$1:$FG$983,MATCH(B211,'Histórico'!A:A),FALSE),
IF(LEFT(C211,3)="AUS",O211*10000*HLOOKUP("PTAX",'Histórico'!$A$1:$FG$983,MATCH(B211,'Histórico'!A:A),FALSE),
IF(LEFT(C211,3)="CAN",O211*10000*HLOOKUP("PTAX",'Histórico'!$A$1:$FG$983,MATCH(B211,'Histórico'!A:A),FALSE),
IF(LEFT(C211,3)="GBR",O211*10000*HLOOKUP("GBP/BRL",'Histórico'!$A$1:$FG$983,MATCH(B211,'Histórico'!A:A),FALSE),
IF(LEFT(C211,3)="MEX",O211*10000*HLOOKUP("PTAX",'Histórico'!$A$1:$FG$983,MATCH(B211,'Histórico'!A:A),FALSE),
IF(LEFT(C211,3)="CHL",O211*10000*HLOOKUP("PTAX",'Histórico'!$A$1:$FG$983,MATCH(B211,'Histórico'!A:A),FALSE)
)))))))))))))))))))))))),""))</f>
        <v/>
      </c>
      <c r="O211" s="49">
        <f t="shared" si="2"/>
        <v>-85000</v>
      </c>
      <c r="P211" s="49">
        <f t="shared" si="5"/>
        <v>0</v>
      </c>
      <c r="Q211" s="51">
        <f>IF($C211&lt;&gt;"",SUMIFS($O$3:$O$401, $C$3:$C$401 ,$C211,$B$3:$B$401,"&lt;="&amp;Controle!$B$6),"")</f>
        <v>0</v>
      </c>
      <c r="R211" s="51">
        <f>IF($D211&lt;&gt;"",SUMIFS($O$3:$O$401, $C$3:$C$401 ,$C211,$B$3:$B$401,"&lt;="&amp;Controle!$B$6,$F$3:$F$401,$F211),"")</f>
        <v>0</v>
      </c>
      <c r="S211" s="51">
        <f>IF($D211&lt;&gt;"",SUMIFS($O$3:$O$401, $C$3:$C$401 ,$C211,$B$3:$B$401,"&lt;="&amp;'Controle D-1'!$B$6,$F$3:$F$401,$F211),"")</f>
        <v>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</row>
    <row r="212" ht="15.75" customHeight="1">
      <c r="A212" s="28"/>
      <c r="B212" s="100">
        <v>45166.0</v>
      </c>
      <c r="C212" s="88" t="s">
        <v>151</v>
      </c>
      <c r="D212" s="88" t="str">
        <f>IF(ISTEXT(C212),VLOOKUP(C212,'Cadastro dos Ativos'!$A$2:$C$1000,3,0),"")</f>
        <v>Futuros</v>
      </c>
      <c r="E212" s="88" t="s">
        <v>208</v>
      </c>
      <c r="F212" s="88" t="s">
        <v>201</v>
      </c>
      <c r="G212" s="101">
        <v>30.8477</v>
      </c>
      <c r="H212" s="46" t="str">
        <f>if($D212="Ações Americanas", HLOOKUP("PTAX",'Histórico'!$A$1:$EL$983,(MATCH(B212,'Histórico'!A:A))-1,""),
if($D212="Ações Europeias", HLOOKUP("EUR/BRL",'Histórico'!$A$1:$EL$983,(MATCH(B212,'Histórico'!A:A))-1,""),""))</f>
        <v/>
      </c>
      <c r="I212" s="110">
        <f t="array" ref="I212">IF(ISTEXT(C212),xlookup(C212,'Cadastro dos Ativos'!$A$2:$A$1000,'Cadastro dos Ativos'!$D$2:$D$1000),"")</f>
        <v>45287</v>
      </c>
      <c r="J212" s="88">
        <v>120.0</v>
      </c>
      <c r="K212" s="47">
        <f t="array" ref="K212">if(and(J212&lt;&gt;"",D212&lt;&gt;"Futuros"),
if(F212=Controle!$C$2, M212/xlookup(workday(B212,-1,Feriados!A:A),Controle!$B$10:$B$1000,Controle!$C$10:$C$1000),
if(F212=Controle!$F$2, M212/xlookup(workday(B212,-1,Feriados!A:A),Controle!$B$10:$B$1000,Controle!$F$10:$F$1000),
if(F212=Controle!$I$2, M212/xlookup(workday(B212,-1,Feriados!A:A),Controle!$B$10:$B$1000,Controle!$I$10:$I$1000),
if(F212=Controle!$L$2, M212/xlookup(workday(B212,-1,Feriados!A:A),Controle!$B$10:$B$1000,Controle!$L$10:$L$1000),
)))),
if(and(J212&lt;&gt;"",D212="Futuros"),
if(F212=Controle!$C$2, N212/xlookup(workday(B212,-1,Feriados!A:A),Controle!$B$10:$B$1000,Controle!$C$10:$C$1000),
if(F212=Controle!$F$2, N212/xlookup(workday(B212,-1,Feriados!A:A),Controle!$B$10:$B$1000,Controle!$F$10:$F$1000),
if(F212=Controle!$I$2, N212/xlookup(workday(B212,-1,Feriados!A:A),Controle!$B$10:$B$1000,Controle!$I$10:$I$1000),
if(F212=Controle!$L$2, N212/xlookup(workday(B212,-1,Feriados!A:A),Controle!$B$10:$B$1000,Controle!$L$10:$L$1000),
)))),""))</f>
        <v>0.07515197812</v>
      </c>
      <c r="L212" s="47">
        <f t="array" ref="L212">IF($J212&lt;&gt;"", IF($D212 = "Futuros" , $N212/xlookup(WORKDAY(B212,-1,Feriados!A:A),Controle!$B$10:$B$1000,Controle!$T$10:$T$1000) , $M212/xlookup(WORKDAY(B212,-1,Feriados!A:A),Controle!$B$10:$B$1000,Controle!$T$10:$T$1000)),"")</f>
        <v>0.01887166689</v>
      </c>
      <c r="M212" s="48">
        <f t="shared" si="4"/>
        <v>-3701.724</v>
      </c>
      <c r="N212" s="48">
        <f>IFERROR(IF(D212="Futuros",
IF(LEFT(C212,3)="DI1",G212*O212,
IF(LEFT(C212,3)="ISP",G212*O212*HLOOKUP("PTAX",'Histórico'!$A$1:$EL$983,MATCH(B212,'Histórico'!A:A),FALSE)*50,
IF(LEFT(C212,3)="WDO",10*G212*O212*HLOOKUP("PTAX",'Histórico'!$A$1:$EL$983,MATCH(B212,'Histórico'!A:A),FALSE),
IF(LEFT(C212,3)="DOL",50*G212*O212,
IF(LEFT(C212,3)="EUR",G212*O212*50,
IF(LEFT(C212,3)="WEU",G212*O212*10,
IF(LEFT(C212,3)="IND",G212*O212,
IF(LEFT(C212,3)="WIN",G212*O212*0.2,
IF(LEFT(C212,3)="T10",G212*O212*1000*HLOOKUP("PTAX",'Histórico'!$A$1:$EL$983,MATCH(B212,'Histórico'!A:A),FALSE),
IF(LEFT(C212,3)="CCM",G212*O212*450,
IF(LEFT(C212,3)="SJC",G212*O212*HLOOKUP("PTAX",'Histórico'!$A$1:$EL$983,MATCH(B212,'Histórico'!A:A),FALSE)*450,
IF(LEFT(C212,3)="BGI",G212*O212*330,
IF(LEFT(C212,3)="OZ1",G212*O212*250,
IF(LEFT(C212,3)="CLP",G212*O212*25,
IF(LEFT(C212,3)="EUP", O212*10000*HLOOKUP("EUR/BRL",'Histórico'!$A$1:$EL$983,MATCH(B212,'Histórico'!A:A),FALSE),
IF(LEFT(C212,3)="JSE", G212*O212*0.4,
IF(LEFT(C212,3)="GBP", O212*10000*HLOOKUP("GBP/BRL",'Histórico'!$A$1:$FG$983,MATCH(B212,'Histórico'!A:A),FALSE),
IF(LEFT(C212,3)="JAP",O212*10000*HLOOKUP("PTAX",'Histórico'!$A$1:$FG$983,MATCH(B212,'Histórico'!A:A),FALSE),
IF(LEFT(C212,3)="CNH",O212*10000*HLOOKUP("PTAX",'Histórico'!$A$1:$FG$983,MATCH(B212,'Histórico'!A:A),FALSE),
IF(LEFT(C212,3)="AUS",O212*10000*HLOOKUP("PTAX",'Histórico'!$A$1:$FG$983,MATCH(B212,'Histórico'!A:A),FALSE),
IF(LEFT(C212,3)="CAN",O212*10000*HLOOKUP("PTAX",'Histórico'!$A$1:$FG$983,MATCH(B212,'Histórico'!A:A),FALSE),
IF(LEFT(C212,3)="GBR",O212*10000*HLOOKUP("GBP/BRL",'Histórico'!$A$1:$FG$983,MATCH(B212,'Histórico'!A:A),FALSE),
IF(LEFT(C212,3)="MEX",O212*10000*HLOOKUP("PTAX",'Histórico'!$A$1:$FG$983,MATCH(B212,'Histórico'!A:A),FALSE),
IF(LEFT(C212,3)="CHL",O212*10000*HLOOKUP("PTAX",'Histórico'!$A$1:$FG$983,MATCH(B212,'Histórico'!A:A),FALSE)
)))))))))))))))))))))))),""))</f>
        <v>8112994.376</v>
      </c>
      <c r="O212" s="49">
        <f t="shared" si="2"/>
        <v>120</v>
      </c>
      <c r="P212" s="49">
        <f t="shared" si="5"/>
        <v>120</v>
      </c>
      <c r="Q212" s="51">
        <f>IF($C212&lt;&gt;"",SUMIFS($O$3:$O$401, $C$3:$C$401 ,$C212,$B$3:$B$401,"&lt;="&amp;Controle!$B$6),"")</f>
        <v>120</v>
      </c>
      <c r="R212" s="51">
        <f>IF($D212&lt;&gt;"",SUMIFS($O$3:$O$401, $C$3:$C$401 ,$C212,$B$3:$B$401,"&lt;="&amp;Controle!$B$6,$F$3:$F$401,$F212),"")</f>
        <v>120</v>
      </c>
      <c r="S212" s="51">
        <f>IF($D212&lt;&gt;"",SUMIFS($O$3:$O$401, $C$3:$C$401 ,$C212,$B$3:$B$401,"&lt;="&amp;'Controle D-1'!$B$6,$F$3:$F$401,$F212),"")</f>
        <v>120</v>
      </c>
      <c r="T212" s="40"/>
      <c r="U212" s="40"/>
      <c r="V212" s="40"/>
      <c r="W212" s="40"/>
      <c r="X212" s="40"/>
      <c r="Y212" s="40"/>
      <c r="Z212" s="40"/>
      <c r="AA212" s="40"/>
      <c r="AB212" s="40"/>
      <c r="AC212" s="40"/>
    </row>
    <row r="213" ht="15.75" customHeight="1">
      <c r="A213" s="28"/>
      <c r="B213" s="100">
        <v>45166.0</v>
      </c>
      <c r="C213" s="88" t="s">
        <v>130</v>
      </c>
      <c r="D213" s="88" t="str">
        <f>IF(ISTEXT(C213),VLOOKUP(C213,'Cadastro dos Ativos'!$A$2:$C$1000,3,0),"")</f>
        <v>Ações Americanas</v>
      </c>
      <c r="E213" s="88" t="s">
        <v>208</v>
      </c>
      <c r="F213" s="88" t="s">
        <v>201</v>
      </c>
      <c r="G213" s="101">
        <v>24.11</v>
      </c>
      <c r="H213" s="101">
        <f>if($D213="Ações Americanas", HLOOKUP("PTAX",'Histórico'!$A$1:$EL$983,(MATCH(B213,'Histórico'!A:A))-1,""),
if($D213="Ações Europeias", HLOOKUP("EUR/BRL",'Histórico'!$A$1:$EL$983,(MATCH(B213,'Histórico'!A:A))-1,""),""))</f>
        <v>4.880300045</v>
      </c>
      <c r="I213" s="88" t="str">
        <f t="array" ref="I213">IF(ISTEXT(C213),xlookup(C213,'Cadastro dos Ativos'!$A$2:$A$1000,'Cadastro dos Ativos'!$D$2:$D$1000),"")</f>
        <v/>
      </c>
      <c r="J213" s="88">
        <v>50000.0</v>
      </c>
      <c r="K213" s="47">
        <f t="array" ref="K213">if(and(J213&lt;&gt;"",D213&lt;&gt;"Futuros"),
if(F213=Controle!$C$2, M213/xlookup(workday(B213,-1,Feriados!A:A),Controle!$B$10:$B$1000,Controle!$C$10:$C$1000),
if(F213=Controle!$F$2, M213/xlookup(workday(B213,-1,Feriados!A:A),Controle!$B$10:$B$1000,Controle!$F$10:$F$1000),
if(F213=Controle!$I$2, M213/xlookup(workday(B213,-1,Feriados!A:A),Controle!$B$10:$B$1000,Controle!$I$10:$I$1000),
if(F213=Controle!$L$2, M213/xlookup(workday(B213,-1,Feriados!A:A),Controle!$B$10:$B$1000,Controle!$L$10:$L$1000),
)))),
if(and(J213&lt;&gt;"",D213="Futuros"),
if(F213=Controle!$C$2, N213/xlookup(workday(B213,-1,Feriados!A:A),Controle!$B$10:$B$1000,Controle!$C$10:$C$1000),
if(F213=Controle!$F$2, N213/xlookup(workday(B213,-1,Feriados!A:A),Controle!$B$10:$B$1000,Controle!$F$10:$F$1000),
if(F213=Controle!$I$2, N213/xlookup(workday(B213,-1,Feriados!A:A),Controle!$B$10:$B$1000,Controle!$I$10:$I$1000),
if(F213=Controle!$L$2, N213/xlookup(workday(B213,-1,Feriados!A:A),Controle!$B$10:$B$1000,Controle!$L$10:$L$1000),
)))),""))</f>
        <v>-0.05449704822</v>
      </c>
      <c r="L213" s="47">
        <f t="array" ref="L213">IF($J213&lt;&gt;"", IF($D213 = "Futuros" , $N213/xlookup(WORKDAY(B213,-1,Feriados!A:A),Controle!$B$10:$B$1000,Controle!$T$10:$T$1000) , $M213/xlookup(WORKDAY(B213,-1,Feriados!A:A),Controle!$B$10:$B$1000,Controle!$T$10:$T$1000)),"")</f>
        <v>-0.01368493773</v>
      </c>
      <c r="M213" s="48">
        <f t="shared" si="4"/>
        <v>-5883201.704</v>
      </c>
      <c r="N213" s="48" t="str">
        <f>IFERROR(IF(D213="Futuros",
IF(LEFT(C213,3)="DI1",G213*O213,
IF(LEFT(C213,3)="ISP",G213*O213*HLOOKUP("PTAX",'Histórico'!$A$1:$EL$983,MATCH(B213,'Histórico'!A:A),FALSE)*50,
IF(LEFT(C213,3)="WDO",10*G213*O213*HLOOKUP("PTAX",'Histórico'!$A$1:$EL$983,MATCH(B213,'Histórico'!A:A),FALSE),
IF(LEFT(C213,3)="DOL",50*G213*O213,
IF(LEFT(C213,3)="EUR",G213*O213*50,
IF(LEFT(C213,3)="WEU",G213*O213*10,
IF(LEFT(C213,3)="IND",G213*O213,
IF(LEFT(C213,3)="WIN",G213*O213*0.2,
IF(LEFT(C213,3)="T10",G213*O213*1000*HLOOKUP("PTAX",'Histórico'!$A$1:$EL$983,MATCH(B213,'Histórico'!A:A),FALSE),
IF(LEFT(C213,3)="CCM",G213*O213*450,
IF(LEFT(C213,3)="SJC",G213*O213*HLOOKUP("PTAX",'Histórico'!$A$1:$EL$983,MATCH(B213,'Histórico'!A:A),FALSE)*450,
IF(LEFT(C213,3)="BGI",G213*O213*330,
IF(LEFT(C213,3)="OZ1",G213*O213*250,
IF(LEFT(C213,3)="CLP",G213*O213*25,
IF(LEFT(C213,3)="EUP", O213*10000*HLOOKUP("EUR/BRL",'Histórico'!$A$1:$EL$983,MATCH(B213,'Histórico'!A:A),FALSE),
IF(LEFT(C213,3)="JSE", G213*O213*0.4,
IF(LEFT(C213,3)="GBP", O213*10000*HLOOKUP("GBP/BRL",'Histórico'!$A$1:$FG$983,MATCH(B213,'Histórico'!A:A),FALSE),
IF(LEFT(C213,3)="JAP",O213*10000*HLOOKUP("PTAX",'Histórico'!$A$1:$FG$983,MATCH(B213,'Histórico'!A:A),FALSE),
IF(LEFT(C213,3)="CNH",O213*10000*HLOOKUP("PTAX",'Histórico'!$A$1:$FG$983,MATCH(B213,'Histórico'!A:A),FALSE),
IF(LEFT(C213,3)="AUS",O213*10000*HLOOKUP("PTAX",'Histórico'!$A$1:$FG$983,MATCH(B213,'Histórico'!A:A),FALSE),
IF(LEFT(C213,3)="CAN",O213*10000*HLOOKUP("PTAX",'Histórico'!$A$1:$FG$983,MATCH(B213,'Histórico'!A:A),FALSE),
IF(LEFT(C213,3)="GBR",O213*10000*HLOOKUP("GBP/BRL",'Histórico'!$A$1:$FG$983,MATCH(B213,'Histórico'!A:A),FALSE),
IF(LEFT(C213,3)="MEX",O213*10000*HLOOKUP("PTAX",'Histórico'!$A$1:$FG$983,MATCH(B213,'Histórico'!A:A),FALSE),
IF(LEFT(C213,3)="CHL",O213*10000*HLOOKUP("PTAX",'Histórico'!$A$1:$FG$983,MATCH(B213,'Histórico'!A:A),FALSE)
)))))))))))))))))))))))),""))</f>
        <v/>
      </c>
      <c r="O213" s="49">
        <f t="shared" si="2"/>
        <v>50000</v>
      </c>
      <c r="P213" s="49">
        <f t="shared" si="5"/>
        <v>50000</v>
      </c>
      <c r="Q213" s="51">
        <f>IF($C213&lt;&gt;"",SUMIFS($O$3:$O$401, $C$3:$C$401 ,$C213,$B$3:$B$401,"&lt;="&amp;Controle!$B$6),"")</f>
        <v>50000</v>
      </c>
      <c r="R213" s="51">
        <f>IF($D213&lt;&gt;"",SUMIFS($O$3:$O$401, $C$3:$C$401 ,$C213,$B$3:$B$401,"&lt;="&amp;Controle!$B$6,$F$3:$F$401,$F213),"")</f>
        <v>50000</v>
      </c>
      <c r="S213" s="51">
        <f>IF($D213&lt;&gt;"",SUMIFS($O$3:$O$401, $C$3:$C$401 ,$C213,$B$3:$B$401,"&lt;="&amp;'Controle D-1'!$B$6,$F$3:$F$401,$F213),"")</f>
        <v>50000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</row>
    <row r="214" ht="15.75" customHeight="1">
      <c r="A214" s="28"/>
      <c r="B214" s="100">
        <v>45166.0</v>
      </c>
      <c r="C214" s="88" t="s">
        <v>153</v>
      </c>
      <c r="D214" s="88" t="str">
        <f>IF(ISTEXT(C214),VLOOKUP(C214,'Cadastro dos Ativos'!$A$2:$C$1000,3,0),"")</f>
        <v>Ações Americanas</v>
      </c>
      <c r="E214" s="88" t="s">
        <v>208</v>
      </c>
      <c r="F214" s="88" t="s">
        <v>201</v>
      </c>
      <c r="G214" s="101">
        <v>36.15</v>
      </c>
      <c r="H214" s="46">
        <f>if($D214="Ações Americanas", HLOOKUP("PTAX",'Histórico'!$A$1:$EL$983,(MATCH(B214,'Histórico'!A:A))-1,""),
if($D214="Ações Europeias", HLOOKUP("EUR/BRL",'Histórico'!$A$1:$EL$983,(MATCH(B214,'Histórico'!A:A))-1,""),""))</f>
        <v>4.880300045</v>
      </c>
      <c r="I214" s="88" t="str">
        <f t="array" ref="I214">IF(ISTEXT(C214),xlookup(C214,'Cadastro dos Ativos'!$A$2:$A$1000,'Cadastro dos Ativos'!$D$2:$D$1000),"")</f>
        <v/>
      </c>
      <c r="J214" s="88">
        <v>30000.0</v>
      </c>
      <c r="K214" s="47">
        <f t="array" ref="K214">if(and(J214&lt;&gt;"",D214&lt;&gt;"Futuros"),
if(F214=Controle!$C$2, M214/xlookup(workday(B214,-1,Feriados!A:A),Controle!$B$10:$B$1000,Controle!$C$10:$C$1000),
if(F214=Controle!$F$2, M214/xlookup(workday(B214,-1,Feriados!A:A),Controle!$B$10:$B$1000,Controle!$F$10:$F$1000),
if(F214=Controle!$I$2, M214/xlookup(workday(B214,-1,Feriados!A:A),Controle!$B$10:$B$1000,Controle!$I$10:$I$1000),
if(F214=Controle!$L$2, M214/xlookup(workday(B214,-1,Feriados!A:A),Controle!$B$10:$B$1000,Controle!$L$10:$L$1000),
)))),
if(and(J214&lt;&gt;"",D214="Futuros"),
if(F214=Controle!$C$2, N214/xlookup(workday(B214,-1,Feriados!A:A),Controle!$B$10:$B$1000,Controle!$C$10:$C$1000),
if(F214=Controle!$F$2, N214/xlookup(workday(B214,-1,Feriados!A:A),Controle!$B$10:$B$1000,Controle!$F$10:$F$1000),
if(F214=Controle!$I$2, N214/xlookup(workday(B214,-1,Feriados!A:A),Controle!$B$10:$B$1000,Controle!$I$10:$I$1000),
if(F214=Controle!$L$2, N214/xlookup(workday(B214,-1,Feriados!A:A),Controle!$B$10:$B$1000,Controle!$L$10:$L$1000),
)))),""))</f>
        <v>-0.04902700024</v>
      </c>
      <c r="L214" s="47">
        <f t="array" ref="L214">IF($J214&lt;&gt;"", IF($D214 = "Futuros" , $N214/xlookup(WORKDAY(B214,-1,Feriados!A:A),Controle!$B$10:$B$1000,Controle!$T$10:$T$1000) , $M214/xlookup(WORKDAY(B214,-1,Feriados!A:A),Controle!$B$10:$B$1000,Controle!$T$10:$T$1000)),"")</f>
        <v>-0.01231133552</v>
      </c>
      <c r="M214" s="48">
        <f t="shared" si="4"/>
        <v>-5292685.399</v>
      </c>
      <c r="N214" s="48" t="str">
        <f>IFERROR(IF(D214="Futuros",
IF(LEFT(C214,3)="DI1",G214*O214,
IF(LEFT(C214,3)="ISP",G214*O214*HLOOKUP("PTAX",'Histórico'!$A$1:$EL$983,MATCH(B214,'Histórico'!A:A),FALSE)*50,
IF(LEFT(C214,3)="WDO",10*G214*O214*HLOOKUP("PTAX",'Histórico'!$A$1:$EL$983,MATCH(B214,'Histórico'!A:A),FALSE),
IF(LEFT(C214,3)="DOL",50*G214*O214,
IF(LEFT(C214,3)="EUR",G214*O214*50,
IF(LEFT(C214,3)="WEU",G214*O214*10,
IF(LEFT(C214,3)="IND",G214*O214,
IF(LEFT(C214,3)="WIN",G214*O214*0.2,
IF(LEFT(C214,3)="T10",G214*O214*1000*HLOOKUP("PTAX",'Histórico'!$A$1:$EL$983,MATCH(B214,'Histórico'!A:A),FALSE),
IF(LEFT(C214,3)="CCM",G214*O214*450,
IF(LEFT(C214,3)="SJC",G214*O214*HLOOKUP("PTAX",'Histórico'!$A$1:$EL$983,MATCH(B214,'Histórico'!A:A),FALSE)*450,
IF(LEFT(C214,3)="BGI",G214*O214*330,
IF(LEFT(C214,3)="OZ1",G214*O214*250,
IF(LEFT(C214,3)="CLP",G214*O214*25,
IF(LEFT(C214,3)="EUP", O214*10000*HLOOKUP("EUR/BRL",'Histórico'!$A$1:$EL$983,MATCH(B214,'Histórico'!A:A),FALSE),
IF(LEFT(C214,3)="JSE", G214*O214*0.4,
IF(LEFT(C214,3)="GBP", O214*10000*HLOOKUP("GBP/BRL",'Histórico'!$A$1:$FG$983,MATCH(B214,'Histórico'!A:A),FALSE),
IF(LEFT(C214,3)="JAP",O214*10000*HLOOKUP("PTAX",'Histórico'!$A$1:$FG$983,MATCH(B214,'Histórico'!A:A),FALSE),
IF(LEFT(C214,3)="CNH",O214*10000*HLOOKUP("PTAX",'Histórico'!$A$1:$FG$983,MATCH(B214,'Histórico'!A:A),FALSE),
IF(LEFT(C214,3)="AUS",O214*10000*HLOOKUP("PTAX",'Histórico'!$A$1:$FG$983,MATCH(B214,'Histórico'!A:A),FALSE),
IF(LEFT(C214,3)="CAN",O214*10000*HLOOKUP("PTAX",'Histórico'!$A$1:$FG$983,MATCH(B214,'Histórico'!A:A),FALSE),
IF(LEFT(C214,3)="GBR",O214*10000*HLOOKUP("GBP/BRL",'Histórico'!$A$1:$FG$983,MATCH(B214,'Histórico'!A:A),FALSE),
IF(LEFT(C214,3)="MEX",O214*10000*HLOOKUP("PTAX",'Histórico'!$A$1:$FG$983,MATCH(B214,'Histórico'!A:A),FALSE),
IF(LEFT(C214,3)="CHL",O214*10000*HLOOKUP("PTAX",'Histórico'!$A$1:$FG$983,MATCH(B214,'Histórico'!A:A),FALSE)
)))))))))))))))))))))))),""))</f>
        <v/>
      </c>
      <c r="O214" s="49">
        <f t="shared" si="2"/>
        <v>30000</v>
      </c>
      <c r="P214" s="49">
        <f t="shared" si="5"/>
        <v>30000</v>
      </c>
      <c r="Q214" s="51">
        <f>IF($C214&lt;&gt;"",SUMIFS($O$3:$O$401, $C$3:$C$401 ,$C214,$B$3:$B$401,"&lt;="&amp;Controle!$B$6),"")</f>
        <v>30000</v>
      </c>
      <c r="R214" s="51">
        <f>IF($D214&lt;&gt;"",SUMIFS($O$3:$O$401, $C$3:$C$401 ,$C214,$B$3:$B$401,"&lt;="&amp;Controle!$B$6,$F$3:$F$401,$F214),"")</f>
        <v>30000</v>
      </c>
      <c r="S214" s="51">
        <f>IF($D214&lt;&gt;"",SUMIFS($O$3:$O$401, $C$3:$C$401 ,$C214,$B$3:$B$401,"&lt;="&amp;'Controle D-1'!$B$6,$F$3:$F$401,$F214),"")</f>
        <v>30000</v>
      </c>
      <c r="T214" s="40"/>
      <c r="U214" s="40"/>
      <c r="V214" s="40"/>
      <c r="W214" s="40"/>
      <c r="X214" s="40"/>
      <c r="Y214" s="40"/>
      <c r="Z214" s="40"/>
      <c r="AA214" s="40"/>
      <c r="AB214" s="40"/>
      <c r="AC214" s="40"/>
    </row>
    <row r="215" ht="15.75" customHeight="1">
      <c r="A215" s="28"/>
      <c r="B215" s="100">
        <v>45166.0</v>
      </c>
      <c r="C215" s="88" t="s">
        <v>155</v>
      </c>
      <c r="D215" s="88" t="str">
        <f>IF(ISTEXT(C215),VLOOKUP(C215,'Cadastro dos Ativos'!$A$2:$C$1000,3,0),"")</f>
        <v>Futuros</v>
      </c>
      <c r="E215" s="88" t="s">
        <v>208</v>
      </c>
      <c r="F215" s="88" t="s">
        <v>201</v>
      </c>
      <c r="G215" s="101">
        <v>117646.0</v>
      </c>
      <c r="H215" s="101"/>
      <c r="I215" s="110">
        <f t="array" ref="I215">IF(ISTEXT(C215),xlookup(C215,'Cadastro dos Ativos'!$A$2:$A$1000,'Cadastro dos Ativos'!$D$2:$D$1000),"")</f>
        <v>45217</v>
      </c>
      <c r="J215" s="88">
        <v>115.0</v>
      </c>
      <c r="K215" s="47">
        <f t="array" ref="K215">if(and(J215&lt;&gt;"",D215&lt;&gt;"Futuros"),
if(F215=Controle!$C$2, M215/xlookup(workday(B215,-1,Feriados!A:A),Controle!$B$10:$B$1000,Controle!$C$10:$C$1000),
if(F215=Controle!$F$2, M215/xlookup(workday(B215,-1,Feriados!A:A),Controle!$B$10:$B$1000,Controle!$F$10:$F$1000),
if(F215=Controle!$I$2, M215/xlookup(workday(B215,-1,Feriados!A:A),Controle!$B$10:$B$1000,Controle!$I$10:$I$1000),
if(F215=Controle!$L$2, M215/xlookup(workday(B215,-1,Feriados!A:A),Controle!$B$10:$B$1000,Controle!$L$10:$L$1000),
)))),
if(and(J215&lt;&gt;"",D215="Futuros"),
if(F215=Controle!$C$2, N215/xlookup(workday(B215,-1,Feriados!A:A),Controle!$B$10:$B$1000,Controle!$C$10:$C$1000),
if(F215=Controle!$F$2, N215/xlookup(workday(B215,-1,Feriados!A:A),Controle!$B$10:$B$1000,Controle!$F$10:$F$1000),
if(F215=Controle!$I$2, N215/xlookup(workday(B215,-1,Feriados!A:A),Controle!$B$10:$B$1000,Controle!$I$10:$I$1000),
if(F215=Controle!$L$2, N215/xlookup(workday(B215,-1,Feriados!A:A),Controle!$B$10:$B$1000,Controle!$L$10:$L$1000),
)))),""))</f>
        <v>0.1253239998</v>
      </c>
      <c r="L215" s="47">
        <f t="array" ref="L215">IF($J215&lt;&gt;"", IF($D215 = "Futuros" , $N215/xlookup(WORKDAY(B215,-1,Feriados!A:A),Controle!$B$10:$B$1000,Controle!$T$10:$T$1000) , $M215/xlookup(WORKDAY(B215,-1,Feriados!A:A),Controle!$B$10:$B$1000,Controle!$T$10:$T$1000)),"")</f>
        <v>0.03147053262</v>
      </c>
      <c r="M215" s="48">
        <f t="shared" si="4"/>
        <v>-13529290</v>
      </c>
      <c r="N215" s="48">
        <f>IFERROR(IF(D215="Futuros",
IF(LEFT(C215,3)="DI1",G215*O215,
IF(LEFT(C215,3)="ISP",G215*O215*HLOOKUP("PTAX",'Histórico'!$A$1:$EL$983,MATCH(B215,'Histórico'!A:A),FALSE)*50,
IF(LEFT(C215,3)="WDO",10*G215*O215*HLOOKUP("PTAX",'Histórico'!$A$1:$EL$983,MATCH(B215,'Histórico'!A:A),FALSE),
IF(LEFT(C215,3)="DOL",50*G215*O215,
IF(LEFT(C215,3)="EUR",G215*O215*50,
IF(LEFT(C215,3)="WEU",G215*O215*10,
IF(LEFT(C215,3)="IND",G215*O215,
IF(LEFT(C215,3)="WIN",G215*O215*0.2,
IF(LEFT(C215,3)="T10",G215*O215*1000*HLOOKUP("PTAX",'Histórico'!$A$1:$EL$983,MATCH(B215,'Histórico'!A:A),FALSE),
IF(LEFT(C215,3)="CCM",G215*O215*450,
IF(LEFT(C215,3)="SJC",G215*O215*HLOOKUP("PTAX",'Histórico'!$A$1:$EL$983,MATCH(B215,'Histórico'!A:A),FALSE)*450,
IF(LEFT(C215,3)="BGI",G215*O215*330,
IF(LEFT(C215,3)="OZ1",G215*O215*250,
IF(LEFT(C215,3)="CLP",G215*O215*25,
IF(LEFT(C215,3)="EUP", O215*10000*HLOOKUP("EUR/BRL",'Histórico'!$A$1:$EL$983,MATCH(B215,'Histórico'!A:A),FALSE),
IF(LEFT(C215,3)="JSE", G215*O215*0.4,
IF(LEFT(C215,3)="GBP", O215*10000*HLOOKUP("GBP/BRL",'Histórico'!$A$1:$FG$983,MATCH(B215,'Histórico'!A:A),FALSE),
IF(LEFT(C215,3)="JAP",O215*10000*HLOOKUP("PTAX",'Histórico'!$A$1:$FG$983,MATCH(B215,'Histórico'!A:A),FALSE),
IF(LEFT(C215,3)="CNH",O215*10000*HLOOKUP("PTAX",'Histórico'!$A$1:$FG$983,MATCH(B215,'Histórico'!A:A),FALSE),
IF(LEFT(C215,3)="AUS",O215*10000*HLOOKUP("PTAX",'Histórico'!$A$1:$FG$983,MATCH(B215,'Histórico'!A:A),FALSE),
IF(LEFT(C215,3)="CAN",O215*10000*HLOOKUP("PTAX",'Histórico'!$A$1:$FG$983,MATCH(B215,'Histórico'!A:A),FALSE),
IF(LEFT(C215,3)="GBR",O215*10000*HLOOKUP("GBP/BRL",'Histórico'!$A$1:$FG$983,MATCH(B215,'Histórico'!A:A),FALSE),
IF(LEFT(C215,3)="MEX",O215*10000*HLOOKUP("PTAX",'Histórico'!$A$1:$FG$983,MATCH(B215,'Histórico'!A:A),FALSE),
IF(LEFT(C215,3)="CHL",O215*10000*HLOOKUP("PTAX",'Histórico'!$A$1:$FG$983,MATCH(B215,'Histórico'!A:A),FALSE)
)))))))))))))))))))))))),""))</f>
        <v>13529290</v>
      </c>
      <c r="O215" s="49">
        <f t="shared" si="2"/>
        <v>115</v>
      </c>
      <c r="P215" s="49">
        <f t="shared" si="5"/>
        <v>115</v>
      </c>
      <c r="Q215" s="51">
        <f>IF($C215&lt;&gt;"",SUMIFS($O$3:$O$401, $C$3:$C$401 ,$C215,$B$3:$B$401,"&lt;="&amp;Controle!$B$6),"")</f>
        <v>115</v>
      </c>
      <c r="R215" s="51">
        <f>IF($D215&lt;&gt;"",SUMIFS($O$3:$O$401, $C$3:$C$401 ,$C215,$B$3:$B$401,"&lt;="&amp;Controle!$B$6,$F$3:$F$401,$F215),"")</f>
        <v>115</v>
      </c>
      <c r="S215" s="51">
        <f>IF($D215&lt;&gt;"",SUMIFS($O$3:$O$401, $C$3:$C$401 ,$C215,$B$3:$B$401,"&lt;="&amp;'Controle D-1'!$B$6,$F$3:$F$401,$F215),"")</f>
        <v>115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</row>
    <row r="216" ht="15.75" customHeight="1">
      <c r="A216" s="28"/>
      <c r="B216" s="100">
        <v>45166.0</v>
      </c>
      <c r="C216" s="88" t="s">
        <v>157</v>
      </c>
      <c r="D216" s="88" t="str">
        <f>IF(ISTEXT(C216),VLOOKUP(C216,'Cadastro dos Ativos'!$A$2:$C$1000,3,0),"")</f>
        <v>Ações Listadas na B3</v>
      </c>
      <c r="E216" s="88" t="s">
        <v>208</v>
      </c>
      <c r="F216" s="88" t="s">
        <v>201</v>
      </c>
      <c r="G216" s="101">
        <v>12.37</v>
      </c>
      <c r="H216" s="46" t="str">
        <f>if($D216="Ações Americanas", HLOOKUP("PTAX",'Histórico'!$A$1:$EL$983,(MATCH(B216,'Histórico'!A:A))-1,""),
if($D216="Ações Europeias", HLOOKUP("EUR/BRL",'Histórico'!$A$1:$EL$983,(MATCH(B216,'Histórico'!A:A))-1,""),""))</f>
        <v/>
      </c>
      <c r="I216" s="88" t="str">
        <f t="array" ref="I216">IF(ISTEXT(C216),xlookup(C216,'Cadastro dos Ativos'!$A$2:$A$1000,'Cadastro dos Ativos'!$D$2:$D$1000),"")</f>
        <v/>
      </c>
      <c r="J216" s="88">
        <v>450000.0</v>
      </c>
      <c r="K216" s="47">
        <f t="array" ref="K216">if(and(J216&lt;&gt;"",D216&lt;&gt;"Futuros"),
if(F216=Controle!$C$2, M216/xlookup(workday(B216,-1,Feriados!A:A),Controle!$B$10:$B$1000,Controle!$C$10:$C$1000),
if(F216=Controle!$F$2, M216/xlookup(workday(B216,-1,Feriados!A:A),Controle!$B$10:$B$1000,Controle!$F$10:$F$1000),
if(F216=Controle!$I$2, M216/xlookup(workday(B216,-1,Feriados!A:A),Controle!$B$10:$B$1000,Controle!$I$10:$I$1000),
if(F216=Controle!$L$2, M216/xlookup(workday(B216,-1,Feriados!A:A),Controle!$B$10:$B$1000,Controle!$L$10:$L$1000),
)))),
if(and(J216&lt;&gt;"",D216="Futuros"),
if(F216=Controle!$C$2, N216/xlookup(workday(B216,-1,Feriados!A:A),Controle!$B$10:$B$1000,Controle!$C$10:$C$1000),
if(F216=Controle!$F$2, N216/xlookup(workday(B216,-1,Feriados!A:A),Controle!$B$10:$B$1000,Controle!$F$10:$F$1000),
if(F216=Controle!$I$2, N216/xlookup(workday(B216,-1,Feriados!A:A),Controle!$B$10:$B$1000,Controle!$I$10:$I$1000),
if(F216=Controle!$L$2, N216/xlookup(workday(B216,-1,Feriados!A:A),Controle!$B$10:$B$1000,Controle!$L$10:$L$1000),
)))),""))</f>
        <v>-0.05156338915</v>
      </c>
      <c r="L216" s="47">
        <f t="array" ref="L216">IF($J216&lt;&gt;"", IF($D216 = "Futuros" , $N216/xlookup(WORKDAY(B216,-1,Feriados!A:A),Controle!$B$10:$B$1000,Controle!$T$10:$T$1000) , $M216/xlookup(WORKDAY(B216,-1,Feriados!A:A),Controle!$B$10:$B$1000,Controle!$T$10:$T$1000)),"")</f>
        <v>-0.0129482567</v>
      </c>
      <c r="M216" s="48">
        <f t="shared" si="4"/>
        <v>-5566500</v>
      </c>
      <c r="N216" s="48" t="str">
        <f>IFERROR(IF(D216="Futuros",
IF(LEFT(C216,3)="DI1",G216*O216,
IF(LEFT(C216,3)="ISP",G216*O216*HLOOKUP("PTAX",'Histórico'!$A$1:$EL$983,MATCH(B216,'Histórico'!A:A),FALSE)*50,
IF(LEFT(C216,3)="WDO",10*G216*O216*HLOOKUP("PTAX",'Histórico'!$A$1:$EL$983,MATCH(B216,'Histórico'!A:A),FALSE),
IF(LEFT(C216,3)="DOL",50*G216*O216,
IF(LEFT(C216,3)="EUR",G216*O216*50,
IF(LEFT(C216,3)="WEU",G216*O216*10,
IF(LEFT(C216,3)="IND",G216*O216,
IF(LEFT(C216,3)="WIN",G216*O216*0.2,
IF(LEFT(C216,3)="T10",G216*O216*1000*HLOOKUP("PTAX",'Histórico'!$A$1:$EL$983,MATCH(B216,'Histórico'!A:A),FALSE),
IF(LEFT(C216,3)="CCM",G216*O216*450,
IF(LEFT(C216,3)="SJC",G216*O216*HLOOKUP("PTAX",'Histórico'!$A$1:$EL$983,MATCH(B216,'Histórico'!A:A),FALSE)*450,
IF(LEFT(C216,3)="BGI",G216*O216*330,
IF(LEFT(C216,3)="OZ1",G216*O216*250,
IF(LEFT(C216,3)="CLP",G216*O216*25,
IF(LEFT(C216,3)="EUP", O216*10000*HLOOKUP("EUR/BRL",'Histórico'!$A$1:$EL$983,MATCH(B216,'Histórico'!A:A),FALSE),
IF(LEFT(C216,3)="JSE", G216*O216*0.4,
IF(LEFT(C216,3)="GBP", O216*10000*HLOOKUP("GBP/BRL",'Histórico'!$A$1:$FG$983,MATCH(B216,'Histórico'!A:A),FALSE),
IF(LEFT(C216,3)="JAP",O216*10000*HLOOKUP("PTAX",'Histórico'!$A$1:$FG$983,MATCH(B216,'Histórico'!A:A),FALSE),
IF(LEFT(C216,3)="CNH",O216*10000*HLOOKUP("PTAX",'Histórico'!$A$1:$FG$983,MATCH(B216,'Histórico'!A:A),FALSE),
IF(LEFT(C216,3)="AUS",O216*10000*HLOOKUP("PTAX",'Histórico'!$A$1:$FG$983,MATCH(B216,'Histórico'!A:A),FALSE),
IF(LEFT(C216,3)="CAN",O216*10000*HLOOKUP("PTAX",'Histórico'!$A$1:$FG$983,MATCH(B216,'Histórico'!A:A),FALSE),
IF(LEFT(C216,3)="GBR",O216*10000*HLOOKUP("GBP/BRL",'Histórico'!$A$1:$FG$983,MATCH(B216,'Histórico'!A:A),FALSE),
IF(LEFT(C216,3)="MEX",O216*10000*HLOOKUP("PTAX",'Histórico'!$A$1:$FG$983,MATCH(B216,'Histórico'!A:A),FALSE),
IF(LEFT(C216,3)="CHL",O216*10000*HLOOKUP("PTAX",'Histórico'!$A$1:$FG$983,MATCH(B216,'Histórico'!A:A),FALSE)
)))))))))))))))))))))))),""))</f>
        <v/>
      </c>
      <c r="O216" s="49">
        <f t="shared" si="2"/>
        <v>450000</v>
      </c>
      <c r="P216" s="49">
        <f t="shared" si="5"/>
        <v>1150000</v>
      </c>
      <c r="Q216" s="51">
        <f>IF($C216&lt;&gt;"",SUMIFS($O$3:$O$401, $C$3:$C$401 ,$C216,$B$3:$B$401,"&lt;="&amp;Controle!$B$6),"")</f>
        <v>450000</v>
      </c>
      <c r="R216" s="51">
        <f>IF($D216&lt;&gt;"",SUMIFS($O$3:$O$401, $C$3:$C$401 ,$C216,$B$3:$B$401,"&lt;="&amp;Controle!$B$6,$F$3:$F$401,$F216),"")</f>
        <v>450000</v>
      </c>
      <c r="S216" s="51">
        <f>IF($D216&lt;&gt;"",SUMIFS($O$3:$O$401, $C$3:$C$401 ,$C216,$B$3:$B$401,"&lt;="&amp;'Controle D-1'!$B$6,$F$3:$F$401,$F216),"")</f>
        <v>450000</v>
      </c>
      <c r="T216" s="40"/>
      <c r="U216" s="40"/>
      <c r="V216" s="40"/>
      <c r="W216" s="40"/>
      <c r="X216" s="40"/>
      <c r="Y216" s="40"/>
      <c r="Z216" s="40"/>
      <c r="AA216" s="40"/>
      <c r="AB216" s="40"/>
      <c r="AC216" s="40"/>
    </row>
    <row r="217" ht="15.75" customHeight="1">
      <c r="A217" s="28"/>
      <c r="B217" s="100">
        <v>45166.0</v>
      </c>
      <c r="C217" s="88" t="s">
        <v>159</v>
      </c>
      <c r="D217" s="88" t="str">
        <f>IF(ISTEXT(C217),VLOOKUP(C217,'Cadastro dos Ativos'!$A$2:$C$1000,3,0),"")</f>
        <v>Futuros</v>
      </c>
      <c r="E217" s="88" t="s">
        <v>208</v>
      </c>
      <c r="F217" s="88" t="s">
        <v>201</v>
      </c>
      <c r="G217" s="101">
        <v>96085.21</v>
      </c>
      <c r="H217" s="101"/>
      <c r="I217" s="110">
        <f t="array" ref="I217">IF(ISTEXT(C217),xlookup(C217,'Cadastro dos Ativos'!$A$2:$A$1000,'Cadastro dos Ativos'!$D$2:$D$1000),"")</f>
        <v>45293</v>
      </c>
      <c r="J217" s="88">
        <v>403.0</v>
      </c>
      <c r="K217" s="47">
        <f t="array" ref="K217">if(and(J217&lt;&gt;"",D217&lt;&gt;"Futuros"),
if(F217=Controle!$C$2, M217/xlookup(workday(B217,-1,Feriados!A:A),Controle!$B$10:$B$1000,Controle!$C$10:$C$1000),
if(F217=Controle!$F$2, M217/xlookup(workday(B217,-1,Feriados!A:A),Controle!$B$10:$B$1000,Controle!$F$10:$F$1000),
if(F217=Controle!$I$2, M217/xlookup(workday(B217,-1,Feriados!A:A),Controle!$B$10:$B$1000,Controle!$I$10:$I$1000),
if(F217=Controle!$L$2, M217/xlookup(workday(B217,-1,Feriados!A:A),Controle!$B$10:$B$1000,Controle!$L$10:$L$1000),
)))),
if(and(J217&lt;&gt;"",D217="Futuros"),
if(F217=Controle!$C$2, N217/xlookup(workday(B217,-1,Feriados!A:A),Controle!$B$10:$B$1000,Controle!$C$10:$C$1000),
if(F217=Controle!$F$2, N217/xlookup(workday(B217,-1,Feriados!A:A),Controle!$B$10:$B$1000,Controle!$F$10:$F$1000),
if(F217=Controle!$I$2, N217/xlookup(workday(B217,-1,Feriados!A:A),Controle!$B$10:$B$1000,Controle!$I$10:$I$1000),
if(F217=Controle!$L$2, N217/xlookup(workday(B217,-1,Feriados!A:A),Controle!$B$10:$B$1000,Controle!$L$10:$L$1000),
)))),""))</f>
        <v>0.3586912902</v>
      </c>
      <c r="L217" s="47">
        <f t="array" ref="L217">IF($J217&lt;&gt;"", IF($D217 = "Futuros" , $N217/xlookup(WORKDAY(B217,-1,Feriados!A:A),Controle!$B$10:$B$1000,Controle!$T$10:$T$1000) , $M217/xlookup(WORKDAY(B217,-1,Feriados!A:A),Controle!$B$10:$B$1000,Controle!$T$10:$T$1000)),"")</f>
        <v>0.09007218061</v>
      </c>
      <c r="M217" s="48">
        <f t="shared" si="4"/>
        <v>-38722339.63</v>
      </c>
      <c r="N217" s="48">
        <f>IFERROR(IF(D217="Futuros",
IF(LEFT(C217,3)="DI1",G217*O217,
IF(LEFT(C217,3)="ISP",G217*O217*HLOOKUP("PTAX",'Histórico'!$A$1:$EL$983,MATCH(B217,'Histórico'!A:A),FALSE)*50,
IF(LEFT(C217,3)="WDO",10*G217*O217*HLOOKUP("PTAX",'Histórico'!$A$1:$EL$983,MATCH(B217,'Histórico'!A:A),FALSE),
IF(LEFT(C217,3)="DOL",50*G217*O217,
IF(LEFT(C217,3)="EUR",G217*O217*50,
IF(LEFT(C217,3)="WEU",G217*O217*10,
IF(LEFT(C217,3)="IND",G217*O217,
IF(LEFT(C217,3)="WIN",G217*O217*0.2,
IF(LEFT(C217,3)="T10",G217*O217*1000*HLOOKUP("PTAX",'Histórico'!$A$1:$EL$983,MATCH(B217,'Histórico'!A:A),FALSE),
IF(LEFT(C217,3)="CCM",G217*O217*450,
IF(LEFT(C217,3)="SJC",G217*O217*HLOOKUP("PTAX",'Histórico'!$A$1:$EL$983,MATCH(B217,'Histórico'!A:A),FALSE)*450,
IF(LEFT(C217,3)="BGI",G217*O217*330,
IF(LEFT(C217,3)="OZ1",G217*O217*250,
IF(LEFT(C217,3)="CLP",G217*O217*25,
IF(LEFT(C217,3)="EUP", O217*10000*HLOOKUP("EUR/BRL",'Histórico'!$A$1:$EL$983,MATCH(B217,'Histórico'!A:A),FALSE),
IF(LEFT(C217,3)="JSE", G217*O217*0.4,
IF(LEFT(C217,3)="GBP", O217*10000*HLOOKUP("GBP/BRL",'Histórico'!$A$1:$FG$983,MATCH(B217,'Histórico'!A:A),FALSE),
IF(LEFT(C217,3)="JAP",O217*10000*HLOOKUP("PTAX",'Histórico'!$A$1:$FG$983,MATCH(B217,'Histórico'!A:A),FALSE),
IF(LEFT(C217,3)="CNH",O217*10000*HLOOKUP("PTAX",'Histórico'!$A$1:$FG$983,MATCH(B217,'Histórico'!A:A),FALSE),
IF(LEFT(C217,3)="AUS",O217*10000*HLOOKUP("PTAX",'Histórico'!$A$1:$FG$983,MATCH(B217,'Histórico'!A:A),FALSE),
IF(LEFT(C217,3)="CAN",O217*10000*HLOOKUP("PTAX",'Histórico'!$A$1:$FG$983,MATCH(B217,'Histórico'!A:A),FALSE),
IF(LEFT(C217,3)="GBR",O217*10000*HLOOKUP("GBP/BRL",'Histórico'!$A$1:$FG$983,MATCH(B217,'Histórico'!A:A),FALSE),
IF(LEFT(C217,3)="MEX",O217*10000*HLOOKUP("PTAX",'Histórico'!$A$1:$FG$983,MATCH(B217,'Histórico'!A:A),FALSE),
IF(LEFT(C217,3)="CHL",O217*10000*HLOOKUP("PTAX",'Histórico'!$A$1:$FG$983,MATCH(B217,'Histórico'!A:A),FALSE)
)))))))))))))))))))))))),""))</f>
        <v>38722339.63</v>
      </c>
      <c r="O217" s="49">
        <f t="shared" si="2"/>
        <v>403</v>
      </c>
      <c r="P217" s="49">
        <f t="shared" si="5"/>
        <v>123</v>
      </c>
      <c r="Q217" s="51">
        <f>IF($C217&lt;&gt;"",SUMIFS($O$3:$O$401, $C$3:$C$401 ,$C217,$B$3:$B$401,"&lt;="&amp;Controle!$B$6),"")</f>
        <v>123</v>
      </c>
      <c r="R217" s="51">
        <f>IF($D217&lt;&gt;"",SUMIFS($O$3:$O$401, $C$3:$C$401 ,$C217,$B$3:$B$401,"&lt;="&amp;Controle!$B$6,$F$3:$F$401,$F217),"")</f>
        <v>403</v>
      </c>
      <c r="S217" s="51">
        <f>IF($D217&lt;&gt;"",SUMIFS($O$3:$O$401, $C$3:$C$401 ,$C217,$B$3:$B$401,"&lt;="&amp;'Controle D-1'!$B$6,$F$3:$F$401,$F217),"")</f>
        <v>403</v>
      </c>
      <c r="T217" s="40"/>
      <c r="U217" s="40"/>
      <c r="V217" s="40"/>
      <c r="W217" s="40"/>
      <c r="X217" s="40"/>
      <c r="Y217" s="40"/>
      <c r="Z217" s="40"/>
      <c r="AA217" s="40"/>
      <c r="AB217" s="40"/>
      <c r="AC217" s="40"/>
    </row>
    <row r="218" ht="15.75" customHeight="1">
      <c r="A218" s="28"/>
      <c r="B218" s="100">
        <v>45166.0</v>
      </c>
      <c r="C218" s="88" t="s">
        <v>161</v>
      </c>
      <c r="D218" s="88" t="str">
        <f>IF(ISTEXT(C218),VLOOKUP(C218,'Cadastro dos Ativos'!$A$2:$C$1000,3,0),"")</f>
        <v>Futuros</v>
      </c>
      <c r="E218" s="88" t="s">
        <v>198</v>
      </c>
      <c r="F218" s="88" t="s">
        <v>201</v>
      </c>
      <c r="G218" s="101">
        <v>72182.38</v>
      </c>
      <c r="H218" s="46"/>
      <c r="I218" s="110">
        <f t="array" ref="I218">IF(ISTEXT(C218),xlookup(C218,'Cadastro dos Ativos'!$A$2:$A$1000,'Cadastro dos Ativos'!$D$2:$D$1000),"")</f>
        <v>46389</v>
      </c>
      <c r="J218" s="88">
        <v>650.0</v>
      </c>
      <c r="K218" s="47">
        <f t="array" ref="K218">if(and(J218&lt;&gt;"",D218&lt;&gt;"Futuros"),
if(F218=Controle!$C$2, M218/xlookup(workday(B218,-1,Feriados!A:A),Controle!$B$10:$B$1000,Controle!$C$10:$C$1000),
if(F218=Controle!$F$2, M218/xlookup(workday(B218,-1,Feriados!A:A),Controle!$B$10:$B$1000,Controle!$F$10:$F$1000),
if(F218=Controle!$I$2, M218/xlookup(workday(B218,-1,Feriados!A:A),Controle!$B$10:$B$1000,Controle!$I$10:$I$1000),
if(F218=Controle!$L$2, M218/xlookup(workday(B218,-1,Feriados!A:A),Controle!$B$10:$B$1000,Controle!$L$10:$L$1000),
)))),
if(and(J218&lt;&gt;"",D218="Futuros"),
if(F218=Controle!$C$2, N218/xlookup(workday(B218,-1,Feriados!A:A),Controle!$B$10:$B$1000,Controle!$C$10:$C$1000),
if(F218=Controle!$F$2, N218/xlookup(workday(B218,-1,Feriados!A:A),Controle!$B$10:$B$1000,Controle!$F$10:$F$1000),
if(F218=Controle!$I$2, N218/xlookup(workday(B218,-1,Feriados!A:A),Controle!$B$10:$B$1000,Controle!$I$10:$I$1000),
if(F218=Controle!$L$2, N218/xlookup(workday(B218,-1,Feriados!A:A),Controle!$B$10:$B$1000,Controle!$L$10:$L$1000),
)))),""))</f>
        <v>-0.4346140838</v>
      </c>
      <c r="L218" s="47">
        <f t="array" ref="L218">IF($J218&lt;&gt;"", IF($D218 = "Futuros" , $N218/xlookup(WORKDAY(B218,-1,Feriados!A:A),Controle!$B$10:$B$1000,Controle!$T$10:$T$1000) , $M218/xlookup(WORKDAY(B218,-1,Feriados!A:A),Controle!$B$10:$B$1000,Controle!$T$10:$T$1000)),"")</f>
        <v>-0.1091374096</v>
      </c>
      <c r="M218" s="48">
        <f t="shared" si="4"/>
        <v>46918547</v>
      </c>
      <c r="N218" s="48">
        <f>IFERROR(IF(D218="Futuros",
IF(LEFT(C218,3)="DI1",G218*O218,
IF(LEFT(C218,3)="ISP",G218*O218*HLOOKUP("PTAX",'Histórico'!$A$1:$EL$983,MATCH(B218,'Histórico'!A:A),FALSE)*50,
IF(LEFT(C218,3)="WDO",10*G218*O218*HLOOKUP("PTAX",'Histórico'!$A$1:$EL$983,MATCH(B218,'Histórico'!A:A),FALSE),
IF(LEFT(C218,3)="DOL",50*G218*O218,
IF(LEFT(C218,3)="EUR",G218*O218*50,
IF(LEFT(C218,3)="WEU",G218*O218*10,
IF(LEFT(C218,3)="IND",G218*O218,
IF(LEFT(C218,3)="WIN",G218*O218*0.2,
IF(LEFT(C218,3)="T10",G218*O218*1000*HLOOKUP("PTAX",'Histórico'!$A$1:$EL$983,MATCH(B218,'Histórico'!A:A),FALSE),
IF(LEFT(C218,3)="CCM",G218*O218*450,
IF(LEFT(C218,3)="SJC",G218*O218*HLOOKUP("PTAX",'Histórico'!$A$1:$EL$983,MATCH(B218,'Histórico'!A:A),FALSE)*450,
IF(LEFT(C218,3)="BGI",G218*O218*330,
IF(LEFT(C218,3)="OZ1",G218*O218*250,
IF(LEFT(C218,3)="CLP",G218*O218*25,
IF(LEFT(C218,3)="EUP", O218*10000*HLOOKUP("EUR/BRL",'Histórico'!$A$1:$EL$983,MATCH(B218,'Histórico'!A:A),FALSE),
IF(LEFT(C218,3)="JSE", G218*O218*0.4,
IF(LEFT(C218,3)="GBP", O218*10000*HLOOKUP("GBP/BRL",'Histórico'!$A$1:$FG$983,MATCH(B218,'Histórico'!A:A),FALSE),
IF(LEFT(C218,3)="JAP",O218*10000*HLOOKUP("PTAX",'Histórico'!$A$1:$FG$983,MATCH(B218,'Histórico'!A:A),FALSE),
IF(LEFT(C218,3)="CNH",O218*10000*HLOOKUP("PTAX",'Histórico'!$A$1:$FG$983,MATCH(B218,'Histórico'!A:A),FALSE),
IF(LEFT(C218,3)="AUS",O218*10000*HLOOKUP("PTAX",'Histórico'!$A$1:$FG$983,MATCH(B218,'Histórico'!A:A),FALSE),
IF(LEFT(C218,3)="CAN",O218*10000*HLOOKUP("PTAX",'Histórico'!$A$1:$FG$983,MATCH(B218,'Histórico'!A:A),FALSE),
IF(LEFT(C218,3)="GBR",O218*10000*HLOOKUP("GBP/BRL",'Histórico'!$A$1:$FG$983,MATCH(B218,'Histórico'!A:A),FALSE),
IF(LEFT(C218,3)="MEX",O218*10000*HLOOKUP("PTAX",'Histórico'!$A$1:$FG$983,MATCH(B218,'Histórico'!A:A),FALSE),
IF(LEFT(C218,3)="CHL",O218*10000*HLOOKUP("PTAX",'Histórico'!$A$1:$FG$983,MATCH(B218,'Histórico'!A:A),FALSE)
)))))))))))))))))))))))),""))</f>
        <v>-46918547</v>
      </c>
      <c r="O218" s="49">
        <f t="shared" si="2"/>
        <v>-650</v>
      </c>
      <c r="P218" s="49">
        <f t="shared" si="5"/>
        <v>-650</v>
      </c>
      <c r="Q218" s="51">
        <f>IF($C218&lt;&gt;"",SUMIFS($O$3:$O$401, $C$3:$C$401 ,$C218,$B$3:$B$401,"&lt;="&amp;Controle!$B$6),"")</f>
        <v>-650</v>
      </c>
      <c r="R218" s="51">
        <f>IF($D218&lt;&gt;"",SUMIFS($O$3:$O$401, $C$3:$C$401 ,$C218,$B$3:$B$401,"&lt;="&amp;Controle!$B$6,$F$3:$F$401,$F218),"")</f>
        <v>-650</v>
      </c>
      <c r="S218" s="51">
        <f>IF($D218&lt;&gt;"",SUMIFS($O$3:$O$401, $C$3:$C$401 ,$C218,$B$3:$B$401,"&lt;="&amp;'Controle D-1'!$B$6,$F$3:$F$401,$F218),"")</f>
        <v>-650</v>
      </c>
      <c r="T218" s="40"/>
      <c r="U218" s="40"/>
      <c r="V218" s="40"/>
      <c r="W218" s="40"/>
      <c r="X218" s="40"/>
      <c r="Y218" s="40"/>
      <c r="Z218" s="40"/>
      <c r="AA218" s="40"/>
      <c r="AB218" s="40"/>
      <c r="AC218" s="40"/>
    </row>
    <row r="219" ht="15.75" customHeight="1">
      <c r="A219" s="28"/>
      <c r="B219" s="100">
        <v>45166.0</v>
      </c>
      <c r="C219" s="88" t="s">
        <v>149</v>
      </c>
      <c r="D219" s="88" t="str">
        <f>IF(ISTEXT(C219),VLOOKUP(C219,'Cadastro dos Ativos'!$A$2:$C$1000,3,0),"")</f>
        <v>Ações Listadas na B3</v>
      </c>
      <c r="E219" s="88" t="s">
        <v>208</v>
      </c>
      <c r="F219" s="88" t="s">
        <v>201</v>
      </c>
      <c r="G219" s="101">
        <v>10.46</v>
      </c>
      <c r="H219" s="101" t="str">
        <f>if($D219="Ações Americanas", HLOOKUP("PTAX",'Histórico'!$A$1:$EL$983,(MATCH(B219,'Histórico'!A:A))-1,""),
if($D219="Ações Europeias", HLOOKUP("EUR/BRL",'Histórico'!$A$1:$EL$983,(MATCH(B219,'Histórico'!A:A))-1,""),""))</f>
        <v/>
      </c>
      <c r="I219" s="88" t="str">
        <f t="array" ref="I219">IF(ISTEXT(C219),xlookup(C219,'Cadastro dos Ativos'!$A$2:$A$1000,'Cadastro dos Ativos'!$D$2:$D$1000),"")</f>
        <v/>
      </c>
      <c r="J219" s="88">
        <v>550000.0</v>
      </c>
      <c r="K219" s="47">
        <f t="array" ref="K219">if(and(J219&lt;&gt;"",D219&lt;&gt;"Futuros"),
if(F219=Controle!$C$2, M219/xlookup(workday(B219,-1,Feriados!A:A),Controle!$B$10:$B$1000,Controle!$C$10:$C$1000),
if(F219=Controle!$F$2, M219/xlookup(workday(B219,-1,Feriados!A:A),Controle!$B$10:$B$1000,Controle!$F$10:$F$1000),
if(F219=Controle!$I$2, M219/xlookup(workday(B219,-1,Feriados!A:A),Controle!$B$10:$B$1000,Controle!$I$10:$I$1000),
if(F219=Controle!$L$2, M219/xlookup(workday(B219,-1,Feriados!A:A),Controle!$B$10:$B$1000,Controle!$L$10:$L$1000),
)))),
if(and(J219&lt;&gt;"",D219="Futuros"),
if(F219=Controle!$C$2, N219/xlookup(workday(B219,-1,Feriados!A:A),Controle!$B$10:$B$1000,Controle!$C$10:$C$1000),
if(F219=Controle!$F$2, N219/xlookup(workday(B219,-1,Feriados!A:A),Controle!$B$10:$B$1000,Controle!$F$10:$F$1000),
if(F219=Controle!$I$2, N219/xlookup(workday(B219,-1,Feriados!A:A),Controle!$B$10:$B$1000,Controle!$I$10:$I$1000),
if(F219=Controle!$L$2, N219/xlookup(workday(B219,-1,Feriados!A:A),Controle!$B$10:$B$1000,Controle!$L$10:$L$1000),
)))),""))</f>
        <v>-0.05329096879</v>
      </c>
      <c r="L219" s="47">
        <f t="array" ref="L219">IF($J219&lt;&gt;"", IF($D219 = "Futuros" , $N219/xlookup(WORKDAY(B219,-1,Feriados!A:A),Controle!$B$10:$B$1000,Controle!$T$10:$T$1000) , $M219/xlookup(WORKDAY(B219,-1,Feriados!A:A),Controle!$B$10:$B$1000,Controle!$T$10:$T$1000)),"")</f>
        <v>-0.01338207505</v>
      </c>
      <c r="M219" s="48">
        <f t="shared" si="4"/>
        <v>-5753000</v>
      </c>
      <c r="N219" s="48" t="str">
        <f>IFERROR(IF(D219="Futuros",
IF(LEFT(C219,3)="DI1",G219*O219,
IF(LEFT(C219,3)="ISP",G219*O219*HLOOKUP("PTAX",'Histórico'!$A$1:$EL$983,MATCH(B219,'Histórico'!A:A),FALSE)*50,
IF(LEFT(C219,3)="WDO",10*G219*O219*HLOOKUP("PTAX",'Histórico'!$A$1:$EL$983,MATCH(B219,'Histórico'!A:A),FALSE),
IF(LEFT(C219,3)="DOL",50*G219*O219,
IF(LEFT(C219,3)="EUR",G219*O219*50,
IF(LEFT(C219,3)="WEU",G219*O219*10,
IF(LEFT(C219,3)="IND",G219*O219,
IF(LEFT(C219,3)="WIN",G219*O219*0.2,
IF(LEFT(C219,3)="T10",G219*O219*1000*HLOOKUP("PTAX",'Histórico'!$A$1:$EL$983,MATCH(B219,'Histórico'!A:A),FALSE),
IF(LEFT(C219,3)="CCM",G219*O219*450,
IF(LEFT(C219,3)="SJC",G219*O219*HLOOKUP("PTAX",'Histórico'!$A$1:$EL$983,MATCH(B219,'Histórico'!A:A),FALSE)*450,
IF(LEFT(C219,3)="BGI",G219*O219*330,
IF(LEFT(C219,3)="OZ1",G219*O219*250,
IF(LEFT(C219,3)="CLP",G219*O219*25,
IF(LEFT(C219,3)="EUP", O219*10000*HLOOKUP("EUR/BRL",'Histórico'!$A$1:$EL$983,MATCH(B219,'Histórico'!A:A),FALSE),
IF(LEFT(C219,3)="JSE", G219*O219*0.4,
IF(LEFT(C219,3)="GBP", O219*10000*HLOOKUP("GBP/BRL",'Histórico'!$A$1:$FG$983,MATCH(B219,'Histórico'!A:A),FALSE),
IF(LEFT(C219,3)="JAP",O219*10000*HLOOKUP("PTAX",'Histórico'!$A$1:$FG$983,MATCH(B219,'Histórico'!A:A),FALSE),
IF(LEFT(C219,3)="CNH",O219*10000*HLOOKUP("PTAX",'Histórico'!$A$1:$FG$983,MATCH(B219,'Histórico'!A:A),FALSE),
IF(LEFT(C219,3)="AUS",O219*10000*HLOOKUP("PTAX",'Histórico'!$A$1:$FG$983,MATCH(B219,'Histórico'!A:A),FALSE),
IF(LEFT(C219,3)="CAN",O219*10000*HLOOKUP("PTAX",'Histórico'!$A$1:$FG$983,MATCH(B219,'Histórico'!A:A),FALSE),
IF(LEFT(C219,3)="GBR",O219*10000*HLOOKUP("GBP/BRL",'Histórico'!$A$1:$FG$983,MATCH(B219,'Histórico'!A:A),FALSE),
IF(LEFT(C219,3)="MEX",O219*10000*HLOOKUP("PTAX",'Histórico'!$A$1:$FG$983,MATCH(B219,'Histórico'!A:A),FALSE),
IF(LEFT(C219,3)="CHL",O219*10000*HLOOKUP("PTAX",'Histórico'!$A$1:$FG$983,MATCH(B219,'Histórico'!A:A),FALSE)
)))))))))))))))))))))))),""))</f>
        <v/>
      </c>
      <c r="O219" s="49">
        <f t="shared" si="2"/>
        <v>550000</v>
      </c>
      <c r="P219" s="49">
        <f t="shared" si="5"/>
        <v>0</v>
      </c>
      <c r="Q219" s="51">
        <f>IF($C219&lt;&gt;"",SUMIFS($O$3:$O$401, $C$3:$C$401 ,$C219,$B$3:$B$401,"&lt;="&amp;Controle!$B$6),"")</f>
        <v>0</v>
      </c>
      <c r="R219" s="51">
        <f>IF($D219&lt;&gt;"",SUMIFS($O$3:$O$401, $C$3:$C$401 ,$C219,$B$3:$B$401,"&lt;="&amp;Controle!$B$6,$F$3:$F$401,$F219),"")</f>
        <v>0</v>
      </c>
      <c r="S219" s="51">
        <f>IF($D219&lt;&gt;"",SUMIFS($O$3:$O$401, $C$3:$C$401 ,$C219,$B$3:$B$401,"&lt;="&amp;'Controle D-1'!$B$6,$F$3:$F$401,$F219),"")</f>
        <v>550000</v>
      </c>
      <c r="T219" s="40"/>
      <c r="U219" s="40"/>
      <c r="V219" s="40"/>
      <c r="W219" s="40"/>
      <c r="X219" s="40"/>
      <c r="Y219" s="40"/>
      <c r="Z219" s="40"/>
      <c r="AA219" s="40"/>
      <c r="AB219" s="40"/>
      <c r="AC219" s="40"/>
    </row>
    <row r="220" ht="15.75" customHeight="1">
      <c r="A220" s="28"/>
      <c r="B220" s="100">
        <v>45166.0</v>
      </c>
      <c r="C220" s="88" t="s">
        <v>163</v>
      </c>
      <c r="D220" s="88" t="str">
        <f>IF(ISTEXT(C220),VLOOKUP(C220,'Cadastro dos Ativos'!$A$2:$C$1000,3,0),"")</f>
        <v>Futuros</v>
      </c>
      <c r="E220" s="88" t="s">
        <v>198</v>
      </c>
      <c r="F220" s="88" t="s">
        <v>201</v>
      </c>
      <c r="G220" s="101">
        <v>109.9218</v>
      </c>
      <c r="H220" s="46" t="str">
        <f>if($D220="Ações Americanas", HLOOKUP("PTAX",'Histórico'!$A$1:$EL$983,(MATCH(B220,'Histórico'!A:A))-1,""),
if($D220="Ações Europeias", HLOOKUP("EUR/BRL",'Histórico'!$A$1:$EL$983,(MATCH(B220,'Histórico'!A:A))-1,""),""))</f>
        <v/>
      </c>
      <c r="I220" s="110">
        <f t="array" ref="I220">IF(ISTEXT(C220),xlookup(C220,'Cadastro dos Ativos'!$A$2:$A$1000,'Cadastro dos Ativos'!$D$2:$D$1000),"")</f>
        <v>45260</v>
      </c>
      <c r="J220" s="88">
        <v>20.0</v>
      </c>
      <c r="K220" s="47">
        <f t="array" ref="K220">if(and(J220&lt;&gt;"",D220&lt;&gt;"Futuros"),
if(F220=Controle!$C$2, M220/xlookup(workday(B220,-1,Feriados!A:A),Controle!$B$10:$B$1000,Controle!$C$10:$C$1000),
if(F220=Controle!$F$2, M220/xlookup(workday(B220,-1,Feriados!A:A),Controle!$B$10:$B$1000,Controle!$F$10:$F$1000),
if(F220=Controle!$I$2, M220/xlookup(workday(B220,-1,Feriados!A:A),Controle!$B$10:$B$1000,Controle!$I$10:$I$1000),
if(F220=Controle!$L$2, M220/xlookup(workday(B220,-1,Feriados!A:A),Controle!$B$10:$B$1000,Controle!$L$10:$L$1000),
)))),
if(and(J220&lt;&gt;"",D220="Futuros"),
if(F220=Controle!$C$2, N220/xlookup(workday(B220,-1,Feriados!A:A),Controle!$B$10:$B$1000,Controle!$C$10:$C$1000),
if(F220=Controle!$F$2, N220/xlookup(workday(B220,-1,Feriados!A:A),Controle!$B$10:$B$1000,Controle!$F$10:$F$1000),
if(F220=Controle!$I$2, N220/xlookup(workday(B220,-1,Feriados!A:A),Controle!$B$10:$B$1000,Controle!$I$10:$I$1000),
if(F220=Controle!$L$2, N220/xlookup(workday(B220,-1,Feriados!A:A),Controle!$B$10:$B$1000,Controle!$L$10:$L$1000),
)))),""))</f>
        <v>-0.09918310385</v>
      </c>
      <c r="L220" s="47">
        <f t="array" ref="L220">IF($J220&lt;&gt;"", IF($D220 = "Futuros" , $N220/xlookup(WORKDAY(B220,-1,Feriados!A:A),Controle!$B$10:$B$1000,Controle!$T$10:$T$1000) , $M220/xlookup(WORKDAY(B220,-1,Feriados!A:A),Controle!$B$10:$B$1000,Controle!$T$10:$T$1000)),"")</f>
        <v>-0.02490620399</v>
      </c>
      <c r="M220" s="48">
        <f t="shared" si="4"/>
        <v>2198.436</v>
      </c>
      <c r="N220" s="48">
        <f>IFERROR(IF(D220="Futuros",
IF(LEFT(C220,3)="DI1",G220*O220,
IF(LEFT(C220,3)="ISP",G220*O220*HLOOKUP("PTAX",'Histórico'!$A$1:$EL$983,MATCH(B220,'Histórico'!A:A),FALSE)*50,
IF(LEFT(C220,3)="WDO",10*G220*O220*HLOOKUP("PTAX",'Histórico'!$A$1:$EL$983,MATCH(B220,'Histórico'!A:A),FALSE),
IF(LEFT(C220,3)="DOL",50*G220*O220,
IF(LEFT(C220,3)="EUR",G220*O220*50,
IF(LEFT(C220,3)="WEU",G220*O220*10,
IF(LEFT(C220,3)="IND",G220*O220,
IF(LEFT(C220,3)="WIN",G220*O220*0.2,
IF(LEFT(C220,3)="T10",G220*O220*1000*HLOOKUP("PTAX",'Histórico'!$A$1:$EL$983,MATCH(B220,'Histórico'!A:A),FALSE),
IF(LEFT(C220,3)="CCM",G220*O220*450,
IF(LEFT(C220,3)="SJC",G220*O220*HLOOKUP("PTAX",'Histórico'!$A$1:$EL$983,MATCH(B220,'Histórico'!A:A),FALSE)*450,
IF(LEFT(C220,3)="BGI",G220*O220*330,
IF(LEFT(C220,3)="OZ1",G220*O220*250,
IF(LEFT(C220,3)="CLP",G220*O220*25,
IF(LEFT(C220,3)="EUP", O220*10000*HLOOKUP("EUR/BRL",'Histórico'!$A$1:$EL$983,MATCH(B220,'Histórico'!A:A),FALSE),
IF(LEFT(C220,3)="JSE", G220*O220*0.4,
IF(LEFT(C220,3)="GBP", O220*10000*HLOOKUP("GBP/BRL",'Histórico'!$A$1:$FG$983,MATCH(B220,'Histórico'!A:A),FALSE),
IF(LEFT(C220,3)="JAP",O220*10000*HLOOKUP("PTAX",'Histórico'!$A$1:$FG$983,MATCH(B220,'Histórico'!A:A),FALSE),
IF(LEFT(C220,3)="CNH",O220*10000*HLOOKUP("PTAX",'Histórico'!$A$1:$FG$983,MATCH(B220,'Histórico'!A:A),FALSE),
IF(LEFT(C220,3)="AUS",O220*10000*HLOOKUP("PTAX",'Histórico'!$A$1:$FG$983,MATCH(B220,'Histórico'!A:A),FALSE),
IF(LEFT(C220,3)="CAN",O220*10000*HLOOKUP("PTAX",'Histórico'!$A$1:$FG$983,MATCH(B220,'Histórico'!A:A),FALSE),
IF(LEFT(C220,3)="GBR",O220*10000*HLOOKUP("GBP/BRL",'Histórico'!$A$1:$FG$983,MATCH(B220,'Histórico'!A:A),FALSE),
IF(LEFT(C220,3)="MEX",O220*10000*HLOOKUP("PTAX",'Histórico'!$A$1:$FG$983,MATCH(B220,'Histórico'!A:A),FALSE),
IF(LEFT(C220,3)="CHL",O220*10000*HLOOKUP("PTAX",'Histórico'!$A$1:$FG$983,MATCH(B220,'Histórico'!A:A),FALSE)
)))))))))))))))))))))))),""))</f>
        <v>-10707262.59</v>
      </c>
      <c r="O220" s="49">
        <f t="shared" si="2"/>
        <v>-20</v>
      </c>
      <c r="P220" s="49">
        <f t="shared" si="5"/>
        <v>30</v>
      </c>
      <c r="Q220" s="51">
        <f>IF($C220&lt;&gt;"",SUMIFS($O$3:$O$401, $C$3:$C$401 ,$C220,$B$3:$B$401,"&lt;="&amp;Controle!$B$6),"")</f>
        <v>30</v>
      </c>
      <c r="R220" s="51">
        <f>IF($D220&lt;&gt;"",SUMIFS($O$3:$O$401, $C$3:$C$401 ,$C220,$B$3:$B$401,"&lt;="&amp;Controle!$B$6,$F$3:$F$401,$F220),"")</f>
        <v>-20</v>
      </c>
      <c r="S220" s="51">
        <f>IF($D220&lt;&gt;"",SUMIFS($O$3:$O$401, $C$3:$C$401 ,$C220,$B$3:$B$401,"&lt;="&amp;'Controle D-1'!$B$6,$F$3:$F$401,$F220),"")</f>
        <v>-20</v>
      </c>
      <c r="T220" s="40"/>
      <c r="U220" s="40"/>
      <c r="V220" s="40"/>
      <c r="W220" s="40"/>
      <c r="X220" s="40"/>
      <c r="Y220" s="40"/>
      <c r="Z220" s="40"/>
      <c r="AA220" s="40"/>
      <c r="AB220" s="40"/>
      <c r="AC220" s="40"/>
    </row>
    <row r="221" ht="15.75" customHeight="1">
      <c r="A221" s="28"/>
      <c r="B221" s="100">
        <v>45166.0</v>
      </c>
      <c r="C221" s="88" t="s">
        <v>165</v>
      </c>
      <c r="D221" s="143" t="str">
        <f>IF(ISTEXT(C221),VLOOKUP(C221,'Cadastro dos Ativos'!$A$2:$C$1000,3,0),"")</f>
        <v>Futuros</v>
      </c>
      <c r="E221" s="88" t="s">
        <v>208</v>
      </c>
      <c r="F221" s="88" t="s">
        <v>201</v>
      </c>
      <c r="G221" s="144">
        <v>7280.835</v>
      </c>
      <c r="H221" s="101" t="str">
        <f>if($D221="Ações Americanas", HLOOKUP("PTAX",'Histórico'!$A$1:$EL$983,(MATCH(B221,'Histórico'!A:A))-1,""),
if($D221="Ações Europeias", HLOOKUP("EUR/BRL",'Histórico'!$A$1:$EL$983,(MATCH(B221,'Histórico'!A:A))-1,""),""))</f>
        <v/>
      </c>
      <c r="I221" s="145">
        <f t="array" ref="I221">IF(ISTEXT(C221),xlookup(C221,'Cadastro dos Ativos'!$A$2:$A$1000,'Cadastro dos Ativos'!$D$2:$D$1000),"")</f>
        <v>45201</v>
      </c>
      <c r="J221" s="143">
        <v>450.0</v>
      </c>
      <c r="K221" s="47">
        <f t="array" ref="K221">if(and(J221&lt;&gt;"",D221&lt;&gt;"Futuros"),
if(F221=Controle!$C$2, M221/xlookup(workday(B221,-1,Feriados!A:A),Controle!$B$10:$B$1000,Controle!$C$10:$C$1000),
if(F221=Controle!$F$2, M221/xlookup(workday(B221,-1,Feriados!A:A),Controle!$B$10:$B$1000,Controle!$F$10:$F$1000),
if(F221=Controle!$I$2, M221/xlookup(workday(B221,-1,Feriados!A:A),Controle!$B$10:$B$1000,Controle!$I$10:$I$1000),
if(F221=Controle!$L$2, M221/xlookup(workday(B221,-1,Feriados!A:A),Controle!$B$10:$B$1000,Controle!$L$10:$L$1000),
)))),
if(and(J221&lt;&gt;"",D221="Futuros"),
if(F221=Controle!$C$2, N221/xlookup(workday(B221,-1,Feriados!A:A),Controle!$B$10:$B$1000,Controle!$C$10:$C$1000),
if(F221=Controle!$F$2, N221/xlookup(workday(B221,-1,Feriados!A:A),Controle!$B$10:$B$1000,Controle!$F$10:$F$1000),
if(F221=Controle!$I$2, N221/xlookup(workday(B221,-1,Feriados!A:A),Controle!$B$10:$B$1000,Controle!$I$10:$I$1000),
if(F221=Controle!$L$2, N221/xlookup(workday(B221,-1,Feriados!A:A),Controle!$B$10:$B$1000,Controle!$L$10:$L$1000),
)))),""))</f>
        <v>0.2030188586</v>
      </c>
      <c r="L221" s="47">
        <f t="array" ref="L221">IF($J221&lt;&gt;"", IF($D221 = "Futuros" , $N221/xlookup(WORKDAY(B221,-1,Feriados!A:A),Controle!$B$10:$B$1000,Controle!$T$10:$T$1000) , $M221/xlookup(WORKDAY(B221,-1,Feriados!A:A),Controle!$B$10:$B$1000,Controle!$T$10:$T$1000)),"")</f>
        <v>0.05098075084</v>
      </c>
      <c r="M221" s="48">
        <f t="shared" si="4"/>
        <v>-3276375.75</v>
      </c>
      <c r="N221" s="48">
        <f>IFERROR(IF(D221="Futuros",
IF(LEFT(C221,3)="DI1",G221*O221,
IF(LEFT(C221,3)="ISP",G221*O221*HLOOKUP("PTAX",'Histórico'!$A$1:$EL$983,MATCH(B221,'Histórico'!A:A),FALSE)*50,
IF(LEFT(C221,3)="WDO",10*G221*O221*HLOOKUP("PTAX",'Histórico'!$A$1:$EL$983,MATCH(B221,'Histórico'!A:A),FALSE),
IF(LEFT(C221,3)="DOL",50*G221*O221,
IF(LEFT(C221,3)="EUR",G221*O221*50,
IF(LEFT(C221,3)="WEU",G221*O221*10,
IF(LEFT(C221,3)="IND",G221*O221,
IF(LEFT(C221,3)="WIN",G221*O221*0.2,
IF(LEFT(C221,3)="T10",G221*O221*1000*HLOOKUP("PTAX",'Histórico'!$A$1:$EL$983,MATCH(B221,'Histórico'!A:A),FALSE),
IF(LEFT(C221,3)="CCM",G221*O221*450,
IF(LEFT(C221,3)="SJC",G221*O221*HLOOKUP("PTAX",'Histórico'!$A$1:$EL$983,MATCH(B221,'Histórico'!A:A),FALSE)*450,
IF(LEFT(C221,3)="BGI",G221*O221*330,
IF(LEFT(C221,3)="OZ1",G221*O221*250,
IF(LEFT(C221,3)="CLP",G221*O221*25,
IF(LEFT(C221,3)="EUP", O221*10000*HLOOKUP("EUR/BRL",'Histórico'!$A$1:$EL$983,MATCH(B221,'Histórico'!A:A),FALSE),
IF(LEFT(C221,3)="JSE", G221*O221*0.4,
IF(LEFT(C221,3)="GBP", O221*10000*HLOOKUP("GBP/BRL",'Histórico'!$A$1:$FG$983,MATCH(B221,'Histórico'!A:A),FALSE),
IF(LEFT(C221,3)="JAP",O221*10000*HLOOKUP("PTAX",'Histórico'!$A$1:$FG$983,MATCH(B221,'Histórico'!A:A),FALSE),
IF(LEFT(C221,3)="CNH",O221*10000*HLOOKUP("PTAX",'Histórico'!$A$1:$FG$983,MATCH(B221,'Histórico'!A:A),FALSE),
IF(LEFT(C221,3)="AUS",O221*10000*HLOOKUP("PTAX",'Histórico'!$A$1:$FG$983,MATCH(B221,'Histórico'!A:A),FALSE),
IF(LEFT(C221,3)="CAN",O221*10000*HLOOKUP("PTAX",'Histórico'!$A$1:$FG$983,MATCH(B221,'Histórico'!A:A),FALSE),
IF(LEFT(C221,3)="GBR",O221*10000*HLOOKUP("GBP/BRL",'Histórico'!$A$1:$FG$983,MATCH(B221,'Histórico'!A:A),FALSE),
IF(LEFT(C221,3)="MEX",O221*10000*HLOOKUP("PTAX",'Histórico'!$A$1:$FG$983,MATCH(B221,'Histórico'!A:A),FALSE),
IF(LEFT(C221,3)="CHL",O221*10000*HLOOKUP("PTAX",'Histórico'!$A$1:$FG$983,MATCH(B221,'Histórico'!A:A),FALSE)
)))))))))))))))))))))))),""))</f>
        <v>21916799.78</v>
      </c>
      <c r="O221" s="49">
        <f t="shared" si="2"/>
        <v>450</v>
      </c>
      <c r="P221" s="49">
        <f t="shared" si="5"/>
        <v>1050</v>
      </c>
      <c r="Q221" s="51">
        <f>IF($C221&lt;&gt;"",SUMIFS($O$3:$O$401, $C$3:$C$401 ,$C221,$B$3:$B$401,"&lt;="&amp;Controle!$B$6),"")</f>
        <v>1050</v>
      </c>
      <c r="R221" s="51">
        <f>IF($D221&lt;&gt;"",SUMIFS($O$3:$O$401, $C$3:$C$401 ,$C221,$B$3:$B$401,"&lt;="&amp;Controle!$B$6,$F$3:$F$401,$F221),"")</f>
        <v>450</v>
      </c>
      <c r="S221" s="51">
        <f>IF($D221&lt;&gt;"",SUMIFS($O$3:$O$401, $C$3:$C$401 ,$C221,$B$3:$B$401,"&lt;="&amp;'Controle D-1'!$B$6,$F$3:$F$401,$F221),"")</f>
        <v>450</v>
      </c>
      <c r="T221" s="40"/>
      <c r="U221" s="40"/>
      <c r="V221" s="40"/>
      <c r="W221" s="40"/>
      <c r="X221" s="40"/>
      <c r="Y221" s="40"/>
      <c r="Z221" s="40"/>
      <c r="AA221" s="40"/>
      <c r="AB221" s="40"/>
      <c r="AC221" s="40"/>
    </row>
    <row r="222" ht="15.75" customHeight="1">
      <c r="A222" s="146"/>
      <c r="B222" s="100">
        <v>45166.0</v>
      </c>
      <c r="C222" s="88" t="s">
        <v>165</v>
      </c>
      <c r="D222" s="88" t="str">
        <f>IF(ISTEXT(C222),VLOOKUP(C222,'Cadastro dos Ativos'!$A$2:$C$1000,3,0),"")</f>
        <v>Futuros</v>
      </c>
      <c r="E222" s="88" t="s">
        <v>208</v>
      </c>
      <c r="F222" s="88" t="s">
        <v>200</v>
      </c>
      <c r="G222" s="144">
        <v>7280.835</v>
      </c>
      <c r="H222" s="46" t="str">
        <f>if($D222="Ações Americanas", HLOOKUP("PTAX",'Histórico'!$A$1:$EL$983,(MATCH(B222,'Histórico'!A:A))-1,""),
if($D222="Ações Europeias", HLOOKUP("EUR/BRL",'Histórico'!$A$1:$EL$983,(MATCH(B222,'Histórico'!A:A))-1,""),""))</f>
        <v/>
      </c>
      <c r="I222" s="110">
        <f t="array" ref="I222">IF(ISTEXT(C222),xlookup(C222,'Cadastro dos Ativos'!$A$2:$A$1000,'Cadastro dos Ativos'!$D$2:$D$1000),"")</f>
        <v>45201</v>
      </c>
      <c r="J222" s="88">
        <v>600.0</v>
      </c>
      <c r="K222" s="47">
        <f t="array" ref="K222">if(and(J222&lt;&gt;"",D222&lt;&gt;"Futuros"),
if(F222=Controle!$C$2, M222/xlookup(workday(B222,-1,Feriados!A:A),Controle!$B$10:$B$1000,Controle!$C$10:$C$1000),
if(F222=Controle!$F$2, M222/xlookup(workday(B222,-1,Feriados!A:A),Controle!$B$10:$B$1000,Controle!$F$10:$F$1000),
if(F222=Controle!$I$2, M222/xlookup(workday(B222,-1,Feriados!A:A),Controle!$B$10:$B$1000,Controle!$I$10:$I$1000),
if(F222=Controle!$L$2, M222/xlookup(workday(B222,-1,Feriados!A:A),Controle!$B$10:$B$1000,Controle!$L$10:$L$1000),
)))),
if(and(J222&lt;&gt;"",D222="Futuros"),
if(F222=Controle!$C$2, N222/xlookup(workday(B222,-1,Feriados!A:A),Controle!$B$10:$B$1000,Controle!$C$10:$C$1000),
if(F222=Controle!$F$2, N222/xlookup(workday(B222,-1,Feriados!A:A),Controle!$B$10:$B$1000,Controle!$F$10:$F$1000),
if(F222=Controle!$I$2, N222/xlookup(workday(B222,-1,Feriados!A:A),Controle!$B$10:$B$1000,Controle!$I$10:$I$1000),
if(F222=Controle!$L$2, N222/xlookup(workday(B222,-1,Feriados!A:A),Controle!$B$10:$B$1000,Controle!$L$10:$L$1000),
)))),""))</f>
        <v>0.2622958123</v>
      </c>
      <c r="L222" s="47">
        <f t="array" ref="L222">IF($J222&lt;&gt;"", IF($D222 = "Futuros" , $N222/xlookup(WORKDAY(B222,-1,Feriados!A:A),Controle!$B$10:$B$1000,Controle!$T$10:$T$1000) , $M222/xlookup(WORKDAY(B222,-1,Feriados!A:A),Controle!$B$10:$B$1000,Controle!$T$10:$T$1000)),"")</f>
        <v>0.06797433445</v>
      </c>
      <c r="M222" s="48">
        <f t="shared" si="4"/>
        <v>-4368501</v>
      </c>
      <c r="N222" s="48">
        <f>IFERROR(IF(D222="Futuros",
IF(LEFT(C222,3)="DI1",G222*O222,
IF(LEFT(C222,3)="ISP",G222*O222*HLOOKUP("PTAX",'Histórico'!$A$1:$EL$983,MATCH(B222,'Histórico'!A:A),FALSE)*50,
IF(LEFT(C222,3)="WDO",10*G222*O222*HLOOKUP("PTAX",'Histórico'!$A$1:$EL$983,MATCH(B222,'Histórico'!A:A),FALSE),
IF(LEFT(C222,3)="DOL",50*G222*O222,
IF(LEFT(C222,3)="EUR",G222*O222*50,
IF(LEFT(C222,3)="WEU",G222*O222*10,
IF(LEFT(C222,3)="IND",G222*O222,
IF(LEFT(C222,3)="WIN",G222*O222*0.2,
IF(LEFT(C222,3)="T10",G222*O222*1000*HLOOKUP("PTAX",'Histórico'!$A$1:$EL$983,MATCH(B222,'Histórico'!A:A),FALSE),
IF(LEFT(C222,3)="CCM",G222*O222*450,
IF(LEFT(C222,3)="SJC",G222*O222*HLOOKUP("PTAX",'Histórico'!$A$1:$EL$983,MATCH(B222,'Histórico'!A:A),FALSE)*450,
IF(LEFT(C222,3)="BGI",G222*O222*330,
IF(LEFT(C222,3)="OZ1",G222*O222*250,
IF(LEFT(C222,3)="CLP",G222*O222*25,
IF(LEFT(C222,3)="EUP", O222*10000*HLOOKUP("EUR/BRL",'Histórico'!$A$1:$EL$983,MATCH(B222,'Histórico'!A:A),FALSE),
IF(LEFT(C222,3)="JSE", G222*O222*0.4,
IF(LEFT(C222,3)="GBP", O222*10000*HLOOKUP("GBP/BRL",'Histórico'!$A$1:$FG$983,MATCH(B222,'Histórico'!A:A),FALSE),
IF(LEFT(C222,3)="JAP",O222*10000*HLOOKUP("PTAX",'Histórico'!$A$1:$FG$983,MATCH(B222,'Histórico'!A:A),FALSE),
IF(LEFT(C222,3)="CNH",O222*10000*HLOOKUP("PTAX",'Histórico'!$A$1:$FG$983,MATCH(B222,'Histórico'!A:A),FALSE),
IF(LEFT(C222,3)="AUS",O222*10000*HLOOKUP("PTAX",'Histórico'!$A$1:$FG$983,MATCH(B222,'Histórico'!A:A),FALSE),
IF(LEFT(C222,3)="CAN",O222*10000*HLOOKUP("PTAX",'Histórico'!$A$1:$FG$983,MATCH(B222,'Histórico'!A:A),FALSE),
IF(LEFT(C222,3)="GBR",O222*10000*HLOOKUP("GBP/BRL",'Histórico'!$A$1:$FG$983,MATCH(B222,'Histórico'!A:A),FALSE),
IF(LEFT(C222,3)="MEX",O222*10000*HLOOKUP("PTAX",'Histórico'!$A$1:$FG$983,MATCH(B222,'Histórico'!A:A),FALSE),
IF(LEFT(C222,3)="CHL",O222*10000*HLOOKUP("PTAX",'Histórico'!$A$1:$FG$983,MATCH(B222,'Histórico'!A:A),FALSE)
)))))))))))))))))))))))),""))</f>
        <v>29222399.71</v>
      </c>
      <c r="O222" s="49">
        <f t="shared" si="2"/>
        <v>600</v>
      </c>
      <c r="P222" s="49">
        <f t="shared" si="5"/>
        <v>1050</v>
      </c>
      <c r="Q222" s="51">
        <f>IF($C222&lt;&gt;"",SUMIFS($O$3:$O$401, $C$3:$C$401 ,$C222,$B$3:$B$401,"&lt;="&amp;Controle!$B$6),"")</f>
        <v>1050</v>
      </c>
      <c r="R222" s="51">
        <f>IF($D222&lt;&gt;"",SUMIFS($O$3:$O$401, $C$3:$C$401 ,$C222,$B$3:$B$401,"&lt;="&amp;Controle!$B$6,$F$3:$F$401,$F222),"")</f>
        <v>600</v>
      </c>
      <c r="S222" s="51">
        <f>IF($D222&lt;&gt;"",SUMIFS($O$3:$O$401, $C$3:$C$401 ,$C222,$B$3:$B$401,"&lt;="&amp;'Controle D-1'!$B$6,$F$3:$F$401,$F222),"")</f>
        <v>600</v>
      </c>
      <c r="T222" s="40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146"/>
      <c r="B223" s="100">
        <v>45166.0</v>
      </c>
      <c r="C223" s="88" t="s">
        <v>167</v>
      </c>
      <c r="D223" s="88" t="str">
        <f>IF(ISTEXT(C223),VLOOKUP(C223,'Cadastro dos Ativos'!$A$2:$C$1000,3,0),"")</f>
        <v>Futuros</v>
      </c>
      <c r="E223" s="88" t="s">
        <v>208</v>
      </c>
      <c r="F223" s="88" t="s">
        <v>200</v>
      </c>
      <c r="G223" s="101">
        <v>93703.56</v>
      </c>
      <c r="H223" s="101" t="str">
        <f>if($D223="Ações Americanas", HLOOKUP("PTAX",'Histórico'!$A$1:$EL$983,(MATCH(B223,'Histórico'!A:A))-1,""),
if($D223="Ações Europeias", HLOOKUP("EUR/BRL",'Histórico'!$A$1:$EL$983,(MATCH(B223,'Histórico'!A:A))-1,""),""))</f>
        <v/>
      </c>
      <c r="I223" s="110">
        <f t="array" ref="I223">IF(ISTEXT(C223),xlookup(C223,'Cadastro dos Ativos'!$A$2:$A$1000,'Cadastro dos Ativos'!$D$2:$D$1000),"")</f>
        <v>45383</v>
      </c>
      <c r="J223" s="88">
        <v>300.0</v>
      </c>
      <c r="K223" s="47">
        <f t="array" ref="K223">if(and(J223&lt;&gt;"",D223&lt;&gt;"Futuros"),
if(F223=Controle!$C$2, M223/xlookup(workday(B223,-1,Feriados!A:A),Controle!$B$10:$B$1000,Controle!$C$10:$C$1000),
if(F223=Controle!$F$2, M223/xlookup(workday(B223,-1,Feriados!A:A),Controle!$B$10:$B$1000,Controle!$F$10:$F$1000),
if(F223=Controle!$I$2, M223/xlookup(workday(B223,-1,Feriados!A:A),Controle!$B$10:$B$1000,Controle!$I$10:$I$1000),
if(F223=Controle!$L$2, M223/xlookup(workday(B223,-1,Feriados!A:A),Controle!$B$10:$B$1000,Controle!$L$10:$L$1000),
)))),
if(and(J223&lt;&gt;"",D223="Futuros"),
if(F223=Controle!$C$2, N223/xlookup(workday(B223,-1,Feriados!A:A),Controle!$B$10:$B$1000,Controle!$C$10:$C$1000),
if(F223=Controle!$F$2, N223/xlookup(workday(B223,-1,Feriados!A:A),Controle!$B$10:$B$1000,Controle!$F$10:$F$1000),
if(F223=Controle!$I$2, N223/xlookup(workday(B223,-1,Feriados!A:A),Controle!$B$10:$B$1000,Controle!$I$10:$I$1000),
if(F223=Controle!$L$2, N223/xlookup(workday(B223,-1,Feriados!A:A),Controle!$B$10:$B$1000,Controle!$L$10:$L$1000),
)))),""))</f>
        <v>0.252320668</v>
      </c>
      <c r="L223" s="47">
        <f t="array" ref="L223">IF($J223&lt;&gt;"", IF($D223 = "Futuros" , $N223/xlookup(WORKDAY(B223,-1,Feriados!A:A),Controle!$B$10:$B$1000,Controle!$T$10:$T$1000) , $M223/xlookup(WORKDAY(B223,-1,Feriados!A:A),Controle!$B$10:$B$1000,Controle!$T$10:$T$1000)),"")</f>
        <v>0.06538926156</v>
      </c>
      <c r="M223" s="48">
        <f t="shared" si="4"/>
        <v>-28111068</v>
      </c>
      <c r="N223" s="48">
        <f>IFERROR(IF(D223="Futuros",
IF(LEFT(C223,3)="DI1",G223*O223,
IF(LEFT(C223,3)="ISP",G223*O223*HLOOKUP("PTAX",'Histórico'!$A$1:$EL$983,MATCH(B223,'Histórico'!A:A),FALSE)*50,
IF(LEFT(C223,3)="WDO",10*G223*O223*HLOOKUP("PTAX",'Histórico'!$A$1:$EL$983,MATCH(B223,'Histórico'!A:A),FALSE),
IF(LEFT(C223,3)="DOL",50*G223*O223,
IF(LEFT(C223,3)="EUR",G223*O223*50,
IF(LEFT(C223,3)="WEU",G223*O223*10,
IF(LEFT(C223,3)="IND",G223*O223,
IF(LEFT(C223,3)="WIN",G223*O223*0.2,
IF(LEFT(C223,3)="T10",G223*O223*1000*HLOOKUP("PTAX",'Histórico'!$A$1:$EL$983,MATCH(B223,'Histórico'!A:A),FALSE),
IF(LEFT(C223,3)="CCM",G223*O223*450,
IF(LEFT(C223,3)="SJC",G223*O223*HLOOKUP("PTAX",'Histórico'!$A$1:$EL$983,MATCH(B223,'Histórico'!A:A),FALSE)*450,
IF(LEFT(C223,3)="BGI",G223*O223*330,
IF(LEFT(C223,3)="OZ1",G223*O223*250,
IF(LEFT(C223,3)="CLP",G223*O223*25,
IF(LEFT(C223,3)="EUP", O223*10000*HLOOKUP("EUR/BRL",'Histórico'!$A$1:$EL$983,MATCH(B223,'Histórico'!A:A),FALSE),
IF(LEFT(C223,3)="JSE", G223*O223*0.4,
IF(LEFT(C223,3)="GBP", O223*10000*HLOOKUP("GBP/BRL",'Histórico'!$A$1:$FG$983,MATCH(B223,'Histórico'!A:A),FALSE),
IF(LEFT(C223,3)="JAP",O223*10000*HLOOKUP("PTAX",'Histórico'!$A$1:$FG$983,MATCH(B223,'Histórico'!A:A),FALSE),
IF(LEFT(C223,3)="CNH",O223*10000*HLOOKUP("PTAX",'Histórico'!$A$1:$FG$983,MATCH(B223,'Histórico'!A:A),FALSE),
IF(LEFT(C223,3)="AUS",O223*10000*HLOOKUP("PTAX",'Histórico'!$A$1:$FG$983,MATCH(B223,'Histórico'!A:A),FALSE),
IF(LEFT(C223,3)="CAN",O223*10000*HLOOKUP("PTAX",'Histórico'!$A$1:$FG$983,MATCH(B223,'Histórico'!A:A),FALSE),
IF(LEFT(C223,3)="GBR",O223*10000*HLOOKUP("GBP/BRL",'Histórico'!$A$1:$FG$983,MATCH(B223,'Histórico'!A:A),FALSE),
IF(LEFT(C223,3)="MEX",O223*10000*HLOOKUP("PTAX",'Histórico'!$A$1:$FG$983,MATCH(B223,'Histórico'!A:A),FALSE),
IF(LEFT(C223,3)="CHL",O223*10000*HLOOKUP("PTAX",'Histórico'!$A$1:$FG$983,MATCH(B223,'Histórico'!A:A),FALSE)
)))))))))))))))))))))))),""))</f>
        <v>28111068</v>
      </c>
      <c r="O223" s="49">
        <f t="shared" si="2"/>
        <v>300</v>
      </c>
      <c r="P223" s="49">
        <f t="shared" si="5"/>
        <v>300</v>
      </c>
      <c r="Q223" s="51">
        <f>IF($C223&lt;&gt;"",SUMIFS($O$3:$O$401, $C$3:$C$401 ,$C223,$B$3:$B$401,"&lt;="&amp;Controle!$B$6),"")</f>
        <v>300</v>
      </c>
      <c r="R223" s="51">
        <f>IF($D223&lt;&gt;"",SUMIFS($O$3:$O$401, $C$3:$C$401 ,$C223,$B$3:$B$401,"&lt;="&amp;Controle!$B$6,$F$3:$F$401,$F223),"")</f>
        <v>300</v>
      </c>
      <c r="S223" s="51">
        <f>IF($D223&lt;&gt;"",SUMIFS($O$3:$O$401, $C$3:$C$401 ,$C223,$B$3:$B$401,"&lt;="&amp;'Controle D-1'!$B$6,$F$3:$F$401,$F223),"")</f>
        <v>300</v>
      </c>
      <c r="T223" s="40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146"/>
      <c r="B224" s="100">
        <v>45166.0</v>
      </c>
      <c r="C224" s="88" t="s">
        <v>159</v>
      </c>
      <c r="D224" s="88" t="str">
        <f>IF(ISTEXT(C224),VLOOKUP(C224,'Cadastro dos Ativos'!$A$2:$C$1000,3,0),"")</f>
        <v>Futuros</v>
      </c>
      <c r="E224" s="88" t="s">
        <v>198</v>
      </c>
      <c r="F224" s="88" t="s">
        <v>200</v>
      </c>
      <c r="G224" s="101">
        <v>96094.77</v>
      </c>
      <c r="H224" s="46" t="str">
        <f>if($D224="Ações Americanas", HLOOKUP("PTAX",'Histórico'!$A$1:$EL$983,(MATCH(B224,'Histórico'!A:A))-1,""),
if($D224="Ações Europeias", HLOOKUP("EUR/BRL",'Histórico'!$A$1:$EL$983,(MATCH(B224,'Histórico'!A:A))-1,""),""))</f>
        <v/>
      </c>
      <c r="I224" s="110">
        <f t="array" ref="I224">IF(ISTEXT(C224),xlookup(C224,'Cadastro dos Ativos'!$A$2:$A$1000,'Cadastro dos Ativos'!$D$2:$D$1000),"")</f>
        <v>45293</v>
      </c>
      <c r="J224" s="88">
        <v>280.0</v>
      </c>
      <c r="K224" s="47">
        <f t="array" ref="K224">if(and(J224&lt;&gt;"",D224&lt;&gt;"Futuros"),
if(F224=Controle!$C$2, M224/xlookup(workday(B224,-1,Feriados!A:A),Controle!$B$10:$B$1000,Controle!$C$10:$C$1000),
if(F224=Controle!$F$2, M224/xlookup(workday(B224,-1,Feriados!A:A),Controle!$B$10:$B$1000,Controle!$F$10:$F$1000),
if(F224=Controle!$I$2, M224/xlookup(workday(B224,-1,Feriados!A:A),Controle!$B$10:$B$1000,Controle!$I$10:$I$1000),
if(F224=Controle!$L$2, M224/xlookup(workday(B224,-1,Feriados!A:A),Controle!$B$10:$B$1000,Controle!$L$10:$L$1000),
)))),
if(and(J224&lt;&gt;"",D224="Futuros"),
if(F224=Controle!$C$2, N224/xlookup(workday(B224,-1,Feriados!A:A),Controle!$B$10:$B$1000,Controle!$C$10:$C$1000),
if(F224=Controle!$F$2, N224/xlookup(workday(B224,-1,Feriados!A:A),Controle!$B$10:$B$1000,Controle!$F$10:$F$1000),
if(F224=Controle!$I$2, N224/xlookup(workday(B224,-1,Feriados!A:A),Controle!$B$10:$B$1000,Controle!$I$10:$I$1000),
if(F224=Controle!$L$2, N224/xlookup(workday(B224,-1,Feriados!A:A),Controle!$B$10:$B$1000,Controle!$L$10:$L$1000),
)))),""))</f>
        <v>-0.2415089685</v>
      </c>
      <c r="L224" s="47">
        <f t="array" ref="L224">IF($J224&lt;&gt;"", IF($D224 = "Futuros" , $N224/xlookup(WORKDAY(B224,-1,Feriados!A:A),Controle!$B$10:$B$1000,Controle!$T$10:$T$1000) , $M224/xlookup(WORKDAY(B224,-1,Feriados!A:A),Controle!$B$10:$B$1000,Controle!$T$10:$T$1000)),"")</f>
        <v>-0.06258739419</v>
      </c>
      <c r="M224" s="48">
        <f t="shared" si="4"/>
        <v>26906535.6</v>
      </c>
      <c r="N224" s="48">
        <f>IFERROR(IF(D224="Futuros",
IF(LEFT(C224,3)="DI1",G224*O224,
IF(LEFT(C224,3)="ISP",G224*O224*HLOOKUP("PTAX",'Histórico'!$A$1:$EL$983,MATCH(B224,'Histórico'!A:A),FALSE)*50,
IF(LEFT(C224,3)="WDO",10*G224*O224*HLOOKUP("PTAX",'Histórico'!$A$1:$EL$983,MATCH(B224,'Histórico'!A:A),FALSE),
IF(LEFT(C224,3)="DOL",50*G224*O224,
IF(LEFT(C224,3)="EUR",G224*O224*50,
IF(LEFT(C224,3)="WEU",G224*O224*10,
IF(LEFT(C224,3)="IND",G224*O224,
IF(LEFT(C224,3)="WIN",G224*O224*0.2,
IF(LEFT(C224,3)="T10",G224*O224*1000*HLOOKUP("PTAX",'Histórico'!$A$1:$EL$983,MATCH(B224,'Histórico'!A:A),FALSE),
IF(LEFT(C224,3)="CCM",G224*O224*450,
IF(LEFT(C224,3)="SJC",G224*O224*HLOOKUP("PTAX",'Histórico'!$A$1:$EL$983,MATCH(B224,'Histórico'!A:A),FALSE)*450,
IF(LEFT(C224,3)="BGI",G224*O224*330,
IF(LEFT(C224,3)="OZ1",G224*O224*250,
IF(LEFT(C224,3)="CLP",G224*O224*25,
IF(LEFT(C224,3)="EUP", O224*10000*HLOOKUP("EUR/BRL",'Histórico'!$A$1:$EL$983,MATCH(B224,'Histórico'!A:A),FALSE),
IF(LEFT(C224,3)="JSE", G224*O224*0.4,
IF(LEFT(C224,3)="GBP", O224*10000*HLOOKUP("GBP/BRL",'Histórico'!$A$1:$FG$983,MATCH(B224,'Histórico'!A:A),FALSE),
IF(LEFT(C224,3)="JAP",O224*10000*HLOOKUP("PTAX",'Histórico'!$A$1:$FG$983,MATCH(B224,'Histórico'!A:A),FALSE),
IF(LEFT(C224,3)="CNH",O224*10000*HLOOKUP("PTAX",'Histórico'!$A$1:$FG$983,MATCH(B224,'Histórico'!A:A),FALSE),
IF(LEFT(C224,3)="AUS",O224*10000*HLOOKUP("PTAX",'Histórico'!$A$1:$FG$983,MATCH(B224,'Histórico'!A:A),FALSE),
IF(LEFT(C224,3)="CAN",O224*10000*HLOOKUP("PTAX",'Histórico'!$A$1:$FG$983,MATCH(B224,'Histórico'!A:A),FALSE),
IF(LEFT(C224,3)="GBR",O224*10000*HLOOKUP("GBP/BRL",'Histórico'!$A$1:$FG$983,MATCH(B224,'Histórico'!A:A),FALSE),
IF(LEFT(C224,3)="MEX",O224*10000*HLOOKUP("PTAX",'Histórico'!$A$1:$FG$983,MATCH(B224,'Histórico'!A:A),FALSE),
IF(LEFT(C224,3)="CHL",O224*10000*HLOOKUP("PTAX",'Histórico'!$A$1:$FG$983,MATCH(B224,'Histórico'!A:A),FALSE)
)))))))))))))))))))))))),""))</f>
        <v>-26906535.6</v>
      </c>
      <c r="O224" s="49">
        <f t="shared" si="2"/>
        <v>-280</v>
      </c>
      <c r="P224" s="49">
        <f t="shared" si="5"/>
        <v>123</v>
      </c>
      <c r="Q224" s="51">
        <f>IF($C224&lt;&gt;"",SUMIFS($O$3:$O$401, $C$3:$C$401 ,$C224,$B$3:$B$401,"&lt;="&amp;Controle!$B$6),"")</f>
        <v>123</v>
      </c>
      <c r="R224" s="51">
        <f>IF($D224&lt;&gt;"",SUMIFS($O$3:$O$401, $C$3:$C$401 ,$C224,$B$3:$B$401,"&lt;="&amp;Controle!$B$6,$F$3:$F$401,$F224),"")</f>
        <v>-280</v>
      </c>
      <c r="S224" s="51">
        <f>IF($D224&lt;&gt;"",SUMIFS($O$3:$O$401, $C$3:$C$401 ,$C224,$B$3:$B$401,"&lt;="&amp;'Controle D-1'!$B$6,$F$3:$F$401,$F224),"")</f>
        <v>-280</v>
      </c>
      <c r="T224" s="40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146"/>
      <c r="B225" s="100">
        <v>45166.0</v>
      </c>
      <c r="C225" s="88" t="s">
        <v>163</v>
      </c>
      <c r="D225" s="88" t="str">
        <f>IF(ISTEXT(C225),VLOOKUP(C225,'Cadastro dos Ativos'!$A$2:$C$1000,3,0),"")</f>
        <v>Futuros</v>
      </c>
      <c r="E225" s="88" t="s">
        <v>208</v>
      </c>
      <c r="F225" s="88" t="s">
        <v>200</v>
      </c>
      <c r="G225" s="101">
        <v>109.9218</v>
      </c>
      <c r="H225" s="101" t="str">
        <f>if($D225="Ações Americanas", HLOOKUP("PTAX",'Histórico'!$A$1:$EL$983,(MATCH(B225,'Histórico'!A:A))-1,""),
if($D225="Ações Europeias", HLOOKUP("EUR/BRL",'Histórico'!$A$1:$EL$983,(MATCH(B225,'Histórico'!A:A))-1,""),""))</f>
        <v/>
      </c>
      <c r="I225" s="110">
        <f t="array" ref="I225">IF(ISTEXT(C225),xlookup(C225,'Cadastro dos Ativos'!$A$2:$A$1000,'Cadastro dos Ativos'!$D$2:$D$1000),"")</f>
        <v>45260</v>
      </c>
      <c r="J225" s="88">
        <v>50.0</v>
      </c>
      <c r="K225" s="47">
        <f t="array" ref="K225">if(and(J225&lt;&gt;"",D225&lt;&gt;"Futuros"),
if(F225=Controle!$C$2, M225/xlookup(workday(B225,-1,Feriados!A:A),Controle!$B$10:$B$1000,Controle!$C$10:$C$1000),
if(F225=Controle!$F$2, M225/xlookup(workday(B225,-1,Feriados!A:A),Controle!$B$10:$B$1000,Controle!$F$10:$F$1000),
if(F225=Controle!$I$2, M225/xlookup(workday(B225,-1,Feriados!A:A),Controle!$B$10:$B$1000,Controle!$I$10:$I$1000),
if(F225=Controle!$L$2, M225/xlookup(workday(B225,-1,Feriados!A:A),Controle!$B$10:$B$1000,Controle!$L$10:$L$1000),
)))),
if(and(J225&lt;&gt;"",D225="Futuros"),
if(F225=Controle!$C$2, N225/xlookup(workday(B225,-1,Feriados!A:A),Controle!$B$10:$B$1000,Controle!$C$10:$C$1000),
if(F225=Controle!$F$2, N225/xlookup(workday(B225,-1,Feriados!A:A),Controle!$B$10:$B$1000,Controle!$F$10:$F$1000),
if(F225=Controle!$I$2, N225/xlookup(workday(B225,-1,Feriados!A:A),Controle!$B$10:$B$1000,Controle!$I$10:$I$1000),
if(F225=Controle!$L$2, N225/xlookup(workday(B225,-1,Feriados!A:A),Controle!$B$10:$B$1000,Controle!$L$10:$L$1000),
)))),""))</f>
        <v>0.2402668985</v>
      </c>
      <c r="L225" s="47">
        <f t="array" ref="L225">IF($J225&lt;&gt;"", IF($D225 = "Futuros" , $N225/xlookup(WORKDAY(B225,-1,Feriados!A:A),Controle!$B$10:$B$1000,Controle!$T$10:$T$1000) , $M225/xlookup(WORKDAY(B225,-1,Feriados!A:A),Controle!$B$10:$B$1000,Controle!$T$10:$T$1000)),"")</f>
        <v>0.06226550997</v>
      </c>
      <c r="M225" s="48">
        <f t="shared" si="4"/>
        <v>-5496.09</v>
      </c>
      <c r="N225" s="48">
        <f>IFERROR(IF(D225="Futuros",
IF(LEFT(C225,3)="DI1",G225*O225,
IF(LEFT(C225,3)="ISP",G225*O225*HLOOKUP("PTAX",'Histórico'!$A$1:$EL$983,MATCH(B225,'Histórico'!A:A),FALSE)*50,
IF(LEFT(C225,3)="WDO",10*G225*O225*HLOOKUP("PTAX",'Histórico'!$A$1:$EL$983,MATCH(B225,'Histórico'!A:A),FALSE),
IF(LEFT(C225,3)="DOL",50*G225*O225,
IF(LEFT(C225,3)="EUR",G225*O225*50,
IF(LEFT(C225,3)="WEU",G225*O225*10,
IF(LEFT(C225,3)="IND",G225*O225,
IF(LEFT(C225,3)="WIN",G225*O225*0.2,
IF(LEFT(C225,3)="T10",G225*O225*1000*HLOOKUP("PTAX",'Histórico'!$A$1:$EL$983,MATCH(B225,'Histórico'!A:A),FALSE),
IF(LEFT(C225,3)="CCM",G225*O225*450,
IF(LEFT(C225,3)="SJC",G225*O225*HLOOKUP("PTAX",'Histórico'!$A$1:$EL$983,MATCH(B225,'Histórico'!A:A),FALSE)*450,
IF(LEFT(C225,3)="BGI",G225*O225*330,
IF(LEFT(C225,3)="OZ1",G225*O225*250,
IF(LEFT(C225,3)="CLP",G225*O225*25,
IF(LEFT(C225,3)="EUP", O225*10000*HLOOKUP("EUR/BRL",'Histórico'!$A$1:$EL$983,MATCH(B225,'Histórico'!A:A),FALSE),
IF(LEFT(C225,3)="JSE", G225*O225*0.4,
IF(LEFT(C225,3)="GBP", O225*10000*HLOOKUP("GBP/BRL",'Histórico'!$A$1:$FG$983,MATCH(B225,'Histórico'!A:A),FALSE),
IF(LEFT(C225,3)="JAP",O225*10000*HLOOKUP("PTAX",'Histórico'!$A$1:$FG$983,MATCH(B225,'Histórico'!A:A),FALSE),
IF(LEFT(C225,3)="CNH",O225*10000*HLOOKUP("PTAX",'Histórico'!$A$1:$FG$983,MATCH(B225,'Histórico'!A:A),FALSE),
IF(LEFT(C225,3)="AUS",O225*10000*HLOOKUP("PTAX",'Histórico'!$A$1:$FG$983,MATCH(B225,'Histórico'!A:A),FALSE),
IF(LEFT(C225,3)="CAN",O225*10000*HLOOKUP("PTAX",'Histórico'!$A$1:$FG$983,MATCH(B225,'Histórico'!A:A),FALSE),
IF(LEFT(C225,3)="GBR",O225*10000*HLOOKUP("GBP/BRL",'Histórico'!$A$1:$FG$983,MATCH(B225,'Histórico'!A:A),FALSE),
IF(LEFT(C225,3)="MEX",O225*10000*HLOOKUP("PTAX",'Histórico'!$A$1:$FG$983,MATCH(B225,'Histórico'!A:A),FALSE),
IF(LEFT(C225,3)="CHL",O225*10000*HLOOKUP("PTAX",'Histórico'!$A$1:$FG$983,MATCH(B225,'Histórico'!A:A),FALSE)
)))))))))))))))))))))))),""))</f>
        <v>26768156.47</v>
      </c>
      <c r="O225" s="49">
        <f t="shared" si="2"/>
        <v>50</v>
      </c>
      <c r="P225" s="49">
        <f t="shared" si="5"/>
        <v>30</v>
      </c>
      <c r="Q225" s="51">
        <f>IF($C225&lt;&gt;"",SUMIFS($O$3:$O$401, $C$3:$C$401 ,$C225,$B$3:$B$401,"&lt;="&amp;Controle!$B$6),"")</f>
        <v>30</v>
      </c>
      <c r="R225" s="51">
        <f>IF($D225&lt;&gt;"",SUMIFS($O$3:$O$401, $C$3:$C$401 ,$C225,$B$3:$B$401,"&lt;="&amp;Controle!$B$6,$F$3:$F$401,$F225),"")</f>
        <v>50</v>
      </c>
      <c r="S225" s="51">
        <f>IF($D225&lt;&gt;"",SUMIFS($O$3:$O$401, $C$3:$C$401 ,$C225,$B$3:$B$401,"&lt;="&amp;'Controle D-1'!$B$6,$F$3:$F$401,$F225),"")</f>
        <v>50</v>
      </c>
      <c r="T225" s="40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146"/>
      <c r="B226" s="100">
        <v>45166.0</v>
      </c>
      <c r="C226" s="88" t="s">
        <v>169</v>
      </c>
      <c r="D226" s="88" t="str">
        <f>IF(ISTEXT(C226),VLOOKUP(C226,'Cadastro dos Ativos'!$A$2:$C$1000,3,0),"")</f>
        <v>Futuros</v>
      </c>
      <c r="E226" s="88" t="s">
        <v>208</v>
      </c>
      <c r="F226" s="88" t="s">
        <v>200</v>
      </c>
      <c r="G226" s="101">
        <v>4928.841</v>
      </c>
      <c r="H226" s="46" t="str">
        <f>if($D226="Ações Americanas", HLOOKUP("PTAX",'Histórico'!$A$1:$EL$983,(MATCH(B226,'Histórico'!A:A))-1,""),
if($D226="Ações Europeias", HLOOKUP("EUR/BRL",'Histórico'!$A$1:$EL$983,(MATCH(B226,'Histórico'!A:A))-1,""),""))</f>
        <v/>
      </c>
      <c r="I226" s="110">
        <f t="array" ref="I226">IF(ISTEXT(C226),xlookup(C226,'Cadastro dos Ativos'!$A$2:$A$1000,'Cadastro dos Ativos'!$D$2:$D$1000),"")</f>
        <v>45261</v>
      </c>
      <c r="J226" s="88">
        <v>100.0</v>
      </c>
      <c r="K226" s="47">
        <f t="array" ref="K226">if(and(J226&lt;&gt;"",D226&lt;&gt;"Futuros"),
if(F226=Controle!$C$2, M226/xlookup(workday(B226,-1,Feriados!A:A),Controle!$B$10:$B$1000,Controle!$C$10:$C$1000),
if(F226=Controle!$F$2, M226/xlookup(workday(B226,-1,Feriados!A:A),Controle!$B$10:$B$1000,Controle!$F$10:$F$1000),
if(F226=Controle!$I$2, M226/xlookup(workday(B226,-1,Feriados!A:A),Controle!$B$10:$B$1000,Controle!$I$10:$I$1000),
if(F226=Controle!$L$2, M226/xlookup(workday(B226,-1,Feriados!A:A),Controle!$B$10:$B$1000,Controle!$L$10:$L$1000),
)))),
if(and(J226&lt;&gt;"",D226="Futuros"),
if(F226=Controle!$C$2, N226/xlookup(workday(B226,-1,Feriados!A:A),Controle!$B$10:$B$1000,Controle!$C$10:$C$1000),
if(F226=Controle!$F$2, N226/xlookup(workday(B226,-1,Feriados!A:A),Controle!$B$10:$B$1000,Controle!$F$10:$F$1000),
if(F226=Controle!$I$2, N226/xlookup(workday(B226,-1,Feriados!A:A),Controle!$B$10:$B$1000,Controle!$I$10:$I$1000),
if(F226=Controle!$L$2, N226/xlookup(workday(B226,-1,Feriados!A:A),Controle!$B$10:$B$1000,Controle!$L$10:$L$1000),
)))),""))</f>
        <v>0.2212026333</v>
      </c>
      <c r="L226" s="47">
        <f t="array" ref="L226">IF($J226&lt;&gt;"", IF($D226 = "Futuros" , $N226/xlookup(WORKDAY(B226,-1,Feriados!A:A),Controle!$B$10:$B$1000,Controle!$T$10:$T$1000) , $M226/xlookup(WORKDAY(B226,-1,Feriados!A:A),Controle!$B$10:$B$1000,Controle!$T$10:$T$1000)),"")</f>
        <v>0.05732497842</v>
      </c>
      <c r="M226" s="48">
        <f t="shared" si="4"/>
        <v>-492884.1</v>
      </c>
      <c r="N226" s="48">
        <f>IFERROR(IF(D226="Futuros",
IF(LEFT(C226,3)="DI1",G226*O226,
IF(LEFT(C226,3)="ISP",G226*O226*HLOOKUP("PTAX",'Histórico'!$A$1:$EL$983,MATCH(B226,'Histórico'!A:A),FALSE)*50,
IF(LEFT(C226,3)="WDO",10*G226*O226*HLOOKUP("PTAX",'Histórico'!$A$1:$EL$983,MATCH(B226,'Histórico'!A:A),FALSE),
IF(LEFT(C226,3)="DOL",50*G226*O226,
IF(LEFT(C226,3)="EUR",G226*O226*50,
IF(LEFT(C226,3)="WEU",G226*O226*10,
IF(LEFT(C226,3)="IND",G226*O226,
IF(LEFT(C226,3)="WIN",G226*O226*0.2,
IF(LEFT(C226,3)="T10",G226*O226*1000*HLOOKUP("PTAX",'Histórico'!$A$1:$EL$983,MATCH(B226,'Histórico'!A:A),FALSE),
IF(LEFT(C226,3)="CCM",G226*O226*450,
IF(LEFT(C226,3)="SJC",G226*O226*HLOOKUP("PTAX",'Histórico'!$A$1:$EL$983,MATCH(B226,'Histórico'!A:A),FALSE)*450,
IF(LEFT(C226,3)="BGI",G226*O226*330,
IF(LEFT(C226,3)="OZ1",G226*O226*250,
IF(LEFT(C226,3)="CLP",G226*O226*25,
IF(LEFT(C226,3)="EUP", O226*10000*HLOOKUP("EUR/BRL",'Histórico'!$A$1:$EL$983,MATCH(B226,'Histórico'!A:A),FALSE),
IF(LEFT(C226,3)="JSE", G226*O226*0.4,
IF(LEFT(C226,3)="GBP", O226*10000*HLOOKUP("GBP/BRL",'Histórico'!$A$1:$FG$983,MATCH(B226,'Histórico'!A:A),FALSE),
IF(LEFT(C226,3)="JAP",O226*10000*HLOOKUP("PTAX",'Histórico'!$A$1:$FG$983,MATCH(B226,'Histórico'!A:A),FALSE),
IF(LEFT(C226,3)="CNH",O226*10000*HLOOKUP("PTAX",'Histórico'!$A$1:$FG$983,MATCH(B226,'Histórico'!A:A),FALSE),
IF(LEFT(C226,3)="AUS",O226*10000*HLOOKUP("PTAX",'Histórico'!$A$1:$FG$983,MATCH(B226,'Histórico'!A:A),FALSE),
IF(LEFT(C226,3)="CAN",O226*10000*HLOOKUP("PTAX",'Histórico'!$A$1:$FG$983,MATCH(B226,'Histórico'!A:A),FALSE),
IF(LEFT(C226,3)="GBR",O226*10000*HLOOKUP("GBP/BRL",'Histórico'!$A$1:$FG$983,MATCH(B226,'Histórico'!A:A),FALSE),
IF(LEFT(C226,3)="MEX",O226*10000*HLOOKUP("PTAX",'Histórico'!$A$1:$FG$983,MATCH(B226,'Histórico'!A:A),FALSE),
IF(LEFT(C226,3)="CHL",O226*10000*HLOOKUP("PTAX",'Histórico'!$A$1:$FG$983,MATCH(B226,'Histórico'!A:A),FALSE)
)))))))))))))))))))))))),""))</f>
        <v>24644205</v>
      </c>
      <c r="O226" s="49">
        <f t="shared" si="2"/>
        <v>100</v>
      </c>
      <c r="P226" s="49">
        <f t="shared" si="5"/>
        <v>100</v>
      </c>
      <c r="Q226" s="51">
        <f>IF($C226&lt;&gt;"",SUMIFS($O$3:$O$401, $C$3:$C$401 ,$C226,$B$3:$B$401,"&lt;="&amp;Controle!$B$6),"")</f>
        <v>100</v>
      </c>
      <c r="R226" s="51">
        <f>IF($D226&lt;&gt;"",SUMIFS($O$3:$O$401, $C$3:$C$401 ,$C226,$B$3:$B$401,"&lt;="&amp;Controle!$B$6,$F$3:$F$401,$F226),"")</f>
        <v>100</v>
      </c>
      <c r="S226" s="51">
        <f>IF($D226&lt;&gt;"",SUMIFS($O$3:$O$401, $C$3:$C$401 ,$C226,$B$3:$B$401,"&lt;="&amp;'Controle D-1'!$B$6,$F$3:$F$401,$F226),"")</f>
        <v>100</v>
      </c>
      <c r="T226" s="40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146"/>
      <c r="B227" s="100">
        <v>45166.0</v>
      </c>
      <c r="C227" s="88" t="s">
        <v>132</v>
      </c>
      <c r="D227" s="88" t="str">
        <f>IF(ISTEXT(C227),VLOOKUP(C227,'Cadastro dos Ativos'!$A$2:$C$1000,3,0),"")</f>
        <v>Futuros</v>
      </c>
      <c r="E227" s="88" t="s">
        <v>198</v>
      </c>
      <c r="F227" s="88" t="s">
        <v>200</v>
      </c>
      <c r="G227" s="101">
        <v>1085.901</v>
      </c>
      <c r="H227" s="101" t="str">
        <f>if($D227="Ações Americanas", HLOOKUP("PTAX",'Histórico'!$A$1:$EL$983,(MATCH(B227,'Histórico'!A:A))-1,""),
if($D227="Ações Europeias", HLOOKUP("EUR/BRL",'Histórico'!$A$1:$EL$983,(MATCH(B227,'Histórico'!A:A))-1,""),""))</f>
        <v/>
      </c>
      <c r="I227" s="110">
        <f t="array" ref="I227">IF(ISTEXT(C227),xlookup(C227,'Cadastro dos Ativos'!$A$2:$A$1000,'Cadastro dos Ativos'!$D$2:$D$1000),"")</f>
        <v>45261</v>
      </c>
      <c r="J227" s="88">
        <v>220.0</v>
      </c>
      <c r="K227" s="47">
        <f t="array" ref="K227">if(and(J227&lt;&gt;"",D227&lt;&gt;"Futuros"),
if(F227=Controle!$C$2, M227/xlookup(workday(B227,-1,Feriados!A:A),Controle!$B$10:$B$1000,Controle!$C$10:$C$1000),
if(F227=Controle!$F$2, M227/xlookup(workday(B227,-1,Feriados!A:A),Controle!$B$10:$B$1000,Controle!$F$10:$F$1000),
if(F227=Controle!$I$2, M227/xlookup(workday(B227,-1,Feriados!A:A),Controle!$B$10:$B$1000,Controle!$I$10:$I$1000),
if(F227=Controle!$L$2, M227/xlookup(workday(B227,-1,Feriados!A:A),Controle!$B$10:$B$1000,Controle!$L$10:$L$1000),
)))),
if(and(J227&lt;&gt;"",D227="Futuros"),
if(F227=Controle!$C$2, N227/xlookup(workday(B227,-1,Feriados!A:A),Controle!$B$10:$B$1000,Controle!$C$10:$C$1000),
if(F227=Controle!$F$2, N227/xlookup(workday(B227,-1,Feriados!A:A),Controle!$B$10:$B$1000,Controle!$F$10:$F$1000),
if(F227=Controle!$I$2, N227/xlookup(workday(B227,-1,Feriados!A:A),Controle!$B$10:$B$1000,Controle!$I$10:$I$1000),
if(F227=Controle!$L$2, N227/xlookup(workday(B227,-1,Feriados!A:A),Controle!$B$10:$B$1000,Controle!$L$10:$L$1000),
)))),""))</f>
        <v>-0.1036414193</v>
      </c>
      <c r="L227" s="47">
        <f t="array" ref="L227">IF($J227&lt;&gt;"", IF($D227 = "Futuros" , $N227/xlookup(WORKDAY(B227,-1,Feriados!A:A),Controle!$B$10:$B$1000,Controle!$T$10:$T$1000) , $M227/xlookup(WORKDAY(B227,-1,Feriados!A:A),Controle!$B$10:$B$1000,Controle!$T$10:$T$1000)),"")</f>
        <v>-0.02685882186</v>
      </c>
      <c r="M227" s="48">
        <f t="shared" si="4"/>
        <v>238898.22</v>
      </c>
      <c r="N227" s="48">
        <f>IFERROR(IF(D227="Futuros",
IF(LEFT(C227,3)="DI1",G227*O227,
IF(LEFT(C227,3)="ISP",G227*O227*HLOOKUP("PTAX",'Histórico'!$A$1:$EL$983,MATCH(B227,'Histórico'!A:A),FALSE)*50,
IF(LEFT(C227,3)="WDO",10*G227*O227*HLOOKUP("PTAX",'Histórico'!$A$1:$EL$983,MATCH(B227,'Histórico'!A:A),FALSE),
IF(LEFT(C227,3)="DOL",50*G227*O227,
IF(LEFT(C227,3)="EUR",G227*O227*50,
IF(LEFT(C227,3)="WEU",G227*O227*10,
IF(LEFT(C227,3)="IND",G227*O227,
IF(LEFT(C227,3)="WIN",G227*O227*0.2,
IF(LEFT(C227,3)="T10",G227*O227*1000*HLOOKUP("PTAX",'Histórico'!$A$1:$EL$983,MATCH(B227,'Histórico'!A:A),FALSE),
IF(LEFT(C227,3)="CCM",G227*O227*450,
IF(LEFT(C227,3)="SJC",G227*O227*HLOOKUP("PTAX",'Histórico'!$A$1:$EL$983,MATCH(B227,'Histórico'!A:A),FALSE)*450,
IF(LEFT(C227,3)="BGI",G227*O227*330,
IF(LEFT(C227,3)="OZ1",G227*O227*250,
IF(LEFT(C227,3)="CLP",G227*O227*25,
IF(LEFT(C227,3)="EUP", O227*10000*HLOOKUP("EUR/BRL",'Histórico'!$A$1:$EL$983,MATCH(B227,'Histórico'!A:A),FALSE),
IF(LEFT(C227,3)="JSE", G227*O227*0.4,
IF(LEFT(C227,3)="GBP", O227*10000*HLOOKUP("GBP/BRL",'Histórico'!$A$1:$FG$983,MATCH(B227,'Histórico'!A:A),FALSE),
IF(LEFT(C227,3)="JAP",O227*10000*HLOOKUP("PTAX",'Histórico'!$A$1:$FG$983,MATCH(B227,'Histórico'!A:A),FALSE),
IF(LEFT(C227,3)="CNH",O227*10000*HLOOKUP("PTAX",'Histórico'!$A$1:$FG$983,MATCH(B227,'Histórico'!A:A),FALSE),
IF(LEFT(C227,3)="AUS",O227*10000*HLOOKUP("PTAX",'Histórico'!$A$1:$FG$983,MATCH(B227,'Histórico'!A:A),FALSE),
IF(LEFT(C227,3)="CAN",O227*10000*HLOOKUP("PTAX",'Histórico'!$A$1:$FG$983,MATCH(B227,'Histórico'!A:A),FALSE),
IF(LEFT(C227,3)="GBR",O227*10000*HLOOKUP("GBP/BRL",'Histórico'!$A$1:$FG$983,MATCH(B227,'Histórico'!A:A),FALSE),
IF(LEFT(C227,3)="MEX",O227*10000*HLOOKUP("PTAX",'Histórico'!$A$1:$FG$983,MATCH(B227,'Histórico'!A:A),FALSE),
IF(LEFT(C227,3)="CHL",O227*10000*HLOOKUP("PTAX",'Histórico'!$A$1:$FG$983,MATCH(B227,'Histórico'!A:A),FALSE)
)))))))))))))))))))))))),""))</f>
        <v>-11546699.71</v>
      </c>
      <c r="O227" s="49">
        <f t="shared" si="2"/>
        <v>-220</v>
      </c>
      <c r="P227" s="49">
        <f t="shared" si="5"/>
        <v>0</v>
      </c>
      <c r="Q227" s="51">
        <f>IF($C227&lt;&gt;"",SUMIFS($O$3:$O$401, $C$3:$C$401 ,$C227,$B$3:$B$401,"&lt;="&amp;Controle!$B$6),"")</f>
        <v>0</v>
      </c>
      <c r="R227" s="51">
        <f>IF($D227&lt;&gt;"",SUMIFS($O$3:$O$401, $C$3:$C$401 ,$C227,$B$3:$B$401,"&lt;="&amp;Controle!$B$6,$F$3:$F$401,$F227),"")</f>
        <v>0</v>
      </c>
      <c r="S227" s="51">
        <f>IF($D227&lt;&gt;"",SUMIFS($O$3:$O$401, $C$3:$C$401 ,$C227,$B$3:$B$401,"&lt;="&amp;'Controle D-1'!$B$6,$F$3:$F$401,$F227),"")</f>
        <v>0</v>
      </c>
      <c r="T227" s="40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146"/>
      <c r="B228" s="100">
        <v>45170.0</v>
      </c>
      <c r="C228" s="88" t="s">
        <v>149</v>
      </c>
      <c r="D228" s="88" t="str">
        <f>IF(ISTEXT(C228),VLOOKUP(C228,'Cadastro dos Ativos'!$A$2:$C$1000,3,0),"")</f>
        <v>Ações Listadas na B3</v>
      </c>
      <c r="E228" s="88" t="s">
        <v>198</v>
      </c>
      <c r="F228" s="88" t="s">
        <v>201</v>
      </c>
      <c r="G228" s="101">
        <v>8.4</v>
      </c>
      <c r="H228" s="46" t="str">
        <f>if($D228="Ações Americanas", HLOOKUP("PTAX",'Histórico'!$A$1:$EL$983,(MATCH(B228,'Histórico'!A:A))-1,""),
if($D228="Ações Europeias", HLOOKUP("EUR/BRL",'Histórico'!$A$1:$EL$983,(MATCH(B228,'Histórico'!A:A))-1,""),""))</f>
        <v/>
      </c>
      <c r="I228" s="88" t="str">
        <f t="array" ref="I228">IF(ISTEXT(C228),xlookup(C228,'Cadastro dos Ativos'!$A$2:$A$1000,'Cadastro dos Ativos'!$D$2:$D$1000),"")</f>
        <v/>
      </c>
      <c r="J228" s="88">
        <v>550000.0</v>
      </c>
      <c r="K228" s="47">
        <f t="array" ref="K228">if(and(J228&lt;&gt;"",D228&lt;&gt;"Futuros"),
if(F228=Controle!$C$2, M228/xlookup(workday(B228,-1,Feriados!A:A),Controle!$B$10:$B$1000,Controle!$C$10:$C$1000),
if(F228=Controle!$F$2, M228/xlookup(workday(B228,-1,Feriados!A:A),Controle!$B$10:$B$1000,Controle!$F$10:$F$1000),
if(F228=Controle!$I$2, M228/xlookup(workday(B228,-1,Feriados!A:A),Controle!$B$10:$B$1000,Controle!$I$10:$I$1000),
if(F228=Controle!$L$2, M228/xlookup(workday(B228,-1,Feriados!A:A),Controle!$B$10:$B$1000,Controle!$L$10:$L$1000),
)))),
if(and(J228&lt;&gt;"",D228="Futuros"),
if(F228=Controle!$C$2, N228/xlookup(workday(B228,-1,Feriados!A:A),Controle!$B$10:$B$1000,Controle!$C$10:$C$1000),
if(F228=Controle!$F$2, N228/xlookup(workday(B228,-1,Feriados!A:A),Controle!$B$10:$B$1000,Controle!$F$10:$F$1000),
if(F228=Controle!$I$2, N228/xlookup(workday(B228,-1,Feriados!A:A),Controle!$B$10:$B$1000,Controle!$I$10:$I$1000),
if(F228=Controle!$L$2, N228/xlookup(workday(B228,-1,Feriados!A:A),Controle!$B$10:$B$1000,Controle!$L$10:$L$1000),
)))),""))</f>
        <v>0.04292508853</v>
      </c>
      <c r="L228" s="47">
        <f t="array" ref="L228">IF($J228&lt;&gt;"", IF($D228 = "Futuros" , $N228/xlookup(WORKDAY(B228,-1,Feriados!A:A),Controle!$B$10:$B$1000,Controle!$T$10:$T$1000) , $M228/xlookup(WORKDAY(B228,-1,Feriados!A:A),Controle!$B$10:$B$1000,Controle!$T$10:$T$1000)),"")</f>
        <v>0.01072097511</v>
      </c>
      <c r="M228" s="48">
        <f t="shared" si="4"/>
        <v>4620000</v>
      </c>
      <c r="N228" s="48" t="str">
        <f>IFERROR(IF(D228="Futuros",
IF(LEFT(C228,3)="DI1",G228*O228,
IF(LEFT(C228,3)="ISP",G228*O228*HLOOKUP("PTAX",'Histórico'!$A$1:$EL$983,MATCH(B228,'Histórico'!A:A),FALSE)*50,
IF(LEFT(C228,3)="WDO",10*G228*O228*HLOOKUP("PTAX",'Histórico'!$A$1:$EL$983,MATCH(B228,'Histórico'!A:A),FALSE),
IF(LEFT(C228,3)="DOL",50*G228*O228,
IF(LEFT(C228,3)="EUR",G228*O228*50,
IF(LEFT(C228,3)="WEU",G228*O228*10,
IF(LEFT(C228,3)="IND",G228*O228,
IF(LEFT(C228,3)="WIN",G228*O228*0.2,
IF(LEFT(C228,3)="T10",G228*O228*1000*HLOOKUP("PTAX",'Histórico'!$A$1:$EL$983,MATCH(B228,'Histórico'!A:A),FALSE),
IF(LEFT(C228,3)="CCM",G228*O228*450,
IF(LEFT(C228,3)="SJC",G228*O228*HLOOKUP("PTAX",'Histórico'!$A$1:$EL$983,MATCH(B228,'Histórico'!A:A),FALSE)*450,
IF(LEFT(C228,3)="BGI",G228*O228*330,
IF(LEFT(C228,3)="OZ1",G228*O228*250,
IF(LEFT(C228,3)="CLP",G228*O228*25,
IF(LEFT(C228,3)="EUP", O228*10000*HLOOKUP("EUR/BRL",'Histórico'!$A$1:$EL$983,MATCH(B228,'Histórico'!A:A),FALSE),
IF(LEFT(C228,3)="JSE", G228*O228*0.4,
IF(LEFT(C228,3)="GBP", O228*10000*HLOOKUP("GBP/BRL",'Histórico'!$A$1:$FG$983,MATCH(B228,'Histórico'!A:A),FALSE),
IF(LEFT(C228,3)="JAP",O228*10000*HLOOKUP("PTAX",'Histórico'!$A$1:$FG$983,MATCH(B228,'Histórico'!A:A),FALSE),
IF(LEFT(C228,3)="CNH",O228*10000*HLOOKUP("PTAX",'Histórico'!$A$1:$FG$983,MATCH(B228,'Histórico'!A:A),FALSE),
IF(LEFT(C228,3)="AUS",O228*10000*HLOOKUP("PTAX",'Histórico'!$A$1:$FG$983,MATCH(B228,'Histórico'!A:A),FALSE),
IF(LEFT(C228,3)="CAN",O228*10000*HLOOKUP("PTAX",'Histórico'!$A$1:$FG$983,MATCH(B228,'Histórico'!A:A),FALSE),
IF(LEFT(C228,3)="GBR",O228*10000*HLOOKUP("GBP/BRL",'Histórico'!$A$1:$FG$983,MATCH(B228,'Histórico'!A:A),FALSE),
IF(LEFT(C228,3)="MEX",O228*10000*HLOOKUP("PTAX",'Histórico'!$A$1:$FG$983,MATCH(B228,'Histórico'!A:A),FALSE),
IF(LEFT(C228,3)="CHL",O228*10000*HLOOKUP("PTAX",'Histórico'!$A$1:$FG$983,MATCH(B228,'Histórico'!A:A),FALSE)
)))))))))))))))))))))))),""))</f>
        <v/>
      </c>
      <c r="O228" s="49">
        <f t="shared" si="2"/>
        <v>-550000</v>
      </c>
      <c r="P228" s="49">
        <f t="shared" si="5"/>
        <v>0</v>
      </c>
      <c r="Q228" s="51">
        <f>IF($C228&lt;&gt;"",SUMIFS($O$3:$O$401, $C$3:$C$401 ,$C228,$B$3:$B$401,"&lt;="&amp;Controle!$B$6),"")</f>
        <v>0</v>
      </c>
      <c r="R228" s="51">
        <f>IF($D228&lt;&gt;"",SUMIFS($O$3:$O$401, $C$3:$C$401 ,$C228,$B$3:$B$401,"&lt;="&amp;Controle!$B$6,$F$3:$F$401,$F228),"")</f>
        <v>0</v>
      </c>
      <c r="S228" s="51">
        <f>IF($D228&lt;&gt;"",SUMIFS($O$3:$O$401, $C$3:$C$401 ,$C228,$B$3:$B$401,"&lt;="&amp;'Controle D-1'!$B$6,$F$3:$F$401,$F228),"")</f>
        <v>550000</v>
      </c>
      <c r="T228" s="40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146"/>
      <c r="B229" s="100">
        <v>45170.0</v>
      </c>
      <c r="C229" s="88" t="s">
        <v>136</v>
      </c>
      <c r="D229" s="88" t="str">
        <f>IF(ISTEXT(C229),VLOOKUP(C229,'Cadastro dos Ativos'!$A$2:$C$1000,3,0),"")</f>
        <v>Futuros</v>
      </c>
      <c r="E229" s="88" t="s">
        <v>198</v>
      </c>
      <c r="F229" s="88" t="s">
        <v>199</v>
      </c>
      <c r="G229" s="101">
        <v>4921.9</v>
      </c>
      <c r="H229" s="101" t="str">
        <f>if($D229="Ações Americanas", HLOOKUP("PTAX",'Histórico'!$A$1:$EL$983,(MATCH(B229,'Histórico'!A:A))-1,""),
if($D229="Ações Europeias", HLOOKUP("EUR/BRL",'Histórico'!$A$1:$EL$983,(MATCH(B229,'Histórico'!A:A))-1,""),""))</f>
        <v/>
      </c>
      <c r="I229" s="110">
        <f t="array" ref="I229">IF(ISTEXT(C229),xlookup(C229,'Cadastro dos Ativos'!$A$2:$A$1000,'Cadastro dos Ativos'!$D$2:$D$1000),"")</f>
        <v>45170</v>
      </c>
      <c r="J229" s="88">
        <v>225.0</v>
      </c>
      <c r="K229" s="47">
        <f t="array" ref="K229">if(and(J229&lt;&gt;"",D229&lt;&gt;"Futuros"),
if(F229=Controle!$C$2, M229/xlookup(workday(B229,-1,Feriados!A:A),Controle!$B$10:$B$1000,Controle!$C$10:$C$1000),
if(F229=Controle!$F$2, M229/xlookup(workday(B229,-1,Feriados!A:A),Controle!$B$10:$B$1000,Controle!$F$10:$F$1000),
if(F229=Controle!$I$2, M229/xlookup(workday(B229,-1,Feriados!A:A),Controle!$B$10:$B$1000,Controle!$I$10:$I$1000),
if(F229=Controle!$L$2, M229/xlookup(workday(B229,-1,Feriados!A:A),Controle!$B$10:$B$1000,Controle!$L$10:$L$1000),
)))),
if(and(J229&lt;&gt;"",D229="Futuros"),
if(F229=Controle!$C$2, N229/xlookup(workday(B229,-1,Feriados!A:A),Controle!$B$10:$B$1000,Controle!$C$10:$C$1000),
if(F229=Controle!$F$2, N229/xlookup(workday(B229,-1,Feriados!A:A),Controle!$B$10:$B$1000,Controle!$F$10:$F$1000),
if(F229=Controle!$I$2, N229/xlookup(workday(B229,-1,Feriados!A:A),Controle!$B$10:$B$1000,Controle!$I$10:$I$1000),
if(F229=Controle!$L$2, N229/xlookup(workday(B229,-1,Feriados!A:A),Controle!$B$10:$B$1000,Controle!$L$10:$L$1000),
)))),""))</f>
        <v>-0.5123442138</v>
      </c>
      <c r="L229" s="47">
        <f t="array" ref="L229">IF($J229&lt;&gt;"", IF($D229 = "Futuros" , $N229/xlookup(WORKDAY(B229,-1,Feriados!A:A),Controle!$B$10:$B$1000,Controle!$T$10:$T$1000) , $M229/xlookup(WORKDAY(B229,-1,Feriados!A:A),Controle!$B$10:$B$1000,Controle!$T$10:$T$1000)),"")</f>
        <v>-0.1284924531</v>
      </c>
      <c r="M229" s="48">
        <f t="shared" si="4"/>
        <v>1107427.5</v>
      </c>
      <c r="N229" s="48">
        <f>IFERROR(IF(D229="Futuros",
IF(LEFT(C229,3)="DI1",G229*O229,
IF(LEFT(C229,3)="ISP",G229*O229*HLOOKUP("PTAX",'Histórico'!$A$1:$EL$983,MATCH(B229,'Histórico'!A:A),FALSE)*50,
IF(LEFT(C229,3)="WDO",10*G229*O229*HLOOKUP("PTAX",'Histórico'!$A$1:$EL$983,MATCH(B229,'Histórico'!A:A),FALSE),
IF(LEFT(C229,3)="DOL",50*G229*O229,
IF(LEFT(C229,3)="EUR",G229*O229*50,
IF(LEFT(C229,3)="WEU",G229*O229*10,
IF(LEFT(C229,3)="IND",G229*O229,
IF(LEFT(C229,3)="WIN",G229*O229*0.2,
IF(LEFT(C229,3)="T10",G229*O229*1000*HLOOKUP("PTAX",'Histórico'!$A$1:$EL$983,MATCH(B229,'Histórico'!A:A),FALSE),
IF(LEFT(C229,3)="CCM",G229*O229*450,
IF(LEFT(C229,3)="SJC",G229*O229*HLOOKUP("PTAX",'Histórico'!$A$1:$EL$983,MATCH(B229,'Histórico'!A:A),FALSE)*450,
IF(LEFT(C229,3)="BGI",G229*O229*330,
IF(LEFT(C229,3)="OZ1",G229*O229*250,
IF(LEFT(C229,3)="CLP",G229*O229*25,
IF(LEFT(C229,3)="EUP", O229*10000*HLOOKUP("EUR/BRL",'Histórico'!$A$1:$EL$983,MATCH(B229,'Histórico'!A:A),FALSE),
IF(LEFT(C229,3)="JSE", G229*O229*0.4,
IF(LEFT(C229,3)="GBP", O229*10000*HLOOKUP("GBP/BRL",'Histórico'!$A$1:$FG$983,MATCH(B229,'Histórico'!A:A),FALSE),
IF(LEFT(C229,3)="JAP",O229*10000*HLOOKUP("PTAX",'Histórico'!$A$1:$FG$983,MATCH(B229,'Histórico'!A:A),FALSE),
IF(LEFT(C229,3)="CNH",O229*10000*HLOOKUP("PTAX",'Histórico'!$A$1:$FG$983,MATCH(B229,'Histórico'!A:A),FALSE),
IF(LEFT(C229,3)="AUS",O229*10000*HLOOKUP("PTAX",'Histórico'!$A$1:$FG$983,MATCH(B229,'Histórico'!A:A),FALSE),
IF(LEFT(C229,3)="CAN",O229*10000*HLOOKUP("PTAX",'Histórico'!$A$1:$FG$983,MATCH(B229,'Histórico'!A:A),FALSE),
IF(LEFT(C229,3)="GBR",O229*10000*HLOOKUP("GBP/BRL",'Histórico'!$A$1:$FG$983,MATCH(B229,'Histórico'!A:A),FALSE),
IF(LEFT(C229,3)="MEX",O229*10000*HLOOKUP("PTAX",'Histórico'!$A$1:$FG$983,MATCH(B229,'Histórico'!A:A),FALSE),
IF(LEFT(C229,3)="CHL",O229*10000*HLOOKUP("PTAX",'Histórico'!$A$1:$FG$983,MATCH(B229,'Histórico'!A:A),FALSE)
)))))))))))))))))))))))),""))</f>
        <v>-55371375</v>
      </c>
      <c r="O229" s="49">
        <f t="shared" si="2"/>
        <v>-225</v>
      </c>
      <c r="P229" s="49">
        <f t="shared" si="5"/>
        <v>0</v>
      </c>
      <c r="Q229" s="51">
        <f>IF($C229&lt;&gt;"",SUMIFS($O$3:$O$401, $C$3:$C$401 ,$C229,$B$3:$B$401,"&lt;="&amp;Controle!$B$6),"")</f>
        <v>0</v>
      </c>
      <c r="R229" s="51">
        <f>IF($D229&lt;&gt;"",SUMIFS($O$3:$O$401, $C$3:$C$401 ,$C229,$B$3:$B$401,"&lt;="&amp;Controle!$B$6,$F$3:$F$401,$F229),"")</f>
        <v>0</v>
      </c>
      <c r="S229" s="51">
        <f>IF($D229&lt;&gt;"",SUMIFS($O$3:$O$401, $C$3:$C$401 ,$C229,$B$3:$B$401,"&lt;="&amp;'Controle D-1'!$B$6,$F$3:$F$401,$F229),"")</f>
        <v>225</v>
      </c>
      <c r="T229" s="40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146"/>
      <c r="B230" s="100">
        <v>45170.0</v>
      </c>
      <c r="C230" s="88" t="s">
        <v>171</v>
      </c>
      <c r="D230" s="88" t="str">
        <f>IF(ISTEXT(C230),VLOOKUP(C230,'Cadastro dos Ativos'!$A$2:$C$1000,3,0),"")</f>
        <v>Futuros</v>
      </c>
      <c r="E230" s="88" t="s">
        <v>208</v>
      </c>
      <c r="F230" s="88" t="s">
        <v>199</v>
      </c>
      <c r="G230" s="101">
        <v>4955.483</v>
      </c>
      <c r="H230" s="46" t="str">
        <f>if($D230="Ações Americanas", HLOOKUP("PTAX",'Histórico'!$A$1:$EL$983,(MATCH(B230,'Histórico'!A:A))-1,""),
if($D230="Ações Europeias", HLOOKUP("EUR/BRL",'Histórico'!$A$1:$EL$983,(MATCH(B230,'Histórico'!A:A))-1,""),""))</f>
        <v/>
      </c>
      <c r="I230" s="110">
        <f t="array" ref="I230">IF(ISTEXT(C230),xlookup(C230,'Cadastro dos Ativos'!$A$2:$A$1000,'Cadastro dos Ativos'!$D$2:$D$1000),"")</f>
        <v>45201</v>
      </c>
      <c r="J230" s="88">
        <v>225.0</v>
      </c>
      <c r="K230" s="47">
        <f t="array" ref="K230">if(and(J230&lt;&gt;"",D230&lt;&gt;"Futuros"),
if(F230=Controle!$C$2, M230/xlookup(workday(B230,-1,Feriados!A:A),Controle!$B$10:$B$1000,Controle!$C$10:$C$1000),
if(F230=Controle!$F$2, M230/xlookup(workday(B230,-1,Feriados!A:A),Controle!$B$10:$B$1000,Controle!$F$10:$F$1000),
if(F230=Controle!$I$2, M230/xlookup(workday(B230,-1,Feriados!A:A),Controle!$B$10:$B$1000,Controle!$I$10:$I$1000),
if(F230=Controle!$L$2, M230/xlookup(workday(B230,-1,Feriados!A:A),Controle!$B$10:$B$1000,Controle!$L$10:$L$1000),
)))),
if(and(J230&lt;&gt;"",D230="Futuros"),
if(F230=Controle!$C$2, N230/xlookup(workday(B230,-1,Feriados!A:A),Controle!$B$10:$B$1000,Controle!$C$10:$C$1000),
if(F230=Controle!$F$2, N230/xlookup(workday(B230,-1,Feriados!A:A),Controle!$B$10:$B$1000,Controle!$F$10:$F$1000),
if(F230=Controle!$I$2, N230/xlookup(workday(B230,-1,Feriados!A:A),Controle!$B$10:$B$1000,Controle!$I$10:$I$1000),
if(F230=Controle!$L$2, N230/xlookup(workday(B230,-1,Feriados!A:A),Controle!$B$10:$B$1000,Controle!$L$10:$L$1000),
)))),""))</f>
        <v>0.5158400296</v>
      </c>
      <c r="L230" s="47">
        <f t="array" ref="L230">IF($J230&lt;&gt;"", IF($D230 = "Futuros" , $N230/xlookup(WORKDAY(B230,-1,Feriados!A:A),Controle!$B$10:$B$1000,Controle!$T$10:$T$1000) , $M230/xlookup(WORKDAY(B230,-1,Feriados!A:A),Controle!$B$10:$B$1000,Controle!$T$10:$T$1000)),"")</f>
        <v>0.1293691799</v>
      </c>
      <c r="M230" s="48">
        <f t="shared" si="4"/>
        <v>-1114983.675</v>
      </c>
      <c r="N230" s="48">
        <f>IFERROR(IF(D230="Futuros",
IF(LEFT(C230,3)="DI1",G230*O230,
IF(LEFT(C230,3)="ISP",G230*O230*HLOOKUP("PTAX",'Histórico'!$A$1:$EL$983,MATCH(B230,'Histórico'!A:A),FALSE)*50,
IF(LEFT(C230,3)="WDO",10*G230*O230*HLOOKUP("PTAX",'Histórico'!$A$1:$EL$983,MATCH(B230,'Histórico'!A:A),FALSE),
IF(LEFT(C230,3)="DOL",50*G230*O230,
IF(LEFT(C230,3)="EUR",G230*O230*50,
IF(LEFT(C230,3)="WEU",G230*O230*10,
IF(LEFT(C230,3)="IND",G230*O230,
IF(LEFT(C230,3)="WIN",G230*O230*0.2,
IF(LEFT(C230,3)="T10",G230*O230*1000*HLOOKUP("PTAX",'Histórico'!$A$1:$EL$983,MATCH(B230,'Histórico'!A:A),FALSE),
IF(LEFT(C230,3)="CCM",G230*O230*450,
IF(LEFT(C230,3)="SJC",G230*O230*HLOOKUP("PTAX",'Histórico'!$A$1:$EL$983,MATCH(B230,'Histórico'!A:A),FALSE)*450,
IF(LEFT(C230,3)="BGI",G230*O230*330,
IF(LEFT(C230,3)="OZ1",G230*O230*250,
IF(LEFT(C230,3)="CLP",G230*O230*25,
IF(LEFT(C230,3)="EUP", O230*10000*HLOOKUP("EUR/BRL",'Histórico'!$A$1:$EL$983,MATCH(B230,'Histórico'!A:A),FALSE),
IF(LEFT(C230,3)="JSE", G230*O230*0.4,
IF(LEFT(C230,3)="GBP", O230*10000*HLOOKUP("GBP/BRL",'Histórico'!$A$1:$FG$983,MATCH(B230,'Histórico'!A:A),FALSE),
IF(LEFT(C230,3)="JAP",O230*10000*HLOOKUP("PTAX",'Histórico'!$A$1:$FG$983,MATCH(B230,'Histórico'!A:A),FALSE),
IF(LEFT(C230,3)="CNH",O230*10000*HLOOKUP("PTAX",'Histórico'!$A$1:$FG$983,MATCH(B230,'Histórico'!A:A),FALSE),
IF(LEFT(C230,3)="AUS",O230*10000*HLOOKUP("PTAX",'Histórico'!$A$1:$FG$983,MATCH(B230,'Histórico'!A:A),FALSE),
IF(LEFT(C230,3)="CAN",O230*10000*HLOOKUP("PTAX",'Histórico'!$A$1:$FG$983,MATCH(B230,'Histórico'!A:A),FALSE),
IF(LEFT(C230,3)="GBR",O230*10000*HLOOKUP("GBP/BRL",'Histórico'!$A$1:$FG$983,MATCH(B230,'Histórico'!A:A),FALSE),
IF(LEFT(C230,3)="MEX",O230*10000*HLOOKUP("PTAX",'Histórico'!$A$1:$FG$983,MATCH(B230,'Histórico'!A:A),FALSE),
IF(LEFT(C230,3)="CHL",O230*10000*HLOOKUP("PTAX",'Histórico'!$A$1:$FG$983,MATCH(B230,'Histórico'!A:A),FALSE)
)))))))))))))))))))))))),""))</f>
        <v>55749183.75</v>
      </c>
      <c r="O230" s="49">
        <f t="shared" si="2"/>
        <v>225</v>
      </c>
      <c r="P230" s="49">
        <f t="shared" si="5"/>
        <v>225</v>
      </c>
      <c r="Q230" s="51">
        <f>IF($C230&lt;&gt;"",SUMIFS($O$3:$O$401, $C$3:$C$401 ,$C230,$B$3:$B$401,"&lt;="&amp;Controle!$B$6),"")</f>
        <v>225</v>
      </c>
      <c r="R230" s="51">
        <f>IF($D230&lt;&gt;"",SUMIFS($O$3:$O$401, $C$3:$C$401 ,$C230,$B$3:$B$401,"&lt;="&amp;Controle!$B$6,$F$3:$F$401,$F230),"")</f>
        <v>225</v>
      </c>
      <c r="S230" s="51">
        <f>IF($D230&lt;&gt;"",SUMIFS($O$3:$O$401, $C$3:$C$401 ,$C230,$B$3:$B$401,"&lt;="&amp;'Controle D-1'!$B$6,$F$3:$F$401,$F230),"")</f>
        <v>0</v>
      </c>
      <c r="T230" s="40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146"/>
      <c r="B231" s="100">
        <v>45170.0</v>
      </c>
      <c r="C231" s="88" t="s">
        <v>17</v>
      </c>
      <c r="D231" s="88" t="str">
        <f>IF(ISTEXT(C231),VLOOKUP(C231,'Cadastro dos Ativos'!$A$2:$C$1000,3,0),"")</f>
        <v>Futuros</v>
      </c>
      <c r="E231" s="88" t="s">
        <v>208</v>
      </c>
      <c r="F231" s="88" t="s">
        <v>199</v>
      </c>
      <c r="G231" s="101">
        <v>87483.76</v>
      </c>
      <c r="H231" s="101" t="str">
        <f>if($D231="Ações Americanas", HLOOKUP("PTAX",'Histórico'!$A$1:$EL$983,(MATCH(B231,'Histórico'!A:A))-1,""),
if($D231="Ações Europeias", HLOOKUP("EUR/BRL",'Histórico'!$A$1:$EL$983,(MATCH(B231,'Histórico'!A:A))-1,""),""))</f>
        <v/>
      </c>
      <c r="I231" s="110">
        <f t="array" ref="I231">IF(ISTEXT(C231),xlookup(C231,'Cadastro dos Ativos'!$A$2:$A$1000,'Cadastro dos Ativos'!$D$2:$D$1000),"")</f>
        <v>45659</v>
      </c>
      <c r="J231" s="88">
        <v>100.0</v>
      </c>
      <c r="K231" s="47">
        <f t="array" ref="K231">if(and(J231&lt;&gt;"",D231&lt;&gt;"Futuros"),
if(F231=Controle!$C$2, M231/xlookup(workday(B231,-1,Feriados!A:A),Controle!$B$10:$B$1000,Controle!$C$10:$C$1000),
if(F231=Controle!$F$2, M231/xlookup(workday(B231,-1,Feriados!A:A),Controle!$B$10:$B$1000,Controle!$F$10:$F$1000),
if(F231=Controle!$I$2, M231/xlookup(workday(B231,-1,Feriados!A:A),Controle!$B$10:$B$1000,Controle!$I$10:$I$1000),
if(F231=Controle!$L$2, M231/xlookup(workday(B231,-1,Feriados!A:A),Controle!$B$10:$B$1000,Controle!$L$10:$L$1000),
)))),
if(and(J231&lt;&gt;"",D231="Futuros"),
if(F231=Controle!$C$2, N231/xlookup(workday(B231,-1,Feriados!A:A),Controle!$B$10:$B$1000,Controle!$C$10:$C$1000),
if(F231=Controle!$F$2, N231/xlookup(workday(B231,-1,Feriados!A:A),Controle!$B$10:$B$1000,Controle!$F$10:$F$1000),
if(F231=Controle!$I$2, N231/xlookup(workday(B231,-1,Feriados!A:A),Controle!$B$10:$B$1000,Controle!$I$10:$I$1000),
if(F231=Controle!$L$2, N231/xlookup(workday(B231,-1,Feriados!A:A),Controle!$B$10:$B$1000,Controle!$L$10:$L$1000),
)))),""))</f>
        <v>0.08094759836</v>
      </c>
      <c r="L231" s="47">
        <f t="array" ref="L231">IF($J231&lt;&gt;"", IF($D231 = "Futuros" , $N231/xlookup(WORKDAY(B231,-1,Feriados!A:A),Controle!$B$10:$B$1000,Controle!$T$10:$T$1000) , $M231/xlookup(WORKDAY(B231,-1,Feriados!A:A),Controle!$B$10:$B$1000,Controle!$T$10:$T$1000)),"")</f>
        <v>0.02030110851</v>
      </c>
      <c r="M231" s="48">
        <f t="shared" si="4"/>
        <v>-8748376</v>
      </c>
      <c r="N231" s="48">
        <f>IFERROR(IF(D231="Futuros",
IF(LEFT(C231,3)="DI1",G231*O231,
IF(LEFT(C231,3)="ISP",G231*O231*HLOOKUP("PTAX",'Histórico'!$A$1:$EL$983,MATCH(B231,'Histórico'!A:A),FALSE)*50,
IF(LEFT(C231,3)="WDO",10*G231*O231*HLOOKUP("PTAX",'Histórico'!$A$1:$EL$983,MATCH(B231,'Histórico'!A:A),FALSE),
IF(LEFT(C231,3)="DOL",50*G231*O231,
IF(LEFT(C231,3)="EUR",G231*O231*50,
IF(LEFT(C231,3)="WEU",G231*O231*10,
IF(LEFT(C231,3)="IND",G231*O231,
IF(LEFT(C231,3)="WIN",G231*O231*0.2,
IF(LEFT(C231,3)="T10",G231*O231*1000*HLOOKUP("PTAX",'Histórico'!$A$1:$EL$983,MATCH(B231,'Histórico'!A:A),FALSE),
IF(LEFT(C231,3)="CCM",G231*O231*450,
IF(LEFT(C231,3)="SJC",G231*O231*HLOOKUP("PTAX",'Histórico'!$A$1:$EL$983,MATCH(B231,'Histórico'!A:A),FALSE)*450,
IF(LEFT(C231,3)="BGI",G231*O231*330,
IF(LEFT(C231,3)="OZ1",G231*O231*250,
IF(LEFT(C231,3)="CLP",G231*O231*25,
IF(LEFT(C231,3)="EUP", O231*10000*HLOOKUP("EUR/BRL",'Histórico'!$A$1:$EL$983,MATCH(B231,'Histórico'!A:A),FALSE),
IF(LEFT(C231,3)="JSE", G231*O231*0.4,
IF(LEFT(C231,3)="GBP", O231*10000*HLOOKUP("GBP/BRL",'Histórico'!$A$1:$FG$983,MATCH(B231,'Histórico'!A:A),FALSE),
IF(LEFT(C231,3)="JAP",O231*10000*HLOOKUP("PTAX",'Histórico'!$A$1:$FG$983,MATCH(B231,'Histórico'!A:A),FALSE),
IF(LEFT(C231,3)="CNH",O231*10000*HLOOKUP("PTAX",'Histórico'!$A$1:$FG$983,MATCH(B231,'Histórico'!A:A),FALSE),
IF(LEFT(C231,3)="AUS",O231*10000*HLOOKUP("PTAX",'Histórico'!$A$1:$FG$983,MATCH(B231,'Histórico'!A:A),FALSE),
IF(LEFT(C231,3)="CAN",O231*10000*HLOOKUP("PTAX",'Histórico'!$A$1:$FG$983,MATCH(B231,'Histórico'!A:A),FALSE),
IF(LEFT(C231,3)="GBR",O231*10000*HLOOKUP("GBP/BRL",'Histórico'!$A$1:$FG$983,MATCH(B231,'Histórico'!A:A),FALSE),
IF(LEFT(C231,3)="MEX",O231*10000*HLOOKUP("PTAX",'Histórico'!$A$1:$FG$983,MATCH(B231,'Histórico'!A:A),FALSE),
IF(LEFT(C231,3)="CHL",O231*10000*HLOOKUP("PTAX",'Histórico'!$A$1:$FG$983,MATCH(B231,'Histórico'!A:A),FALSE)
)))))))))))))))))))))))),""))</f>
        <v>8748376</v>
      </c>
      <c r="O231" s="49">
        <f t="shared" si="2"/>
        <v>100</v>
      </c>
      <c r="P231" s="49">
        <f t="shared" si="5"/>
        <v>100</v>
      </c>
      <c r="Q231" s="51">
        <f>IF($C231&lt;&gt;"",SUMIFS($O$3:$O$401, $C$3:$C$401 ,$C231,$B$3:$B$401,"&lt;="&amp;Controle!$B$6),"")</f>
        <v>100</v>
      </c>
      <c r="R231" s="51">
        <f>IF($D231&lt;&gt;"",SUMIFS($O$3:$O$401, $C$3:$C$401 ,$C231,$B$3:$B$401,"&lt;="&amp;Controle!$B$6,$F$3:$F$401,$F231),"")</f>
        <v>100</v>
      </c>
      <c r="S231" s="51">
        <f>IF($D231&lt;&gt;"",SUMIFS($O$3:$O$401, $C$3:$C$401 ,$C231,$B$3:$B$401,"&lt;="&amp;'Controle D-1'!$B$6,$F$3:$F$401,$F231),"")</f>
        <v>0</v>
      </c>
      <c r="T231" s="40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146"/>
      <c r="B232" s="100">
        <v>45170.0</v>
      </c>
      <c r="C232" s="88" t="s">
        <v>73</v>
      </c>
      <c r="D232" s="88" t="str">
        <f>IF(ISTEXT(C232),VLOOKUP(C232,'Cadastro dos Ativos'!$A$2:$C$1000,3,0),"")</f>
        <v>Futuros</v>
      </c>
      <c r="E232" s="88" t="s">
        <v>198</v>
      </c>
      <c r="F232" s="88" t="s">
        <v>199</v>
      </c>
      <c r="G232" s="101">
        <v>57983.84</v>
      </c>
      <c r="H232" s="46" t="str">
        <f>if($D232="Ações Americanas", HLOOKUP("PTAX",'Histórico'!$A$1:$EL$983,(MATCH(B232,'Histórico'!A:A))-1,""),
if($D232="Ações Europeias", HLOOKUP("EUR/BRL",'Histórico'!$A$1:$EL$983,(MATCH(B232,'Histórico'!A:A))-1,""),""))</f>
        <v/>
      </c>
      <c r="I232" s="102">
        <f t="array" ref="I232">IF(ISTEXT(C232),xlookup(C232,'Cadastro dos Ativos'!$A$2:$A$1000,'Cadastro dos Ativos'!$D$2:$D$1000),"")</f>
        <v>47120</v>
      </c>
      <c r="J232" s="88">
        <v>50.0</v>
      </c>
      <c r="K232" s="47">
        <f t="array" ref="K232">if(and(J232&lt;&gt;"",D232&lt;&gt;"Futuros"),
if(F232=Controle!$C$2, M232/xlookup(workday(B232,-1,Feriados!A:A),Controle!$B$10:$B$1000,Controle!$C$10:$C$1000),
if(F232=Controle!$F$2, M232/xlookup(workday(B232,-1,Feriados!A:A),Controle!$B$10:$B$1000,Controle!$F$10:$F$1000),
if(F232=Controle!$I$2, M232/xlookup(workday(B232,-1,Feriados!A:A),Controle!$B$10:$B$1000,Controle!$I$10:$I$1000),
if(F232=Controle!$L$2, M232/xlookup(workday(B232,-1,Feriados!A:A),Controle!$B$10:$B$1000,Controle!$L$10:$L$1000),
)))),
if(and(J232&lt;&gt;"",D232="Futuros"),
if(F232=Controle!$C$2, N232/xlookup(workday(B232,-1,Feriados!A:A),Controle!$B$10:$B$1000,Controle!$C$10:$C$1000),
if(F232=Controle!$F$2, N232/xlookup(workday(B232,-1,Feriados!A:A),Controle!$B$10:$B$1000,Controle!$F$10:$F$1000),
if(F232=Controle!$I$2, N232/xlookup(workday(B232,-1,Feriados!A:A),Controle!$B$10:$B$1000,Controle!$I$10:$I$1000),
if(F232=Controle!$L$2, N232/xlookup(workday(B232,-1,Feriados!A:A),Controle!$B$10:$B$1000,Controle!$L$10:$L$1000),
)))),""))</f>
        <v>-0.02682585083</v>
      </c>
      <c r="L232" s="47">
        <f t="array" ref="L232">IF($J232&lt;&gt;"", IF($D232 = "Futuros" , $N232/xlookup(WORKDAY(B232,-1,Feriados!A:A),Controle!$B$10:$B$1000,Controle!$T$10:$T$1000) , $M232/xlookup(WORKDAY(B232,-1,Feriados!A:A),Controle!$B$10:$B$1000,Controle!$T$10:$T$1000)),"")</f>
        <v>-0.0067277414</v>
      </c>
      <c r="M232" s="48">
        <f t="shared" si="4"/>
        <v>2899192</v>
      </c>
      <c r="N232" s="48">
        <f>IFERROR(IF(D232="Futuros",
IF(LEFT(C232,3)="DI1",G232*O232,
IF(LEFT(C232,3)="ISP",G232*O232*HLOOKUP("PTAX",'Histórico'!$A$1:$EL$983,MATCH(B232,'Histórico'!A:A),FALSE)*50,
IF(LEFT(C232,3)="WDO",10*G232*O232*HLOOKUP("PTAX",'Histórico'!$A$1:$EL$983,MATCH(B232,'Histórico'!A:A),FALSE),
IF(LEFT(C232,3)="DOL",50*G232*O232,
IF(LEFT(C232,3)="EUR",G232*O232*50,
IF(LEFT(C232,3)="WEU",G232*O232*10,
IF(LEFT(C232,3)="IND",G232*O232,
IF(LEFT(C232,3)="WIN",G232*O232*0.2,
IF(LEFT(C232,3)="T10",G232*O232*1000*HLOOKUP("PTAX",'Histórico'!$A$1:$EL$983,MATCH(B232,'Histórico'!A:A),FALSE),
IF(LEFT(C232,3)="CCM",G232*O232*450,
IF(LEFT(C232,3)="SJC",G232*O232*HLOOKUP("PTAX",'Histórico'!$A$1:$EL$983,MATCH(B232,'Histórico'!A:A),FALSE)*450,
IF(LEFT(C232,3)="BGI",G232*O232*330,
IF(LEFT(C232,3)="OZ1",G232*O232*250,
IF(LEFT(C232,3)="CLP",G232*O232*25,
IF(LEFT(C232,3)="EUP", O232*10000*HLOOKUP("EUR/BRL",'Histórico'!$A$1:$EL$983,MATCH(B232,'Histórico'!A:A),FALSE),
IF(LEFT(C232,3)="JSE", G232*O232*0.4,
IF(LEFT(C232,3)="GBP", O232*10000*HLOOKUP("GBP/BRL",'Histórico'!$A$1:$FG$983,MATCH(B232,'Histórico'!A:A),FALSE),
IF(LEFT(C232,3)="JAP",O232*10000*HLOOKUP("PTAX",'Histórico'!$A$1:$FG$983,MATCH(B232,'Histórico'!A:A),FALSE),
IF(LEFT(C232,3)="CNH",O232*10000*HLOOKUP("PTAX",'Histórico'!$A$1:$FG$983,MATCH(B232,'Histórico'!A:A),FALSE),
IF(LEFT(C232,3)="AUS",O232*10000*HLOOKUP("PTAX",'Histórico'!$A$1:$FG$983,MATCH(B232,'Histórico'!A:A),FALSE),
IF(LEFT(C232,3)="CAN",O232*10000*HLOOKUP("PTAX",'Histórico'!$A$1:$FG$983,MATCH(B232,'Histórico'!A:A),FALSE),
IF(LEFT(C232,3)="GBR",O232*10000*HLOOKUP("GBP/BRL",'Histórico'!$A$1:$FG$983,MATCH(B232,'Histórico'!A:A),FALSE),
IF(LEFT(C232,3)="MEX",O232*10000*HLOOKUP("PTAX",'Histórico'!$A$1:$FG$983,MATCH(B232,'Histórico'!A:A),FALSE),
IF(LEFT(C232,3)="CHL",O232*10000*HLOOKUP("PTAX",'Histórico'!$A$1:$FG$983,MATCH(B232,'Histórico'!A:A),FALSE)
)))))))))))))))))))))))),""))</f>
        <v>-2899192</v>
      </c>
      <c r="O232" s="49">
        <f t="shared" si="2"/>
        <v>-50</v>
      </c>
      <c r="P232" s="49">
        <f t="shared" si="5"/>
        <v>-50</v>
      </c>
      <c r="Q232" s="51">
        <f>IF($C232&lt;&gt;"",SUMIFS($O$3:$O$401, $C$3:$C$401 ,$C232,$B$3:$B$401,"&lt;="&amp;Controle!$B$6),"")</f>
        <v>-50</v>
      </c>
      <c r="R232" s="51">
        <f>IF($D232&lt;&gt;"",SUMIFS($O$3:$O$401, $C$3:$C$401 ,$C232,$B$3:$B$401,"&lt;="&amp;Controle!$B$6,$F$3:$F$401,$F232),"")</f>
        <v>-50</v>
      </c>
      <c r="S232" s="51">
        <f>IF($D232&lt;&gt;"",SUMIFS($O$3:$O$401, $C$3:$C$401 ,$C232,$B$3:$B$401,"&lt;="&amp;'Controle D-1'!$B$6,$F$3:$F$401,$F232),"")</f>
        <v>0</v>
      </c>
      <c r="T232" s="40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146"/>
      <c r="B233" s="100">
        <v>45173.0</v>
      </c>
      <c r="C233" s="88" t="s">
        <v>172</v>
      </c>
      <c r="D233" s="88" t="str">
        <f>IF(ISTEXT(C233),VLOOKUP(C233,'Cadastro dos Ativos'!$A$2:$C$1000,3,0),"")</f>
        <v>Ações Americanas</v>
      </c>
      <c r="E233" s="88" t="s">
        <v>208</v>
      </c>
      <c r="F233" s="88" t="s">
        <v>201</v>
      </c>
      <c r="G233" s="101">
        <v>6.81</v>
      </c>
      <c r="H233" s="101">
        <f>if($D233="Ações Americanas", HLOOKUP("PTAX",'Histórico'!$A$1:$EL$983,(MATCH(B233,'Histórico'!A:A))-1,""),
if($D233="Ações Europeias", HLOOKUP("EUR/BRL",'Histórico'!$A$1:$EL$983,(MATCH(B233,'Histórico'!A:A))-1,""),""))</f>
        <v>4.95359993</v>
      </c>
      <c r="I233" s="88" t="str">
        <f t="array" ref="I233">IF(ISTEXT(C233),xlookup(C233,'Cadastro dos Ativos'!$A$2:$A$1000,'Cadastro dos Ativos'!$D$2:$D$1000),"")</f>
        <v/>
      </c>
      <c r="J233" s="88">
        <v>215000.0</v>
      </c>
      <c r="K233" s="47">
        <f t="array" ref="K233">if(and(J233&lt;&gt;"",D233&lt;&gt;"Futuros"),
if(F233=Controle!$C$2, M233/xlookup(workday(B233,-1,Feriados!A:A),Controle!$B$10:$B$1000,Controle!$C$10:$C$1000),
if(F233=Controle!$F$2, M233/xlookup(workday(B233,-1,Feriados!A:A),Controle!$B$10:$B$1000,Controle!$F$10:$F$1000),
if(F233=Controle!$I$2, M233/xlookup(workday(B233,-1,Feriados!A:A),Controle!$B$10:$B$1000,Controle!$I$10:$I$1000),
if(F233=Controle!$L$2, M233/xlookup(workday(B233,-1,Feriados!A:A),Controle!$B$10:$B$1000,Controle!$L$10:$L$1000),
)))),
if(and(J233&lt;&gt;"",D233="Futuros"),
if(F233=Controle!$C$2, N233/xlookup(workday(B233,-1,Feriados!A:A),Controle!$B$10:$B$1000,Controle!$C$10:$C$1000),
if(F233=Controle!$F$2, N233/xlookup(workday(B233,-1,Feriados!A:A),Controle!$B$10:$B$1000,Controle!$F$10:$F$1000),
if(F233=Controle!$I$2, N233/xlookup(workday(B233,-1,Feriados!A:A),Controle!$B$10:$B$1000,Controle!$I$10:$I$1000),
if(F233=Controle!$L$2, N233/xlookup(workday(B233,-1,Feriados!A:A),Controle!$B$10:$B$1000,Controle!$L$10:$L$1000),
)))),""))</f>
        <v>-0.06704328036</v>
      </c>
      <c r="L233" s="47">
        <f t="array" ref="L233">IF($J233&lt;&gt;"", IF($D233 = "Futuros" , $N233/xlookup(WORKDAY(B233,-1,Feriados!A:A),Controle!$B$10:$B$1000,Controle!$T$10:$T$1000) , $M233/xlookup(WORKDAY(B233,-1,Feriados!A:A),Controle!$B$10:$B$1000,Controle!$T$10:$T$1000)),"")</f>
        <v>-0.01677756419</v>
      </c>
      <c r="M233" s="48">
        <f t="shared" si="4"/>
        <v>-7252813.337</v>
      </c>
      <c r="N233" s="48" t="str">
        <f>IFERROR(IF(D233="Futuros",
IF(LEFT(C233,3)="DI1",G233*O233,
IF(LEFT(C233,3)="ISP",G233*O233*HLOOKUP("PTAX",'Histórico'!$A$1:$EL$983,MATCH(B233,'Histórico'!A:A),FALSE)*50,
IF(LEFT(C233,3)="WDO",10*G233*O233*HLOOKUP("PTAX",'Histórico'!$A$1:$EL$983,MATCH(B233,'Histórico'!A:A),FALSE),
IF(LEFT(C233,3)="DOL",50*G233*O233,
IF(LEFT(C233,3)="EUR",G233*O233*50,
IF(LEFT(C233,3)="WEU",G233*O233*10,
IF(LEFT(C233,3)="IND",G233*O233,
IF(LEFT(C233,3)="WIN",G233*O233*0.2,
IF(LEFT(C233,3)="T10",G233*O233*1000*HLOOKUP("PTAX",'Histórico'!$A$1:$EL$983,MATCH(B233,'Histórico'!A:A),FALSE),
IF(LEFT(C233,3)="CCM",G233*O233*450,
IF(LEFT(C233,3)="SJC",G233*O233*HLOOKUP("PTAX",'Histórico'!$A$1:$EL$983,MATCH(B233,'Histórico'!A:A),FALSE)*450,
IF(LEFT(C233,3)="BGI",G233*O233*330,
IF(LEFT(C233,3)="OZ1",G233*O233*250,
IF(LEFT(C233,3)="CLP",G233*O233*25,
IF(LEFT(C233,3)="EUP", O233*10000*HLOOKUP("EUR/BRL",'Histórico'!$A$1:$EL$983,MATCH(B233,'Histórico'!A:A),FALSE),
IF(LEFT(C233,3)="JSE", G233*O233*0.4,
IF(LEFT(C233,3)="GBP", O233*10000*HLOOKUP("GBP/BRL",'Histórico'!$A$1:$FG$983,MATCH(B233,'Histórico'!A:A),FALSE),
IF(LEFT(C233,3)="JAP",O233*10000*HLOOKUP("PTAX",'Histórico'!$A$1:$FG$983,MATCH(B233,'Histórico'!A:A),FALSE),
IF(LEFT(C233,3)="CNH",O233*10000*HLOOKUP("PTAX",'Histórico'!$A$1:$FG$983,MATCH(B233,'Histórico'!A:A),FALSE),
IF(LEFT(C233,3)="AUS",O233*10000*HLOOKUP("PTAX",'Histórico'!$A$1:$FG$983,MATCH(B233,'Histórico'!A:A),FALSE),
IF(LEFT(C233,3)="CAN",O233*10000*HLOOKUP("PTAX",'Histórico'!$A$1:$FG$983,MATCH(B233,'Histórico'!A:A),FALSE),
IF(LEFT(C233,3)="GBR",O233*10000*HLOOKUP("GBP/BRL",'Histórico'!$A$1:$FG$983,MATCH(B233,'Histórico'!A:A),FALSE),
IF(LEFT(C233,3)="MEX",O233*10000*HLOOKUP("PTAX",'Histórico'!$A$1:$FG$983,MATCH(B233,'Histórico'!A:A),FALSE),
IF(LEFT(C233,3)="CHL",O233*10000*HLOOKUP("PTAX",'Histórico'!$A$1:$FG$983,MATCH(B233,'Histórico'!A:A),FALSE)
)))))))))))))))))))))))),""))</f>
        <v/>
      </c>
      <c r="O233" s="49">
        <f t="shared" si="2"/>
        <v>215000</v>
      </c>
      <c r="P233" s="49">
        <f t="shared" si="5"/>
        <v>215000</v>
      </c>
      <c r="Q233" s="51">
        <f>IF($C233&lt;&gt;"",SUMIFS($O$3:$O$401, $C$3:$C$401 ,$C233,$B$3:$B$401,"&lt;="&amp;Controle!$B$6),"")</f>
        <v>0</v>
      </c>
      <c r="R233" s="51">
        <f>IF($D233&lt;&gt;"",SUMIFS($O$3:$O$401, $C$3:$C$401 ,$C233,$B$3:$B$401,"&lt;="&amp;Controle!$B$6,$F$3:$F$401,$F233),"")</f>
        <v>0</v>
      </c>
      <c r="S233" s="51">
        <f>IF($D233&lt;&gt;"",SUMIFS($O$3:$O$401, $C$3:$C$401 ,$C233,$B$3:$B$401,"&lt;="&amp;'Controle D-1'!$B$6,$F$3:$F$401,$F233),"")</f>
        <v>0</v>
      </c>
      <c r="T233" s="40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146"/>
      <c r="B234" s="100">
        <v>45173.0</v>
      </c>
      <c r="C234" s="88" t="s">
        <v>7</v>
      </c>
      <c r="D234" s="88" t="str">
        <f>IF(ISTEXT(C234),VLOOKUP(C234,'Cadastro dos Ativos'!$A$2:$C$1000,3,0),"")</f>
        <v>Ações Americanas</v>
      </c>
      <c r="E234" s="88" t="s">
        <v>208</v>
      </c>
      <c r="F234" s="88" t="s">
        <v>201</v>
      </c>
      <c r="G234" s="101">
        <v>451.19</v>
      </c>
      <c r="H234" s="46">
        <f>if($D234="Ações Americanas", HLOOKUP("PTAX",'Histórico'!$A$1:$EL$983,(MATCH(B234,'Histórico'!A:A))-1,""),
if($D234="Ações Europeias", HLOOKUP("EUR/BRL",'Histórico'!$A$1:$EL$983,(MATCH(B234,'Histórico'!A:A))-1,""),""))</f>
        <v>4.95359993</v>
      </c>
      <c r="I234" s="88" t="str">
        <f t="array" ref="I234">IF(ISTEXT(C234),xlookup(C234,'Cadastro dos Ativos'!$A$2:$A$1000,'Cadastro dos Ativos'!$D$2:$D$1000),"")</f>
        <v/>
      </c>
      <c r="J234" s="88">
        <v>3500.0</v>
      </c>
      <c r="K234" s="47">
        <f t="array" ref="K234">if(and(J234&lt;&gt;"",D234&lt;&gt;"Futuros"),
if(F234=Controle!$C$2, M234/xlookup(workday(B234,-1,Feriados!A:A),Controle!$B$10:$B$1000,Controle!$C$10:$C$1000),
if(F234=Controle!$F$2, M234/xlookup(workday(B234,-1,Feriados!A:A),Controle!$B$10:$B$1000,Controle!$F$10:$F$1000),
if(F234=Controle!$I$2, M234/xlookup(workday(B234,-1,Feriados!A:A),Controle!$B$10:$B$1000,Controle!$I$10:$I$1000),
if(F234=Controle!$L$2, M234/xlookup(workday(B234,-1,Feriados!A:A),Controle!$B$10:$B$1000,Controle!$L$10:$L$1000),
)))),
if(and(J234&lt;&gt;"",D234="Futuros"),
if(F234=Controle!$C$2, N234/xlookup(workday(B234,-1,Feriados!A:A),Controle!$B$10:$B$1000,Controle!$C$10:$C$1000),
if(F234=Controle!$F$2, N234/xlookup(workday(B234,-1,Feriados!A:A),Controle!$B$10:$B$1000,Controle!$F$10:$F$1000),
if(F234=Controle!$I$2, N234/xlookup(workday(B234,-1,Feriados!A:A),Controle!$B$10:$B$1000,Controle!$I$10:$I$1000),
if(F234=Controle!$L$2, N234/xlookup(workday(B234,-1,Feriados!A:A),Controle!$B$10:$B$1000,Controle!$L$10:$L$1000),
)))),""))</f>
        <v>-0.07230980557</v>
      </c>
      <c r="L234" s="47">
        <f t="array" ref="L234">IF($J234&lt;&gt;"", IF($D234 = "Futuros" , $N234/xlookup(WORKDAY(B234,-1,Feriados!A:A),Controle!$B$10:$B$1000,Controle!$T$10:$T$1000) , $M234/xlookup(WORKDAY(B234,-1,Feriados!A:A),Controle!$B$10:$B$1000,Controle!$T$10:$T$1000)),"")</f>
        <v>-0.01809551082</v>
      </c>
      <c r="M234" s="48">
        <f t="shared" si="4"/>
        <v>-7822551.633</v>
      </c>
      <c r="N234" s="48" t="str">
        <f>IFERROR(IF(D234="Futuros",
IF(LEFT(C234,3)="DI1",G234*O234,
IF(LEFT(C234,3)="ISP",G234*O234*HLOOKUP("PTAX",'Histórico'!$A$1:$EL$983,MATCH(B234,'Histórico'!A:A),FALSE)*50,
IF(LEFT(C234,3)="WDO",10*G234*O234*HLOOKUP("PTAX",'Histórico'!$A$1:$EL$983,MATCH(B234,'Histórico'!A:A),FALSE),
IF(LEFT(C234,3)="DOL",50*G234*O234,
IF(LEFT(C234,3)="EUR",G234*O234*50,
IF(LEFT(C234,3)="WEU",G234*O234*10,
IF(LEFT(C234,3)="IND",G234*O234,
IF(LEFT(C234,3)="WIN",G234*O234*0.2,
IF(LEFT(C234,3)="T10",G234*O234*1000*HLOOKUP("PTAX",'Histórico'!$A$1:$EL$983,MATCH(B234,'Histórico'!A:A),FALSE),
IF(LEFT(C234,3)="CCM",G234*O234*450,
IF(LEFT(C234,3)="SJC",G234*O234*HLOOKUP("PTAX",'Histórico'!$A$1:$EL$983,MATCH(B234,'Histórico'!A:A),FALSE)*450,
IF(LEFT(C234,3)="BGI",G234*O234*330,
IF(LEFT(C234,3)="OZ1",G234*O234*250,
IF(LEFT(C234,3)="CLP",G234*O234*25,
IF(LEFT(C234,3)="EUP", O234*10000*HLOOKUP("EUR/BRL",'Histórico'!$A$1:$EL$983,MATCH(B234,'Histórico'!A:A),FALSE),
IF(LEFT(C234,3)="JSE", G234*O234*0.4,
IF(LEFT(C234,3)="GBP", O234*10000*HLOOKUP("GBP/BRL",'Histórico'!$A$1:$FG$983,MATCH(B234,'Histórico'!A:A),FALSE),
IF(LEFT(C234,3)="JAP",O234*10000*HLOOKUP("PTAX",'Histórico'!$A$1:$FG$983,MATCH(B234,'Histórico'!A:A),FALSE),
IF(LEFT(C234,3)="CNH",O234*10000*HLOOKUP("PTAX",'Histórico'!$A$1:$FG$983,MATCH(B234,'Histórico'!A:A),FALSE),
IF(LEFT(C234,3)="AUS",O234*10000*HLOOKUP("PTAX",'Histórico'!$A$1:$FG$983,MATCH(B234,'Histórico'!A:A),FALSE),
IF(LEFT(C234,3)="CAN",O234*10000*HLOOKUP("PTAX",'Histórico'!$A$1:$FG$983,MATCH(B234,'Histórico'!A:A),FALSE),
IF(LEFT(C234,3)="GBR",O234*10000*HLOOKUP("GBP/BRL",'Histórico'!$A$1:$FG$983,MATCH(B234,'Histórico'!A:A),FALSE),
IF(LEFT(C234,3)="MEX",O234*10000*HLOOKUP("PTAX",'Histórico'!$A$1:$FG$983,MATCH(B234,'Histórico'!A:A),FALSE),
IF(LEFT(C234,3)="CHL",O234*10000*HLOOKUP("PTAX",'Histórico'!$A$1:$FG$983,MATCH(B234,'Histórico'!A:A),FALSE)
)))))))))))))))))))))))),""))</f>
        <v/>
      </c>
      <c r="O234" s="49">
        <f t="shared" si="2"/>
        <v>3500</v>
      </c>
      <c r="P234" s="49">
        <f t="shared" si="5"/>
        <v>3500</v>
      </c>
      <c r="Q234" s="51">
        <f>IF($C234&lt;&gt;"",SUMIFS($O$3:$O$401, $C$3:$C$401 ,$C234,$B$3:$B$401,"&lt;="&amp;Controle!$B$6),"")</f>
        <v>0</v>
      </c>
      <c r="R234" s="51">
        <f>IF($D234&lt;&gt;"",SUMIFS($O$3:$O$401, $C$3:$C$401 ,$C234,$B$3:$B$401,"&lt;="&amp;Controle!$B$6,$F$3:$F$401,$F234),"")</f>
        <v>0</v>
      </c>
      <c r="S234" s="51">
        <f>IF($D234&lt;&gt;"",SUMIFS($O$3:$O$401, $C$3:$C$401 ,$C234,$B$3:$B$401,"&lt;="&amp;'Controle D-1'!$B$6,$F$3:$F$401,$F234),"")</f>
        <v>0</v>
      </c>
      <c r="T234" s="40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146"/>
      <c r="B235" s="100">
        <v>45173.0</v>
      </c>
      <c r="C235" s="88" t="s">
        <v>105</v>
      </c>
      <c r="D235" s="88" t="str">
        <f>IF(ISTEXT(C235),VLOOKUP(C235,'Cadastro dos Ativos'!$A$2:$C$1000,3,0),"")</f>
        <v>Ações Listadas na B3</v>
      </c>
      <c r="E235" s="88" t="s">
        <v>198</v>
      </c>
      <c r="F235" s="88" t="s">
        <v>273</v>
      </c>
      <c r="G235" s="88">
        <v>5.75</v>
      </c>
      <c r="H235" s="101" t="str">
        <f>if($D235="Ações Americanas", HLOOKUP("PTAX",'Histórico'!$A$1:$EL$983,(MATCH(B235,'Histórico'!A:A))-1,""),
if($D235="Ações Europeias", HLOOKUP("EUR/BRL",'Histórico'!$A$1:$EL$983,(MATCH(B235,'Histórico'!A:A))-1,""),""))</f>
        <v/>
      </c>
      <c r="I235" s="88" t="str">
        <f t="array" ref="I235">IF(ISTEXT(C235),xlookup(C235,'Cadastro dos Ativos'!$A$2:$A$1000,'Cadastro dos Ativos'!$D$2:$D$1000),"")</f>
        <v/>
      </c>
      <c r="J235" s="88">
        <v>1360000.0</v>
      </c>
      <c r="K235" s="47">
        <f t="array" ref="K235">if(and(J235&lt;&gt;"",D235&lt;&gt;"Futuros"),
if(F235=Controle!$C$2, M235/xlookup(workday(B235,-1,Feriados!A:A),Controle!$B$10:$B$1000,Controle!$C$10:$C$1000),
if(F235=Controle!$F$2, M235/xlookup(workday(B235,-1,Feriados!A:A),Controle!$B$10:$B$1000,Controle!$F$10:$F$1000),
if(F235=Controle!$I$2, M235/xlookup(workday(B235,-1,Feriados!A:A),Controle!$B$10:$B$1000,Controle!$I$10:$I$1000),
if(F235=Controle!$L$2, M235/xlookup(workday(B235,-1,Feriados!A:A),Controle!$B$10:$B$1000,Controle!$L$10:$L$1000),
)))),
if(and(J235&lt;&gt;"",D235="Futuros"),
if(F235=Controle!$C$2, N235/xlookup(workday(B235,-1,Feriados!A:A),Controle!$B$10:$B$1000,Controle!$C$10:$C$1000),
if(F235=Controle!$F$2, N235/xlookup(workday(B235,-1,Feriados!A:A),Controle!$B$10:$B$1000,Controle!$F$10:$F$1000),
if(F235=Controle!$I$2, N235/xlookup(workday(B235,-1,Feriados!A:A),Controle!$B$10:$B$1000,Controle!$I$10:$I$1000),
if(F235=Controle!$L$2, N235/xlookup(workday(B235,-1,Feriados!A:A),Controle!$B$10:$B$1000,Controle!$L$10:$L$1000),
)))),""))</f>
        <v>0.07541019573</v>
      </c>
      <c r="L235" s="47">
        <f t="array" ref="L235">IF($J235&lt;&gt;"", IF($D235 = "Futuros" , $N235/xlookup(WORKDAY(B235,-1,Feriados!A:A),Controle!$B$10:$B$1000,Controle!$T$10:$T$1000) , $M235/xlookup(WORKDAY(B235,-1,Feriados!A:A),Controle!$B$10:$B$1000,Controle!$T$10:$T$1000)),"")</f>
        <v>0.01808960825</v>
      </c>
      <c r="M235" s="48">
        <f t="shared" si="4"/>
        <v>7820000</v>
      </c>
      <c r="N235" s="48" t="str">
        <f>IFERROR(IF(D235="Futuros",
IF(LEFT(C235,3)="DI1",G235*O235,
IF(LEFT(C235,3)="ISP",G235*O235*HLOOKUP("PTAX",'Histórico'!$A$1:$EL$983,MATCH(B235,'Histórico'!A:A),FALSE)*50,
IF(LEFT(C235,3)="WDO",10*G235*O235*HLOOKUP("PTAX",'Histórico'!$A$1:$EL$983,MATCH(B235,'Histórico'!A:A),FALSE),
IF(LEFT(C235,3)="DOL",50*G235*O235,
IF(LEFT(C235,3)="EUR",G235*O235*50,
IF(LEFT(C235,3)="WEU",G235*O235*10,
IF(LEFT(C235,3)="IND",G235*O235,
IF(LEFT(C235,3)="WIN",G235*O235*0.2,
IF(LEFT(C235,3)="T10",G235*O235*1000*HLOOKUP("PTAX",'Histórico'!$A$1:$EL$983,MATCH(B235,'Histórico'!A:A),FALSE),
IF(LEFT(C235,3)="CCM",G235*O235*450,
IF(LEFT(C235,3)="SJC",G235*O235*HLOOKUP("PTAX",'Histórico'!$A$1:$EL$983,MATCH(B235,'Histórico'!A:A),FALSE)*450,
IF(LEFT(C235,3)="BGI",G235*O235*330,
IF(LEFT(C235,3)="OZ1",G235*O235*250,
IF(LEFT(C235,3)="CLP",G235*O235*25,
IF(LEFT(C235,3)="EUP", O235*10000*HLOOKUP("EUR/BRL",'Histórico'!$A$1:$EL$983,MATCH(B235,'Histórico'!A:A),FALSE),
IF(LEFT(C235,3)="JSE", G235*O235*0.4,
IF(LEFT(C235,3)="GBP", O235*10000*HLOOKUP("GBP/BRL",'Histórico'!$A$1:$FG$983,MATCH(B235,'Histórico'!A:A),FALSE),
IF(LEFT(C235,3)="JAP",O235*10000*HLOOKUP("PTAX",'Histórico'!$A$1:$FG$983,MATCH(B235,'Histórico'!A:A),FALSE),
IF(LEFT(C235,3)="CNH",O235*10000*HLOOKUP("PTAX",'Histórico'!$A$1:$FG$983,MATCH(B235,'Histórico'!A:A),FALSE),
IF(LEFT(C235,3)="AUS",O235*10000*HLOOKUP("PTAX",'Histórico'!$A$1:$FG$983,MATCH(B235,'Histórico'!A:A),FALSE),
IF(LEFT(C235,3)="CAN",O235*10000*HLOOKUP("PTAX",'Histórico'!$A$1:$FG$983,MATCH(B235,'Histórico'!A:A),FALSE),
IF(LEFT(C235,3)="GBR",O235*10000*HLOOKUP("GBP/BRL",'Histórico'!$A$1:$FG$983,MATCH(B235,'Histórico'!A:A),FALSE),
IF(LEFT(C235,3)="MEX",O235*10000*HLOOKUP("PTAX",'Histórico'!$A$1:$FG$983,MATCH(B235,'Histórico'!A:A),FALSE),
IF(LEFT(C235,3)="CHL",O235*10000*HLOOKUP("PTAX",'Histórico'!$A$1:$FG$983,MATCH(B235,'Histórico'!A:A),FALSE)
)))))))))))))))))))))))),""))</f>
        <v/>
      </c>
      <c r="O235" s="49">
        <f t="shared" si="2"/>
        <v>-1360000</v>
      </c>
      <c r="P235" s="49">
        <f t="shared" si="5"/>
        <v>0</v>
      </c>
      <c r="Q235" s="51">
        <f>IF($C235&lt;&gt;"",SUMIFS($O$3:$O$401, $C$3:$C$401 ,$C235,$B$3:$B$401,"&lt;="&amp;Controle!$B$6),"")</f>
        <v>1360000</v>
      </c>
      <c r="R235" s="51">
        <f>IF($D235&lt;&gt;"",SUMIFS($O$3:$O$401, $C$3:$C$401 ,$C235,$B$3:$B$401,"&lt;="&amp;Controle!$B$6,$F$3:$F$401,$F235),"")</f>
        <v>1360000</v>
      </c>
      <c r="S235" s="51">
        <f>IF($D235&lt;&gt;"",SUMIFS($O$3:$O$401, $C$3:$C$401 ,$C235,$B$3:$B$401,"&lt;="&amp;'Controle D-1'!$B$6,$F$3:$F$401,$F235),"")</f>
        <v>1360000</v>
      </c>
      <c r="T235" s="40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146"/>
      <c r="B236" s="100">
        <v>45173.0</v>
      </c>
      <c r="C236" s="88" t="s">
        <v>103</v>
      </c>
      <c r="D236" s="88" t="str">
        <f>IF(ISTEXT(C236),VLOOKUP(C236,'Cadastro dos Ativos'!$A$2:$C$1000,3,0),"")</f>
        <v>Ações Listadas na B3</v>
      </c>
      <c r="E236" s="88" t="s">
        <v>198</v>
      </c>
      <c r="F236" s="88" t="s">
        <v>273</v>
      </c>
      <c r="G236" s="88">
        <v>28.32999992370605</v>
      </c>
      <c r="H236" s="46" t="str">
        <f>if($D236="Ações Americanas", HLOOKUP("PTAX",'Histórico'!$A$1:$EL$983,(MATCH(B236,'Histórico'!A:A))-1,""),
if($D236="Ações Europeias", HLOOKUP("EUR/BRL",'Histórico'!$A$1:$EL$983,(MATCH(B236,'Histórico'!A:A))-1,""),""))</f>
        <v/>
      </c>
      <c r="I236" s="88" t="str">
        <f t="array" ref="I236">IF(ISTEXT(C236),xlookup(C236,'Cadastro dos Ativos'!$A$2:$A$1000,'Cadastro dos Ativos'!$D$2:$D$1000),"")</f>
        <v/>
      </c>
      <c r="J236" s="88">
        <v>410000.0</v>
      </c>
      <c r="K236" s="47">
        <f t="array" ref="K236">if(and(J236&lt;&gt;"",D236&lt;&gt;"Futuros"),
if(F236=Controle!$C$2, M236/xlookup(workday(B236,-1,Feriados!A:A),Controle!$B$10:$B$1000,Controle!$C$10:$C$1000),
if(F236=Controle!$F$2, M236/xlookup(workday(B236,-1,Feriados!A:A),Controle!$B$10:$B$1000,Controle!$F$10:$F$1000),
if(F236=Controle!$I$2, M236/xlookup(workday(B236,-1,Feriados!A:A),Controle!$B$10:$B$1000,Controle!$I$10:$I$1000),
if(F236=Controle!$L$2, M236/xlookup(workday(B236,-1,Feriados!A:A),Controle!$B$10:$B$1000,Controle!$L$10:$L$1000),
)))),
if(and(J236&lt;&gt;"",D236="Futuros"),
if(F236=Controle!$C$2, N236/xlookup(workday(B236,-1,Feriados!A:A),Controle!$B$10:$B$1000,Controle!$C$10:$C$1000),
if(F236=Controle!$F$2, N236/xlookup(workday(B236,-1,Feriados!A:A),Controle!$B$10:$B$1000,Controle!$F$10:$F$1000),
if(F236=Controle!$I$2, N236/xlookup(workday(B236,-1,Feriados!A:A),Controle!$B$10:$B$1000,Controle!$I$10:$I$1000),
if(F236=Controle!$L$2, N236/xlookup(workday(B236,-1,Feriados!A:A),Controle!$B$10:$B$1000,Controle!$L$10:$L$1000),
)))),""))</f>
        <v>0.1120092128</v>
      </c>
      <c r="L236" s="47">
        <f t="array" ref="L236">IF($J236&lt;&gt;"", IF($D236 = "Futuros" , $N236/xlookup(WORKDAY(B236,-1,Feriados!A:A),Controle!$B$10:$B$1000,Controle!$T$10:$T$1000) , $M236/xlookup(WORKDAY(B236,-1,Feriados!A:A),Controle!$B$10:$B$1000,Controle!$T$10:$T$1000)),"")</f>
        <v>0.02686908263</v>
      </c>
      <c r="M236" s="48">
        <f t="shared" si="4"/>
        <v>11615299.97</v>
      </c>
      <c r="N236" s="48" t="str">
        <f>IFERROR(IF(D236="Futuros",
IF(LEFT(C236,3)="DI1",G236*O236,
IF(LEFT(C236,3)="ISP",G236*O236*HLOOKUP("PTAX",'Histórico'!$A$1:$EL$983,MATCH(B236,'Histórico'!A:A),FALSE)*50,
IF(LEFT(C236,3)="WDO",10*G236*O236*HLOOKUP("PTAX",'Histórico'!$A$1:$EL$983,MATCH(B236,'Histórico'!A:A),FALSE),
IF(LEFT(C236,3)="DOL",50*G236*O236,
IF(LEFT(C236,3)="EUR",G236*O236*50,
IF(LEFT(C236,3)="WEU",G236*O236*10,
IF(LEFT(C236,3)="IND",G236*O236,
IF(LEFT(C236,3)="WIN",G236*O236*0.2,
IF(LEFT(C236,3)="T10",G236*O236*1000*HLOOKUP("PTAX",'Histórico'!$A$1:$EL$983,MATCH(B236,'Histórico'!A:A),FALSE),
IF(LEFT(C236,3)="CCM",G236*O236*450,
IF(LEFT(C236,3)="SJC",G236*O236*HLOOKUP("PTAX",'Histórico'!$A$1:$EL$983,MATCH(B236,'Histórico'!A:A),FALSE)*450,
IF(LEFT(C236,3)="BGI",G236*O236*330,
IF(LEFT(C236,3)="OZ1",G236*O236*250,
IF(LEFT(C236,3)="CLP",G236*O236*25,
IF(LEFT(C236,3)="EUP", O236*10000*HLOOKUP("EUR/BRL",'Histórico'!$A$1:$EL$983,MATCH(B236,'Histórico'!A:A),FALSE),
IF(LEFT(C236,3)="JSE", G236*O236*0.4,
IF(LEFT(C236,3)="GBP", O236*10000*HLOOKUP("GBP/BRL",'Histórico'!$A$1:$FG$983,MATCH(B236,'Histórico'!A:A),FALSE),
IF(LEFT(C236,3)="JAP",O236*10000*HLOOKUP("PTAX",'Histórico'!$A$1:$FG$983,MATCH(B236,'Histórico'!A:A),FALSE),
IF(LEFT(C236,3)="CNH",O236*10000*HLOOKUP("PTAX",'Histórico'!$A$1:$FG$983,MATCH(B236,'Histórico'!A:A),FALSE),
IF(LEFT(C236,3)="AUS",O236*10000*HLOOKUP("PTAX",'Histórico'!$A$1:$FG$983,MATCH(B236,'Histórico'!A:A),FALSE),
IF(LEFT(C236,3)="CAN",O236*10000*HLOOKUP("PTAX",'Histórico'!$A$1:$FG$983,MATCH(B236,'Histórico'!A:A),FALSE),
IF(LEFT(C236,3)="GBR",O236*10000*HLOOKUP("GBP/BRL",'Histórico'!$A$1:$FG$983,MATCH(B236,'Histórico'!A:A),FALSE),
IF(LEFT(C236,3)="MEX",O236*10000*HLOOKUP("PTAX",'Histórico'!$A$1:$FG$983,MATCH(B236,'Histórico'!A:A),FALSE),
IF(LEFT(C236,3)="CHL",O236*10000*HLOOKUP("PTAX",'Histórico'!$A$1:$FG$983,MATCH(B236,'Histórico'!A:A),FALSE)
)))))))))))))))))))))))),""))</f>
        <v/>
      </c>
      <c r="O236" s="49">
        <f t="shared" si="2"/>
        <v>-410000</v>
      </c>
      <c r="P236" s="49">
        <f t="shared" si="5"/>
        <v>0</v>
      </c>
      <c r="Q236" s="51">
        <f>IF($C236&lt;&gt;"",SUMIFS($O$3:$O$401, $C$3:$C$401 ,$C236,$B$3:$B$401,"&lt;="&amp;Controle!$B$6),"")</f>
        <v>410000</v>
      </c>
      <c r="R236" s="51">
        <f>IF($D236&lt;&gt;"",SUMIFS($O$3:$O$401, $C$3:$C$401 ,$C236,$B$3:$B$401,"&lt;="&amp;Controle!$B$6,$F$3:$F$401,$F236),"")</f>
        <v>410000</v>
      </c>
      <c r="S236" s="51">
        <f>IF($D236&lt;&gt;"",SUMIFS($O$3:$O$401, $C$3:$C$401 ,$C236,$B$3:$B$401,"&lt;="&amp;'Controle D-1'!$B$6,$F$3:$F$401,$F236),"")</f>
        <v>410000</v>
      </c>
      <c r="T236" s="40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146"/>
      <c r="B237" s="100">
        <v>45173.0</v>
      </c>
      <c r="C237" s="88" t="s">
        <v>157</v>
      </c>
      <c r="D237" s="88" t="str">
        <f>IF(ISTEXT(C237),VLOOKUP(C237,'Cadastro dos Ativos'!$A$2:$C$1000,3,0),"")</f>
        <v>Ações Listadas na B3</v>
      </c>
      <c r="E237" s="88" t="s">
        <v>208</v>
      </c>
      <c r="F237" s="88" t="s">
        <v>273</v>
      </c>
      <c r="G237" s="147">
        <v>11.86</v>
      </c>
      <c r="H237" s="101" t="str">
        <f>if($D237="Ações Americanas", HLOOKUP("PTAX",'Histórico'!$A$1:$EL$983,(MATCH(B237,'Histórico'!A:A))-1,""),
if($D237="Ações Europeias", HLOOKUP("EUR/BRL",'Histórico'!$A$1:$EL$983,(MATCH(B237,'Histórico'!A:A))-1,""),""))</f>
        <v/>
      </c>
      <c r="I237" s="88" t="str">
        <f t="array" ref="I237">IF(ISTEXT(C237),xlookup(C237,'Cadastro dos Ativos'!$A$2:$A$1000,'Cadastro dos Ativos'!$D$2:$D$1000),"")</f>
        <v/>
      </c>
      <c r="J237" s="88">
        <v>700000.0</v>
      </c>
      <c r="K237" s="47">
        <f t="array" ref="K237">if(and(J237&lt;&gt;"",D237&lt;&gt;"Futuros"),
if(F237=Controle!$C$2, M237/xlookup(workday(B237,-1,Feriados!A:A),Controle!$B$10:$B$1000,Controle!$C$10:$C$1000),
if(F237=Controle!$F$2, M237/xlookup(workday(B237,-1,Feriados!A:A),Controle!$B$10:$B$1000,Controle!$F$10:$F$1000),
if(F237=Controle!$I$2, M237/xlookup(workday(B237,-1,Feriados!A:A),Controle!$B$10:$B$1000,Controle!$I$10:$I$1000),
if(F237=Controle!$L$2, M237/xlookup(workday(B237,-1,Feriados!A:A),Controle!$B$10:$B$1000,Controle!$L$10:$L$1000),
)))),
if(and(J237&lt;&gt;"",D237="Futuros"),
if(F237=Controle!$C$2, N237/xlookup(workday(B237,-1,Feriados!A:A),Controle!$B$10:$B$1000,Controle!$C$10:$C$1000),
if(F237=Controle!$F$2, N237/xlookup(workday(B237,-1,Feriados!A:A),Controle!$B$10:$B$1000,Controle!$F$10:$F$1000),
if(F237=Controle!$I$2, N237/xlookup(workday(B237,-1,Feriados!A:A),Controle!$B$10:$B$1000,Controle!$I$10:$I$1000),
if(F237=Controle!$L$2, N237/xlookup(workday(B237,-1,Feriados!A:A),Controle!$B$10:$B$1000,Controle!$L$10:$L$1000),
)))),""))</f>
        <v>-0.08005824105</v>
      </c>
      <c r="L237" s="47">
        <f t="array" ref="L237">IF($J237&lt;&gt;"", IF($D237 = "Futuros" , $N237/xlookup(WORKDAY(B237,-1,Feriados!A:A),Controle!$B$10:$B$1000,Controle!$T$10:$T$1000) , $M237/xlookup(WORKDAY(B237,-1,Feriados!A:A),Controle!$B$10:$B$1000,Controle!$T$10:$T$1000)),"")</f>
        <v>-0.01920459434</v>
      </c>
      <c r="M237" s="48">
        <f t="shared" si="4"/>
        <v>-8302000</v>
      </c>
      <c r="N237" s="48" t="str">
        <f>IFERROR(IF(D237="Futuros",
IF(LEFT(C237,3)="DI1",G237*O237,
IF(LEFT(C237,3)="ISP",G237*O237*HLOOKUP("PTAX",'Histórico'!$A$1:$EL$983,MATCH(B237,'Histórico'!A:A),FALSE)*50,
IF(LEFT(C237,3)="WDO",10*G237*O237*HLOOKUP("PTAX",'Histórico'!$A$1:$EL$983,MATCH(B237,'Histórico'!A:A),FALSE),
IF(LEFT(C237,3)="DOL",50*G237*O237,
IF(LEFT(C237,3)="EUR",G237*O237*50,
IF(LEFT(C237,3)="WEU",G237*O237*10,
IF(LEFT(C237,3)="IND",G237*O237,
IF(LEFT(C237,3)="WIN",G237*O237*0.2,
IF(LEFT(C237,3)="T10",G237*O237*1000*HLOOKUP("PTAX",'Histórico'!$A$1:$EL$983,MATCH(B237,'Histórico'!A:A),FALSE),
IF(LEFT(C237,3)="CCM",G237*O237*450,
IF(LEFT(C237,3)="SJC",G237*O237*HLOOKUP("PTAX",'Histórico'!$A$1:$EL$983,MATCH(B237,'Histórico'!A:A),FALSE)*450,
IF(LEFT(C237,3)="BGI",G237*O237*330,
IF(LEFT(C237,3)="OZ1",G237*O237*250,
IF(LEFT(C237,3)="CLP",G237*O237*25,
IF(LEFT(C237,3)="EUP", O237*10000*HLOOKUP("EUR/BRL",'Histórico'!$A$1:$EL$983,MATCH(B237,'Histórico'!A:A),FALSE),
IF(LEFT(C237,3)="JSE", G237*O237*0.4,
IF(LEFT(C237,3)="GBP", O237*10000*HLOOKUP("GBP/BRL",'Histórico'!$A$1:$FG$983,MATCH(B237,'Histórico'!A:A),FALSE),
IF(LEFT(C237,3)="JAP",O237*10000*HLOOKUP("PTAX",'Histórico'!$A$1:$FG$983,MATCH(B237,'Histórico'!A:A),FALSE),
IF(LEFT(C237,3)="CNH",O237*10000*HLOOKUP("PTAX",'Histórico'!$A$1:$FG$983,MATCH(B237,'Histórico'!A:A),FALSE),
IF(LEFT(C237,3)="AUS",O237*10000*HLOOKUP("PTAX",'Histórico'!$A$1:$FG$983,MATCH(B237,'Histórico'!A:A),FALSE),
IF(LEFT(C237,3)="CAN",O237*10000*HLOOKUP("PTAX",'Histórico'!$A$1:$FG$983,MATCH(B237,'Histórico'!A:A),FALSE),
IF(LEFT(C237,3)="GBR",O237*10000*HLOOKUP("GBP/BRL",'Histórico'!$A$1:$FG$983,MATCH(B237,'Histórico'!A:A),FALSE),
IF(LEFT(C237,3)="MEX",O237*10000*HLOOKUP("PTAX",'Histórico'!$A$1:$FG$983,MATCH(B237,'Histórico'!A:A),FALSE),
IF(LEFT(C237,3)="CHL",O237*10000*HLOOKUP("PTAX",'Histórico'!$A$1:$FG$983,MATCH(B237,'Histórico'!A:A),FALSE)
)))))))))))))))))))))))),""))</f>
        <v/>
      </c>
      <c r="O237" s="49">
        <f t="shared" si="2"/>
        <v>700000</v>
      </c>
      <c r="P237" s="49">
        <f t="shared" si="5"/>
        <v>1150000</v>
      </c>
      <c r="Q237" s="51">
        <f>IF($C237&lt;&gt;"",SUMIFS($O$3:$O$401, $C$3:$C$401 ,$C237,$B$3:$B$401,"&lt;="&amp;Controle!$B$6),"")</f>
        <v>450000</v>
      </c>
      <c r="R237" s="51">
        <f>IF($D237&lt;&gt;"",SUMIFS($O$3:$O$401, $C$3:$C$401 ,$C237,$B$3:$B$401,"&lt;="&amp;Controle!$B$6,$F$3:$F$401,$F237),"")</f>
        <v>0</v>
      </c>
      <c r="S237" s="51">
        <f>IF($D237&lt;&gt;"",SUMIFS($O$3:$O$401, $C$3:$C$401 ,$C237,$B$3:$B$401,"&lt;="&amp;'Controle D-1'!$B$6,$F$3:$F$401,$F237),"")</f>
        <v>0</v>
      </c>
      <c r="T237" s="40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146"/>
      <c r="B238" s="100">
        <v>45173.0</v>
      </c>
      <c r="C238" s="88" t="s">
        <v>174</v>
      </c>
      <c r="D238" s="88" t="str">
        <f>IF(ISTEXT(C238),VLOOKUP(C238,'Cadastro dos Ativos'!$A$2:$C$1000,3,0),"")</f>
        <v>Ações Listadas na B3</v>
      </c>
      <c r="E238" s="88" t="s">
        <v>208</v>
      </c>
      <c r="F238" s="88" t="s">
        <v>273</v>
      </c>
      <c r="G238" s="148">
        <v>51.1</v>
      </c>
      <c r="H238" s="46" t="str">
        <f>if($D238="Ações Americanas", HLOOKUP("PTAX",'Histórico'!$A$1:$EL$983,(MATCH(B238,'Histórico'!A:A))-1,""),
if($D238="Ações Europeias", HLOOKUP("EUR/BRL",'Histórico'!$A$1:$EL$983,(MATCH(B238,'Histórico'!A:A))-1,""),""))</f>
        <v/>
      </c>
      <c r="I238" s="88" t="str">
        <f t="array" ref="I238">IF(ISTEXT(C238),xlookup(C238,'Cadastro dos Ativos'!$A$2:$A$1000,'Cadastro dos Ativos'!$D$2:$D$1000),"")</f>
        <v/>
      </c>
      <c r="J238" s="88">
        <v>163000.0</v>
      </c>
      <c r="K238" s="47">
        <f t="array" ref="K238">if(and(J238&lt;&gt;"",D238&lt;&gt;"Futuros"),
if(F238=Controle!$C$2, M238/xlookup(workday(B238,-1,Feriados!A:A),Controle!$B$10:$B$1000,Controle!$C$10:$C$1000),
if(F238=Controle!$F$2, M238/xlookup(workday(B238,-1,Feriados!A:A),Controle!$B$10:$B$1000,Controle!$F$10:$F$1000),
if(F238=Controle!$I$2, M238/xlookup(workday(B238,-1,Feriados!A:A),Controle!$B$10:$B$1000,Controle!$I$10:$I$1000),
if(F238=Controle!$L$2, M238/xlookup(workday(B238,-1,Feriados!A:A),Controle!$B$10:$B$1000,Controle!$L$10:$L$1000),
)))),
if(and(J238&lt;&gt;"",D238="Futuros"),
if(F238=Controle!$C$2, N238/xlookup(workday(B238,-1,Feriados!A:A),Controle!$B$10:$B$1000,Controle!$C$10:$C$1000),
if(F238=Controle!$F$2, N238/xlookup(workday(B238,-1,Feriados!A:A),Controle!$B$10:$B$1000,Controle!$F$10:$F$1000),
if(F238=Controle!$I$2, N238/xlookup(workday(B238,-1,Feriados!A:A),Controle!$B$10:$B$1000,Controle!$I$10:$I$1000),
if(F238=Controle!$L$2, N238/xlookup(workday(B238,-1,Feriados!A:A),Controle!$B$10:$B$1000,Controle!$L$10:$L$1000),
)))),""))</f>
        <v>-0.0803215017</v>
      </c>
      <c r="L238" s="47">
        <f t="array" ref="L238">IF($J238&lt;&gt;"", IF($D238 = "Futuros" , $N238/xlookup(WORKDAY(B238,-1,Feriados!A:A),Controle!$B$10:$B$1000,Controle!$T$10:$T$1000) , $M238/xlookup(WORKDAY(B238,-1,Feriados!A:A),Controle!$B$10:$B$1000,Controle!$T$10:$T$1000)),"")</f>
        <v>-0.01926774604</v>
      </c>
      <c r="M238" s="48">
        <f t="shared" si="4"/>
        <v>-8329300</v>
      </c>
      <c r="N238" s="48" t="str">
        <f>IFERROR(IF(D238="Futuros",
IF(LEFT(C238,3)="DI1",G238*O238,
IF(LEFT(C238,3)="ISP",G238*O238*HLOOKUP("PTAX",'Histórico'!$A$1:$EL$983,MATCH(B238,'Histórico'!A:A),FALSE)*50,
IF(LEFT(C238,3)="WDO",10*G238*O238*HLOOKUP("PTAX",'Histórico'!$A$1:$EL$983,MATCH(B238,'Histórico'!A:A),FALSE),
IF(LEFT(C238,3)="DOL",50*G238*O238,
IF(LEFT(C238,3)="EUR",G238*O238*50,
IF(LEFT(C238,3)="WEU",G238*O238*10,
IF(LEFT(C238,3)="IND",G238*O238,
IF(LEFT(C238,3)="WIN",G238*O238*0.2,
IF(LEFT(C238,3)="T10",G238*O238*1000*HLOOKUP("PTAX",'Histórico'!$A$1:$EL$983,MATCH(B238,'Histórico'!A:A),FALSE),
IF(LEFT(C238,3)="CCM",G238*O238*450,
IF(LEFT(C238,3)="SJC",G238*O238*HLOOKUP("PTAX",'Histórico'!$A$1:$EL$983,MATCH(B238,'Histórico'!A:A),FALSE)*450,
IF(LEFT(C238,3)="BGI",G238*O238*330,
IF(LEFT(C238,3)="OZ1",G238*O238*250,
IF(LEFT(C238,3)="CLP",G238*O238*25,
IF(LEFT(C238,3)="EUP", O238*10000*HLOOKUP("EUR/BRL",'Histórico'!$A$1:$EL$983,MATCH(B238,'Histórico'!A:A),FALSE),
IF(LEFT(C238,3)="JSE", G238*O238*0.4,
IF(LEFT(C238,3)="GBP", O238*10000*HLOOKUP("GBP/BRL",'Histórico'!$A$1:$FG$983,MATCH(B238,'Histórico'!A:A),FALSE),
IF(LEFT(C238,3)="JAP",O238*10000*HLOOKUP("PTAX",'Histórico'!$A$1:$FG$983,MATCH(B238,'Histórico'!A:A),FALSE),
IF(LEFT(C238,3)="CNH",O238*10000*HLOOKUP("PTAX",'Histórico'!$A$1:$FG$983,MATCH(B238,'Histórico'!A:A),FALSE),
IF(LEFT(C238,3)="AUS",O238*10000*HLOOKUP("PTAX",'Histórico'!$A$1:$FG$983,MATCH(B238,'Histórico'!A:A),FALSE),
IF(LEFT(C238,3)="CAN",O238*10000*HLOOKUP("PTAX",'Histórico'!$A$1:$FG$983,MATCH(B238,'Histórico'!A:A),FALSE),
IF(LEFT(C238,3)="GBR",O238*10000*HLOOKUP("GBP/BRL",'Histórico'!$A$1:$FG$983,MATCH(B238,'Histórico'!A:A),FALSE),
IF(LEFT(C238,3)="MEX",O238*10000*HLOOKUP("PTAX",'Histórico'!$A$1:$FG$983,MATCH(B238,'Histórico'!A:A),FALSE),
IF(LEFT(C238,3)="CHL",O238*10000*HLOOKUP("PTAX",'Histórico'!$A$1:$FG$983,MATCH(B238,'Histórico'!A:A),FALSE)
)))))))))))))))))))))))),""))</f>
        <v/>
      </c>
      <c r="O238" s="49">
        <f t="shared" si="2"/>
        <v>163000</v>
      </c>
      <c r="P238" s="49">
        <f t="shared" si="5"/>
        <v>163000</v>
      </c>
      <c r="Q238" s="51">
        <f>IF($C238&lt;&gt;"",SUMIFS($O$3:$O$401, $C$3:$C$401 ,$C238,$B$3:$B$401,"&lt;="&amp;Controle!$B$6),"")</f>
        <v>0</v>
      </c>
      <c r="R238" s="51">
        <f>IF($D238&lt;&gt;"",SUMIFS($O$3:$O$401, $C$3:$C$401 ,$C238,$B$3:$B$401,"&lt;="&amp;Controle!$B$6,$F$3:$F$401,$F238),"")</f>
        <v>0</v>
      </c>
      <c r="S238" s="51">
        <f>IF($D238&lt;&gt;"",SUMIFS($O$3:$O$401, $C$3:$C$401 ,$C238,$B$3:$B$401,"&lt;="&amp;'Controle D-1'!$B$6,$F$3:$F$401,$F238),"")</f>
        <v>0</v>
      </c>
      <c r="T238" s="40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146"/>
      <c r="B239" s="100">
        <v>45173.0</v>
      </c>
      <c r="C239" s="88" t="s">
        <v>176</v>
      </c>
      <c r="D239" s="88" t="str">
        <f>IF(ISTEXT(C239),VLOOKUP(C239,'Cadastro dos Ativos'!$A$2:$C$1000,3,0),"")</f>
        <v>Ações Listadas na B3</v>
      </c>
      <c r="E239" s="88" t="s">
        <v>208</v>
      </c>
      <c r="F239" s="88" t="s">
        <v>273</v>
      </c>
      <c r="G239" s="101">
        <v>22.67</v>
      </c>
      <c r="H239" s="101" t="str">
        <f>if($D239="Ações Americanas", HLOOKUP("PTAX",'Histórico'!$A$1:$EL$983,(MATCH(B239,'Histórico'!A:A))-1,""),
if($D239="Ações Europeias", HLOOKUP("EUR/BRL",'Histórico'!$A$1:$EL$983,(MATCH(B239,'Histórico'!A:A))-1,""),""))</f>
        <v/>
      </c>
      <c r="I239" s="88" t="str">
        <f t="array" ref="I239">IF(ISTEXT(C239),xlookup(C239,'Cadastro dos Ativos'!$A$2:$A$1000,'Cadastro dos Ativos'!$D$2:$D$1000),"")</f>
        <v/>
      </c>
      <c r="J239" s="88">
        <v>366000.0</v>
      </c>
      <c r="K239" s="47">
        <f t="array" ref="K239">if(and(J239&lt;&gt;"",D239&lt;&gt;"Futuros"),
if(F239=Controle!$C$2, M239/xlookup(workday(B239,-1,Feriados!A:A),Controle!$B$10:$B$1000,Controle!$C$10:$C$1000),
if(F239=Controle!$F$2, M239/xlookup(workday(B239,-1,Feriados!A:A),Controle!$B$10:$B$1000,Controle!$F$10:$F$1000),
if(F239=Controle!$I$2, M239/xlookup(workday(B239,-1,Feriados!A:A),Controle!$B$10:$B$1000,Controle!$I$10:$I$1000),
if(F239=Controle!$L$2, M239/xlookup(workday(B239,-1,Feriados!A:A),Controle!$B$10:$B$1000,Controle!$L$10:$L$1000),
)))),
if(and(J239&lt;&gt;"",D239="Futuros"),
if(F239=Controle!$C$2, N239/xlookup(workday(B239,-1,Feriados!A:A),Controle!$B$10:$B$1000,Controle!$C$10:$C$1000),
if(F239=Controle!$F$2, N239/xlookup(workday(B239,-1,Feriados!A:A),Controle!$B$10:$B$1000,Controle!$F$10:$F$1000),
if(F239=Controle!$I$2, N239/xlookup(workday(B239,-1,Feriados!A:A),Controle!$B$10:$B$1000,Controle!$I$10:$I$1000),
if(F239=Controle!$L$2, N239/xlookup(workday(B239,-1,Feriados!A:A),Controle!$B$10:$B$1000,Controle!$L$10:$L$1000),
)))),""))</f>
        <v>-0.08001214632</v>
      </c>
      <c r="L239" s="47">
        <f t="array" ref="L239">IF($J239&lt;&gt;"", IF($D239 = "Futuros" , $N239/xlookup(WORKDAY(B239,-1,Feriados!A:A),Controle!$B$10:$B$1000,Controle!$T$10:$T$1000) , $M239/xlookup(WORKDAY(B239,-1,Feriados!A:A),Controle!$B$10:$B$1000,Controle!$T$10:$T$1000)),"")</f>
        <v>-0.01919353701</v>
      </c>
      <c r="M239" s="48">
        <f t="shared" si="4"/>
        <v>-8297220</v>
      </c>
      <c r="N239" s="48" t="str">
        <f>IFERROR(IF(D239="Futuros",
IF(LEFT(C239,3)="DI1",G239*O239,
IF(LEFT(C239,3)="ISP",G239*O239*HLOOKUP("PTAX",'Histórico'!$A$1:$EL$983,MATCH(B239,'Histórico'!A:A),FALSE)*50,
IF(LEFT(C239,3)="WDO",10*G239*O239*HLOOKUP("PTAX",'Histórico'!$A$1:$EL$983,MATCH(B239,'Histórico'!A:A),FALSE),
IF(LEFT(C239,3)="DOL",50*G239*O239,
IF(LEFT(C239,3)="EUR",G239*O239*50,
IF(LEFT(C239,3)="WEU",G239*O239*10,
IF(LEFT(C239,3)="IND",G239*O239,
IF(LEFT(C239,3)="WIN",G239*O239*0.2,
IF(LEFT(C239,3)="T10",G239*O239*1000*HLOOKUP("PTAX",'Histórico'!$A$1:$EL$983,MATCH(B239,'Histórico'!A:A),FALSE),
IF(LEFT(C239,3)="CCM",G239*O239*450,
IF(LEFT(C239,3)="SJC",G239*O239*HLOOKUP("PTAX",'Histórico'!$A$1:$EL$983,MATCH(B239,'Histórico'!A:A),FALSE)*450,
IF(LEFT(C239,3)="BGI",G239*O239*330,
IF(LEFT(C239,3)="OZ1",G239*O239*250,
IF(LEFT(C239,3)="CLP",G239*O239*25,
IF(LEFT(C239,3)="EUP", O239*10000*HLOOKUP("EUR/BRL",'Histórico'!$A$1:$EL$983,MATCH(B239,'Histórico'!A:A),FALSE),
IF(LEFT(C239,3)="JSE", G239*O239*0.4,
IF(LEFT(C239,3)="GBP", O239*10000*HLOOKUP("GBP/BRL",'Histórico'!$A$1:$FG$983,MATCH(B239,'Histórico'!A:A),FALSE),
IF(LEFT(C239,3)="JAP",O239*10000*HLOOKUP("PTAX",'Histórico'!$A$1:$FG$983,MATCH(B239,'Histórico'!A:A),FALSE),
IF(LEFT(C239,3)="CNH",O239*10000*HLOOKUP("PTAX",'Histórico'!$A$1:$FG$983,MATCH(B239,'Histórico'!A:A),FALSE),
IF(LEFT(C239,3)="AUS",O239*10000*HLOOKUP("PTAX",'Histórico'!$A$1:$FG$983,MATCH(B239,'Histórico'!A:A),FALSE),
IF(LEFT(C239,3)="CAN",O239*10000*HLOOKUP("PTAX",'Histórico'!$A$1:$FG$983,MATCH(B239,'Histórico'!A:A),FALSE),
IF(LEFT(C239,3)="GBR",O239*10000*HLOOKUP("GBP/BRL",'Histórico'!$A$1:$FG$983,MATCH(B239,'Histórico'!A:A),FALSE),
IF(LEFT(C239,3)="MEX",O239*10000*HLOOKUP("PTAX",'Histórico'!$A$1:$FG$983,MATCH(B239,'Histórico'!A:A),FALSE),
IF(LEFT(C239,3)="CHL",O239*10000*HLOOKUP("PTAX",'Histórico'!$A$1:$FG$983,MATCH(B239,'Histórico'!A:A),FALSE)
)))))))))))))))))))))))),""))</f>
        <v/>
      </c>
      <c r="O239" s="49">
        <f t="shared" si="2"/>
        <v>366000</v>
      </c>
      <c r="P239" s="49">
        <f t="shared" si="5"/>
        <v>366000</v>
      </c>
      <c r="Q239" s="51">
        <f>IF($C239&lt;&gt;"",SUMIFS($O$3:$O$401, $C$3:$C$401 ,$C239,$B$3:$B$401,"&lt;="&amp;Controle!$B$6),"")</f>
        <v>0</v>
      </c>
      <c r="R239" s="51">
        <f>IF($D239&lt;&gt;"",SUMIFS($O$3:$O$401, $C$3:$C$401 ,$C239,$B$3:$B$401,"&lt;="&amp;Controle!$B$6,$F$3:$F$401,$F239),"")</f>
        <v>0</v>
      </c>
      <c r="S239" s="51">
        <f>IF($D239&lt;&gt;"",SUMIFS($O$3:$O$401, $C$3:$C$401 ,$C239,$B$3:$B$401,"&lt;="&amp;'Controle D-1'!$B$6,$F$3:$F$401,$F239),"")</f>
        <v>0</v>
      </c>
      <c r="T239" s="40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146"/>
      <c r="B240" s="100">
        <v>45173.0</v>
      </c>
      <c r="C240" s="88" t="s">
        <v>178</v>
      </c>
      <c r="D240" s="88" t="str">
        <f>IF(ISTEXT(C240),VLOOKUP(C240,'Cadastro dos Ativos'!$A$2:$C$1000,3,0),"")</f>
        <v>Ações Listadas na B3</v>
      </c>
      <c r="E240" s="88" t="s">
        <v>208</v>
      </c>
      <c r="F240" s="88" t="s">
        <v>273</v>
      </c>
      <c r="G240" s="101">
        <v>10.55</v>
      </c>
      <c r="H240" s="46" t="str">
        <f>if($D240="Ações Americanas", HLOOKUP("PTAX",'Histórico'!$A$1:$EL$983,(MATCH(B240,'Histórico'!A:A))-1,""),
if($D240="Ações Europeias", HLOOKUP("EUR/BRL",'Histórico'!$A$1:$EL$983,(MATCH(B240,'Histórico'!A:A))-1,""),""))</f>
        <v/>
      </c>
      <c r="I240" s="88" t="str">
        <f t="array" ref="I240">IF(ISTEXT(C240),xlookup(C240,'Cadastro dos Ativos'!$A$2:$A$1000,'Cadastro dos Ativos'!$D$2:$D$1000),"")</f>
        <v/>
      </c>
      <c r="J240" s="88">
        <v>786000.0</v>
      </c>
      <c r="K240" s="47">
        <f t="array" ref="K240">if(and(J240&lt;&gt;"",D240&lt;&gt;"Futuros"),
if(F240=Controle!$C$2, M240/xlookup(workday(B240,-1,Feriados!A:A),Controle!$B$10:$B$1000,Controle!$C$10:$C$1000),
if(F240=Controle!$F$2, M240/xlookup(workday(B240,-1,Feriados!A:A),Controle!$B$10:$B$1000,Controle!$F$10:$F$1000),
if(F240=Controle!$I$2, M240/xlookup(workday(B240,-1,Feriados!A:A),Controle!$B$10:$B$1000,Controle!$I$10:$I$1000),
if(F240=Controle!$L$2, M240/xlookup(workday(B240,-1,Feriados!A:A),Controle!$B$10:$B$1000,Controle!$L$10:$L$1000),
)))),
if(and(J240&lt;&gt;"",D240="Futuros"),
if(F240=Controle!$C$2, N240/xlookup(workday(B240,-1,Feriados!A:A),Controle!$B$10:$B$1000,Controle!$C$10:$C$1000),
if(F240=Controle!$F$2, N240/xlookup(workday(B240,-1,Feriados!A:A),Controle!$B$10:$B$1000,Controle!$F$10:$F$1000),
if(F240=Controle!$I$2, N240/xlookup(workday(B240,-1,Feriados!A:A),Controle!$B$10:$B$1000,Controle!$I$10:$I$1000),
if(F240=Controle!$L$2, N240/xlookup(workday(B240,-1,Feriados!A:A),Controle!$B$10:$B$1000,Controle!$L$10:$L$1000),
)))),""))</f>
        <v>-0.07996470155</v>
      </c>
      <c r="L240" s="47">
        <f t="array" ref="L240">IF($J240&lt;&gt;"", IF($D240 = "Futuros" , $N240/xlookup(WORKDAY(B240,-1,Feriados!A:A),Controle!$B$10:$B$1000,Controle!$T$10:$T$1000) , $M240/xlookup(WORKDAY(B240,-1,Feriados!A:A),Controle!$B$10:$B$1000,Controle!$T$10:$T$1000)),"")</f>
        <v>-0.01918215582</v>
      </c>
      <c r="M240" s="48">
        <f t="shared" si="4"/>
        <v>-8292300</v>
      </c>
      <c r="N240" s="48" t="str">
        <f>IFERROR(IF(D240="Futuros",
IF(LEFT(C240,3)="DI1",G240*O240,
IF(LEFT(C240,3)="ISP",G240*O240*HLOOKUP("PTAX",'Histórico'!$A$1:$EL$983,MATCH(B240,'Histórico'!A:A),FALSE)*50,
IF(LEFT(C240,3)="WDO",10*G240*O240*HLOOKUP("PTAX",'Histórico'!$A$1:$EL$983,MATCH(B240,'Histórico'!A:A),FALSE),
IF(LEFT(C240,3)="DOL",50*G240*O240,
IF(LEFT(C240,3)="EUR",G240*O240*50,
IF(LEFT(C240,3)="WEU",G240*O240*10,
IF(LEFT(C240,3)="IND",G240*O240,
IF(LEFT(C240,3)="WIN",G240*O240*0.2,
IF(LEFT(C240,3)="T10",G240*O240*1000*HLOOKUP("PTAX",'Histórico'!$A$1:$EL$983,MATCH(B240,'Histórico'!A:A),FALSE),
IF(LEFT(C240,3)="CCM",G240*O240*450,
IF(LEFT(C240,3)="SJC",G240*O240*HLOOKUP("PTAX",'Histórico'!$A$1:$EL$983,MATCH(B240,'Histórico'!A:A),FALSE)*450,
IF(LEFT(C240,3)="BGI",G240*O240*330,
IF(LEFT(C240,3)="OZ1",G240*O240*250,
IF(LEFT(C240,3)="CLP",G240*O240*25,
IF(LEFT(C240,3)="EUP", O240*10000*HLOOKUP("EUR/BRL",'Histórico'!$A$1:$EL$983,MATCH(B240,'Histórico'!A:A),FALSE),
IF(LEFT(C240,3)="JSE", G240*O240*0.4,
IF(LEFT(C240,3)="GBP", O240*10000*HLOOKUP("GBP/BRL",'Histórico'!$A$1:$FG$983,MATCH(B240,'Histórico'!A:A),FALSE),
IF(LEFT(C240,3)="JAP",O240*10000*HLOOKUP("PTAX",'Histórico'!$A$1:$FG$983,MATCH(B240,'Histórico'!A:A),FALSE),
IF(LEFT(C240,3)="CNH",O240*10000*HLOOKUP("PTAX",'Histórico'!$A$1:$FG$983,MATCH(B240,'Histórico'!A:A),FALSE),
IF(LEFT(C240,3)="AUS",O240*10000*HLOOKUP("PTAX",'Histórico'!$A$1:$FG$983,MATCH(B240,'Histórico'!A:A),FALSE),
IF(LEFT(C240,3)="CAN",O240*10000*HLOOKUP("PTAX",'Histórico'!$A$1:$FG$983,MATCH(B240,'Histórico'!A:A),FALSE),
IF(LEFT(C240,3)="GBR",O240*10000*HLOOKUP("GBP/BRL",'Histórico'!$A$1:$FG$983,MATCH(B240,'Histórico'!A:A),FALSE),
IF(LEFT(C240,3)="MEX",O240*10000*HLOOKUP("PTAX",'Histórico'!$A$1:$FG$983,MATCH(B240,'Histórico'!A:A),FALSE),
IF(LEFT(C240,3)="CHL",O240*10000*HLOOKUP("PTAX",'Histórico'!$A$1:$FG$983,MATCH(B240,'Histórico'!A:A),FALSE)
)))))))))))))))))))))))),""))</f>
        <v/>
      </c>
      <c r="O240" s="49">
        <f t="shared" si="2"/>
        <v>786000</v>
      </c>
      <c r="P240" s="49">
        <f t="shared" si="5"/>
        <v>786000</v>
      </c>
      <c r="Q240" s="51">
        <f>IF($C240&lt;&gt;"",SUMIFS($O$3:$O$401, $C$3:$C$401 ,$C240,$B$3:$B$401,"&lt;="&amp;Controle!$B$6),"")</f>
        <v>0</v>
      </c>
      <c r="R240" s="51">
        <f>IF($D240&lt;&gt;"",SUMIFS($O$3:$O$401, $C$3:$C$401 ,$C240,$B$3:$B$401,"&lt;="&amp;Controle!$B$6,$F$3:$F$401,$F240),"")</f>
        <v>0</v>
      </c>
      <c r="S240" s="51">
        <f>IF($D240&lt;&gt;"",SUMIFS($O$3:$O$401, $C$3:$C$401 ,$C240,$B$3:$B$401,"&lt;="&amp;'Controle D-1'!$B$6,$F$3:$F$401,$F240),"")</f>
        <v>0</v>
      </c>
      <c r="T240" s="40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146"/>
      <c r="B241" s="100">
        <v>45173.0</v>
      </c>
      <c r="C241" s="88" t="s">
        <v>180</v>
      </c>
      <c r="D241" s="88" t="str">
        <f>IF(ISTEXT(C241),VLOOKUP(C241,'Cadastro dos Ativos'!$A$2:$C$1000,3,0),"")</f>
        <v>Ações Listadas na B3</v>
      </c>
      <c r="E241" s="88" t="s">
        <v>208</v>
      </c>
      <c r="F241" s="88" t="s">
        <v>273</v>
      </c>
      <c r="G241" s="101">
        <v>11.96</v>
      </c>
      <c r="H241" s="101" t="str">
        <f>if($D241="Ações Americanas", HLOOKUP("PTAX",'Histórico'!$A$1:$EL$983,(MATCH(B241,'Histórico'!A:A))-1,""),
if($D241="Ações Europeias", HLOOKUP("EUR/BRL",'Histórico'!$A$1:$EL$983,(MATCH(B241,'Histórico'!A:A))-1,""),""))</f>
        <v/>
      </c>
      <c r="I241" s="88" t="str">
        <f t="array" ref="I241">IF(ISTEXT(C241),xlookup(C241,'Cadastro dos Ativos'!$A$2:$A$1000,'Cadastro dos Ativos'!$D$2:$D$1000),"")</f>
        <v/>
      </c>
      <c r="J241" s="88">
        <v>694000.0</v>
      </c>
      <c r="K241" s="47">
        <f t="array" ref="K241">if(and(J241&lt;&gt;"",D241&lt;&gt;"Futuros"),
if(F241=Controle!$C$2, M241/xlookup(workday(B241,-1,Feriados!A:A),Controle!$B$10:$B$1000,Controle!$C$10:$C$1000),
if(F241=Controle!$F$2, M241/xlookup(workday(B241,-1,Feriados!A:A),Controle!$B$10:$B$1000,Controle!$F$10:$F$1000),
if(F241=Controle!$I$2, M241/xlookup(workday(B241,-1,Feriados!A:A),Controle!$B$10:$B$1000,Controle!$I$10:$I$1000),
if(F241=Controle!$L$2, M241/xlookup(workday(B241,-1,Feriados!A:A),Controle!$B$10:$B$1000,Controle!$L$10:$L$1000),
)))),
if(and(J241&lt;&gt;"",D241="Futuros"),
if(F241=Controle!$C$2, N241/xlookup(workday(B241,-1,Feriados!A:A),Controle!$B$10:$B$1000,Controle!$C$10:$C$1000),
if(F241=Controle!$F$2, N241/xlookup(workday(B241,-1,Feriados!A:A),Controle!$B$10:$B$1000,Controle!$F$10:$F$1000),
if(F241=Controle!$I$2, N241/xlookup(workday(B241,-1,Feriados!A:A),Controle!$B$10:$B$1000,Controle!$I$10:$I$1000),
if(F241=Controle!$L$2, N241/xlookup(workday(B241,-1,Feriados!A:A),Controle!$B$10:$B$1000,Controle!$L$10:$L$1000),
)))),""))</f>
        <v>-0.08004126893</v>
      </c>
      <c r="L241" s="47">
        <f t="array" ref="L241">IF($J241&lt;&gt;"", IF($D241 = "Futuros" , $N241/xlookup(WORKDAY(B241,-1,Feriados!A:A),Controle!$B$10:$B$1000,Controle!$T$10:$T$1000) , $M241/xlookup(WORKDAY(B241,-1,Feriados!A:A),Controle!$B$10:$B$1000,Controle!$T$10:$T$1000)),"")</f>
        <v>-0.01920052302</v>
      </c>
      <c r="M241" s="48">
        <f t="shared" si="4"/>
        <v>-8300240</v>
      </c>
      <c r="N241" s="48" t="str">
        <f>IFERROR(IF(D241="Futuros",
IF(LEFT(C241,3)="DI1",G241*O241,
IF(LEFT(C241,3)="ISP",G241*O241*HLOOKUP("PTAX",'Histórico'!$A$1:$EL$983,MATCH(B241,'Histórico'!A:A),FALSE)*50,
IF(LEFT(C241,3)="WDO",10*G241*O241*HLOOKUP("PTAX",'Histórico'!$A$1:$EL$983,MATCH(B241,'Histórico'!A:A),FALSE),
IF(LEFT(C241,3)="DOL",50*G241*O241,
IF(LEFT(C241,3)="EUR",G241*O241*50,
IF(LEFT(C241,3)="WEU",G241*O241*10,
IF(LEFT(C241,3)="IND",G241*O241,
IF(LEFT(C241,3)="WIN",G241*O241*0.2,
IF(LEFT(C241,3)="T10",G241*O241*1000*HLOOKUP("PTAX",'Histórico'!$A$1:$EL$983,MATCH(B241,'Histórico'!A:A),FALSE),
IF(LEFT(C241,3)="CCM",G241*O241*450,
IF(LEFT(C241,3)="SJC",G241*O241*HLOOKUP("PTAX",'Histórico'!$A$1:$EL$983,MATCH(B241,'Histórico'!A:A),FALSE)*450,
IF(LEFT(C241,3)="BGI",G241*O241*330,
IF(LEFT(C241,3)="OZ1",G241*O241*250,
IF(LEFT(C241,3)="CLP",G241*O241*25,
IF(LEFT(C241,3)="EUP", O241*10000*HLOOKUP("EUR/BRL",'Histórico'!$A$1:$EL$983,MATCH(B241,'Histórico'!A:A),FALSE),
IF(LEFT(C241,3)="JSE", G241*O241*0.4,
IF(LEFT(C241,3)="GBP", O241*10000*HLOOKUP("GBP/BRL",'Histórico'!$A$1:$FG$983,MATCH(B241,'Histórico'!A:A),FALSE),
IF(LEFT(C241,3)="JAP",O241*10000*HLOOKUP("PTAX",'Histórico'!$A$1:$FG$983,MATCH(B241,'Histórico'!A:A),FALSE),
IF(LEFT(C241,3)="CNH",O241*10000*HLOOKUP("PTAX",'Histórico'!$A$1:$FG$983,MATCH(B241,'Histórico'!A:A),FALSE),
IF(LEFT(C241,3)="AUS",O241*10000*HLOOKUP("PTAX",'Histórico'!$A$1:$FG$983,MATCH(B241,'Histórico'!A:A),FALSE),
IF(LEFT(C241,3)="CAN",O241*10000*HLOOKUP("PTAX",'Histórico'!$A$1:$FG$983,MATCH(B241,'Histórico'!A:A),FALSE),
IF(LEFT(C241,3)="GBR",O241*10000*HLOOKUP("GBP/BRL",'Histórico'!$A$1:$FG$983,MATCH(B241,'Histórico'!A:A),FALSE),
IF(LEFT(C241,3)="MEX",O241*10000*HLOOKUP("PTAX",'Histórico'!$A$1:$FG$983,MATCH(B241,'Histórico'!A:A),FALSE),
IF(LEFT(C241,3)="CHL",O241*10000*HLOOKUP("PTAX",'Histórico'!$A$1:$FG$983,MATCH(B241,'Histórico'!A:A),FALSE)
)))))))))))))))))))))))),""))</f>
        <v/>
      </c>
      <c r="O241" s="49">
        <f t="shared" si="2"/>
        <v>694000</v>
      </c>
      <c r="P241" s="49">
        <f t="shared" si="5"/>
        <v>694000</v>
      </c>
      <c r="Q241" s="51">
        <f>IF($C241&lt;&gt;"",SUMIFS($O$3:$O$401, $C$3:$C$401 ,$C241,$B$3:$B$401,"&lt;="&amp;Controle!$B$6),"")</f>
        <v>0</v>
      </c>
      <c r="R241" s="51">
        <f>IF($D241&lt;&gt;"",SUMIFS($O$3:$O$401, $C$3:$C$401 ,$C241,$B$3:$B$401,"&lt;="&amp;Controle!$B$6,$F$3:$F$401,$F241),"")</f>
        <v>0</v>
      </c>
      <c r="S241" s="51">
        <f>IF($D241&lt;&gt;"",SUMIFS($O$3:$O$401, $C$3:$C$401 ,$C241,$B$3:$B$401,"&lt;="&amp;'Controle D-1'!$B$6,$F$3:$F$401,$F241),"")</f>
        <v>0</v>
      </c>
      <c r="T241" s="40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146"/>
      <c r="B242" s="149"/>
      <c r="C242" s="150"/>
      <c r="D242" s="150" t="str">
        <f>IF(ISTEXT(C242),VLOOKUP(C242,'Cadastro dos Ativos'!$A$2:$C$1000,3,0),"")</f>
        <v/>
      </c>
      <c r="E242" s="150"/>
      <c r="F242" s="150"/>
      <c r="G242" s="151"/>
      <c r="H242" s="46" t="str">
        <f>if($D242="Ações Americanas", HLOOKUP("PTAX",'Histórico'!$A$1:$EL$983,(MATCH(B242,'Histórico'!A:A))-1,""),
if($D242="Ações Europeias", HLOOKUP("EUR/BRL",'Histórico'!$A$1:$EL$983,(MATCH(B242,'Histórico'!A:A))-1,""),""))</f>
        <v/>
      </c>
      <c r="I242" s="150" t="str">
        <f t="array" ref="I242">IF(ISTEXT(C242),xlookup(C242,'Cadastro dos Ativos'!$A$2:$A$1000,'Cadastro dos Ativos'!$D$2:$D$1000),"")</f>
        <v/>
      </c>
      <c r="J242" s="150"/>
      <c r="K242" s="47" t="str">
        <f t="array" ref="K242">if(and(J242&lt;&gt;"",D242&lt;&gt;"Futuros"),
if(F242=Controle!$C$2, M242/xlookup(workday(B242,-1,Feriados!A:A),Controle!$B$10:$B$1000,Controle!$C$10:$C$1000),
if(F242=Controle!$F$2, M242/xlookup(workday(B242,-1,Feriados!A:A),Controle!$B$10:$B$1000,Controle!$F$10:$F$1000),
if(F242=Controle!$I$2, M242/xlookup(workday(B242,-1,Feriados!A:A),Controle!$B$10:$B$1000,Controle!$I$10:$I$1000),
if(F242=Controle!$L$2, M242/xlookup(workday(B242,-1,Feriados!A:A),Controle!$B$10:$B$1000,Controle!$L$10:$L$1000),
)))),
if(and(J242&lt;&gt;"",D242="Futuros"),
if(F242=Controle!$C$2, N242/xlookup(workday(B242,-1,Feriados!A:A),Controle!$B$10:$B$1000,Controle!$C$10:$C$1000),
if(F242=Controle!$F$2, N242/xlookup(workday(B242,-1,Feriados!A:A),Controle!$B$10:$B$1000,Controle!$F$10:$F$1000),
if(F242=Controle!$I$2, N242/xlookup(workday(B242,-1,Feriados!A:A),Controle!$B$10:$B$1000,Controle!$I$10:$I$1000),
if(F242=Controle!$L$2, N242/xlookup(workday(B242,-1,Feriados!A:A),Controle!$B$10:$B$1000,Controle!$L$10:$L$1000),
)))),""))</f>
        <v/>
      </c>
      <c r="L242" s="47" t="str">
        <f t="array" ref="L242">IF($J242&lt;&gt;"", IF($D242 = "Futuros" , $N242/xlookup(WORKDAY(B242,-1,Feriados!A:A),Controle!$B$10:$B$1000,Controle!$T$10:$T$1000) , $M242/xlookup(WORKDAY(B242,-1,Feriados!A:A),Controle!$B$10:$B$1000,Controle!$T$10:$T$1000)),"")</f>
        <v/>
      </c>
      <c r="M242" s="48" t="str">
        <f t="shared" si="4"/>
        <v/>
      </c>
      <c r="N242" s="48" t="str">
        <f>IFERROR(IF(D242="Futuros",
IF(LEFT(C242,3)="DI1",G242*O242,
IF(LEFT(C242,3)="ISP",G242*O242*HLOOKUP("PTAX",'Histórico'!$A$1:$EL$983,MATCH(B242,'Histórico'!A:A),FALSE)*50,
IF(LEFT(C242,3)="WDO",10*G242*O242*HLOOKUP("PTAX",'Histórico'!$A$1:$EL$983,MATCH(B242,'Histórico'!A:A),FALSE),
IF(LEFT(C242,3)="DOL",50*G242*O242,
IF(LEFT(C242,3)="EUR",G242*O242*50,
IF(LEFT(C242,3)="WEU",G242*O242*10,
IF(LEFT(C242,3)="IND",G242*O242,
IF(LEFT(C242,3)="WIN",G242*O242*0.2,
IF(LEFT(C242,3)="T10",G242*O242*1000*HLOOKUP("PTAX",'Histórico'!$A$1:$EL$983,MATCH(B242,'Histórico'!A:A),FALSE),
IF(LEFT(C242,3)="CCM",G242*O242*450,
IF(LEFT(C242,3)="SJC",G242*O242*HLOOKUP("PTAX",'Histórico'!$A$1:$EL$983,MATCH(B242,'Histórico'!A:A),FALSE)*450,
IF(LEFT(C242,3)="BGI",G242*O242*330,
IF(LEFT(C242,3)="OZ1",G242*O242*250,
IF(LEFT(C242,3)="CLP",G242*O242*25,
IF(LEFT(C242,3)="EUP", O242*10000*HLOOKUP("EUR/BRL",'Histórico'!$A$1:$EL$983,MATCH(B242,'Histórico'!A:A),FALSE),
IF(LEFT(C242,3)="JSE", G242*O242*0.4,
IF(LEFT(C242,3)="GBP", O242*10000*HLOOKUP("GBP/BRL",'Histórico'!$A$1:$FG$983,MATCH(B242,'Histórico'!A:A),FALSE),
IF(LEFT(C242,3)="JAP",O242*10000*HLOOKUP("PTAX",'Histórico'!$A$1:$FG$983,MATCH(B242,'Histórico'!A:A),FALSE),
IF(LEFT(C242,3)="CNH",O242*10000*HLOOKUP("PTAX",'Histórico'!$A$1:$FG$983,MATCH(B242,'Histórico'!A:A),FALSE),
IF(LEFT(C242,3)="AUS",O242*10000*HLOOKUP("PTAX",'Histórico'!$A$1:$FG$983,MATCH(B242,'Histórico'!A:A),FALSE),
IF(LEFT(C242,3)="CAN",O242*10000*HLOOKUP("PTAX",'Histórico'!$A$1:$FG$983,MATCH(B242,'Histórico'!A:A),FALSE),
IF(LEFT(C242,3)="GBR",O242*10000*HLOOKUP("GBP/BRL",'Histórico'!$A$1:$FG$983,MATCH(B242,'Histórico'!A:A),FALSE),
IF(LEFT(C242,3)="MEX",O242*10000*HLOOKUP("PTAX",'Histórico'!$A$1:$FG$983,MATCH(B242,'Histórico'!A:A),FALSE),
IF(LEFT(C242,3)="CHL",O242*10000*HLOOKUP("PTAX",'Histórico'!$A$1:$FG$983,MATCH(B242,'Histórico'!A:A),FALSE)
)))))))))))))))))))))))),""))</f>
        <v/>
      </c>
      <c r="O242" s="49" t="str">
        <f t="shared" si="2"/>
        <v/>
      </c>
      <c r="P242" s="49" t="str">
        <f t="shared" si="5"/>
        <v/>
      </c>
      <c r="Q242" s="51" t="str">
        <f>IF($C242&lt;&gt;"",SUMIFS($O$3:$O$401, $C$3:$C$401 ,$C242,$B$3:$B$401,"&lt;="&amp;Controle!$B$6),"")</f>
        <v/>
      </c>
      <c r="R242" s="51" t="str">
        <f>IF($D242&lt;&gt;"",SUMIFS($O$3:$O$401, $C$3:$C$401 ,$C242,$B$3:$B$401,"&lt;="&amp;Controle!$B$6,$F$3:$F$401,$F242),"")</f>
        <v/>
      </c>
      <c r="S242" s="51" t="str">
        <f>IF($D242&lt;&gt;"",SUMIFS($O$3:$O$401, $C$3:$C$401 ,$C242,$B$3:$B$401,"&lt;="&amp;'Controle D-1'!$B$6,$F$3:$F$401,$F242),"")</f>
        <v/>
      </c>
      <c r="T242" s="40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146"/>
      <c r="B243" s="149"/>
      <c r="C243" s="150"/>
      <c r="D243" s="150" t="str">
        <f>IF(ISTEXT(C243),VLOOKUP(C243,'Cadastro dos Ativos'!$A$2:$C$1000,3,0),"")</f>
        <v/>
      </c>
      <c r="E243" s="150"/>
      <c r="F243" s="150"/>
      <c r="G243" s="151"/>
      <c r="H243" s="101" t="str">
        <f>if($D243="Ações Americanas", HLOOKUP("PTAX",'Histórico'!$A$1:$EL$983,(MATCH(B243,'Histórico'!A:A))-1,""),
if($D243="Ações Europeias", HLOOKUP("EUR/BRL",'Histórico'!$A$1:$EL$983,(MATCH(B243,'Histórico'!A:A))-1,""),""))</f>
        <v/>
      </c>
      <c r="I243" s="150" t="str">
        <f t="array" ref="I243">IF(ISTEXT(C243),xlookup(C243,'Cadastro dos Ativos'!$A$2:$A$1000,'Cadastro dos Ativos'!$D$2:$D$1000),"")</f>
        <v/>
      </c>
      <c r="J243" s="150"/>
      <c r="K243" s="47" t="str">
        <f t="array" ref="K243">if(and(J243&lt;&gt;"",D243&lt;&gt;"Futuros"),
if(F243=Controle!$C$2, M243/xlookup(workday(B243,-1,Feriados!A:A),Controle!$B$10:$B$1000,Controle!$C$10:$C$1000),
if(F243=Controle!$F$2, M243/xlookup(workday(B243,-1,Feriados!A:A),Controle!$B$10:$B$1000,Controle!$F$10:$F$1000),
if(F243=Controle!$I$2, M243/xlookup(workday(B243,-1,Feriados!A:A),Controle!$B$10:$B$1000,Controle!$I$10:$I$1000),
if(F243=Controle!$L$2, M243/xlookup(workday(B243,-1,Feriados!A:A),Controle!$B$10:$B$1000,Controle!$L$10:$L$1000),
)))),
if(and(J243&lt;&gt;"",D243="Futuros"),
if(F243=Controle!$C$2, N243/xlookup(workday(B243,-1,Feriados!A:A),Controle!$B$10:$B$1000,Controle!$C$10:$C$1000),
if(F243=Controle!$F$2, N243/xlookup(workday(B243,-1,Feriados!A:A),Controle!$B$10:$B$1000,Controle!$F$10:$F$1000),
if(F243=Controle!$I$2, N243/xlookup(workday(B243,-1,Feriados!A:A),Controle!$B$10:$B$1000,Controle!$I$10:$I$1000),
if(F243=Controle!$L$2, N243/xlookup(workday(B243,-1,Feriados!A:A),Controle!$B$10:$B$1000,Controle!$L$10:$L$1000),
)))),""))</f>
        <v/>
      </c>
      <c r="L243" s="47" t="str">
        <f t="array" ref="L243">IF($J243&lt;&gt;"", IF($D243 = "Futuros" , $N243/xlookup(WORKDAY(B243,-1,Feriados!A:A),Controle!$B$10:$B$1000,Controle!$T$10:$T$1000) , $M243/xlookup(WORKDAY(B243,-1,Feriados!A:A),Controle!$B$10:$B$1000,Controle!$T$10:$T$1000)),"")</f>
        <v/>
      </c>
      <c r="M243" s="48" t="str">
        <f t="shared" si="4"/>
        <v/>
      </c>
      <c r="N243" s="48" t="str">
        <f>IFERROR(IF(D243="Futuros",
IF(LEFT(C243,3)="DI1",G243*O243,
IF(LEFT(C243,3)="ISP",G243*O243*HLOOKUP("PTAX",'Histórico'!$A$1:$EL$983,MATCH(B243,'Histórico'!A:A),FALSE)*50,
IF(LEFT(C243,3)="WDO",10*G243*O243*HLOOKUP("PTAX",'Histórico'!$A$1:$EL$983,MATCH(B243,'Histórico'!A:A),FALSE),
IF(LEFT(C243,3)="DOL",50*G243*O243,
IF(LEFT(C243,3)="EUR",G243*O243*50,
IF(LEFT(C243,3)="WEU",G243*O243*10,
IF(LEFT(C243,3)="IND",G243*O243,
IF(LEFT(C243,3)="WIN",G243*O243*0.2,
IF(LEFT(C243,3)="T10",G243*O243*1000*HLOOKUP("PTAX",'Histórico'!$A$1:$EL$983,MATCH(B243,'Histórico'!A:A),FALSE),
IF(LEFT(C243,3)="CCM",G243*O243*450,
IF(LEFT(C243,3)="SJC",G243*O243*HLOOKUP("PTAX",'Histórico'!$A$1:$EL$983,MATCH(B243,'Histórico'!A:A),FALSE)*450,
IF(LEFT(C243,3)="BGI",G243*O243*330,
IF(LEFT(C243,3)="OZ1",G243*O243*250,
IF(LEFT(C243,3)="CLP",G243*O243*25,
IF(LEFT(C243,3)="EUP", O243*10000*HLOOKUP("EUR/BRL",'Histórico'!$A$1:$EL$983,MATCH(B243,'Histórico'!A:A),FALSE),
IF(LEFT(C243,3)="JSE", G243*O243*0.4,
IF(LEFT(C243,3)="GBP", O243*10000*HLOOKUP("GBP/BRL",'Histórico'!$A$1:$FG$983,MATCH(B243,'Histórico'!A:A),FALSE),
IF(LEFT(C243,3)="JAP",O243*10000*HLOOKUP("PTAX",'Histórico'!$A$1:$FG$983,MATCH(B243,'Histórico'!A:A),FALSE),
IF(LEFT(C243,3)="CNH",O243*10000*HLOOKUP("PTAX",'Histórico'!$A$1:$FG$983,MATCH(B243,'Histórico'!A:A),FALSE),
IF(LEFT(C243,3)="AUS",O243*10000*HLOOKUP("PTAX",'Histórico'!$A$1:$FG$983,MATCH(B243,'Histórico'!A:A),FALSE),
IF(LEFT(C243,3)="CAN",O243*10000*HLOOKUP("PTAX",'Histórico'!$A$1:$FG$983,MATCH(B243,'Histórico'!A:A),FALSE),
IF(LEFT(C243,3)="GBR",O243*10000*HLOOKUP("GBP/BRL",'Histórico'!$A$1:$FG$983,MATCH(B243,'Histórico'!A:A),FALSE),
IF(LEFT(C243,3)="MEX",O243*10000*HLOOKUP("PTAX",'Histórico'!$A$1:$FG$983,MATCH(B243,'Histórico'!A:A),FALSE),
IF(LEFT(C243,3)="CHL",O243*10000*HLOOKUP("PTAX",'Histórico'!$A$1:$FG$983,MATCH(B243,'Histórico'!A:A),FALSE)
)))))))))))))))))))))))),""))</f>
        <v/>
      </c>
      <c r="O243" s="49" t="str">
        <f t="shared" si="2"/>
        <v/>
      </c>
      <c r="P243" s="49" t="str">
        <f t="shared" si="5"/>
        <v/>
      </c>
      <c r="Q243" s="51" t="str">
        <f>IF($C243&lt;&gt;"",SUMIFS($O$3:$O$401, $C$3:$C$401 ,$C243,$B$3:$B$401,"&lt;="&amp;Controle!$B$6),"")</f>
        <v/>
      </c>
      <c r="R243" s="51" t="str">
        <f>IF($D243&lt;&gt;"",SUMIFS($O$3:$O$401, $C$3:$C$401 ,$C243,$B$3:$B$401,"&lt;="&amp;Controle!$B$6,$F$3:$F$401,$F243),"")</f>
        <v/>
      </c>
      <c r="S243" s="51" t="str">
        <f>IF($D243&lt;&gt;"",SUMIFS($O$3:$O$401, $C$3:$C$401 ,$C243,$B$3:$B$401,"&lt;="&amp;'Controle D-1'!$B$6,$F$3:$F$401,$F243),"")</f>
        <v/>
      </c>
      <c r="T243" s="40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146"/>
      <c r="B244" s="149"/>
      <c r="C244" s="150"/>
      <c r="D244" s="150" t="str">
        <f>IF(ISTEXT(C244),VLOOKUP(C244,'Cadastro dos Ativos'!$A$2:$C$1000,3,0),"")</f>
        <v/>
      </c>
      <c r="E244" s="150"/>
      <c r="F244" s="150"/>
      <c r="G244" s="151"/>
      <c r="H244" s="46" t="str">
        <f>if($D244="Ações Americanas", HLOOKUP("PTAX",'Histórico'!$A$1:$EL$983,(MATCH(B244,'Histórico'!A:A))-1,""),
if($D244="Ações Europeias", HLOOKUP("EUR/BRL",'Histórico'!$A$1:$EL$983,(MATCH(B244,'Histórico'!A:A))-1,""),""))</f>
        <v/>
      </c>
      <c r="I244" s="150" t="str">
        <f t="array" ref="I244">IF(ISTEXT(C244),xlookup(C244,'Cadastro dos Ativos'!$A$2:$A$1000,'Cadastro dos Ativos'!$D$2:$D$1000),"")</f>
        <v/>
      </c>
      <c r="J244" s="150"/>
      <c r="K244" s="47" t="str">
        <f t="array" ref="K244">if(and(J244&lt;&gt;"",D244&lt;&gt;"Futuros"),
if(F244=Controle!$C$2, M244/xlookup(workday(B244,-1,Feriados!A:A),Controle!$B$10:$B$1000,Controle!$C$10:$C$1000),
if(F244=Controle!$F$2, M244/xlookup(workday(B244,-1,Feriados!A:A),Controle!$B$10:$B$1000,Controle!$F$10:$F$1000),
if(F244=Controle!$I$2, M244/xlookup(workday(B244,-1,Feriados!A:A),Controle!$B$10:$B$1000,Controle!$I$10:$I$1000),
if(F244=Controle!$L$2, M244/xlookup(workday(B244,-1,Feriados!A:A),Controle!$B$10:$B$1000,Controle!$L$10:$L$1000),
)))),
if(and(J244&lt;&gt;"",D244="Futuros"),
if(F244=Controle!$C$2, N244/xlookup(workday(B244,-1,Feriados!A:A),Controle!$B$10:$B$1000,Controle!$C$10:$C$1000),
if(F244=Controle!$F$2, N244/xlookup(workday(B244,-1,Feriados!A:A),Controle!$B$10:$B$1000,Controle!$F$10:$F$1000),
if(F244=Controle!$I$2, N244/xlookup(workday(B244,-1,Feriados!A:A),Controle!$B$10:$B$1000,Controle!$I$10:$I$1000),
if(F244=Controle!$L$2, N244/xlookup(workday(B244,-1,Feriados!A:A),Controle!$B$10:$B$1000,Controle!$L$10:$L$1000),
)))),""))</f>
        <v/>
      </c>
      <c r="L244" s="47" t="str">
        <f t="array" ref="L244">IF($J244&lt;&gt;"", IF($D244 = "Futuros" , $N244/xlookup(WORKDAY(B244,-1,Feriados!A:A),Controle!$B$10:$B$1000,Controle!$T$10:$T$1000) , $M244/xlookup(WORKDAY(B244,-1,Feriados!A:A),Controle!$B$10:$B$1000,Controle!$T$10:$T$1000)),"")</f>
        <v/>
      </c>
      <c r="M244" s="48" t="str">
        <f t="shared" si="4"/>
        <v/>
      </c>
      <c r="N244" s="48" t="str">
        <f>IFERROR(IF(D244="Futuros",
IF(LEFT(C244,3)="DI1",G244*O244,
IF(LEFT(C244,3)="ISP",G244*O244*HLOOKUP("PTAX",'Histórico'!$A$1:$EL$983,MATCH(B244,'Histórico'!A:A),FALSE)*50,
IF(LEFT(C244,3)="WDO",10*G244*O244*HLOOKUP("PTAX",'Histórico'!$A$1:$EL$983,MATCH(B244,'Histórico'!A:A),FALSE),
IF(LEFT(C244,3)="DOL",50*G244*O244,
IF(LEFT(C244,3)="EUR",G244*O244*50,
IF(LEFT(C244,3)="WEU",G244*O244*10,
IF(LEFT(C244,3)="IND",G244*O244,
IF(LEFT(C244,3)="WIN",G244*O244*0.2,
IF(LEFT(C244,3)="T10",G244*O244*1000*HLOOKUP("PTAX",'Histórico'!$A$1:$EL$983,MATCH(B244,'Histórico'!A:A),FALSE),
IF(LEFT(C244,3)="CCM",G244*O244*450,
IF(LEFT(C244,3)="SJC",G244*O244*HLOOKUP("PTAX",'Histórico'!$A$1:$EL$983,MATCH(B244,'Histórico'!A:A),FALSE)*450,
IF(LEFT(C244,3)="BGI",G244*O244*330,
IF(LEFT(C244,3)="OZ1",G244*O244*250,
IF(LEFT(C244,3)="CLP",G244*O244*25,
IF(LEFT(C244,3)="EUP", O244*10000*HLOOKUP("EUR/BRL",'Histórico'!$A$1:$EL$983,MATCH(B244,'Histórico'!A:A),FALSE),
IF(LEFT(C244,3)="JSE", G244*O244*0.4,
IF(LEFT(C244,3)="GBP", O244*10000*HLOOKUP("GBP/BRL",'Histórico'!$A$1:$FG$983,MATCH(B244,'Histórico'!A:A),FALSE),
IF(LEFT(C244,3)="JAP",O244*10000*HLOOKUP("PTAX",'Histórico'!$A$1:$FG$983,MATCH(B244,'Histórico'!A:A),FALSE),
IF(LEFT(C244,3)="CNH",O244*10000*HLOOKUP("PTAX",'Histórico'!$A$1:$FG$983,MATCH(B244,'Histórico'!A:A),FALSE),
IF(LEFT(C244,3)="AUS",O244*10000*HLOOKUP("PTAX",'Histórico'!$A$1:$FG$983,MATCH(B244,'Histórico'!A:A),FALSE),
IF(LEFT(C244,3)="CAN",O244*10000*HLOOKUP("PTAX",'Histórico'!$A$1:$FG$983,MATCH(B244,'Histórico'!A:A),FALSE),
IF(LEFT(C244,3)="GBR",O244*10000*HLOOKUP("GBP/BRL",'Histórico'!$A$1:$FG$983,MATCH(B244,'Histórico'!A:A),FALSE),
IF(LEFT(C244,3)="MEX",O244*10000*HLOOKUP("PTAX",'Histórico'!$A$1:$FG$983,MATCH(B244,'Histórico'!A:A),FALSE),
IF(LEFT(C244,3)="CHL",O244*10000*HLOOKUP("PTAX",'Histórico'!$A$1:$FG$983,MATCH(B244,'Histórico'!A:A),FALSE)
)))))))))))))))))))))))),""))</f>
        <v/>
      </c>
      <c r="O244" s="49" t="str">
        <f t="shared" si="2"/>
        <v/>
      </c>
      <c r="P244" s="49" t="str">
        <f t="shared" si="5"/>
        <v/>
      </c>
      <c r="Q244" s="51" t="str">
        <f>IF($C244&lt;&gt;"",SUMIFS($O$3:$O$401, $C$3:$C$401 ,$C244,$B$3:$B$401,"&lt;="&amp;Controle!$B$6),"")</f>
        <v/>
      </c>
      <c r="R244" s="51" t="str">
        <f>IF($D244&lt;&gt;"",SUMIFS($O$3:$O$401, $C$3:$C$401 ,$C244,$B$3:$B$401,"&lt;="&amp;Controle!$B$6,$F$3:$F$401,$F244),"")</f>
        <v/>
      </c>
      <c r="S244" s="51" t="str">
        <f>IF($D244&lt;&gt;"",SUMIFS($O$3:$O$401, $C$3:$C$401 ,$C244,$B$3:$B$401,"&lt;="&amp;'Controle D-1'!$B$6,$F$3:$F$401,$F244),"")</f>
        <v/>
      </c>
      <c r="T244" s="40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146"/>
      <c r="B245" s="149"/>
      <c r="C245" s="150"/>
      <c r="D245" s="150" t="str">
        <f>IF(ISTEXT(C245),VLOOKUP(C245,'Cadastro dos Ativos'!$A$2:$C$1000,3,0),"")</f>
        <v/>
      </c>
      <c r="E245" s="150"/>
      <c r="F245" s="150"/>
      <c r="G245" s="151"/>
      <c r="H245" s="101" t="str">
        <f>if($D245="Ações Americanas", HLOOKUP("PTAX",'Histórico'!$A$1:$EL$983,(MATCH(B245,'Histórico'!A:A))-1,""),
if($D245="Ações Europeias", HLOOKUP("EUR/BRL",'Histórico'!$A$1:$EL$983,(MATCH(B245,'Histórico'!A:A))-1,""),""))</f>
        <v/>
      </c>
      <c r="I245" s="150" t="str">
        <f t="array" ref="I245">IF(ISTEXT(C245),xlookup(C245,'Cadastro dos Ativos'!$A$2:$A$1000,'Cadastro dos Ativos'!$D$2:$D$1000),"")</f>
        <v/>
      </c>
      <c r="J245" s="150"/>
      <c r="K245" s="47" t="str">
        <f t="array" ref="K245">if(and(J245&lt;&gt;"",D245&lt;&gt;"Futuros"),
if(F245=Controle!$C$2, M245/xlookup(workday(B245,-1,Feriados!A:A),Controle!$B$10:$B$1000,Controle!$C$10:$C$1000),
if(F245=Controle!$F$2, M245/xlookup(workday(B245,-1,Feriados!A:A),Controle!$B$10:$B$1000,Controle!$F$10:$F$1000),
if(F245=Controle!$I$2, M245/xlookup(workday(B245,-1,Feriados!A:A),Controle!$B$10:$B$1000,Controle!$I$10:$I$1000),
if(F245=Controle!$L$2, M245/xlookup(workday(B245,-1,Feriados!A:A),Controle!$B$10:$B$1000,Controle!$L$10:$L$1000),
)))),
if(and(J245&lt;&gt;"",D245="Futuros"),
if(F245=Controle!$C$2, N245/xlookup(workday(B245,-1,Feriados!A:A),Controle!$B$10:$B$1000,Controle!$C$10:$C$1000),
if(F245=Controle!$F$2, N245/xlookup(workday(B245,-1,Feriados!A:A),Controle!$B$10:$B$1000,Controle!$F$10:$F$1000),
if(F245=Controle!$I$2, N245/xlookup(workday(B245,-1,Feriados!A:A),Controle!$B$10:$B$1000,Controle!$I$10:$I$1000),
if(F245=Controle!$L$2, N245/xlookup(workday(B245,-1,Feriados!A:A),Controle!$B$10:$B$1000,Controle!$L$10:$L$1000),
)))),""))</f>
        <v/>
      </c>
      <c r="L245" s="47" t="str">
        <f t="array" ref="L245">IF($J245&lt;&gt;"", IF($D245 = "Futuros" , $N245/xlookup(WORKDAY(B245,-1,Feriados!A:A),Controle!$B$10:$B$1000,Controle!$T$10:$T$1000) , $M245/xlookup(WORKDAY(B245,-1,Feriados!A:A),Controle!$B$10:$B$1000,Controle!$T$10:$T$1000)),"")</f>
        <v/>
      </c>
      <c r="M245" s="48" t="str">
        <f t="shared" si="4"/>
        <v/>
      </c>
      <c r="N245" s="48" t="str">
        <f>IFERROR(IF(D245="Futuros",
IF(LEFT(C245,3)="DI1",G245*O245,
IF(LEFT(C245,3)="ISP",G245*O245*HLOOKUP("PTAX",'Histórico'!$A$1:$EL$983,MATCH(B245,'Histórico'!A:A),FALSE)*50,
IF(LEFT(C245,3)="WDO",10*G245*O245*HLOOKUP("PTAX",'Histórico'!$A$1:$EL$983,MATCH(B245,'Histórico'!A:A),FALSE),
IF(LEFT(C245,3)="DOL",50*G245*O245,
IF(LEFT(C245,3)="EUR",G245*O245*50,
IF(LEFT(C245,3)="WEU",G245*O245*10,
IF(LEFT(C245,3)="IND",G245*O245,
IF(LEFT(C245,3)="WIN",G245*O245*0.2,
IF(LEFT(C245,3)="T10",G245*O245*1000*HLOOKUP("PTAX",'Histórico'!$A$1:$EL$983,MATCH(B245,'Histórico'!A:A),FALSE),
IF(LEFT(C245,3)="CCM",G245*O245*450,
IF(LEFT(C245,3)="SJC",G245*O245*HLOOKUP("PTAX",'Histórico'!$A$1:$EL$983,MATCH(B245,'Histórico'!A:A),FALSE)*450,
IF(LEFT(C245,3)="BGI",G245*O245*330,
IF(LEFT(C245,3)="OZ1",G245*O245*250,
IF(LEFT(C245,3)="CLP",G245*O245*25,
IF(LEFT(C245,3)="EUP", O245*10000*HLOOKUP("EUR/BRL",'Histórico'!$A$1:$EL$983,MATCH(B245,'Histórico'!A:A),FALSE),
IF(LEFT(C245,3)="JSE", G245*O245*0.4,
IF(LEFT(C245,3)="GBP", O245*10000*HLOOKUP("GBP/BRL",'Histórico'!$A$1:$FG$983,MATCH(B245,'Histórico'!A:A),FALSE),
IF(LEFT(C245,3)="JAP",O245*10000*HLOOKUP("PTAX",'Histórico'!$A$1:$FG$983,MATCH(B245,'Histórico'!A:A),FALSE),
IF(LEFT(C245,3)="CNH",O245*10000*HLOOKUP("PTAX",'Histórico'!$A$1:$FG$983,MATCH(B245,'Histórico'!A:A),FALSE),
IF(LEFT(C245,3)="AUS",O245*10000*HLOOKUP("PTAX",'Histórico'!$A$1:$FG$983,MATCH(B245,'Histórico'!A:A),FALSE),
IF(LEFT(C245,3)="CAN",O245*10000*HLOOKUP("PTAX",'Histórico'!$A$1:$FG$983,MATCH(B245,'Histórico'!A:A),FALSE),
IF(LEFT(C245,3)="GBR",O245*10000*HLOOKUP("GBP/BRL",'Histórico'!$A$1:$FG$983,MATCH(B245,'Histórico'!A:A),FALSE),
IF(LEFT(C245,3)="MEX",O245*10000*HLOOKUP("PTAX",'Histórico'!$A$1:$FG$983,MATCH(B245,'Histórico'!A:A),FALSE),
IF(LEFT(C245,3)="CHL",O245*10000*HLOOKUP("PTAX",'Histórico'!$A$1:$FG$983,MATCH(B245,'Histórico'!A:A),FALSE)
)))))))))))))))))))))))),""))</f>
        <v/>
      </c>
      <c r="O245" s="49" t="str">
        <f t="shared" si="2"/>
        <v/>
      </c>
      <c r="P245" s="49" t="str">
        <f t="shared" si="5"/>
        <v/>
      </c>
      <c r="Q245" s="51" t="str">
        <f>IF($C245&lt;&gt;"",SUMIFS($O$3:$O$401, $C$3:$C$401 ,$C245,$B$3:$B$401,"&lt;="&amp;Controle!$B$6),"")</f>
        <v/>
      </c>
      <c r="R245" s="51" t="str">
        <f>IF($D245&lt;&gt;"",SUMIFS($O$3:$O$401, $C$3:$C$401 ,$C245,$B$3:$B$401,"&lt;="&amp;Controle!$B$6,$F$3:$F$401,$F245),"")</f>
        <v/>
      </c>
      <c r="S245" s="51" t="str">
        <f>IF($D245&lt;&gt;"",SUMIFS($O$3:$O$401, $C$3:$C$401 ,$C245,$B$3:$B$401,"&lt;="&amp;'Controle D-1'!$B$6,$F$3:$F$401,$F245),"")</f>
        <v/>
      </c>
      <c r="T245" s="40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146"/>
      <c r="B246" s="149"/>
      <c r="C246" s="150"/>
      <c r="D246" s="150" t="str">
        <f>IF(ISTEXT(C246),VLOOKUP(C246,'Cadastro dos Ativos'!$A$2:$C$1000,3,0),"")</f>
        <v/>
      </c>
      <c r="E246" s="150"/>
      <c r="F246" s="150"/>
      <c r="G246" s="151"/>
      <c r="H246" s="46" t="str">
        <f>if($D246="Ações Americanas", HLOOKUP("PTAX",'Histórico'!$A$1:$EL$983,(MATCH(B246,'Histórico'!A:A))-1,""),
if($D246="Ações Europeias", HLOOKUP("EUR/BRL",'Histórico'!$A$1:$EL$983,(MATCH(B246,'Histórico'!A:A))-1,""),""))</f>
        <v/>
      </c>
      <c r="I246" s="150" t="str">
        <f t="array" ref="I246">IF(ISTEXT(C246),xlookup(C246,'Cadastro dos Ativos'!$A$2:$A$1000,'Cadastro dos Ativos'!$D$2:$D$1000),"")</f>
        <v/>
      </c>
      <c r="J246" s="150"/>
      <c r="K246" s="47" t="str">
        <f t="array" ref="K246">if(and(J246&lt;&gt;"",D246&lt;&gt;"Futuros"),
if(F246=Controle!$C$2, M246/xlookup(workday(B246,-1,Feriados!A:A),Controle!$B$10:$B$1000,Controle!$C$10:$C$1000),
if(F246=Controle!$F$2, M246/xlookup(workday(B246,-1,Feriados!A:A),Controle!$B$10:$B$1000,Controle!$F$10:$F$1000),
if(F246=Controle!$I$2, M246/xlookup(workday(B246,-1,Feriados!A:A),Controle!$B$10:$B$1000,Controle!$I$10:$I$1000),
if(F246=Controle!$L$2, M246/xlookup(workday(B246,-1,Feriados!A:A),Controle!$B$10:$B$1000,Controle!$L$10:$L$1000),
)))),
if(and(J246&lt;&gt;"",D246="Futuros"),
if(F246=Controle!$C$2, N246/xlookup(workday(B246,-1,Feriados!A:A),Controle!$B$10:$B$1000,Controle!$C$10:$C$1000),
if(F246=Controle!$F$2, N246/xlookup(workday(B246,-1,Feriados!A:A),Controle!$B$10:$B$1000,Controle!$F$10:$F$1000),
if(F246=Controle!$I$2, N246/xlookup(workday(B246,-1,Feriados!A:A),Controle!$B$10:$B$1000,Controle!$I$10:$I$1000),
if(F246=Controle!$L$2, N246/xlookup(workday(B246,-1,Feriados!A:A),Controle!$B$10:$B$1000,Controle!$L$10:$L$1000),
)))),""))</f>
        <v/>
      </c>
      <c r="L246" s="47" t="str">
        <f t="array" ref="L246">IF($J246&lt;&gt;"", IF($D246 = "Futuros" , $N246/xlookup(WORKDAY(B246,-1,Feriados!A:A),Controle!$B$10:$B$1000,Controle!$T$10:$T$1000) , $M246/xlookup(WORKDAY(B246,-1,Feriados!A:A),Controle!$B$10:$B$1000,Controle!$T$10:$T$1000)),"")</f>
        <v/>
      </c>
      <c r="M246" s="48" t="str">
        <f t="shared" si="4"/>
        <v/>
      </c>
      <c r="N246" s="48" t="str">
        <f>IFERROR(IF(D246="Futuros",
IF(LEFT(C246,3)="DI1",G246*O246,
IF(LEFT(C246,3)="ISP",G246*O246*HLOOKUP("PTAX",'Histórico'!$A$1:$EL$983,MATCH(B246,'Histórico'!A:A),FALSE)*50,
IF(LEFT(C246,3)="WDO",10*G246*O246*HLOOKUP("PTAX",'Histórico'!$A$1:$EL$983,MATCH(B246,'Histórico'!A:A),FALSE),
IF(LEFT(C246,3)="DOL",50*G246*O246,
IF(LEFT(C246,3)="EUR",G246*O246*50,
IF(LEFT(C246,3)="WEU",G246*O246*10,
IF(LEFT(C246,3)="IND",G246*O246,
IF(LEFT(C246,3)="WIN",G246*O246*0.2,
IF(LEFT(C246,3)="T10",G246*O246*1000*HLOOKUP("PTAX",'Histórico'!$A$1:$EL$983,MATCH(B246,'Histórico'!A:A),FALSE),
IF(LEFT(C246,3)="CCM",G246*O246*450,
IF(LEFT(C246,3)="SJC",G246*O246*HLOOKUP("PTAX",'Histórico'!$A$1:$EL$983,MATCH(B246,'Histórico'!A:A),FALSE)*450,
IF(LEFT(C246,3)="BGI",G246*O246*330,
IF(LEFT(C246,3)="OZ1",G246*O246*250,
IF(LEFT(C246,3)="CLP",G246*O246*25,
IF(LEFT(C246,3)="EUP", O246*10000*HLOOKUP("EUR/BRL",'Histórico'!$A$1:$EL$983,MATCH(B246,'Histórico'!A:A),FALSE),
IF(LEFT(C246,3)="JSE", G246*O246*0.4,
IF(LEFT(C246,3)="GBP", O246*10000*HLOOKUP("GBP/BRL",'Histórico'!$A$1:$FG$983,MATCH(B246,'Histórico'!A:A),FALSE),
IF(LEFT(C246,3)="JAP",O246*10000*HLOOKUP("PTAX",'Histórico'!$A$1:$FG$983,MATCH(B246,'Histórico'!A:A),FALSE),
IF(LEFT(C246,3)="CNH",O246*10000*HLOOKUP("PTAX",'Histórico'!$A$1:$FG$983,MATCH(B246,'Histórico'!A:A),FALSE),
IF(LEFT(C246,3)="AUS",O246*10000*HLOOKUP("PTAX",'Histórico'!$A$1:$FG$983,MATCH(B246,'Histórico'!A:A),FALSE),
IF(LEFT(C246,3)="CAN",O246*10000*HLOOKUP("PTAX",'Histórico'!$A$1:$FG$983,MATCH(B246,'Histórico'!A:A),FALSE),
IF(LEFT(C246,3)="GBR",O246*10000*HLOOKUP("GBP/BRL",'Histórico'!$A$1:$FG$983,MATCH(B246,'Histórico'!A:A),FALSE),
IF(LEFT(C246,3)="MEX",O246*10000*HLOOKUP("PTAX",'Histórico'!$A$1:$FG$983,MATCH(B246,'Histórico'!A:A),FALSE),
IF(LEFT(C246,3)="CHL",O246*10000*HLOOKUP("PTAX",'Histórico'!$A$1:$FG$983,MATCH(B246,'Histórico'!A:A),FALSE)
)))))))))))))))))))))))),""))</f>
        <v/>
      </c>
      <c r="O246" s="49" t="str">
        <f t="shared" si="2"/>
        <v/>
      </c>
      <c r="P246" s="49" t="str">
        <f t="shared" si="5"/>
        <v/>
      </c>
      <c r="Q246" s="51" t="str">
        <f>IF($C246&lt;&gt;"",SUMIFS($O$3:$O$401, $C$3:$C$401 ,$C246,$B$3:$B$401,"&lt;="&amp;Controle!$B$6),"")</f>
        <v/>
      </c>
      <c r="R246" s="51" t="str">
        <f>IF($D246&lt;&gt;"",SUMIFS($O$3:$O$401, $C$3:$C$401 ,$C246,$B$3:$B$401,"&lt;="&amp;Controle!$B$6,$F$3:$F$401,$F246),"")</f>
        <v/>
      </c>
      <c r="S246" s="51" t="str">
        <f>IF($D246&lt;&gt;"",SUMIFS($O$3:$O$401, $C$3:$C$401 ,$C246,$B$3:$B$401,"&lt;="&amp;'Controle D-1'!$B$6,$F$3:$F$401,$F246),"")</f>
        <v/>
      </c>
      <c r="T246" s="40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146"/>
      <c r="B247" s="149"/>
      <c r="C247" s="150"/>
      <c r="D247" s="150" t="str">
        <f>IF(ISTEXT(C247),VLOOKUP(C247,'Cadastro dos Ativos'!$A$2:$C$1000,3,0),"")</f>
        <v/>
      </c>
      <c r="E247" s="150"/>
      <c r="F247" s="150"/>
      <c r="G247" s="151"/>
      <c r="H247" s="101" t="str">
        <f>if($D247="Ações Americanas", HLOOKUP("PTAX",'Histórico'!$A$1:$EL$983,(MATCH(B247,'Histórico'!A:A))-1,""),
if($D247="Ações Europeias", HLOOKUP("EUR/BRL",'Histórico'!$A$1:$EL$983,(MATCH(B247,'Histórico'!A:A))-1,""),""))</f>
        <v/>
      </c>
      <c r="I247" s="150" t="str">
        <f t="array" ref="I247">IF(ISTEXT(C247),xlookup(C247,'Cadastro dos Ativos'!$A$2:$A$1000,'Cadastro dos Ativos'!$D$2:$D$1000),"")</f>
        <v/>
      </c>
      <c r="J247" s="150"/>
      <c r="K247" s="47" t="str">
        <f t="array" ref="K247">if(and(J247&lt;&gt;"",D247&lt;&gt;"Futuros"),
if(F247=Controle!$C$2, M247/xlookup(workday(B247,-1,Feriados!A:A),Controle!$B$10:$B$1000,Controle!$C$10:$C$1000),
if(F247=Controle!$F$2, M247/xlookup(workday(B247,-1,Feriados!A:A),Controle!$B$10:$B$1000,Controle!$F$10:$F$1000),
if(F247=Controle!$I$2, M247/xlookup(workday(B247,-1,Feriados!A:A),Controle!$B$10:$B$1000,Controle!$I$10:$I$1000),
if(F247=Controle!$L$2, M247/xlookup(workday(B247,-1,Feriados!A:A),Controle!$B$10:$B$1000,Controle!$L$10:$L$1000),
)))),
if(and(J247&lt;&gt;"",D247="Futuros"),
if(F247=Controle!$C$2, N247/xlookup(workday(B247,-1,Feriados!A:A),Controle!$B$10:$B$1000,Controle!$C$10:$C$1000),
if(F247=Controle!$F$2, N247/xlookup(workday(B247,-1,Feriados!A:A),Controle!$B$10:$B$1000,Controle!$F$10:$F$1000),
if(F247=Controle!$I$2, N247/xlookup(workday(B247,-1,Feriados!A:A),Controle!$B$10:$B$1000,Controle!$I$10:$I$1000),
if(F247=Controle!$L$2, N247/xlookup(workday(B247,-1,Feriados!A:A),Controle!$B$10:$B$1000,Controle!$L$10:$L$1000),
)))),""))</f>
        <v/>
      </c>
      <c r="L247" s="47" t="str">
        <f t="array" ref="L247">IF($J247&lt;&gt;"", IF($D247 = "Futuros" , $N247/xlookup(WORKDAY(B247,-1,Feriados!A:A),Controle!$B$10:$B$1000,Controle!$T$10:$T$1000) , $M247/xlookup(WORKDAY(B247,-1,Feriados!A:A),Controle!$B$10:$B$1000,Controle!$T$10:$T$1000)),"")</f>
        <v/>
      </c>
      <c r="M247" s="48" t="str">
        <f t="shared" si="4"/>
        <v/>
      </c>
      <c r="N247" s="48" t="str">
        <f>IFERROR(IF(D247="Futuros",
IF(LEFT(C247,3)="DI1",G247*O247,
IF(LEFT(C247,3)="ISP",G247*O247*HLOOKUP("PTAX",'Histórico'!$A$1:$EL$983,MATCH(B247,'Histórico'!A:A),FALSE)*50,
IF(LEFT(C247,3)="WDO",10*G247*O247*HLOOKUP("PTAX",'Histórico'!$A$1:$EL$983,MATCH(B247,'Histórico'!A:A),FALSE),
IF(LEFT(C247,3)="DOL",50*G247*O247,
IF(LEFT(C247,3)="EUR",G247*O247*50,
IF(LEFT(C247,3)="WEU",G247*O247*10,
IF(LEFT(C247,3)="IND",G247*O247,
IF(LEFT(C247,3)="WIN",G247*O247*0.2,
IF(LEFT(C247,3)="T10",G247*O247*1000*HLOOKUP("PTAX",'Histórico'!$A$1:$EL$983,MATCH(B247,'Histórico'!A:A),FALSE),
IF(LEFT(C247,3)="CCM",G247*O247*450,
IF(LEFT(C247,3)="SJC",G247*O247*HLOOKUP("PTAX",'Histórico'!$A$1:$EL$983,MATCH(B247,'Histórico'!A:A),FALSE)*450,
IF(LEFT(C247,3)="BGI",G247*O247*330,
IF(LEFT(C247,3)="OZ1",G247*O247*250,
IF(LEFT(C247,3)="CLP",G247*O247*25,
IF(LEFT(C247,3)="EUP", O247*10000*HLOOKUP("EUR/BRL",'Histórico'!$A$1:$EL$983,MATCH(B247,'Histórico'!A:A),FALSE),
IF(LEFT(C247,3)="JSE", G247*O247*0.4,
IF(LEFT(C247,3)="GBP", O247*10000*HLOOKUP("GBP/BRL",'Histórico'!$A$1:$FG$983,MATCH(B247,'Histórico'!A:A),FALSE),
IF(LEFT(C247,3)="JAP",O247*10000*HLOOKUP("PTAX",'Histórico'!$A$1:$FG$983,MATCH(B247,'Histórico'!A:A),FALSE),
IF(LEFT(C247,3)="CNH",O247*10000*HLOOKUP("PTAX",'Histórico'!$A$1:$FG$983,MATCH(B247,'Histórico'!A:A),FALSE),
IF(LEFT(C247,3)="AUS",O247*10000*HLOOKUP("PTAX",'Histórico'!$A$1:$FG$983,MATCH(B247,'Histórico'!A:A),FALSE),
IF(LEFT(C247,3)="CAN",O247*10000*HLOOKUP("PTAX",'Histórico'!$A$1:$FG$983,MATCH(B247,'Histórico'!A:A),FALSE),
IF(LEFT(C247,3)="GBR",O247*10000*HLOOKUP("GBP/BRL",'Histórico'!$A$1:$FG$983,MATCH(B247,'Histórico'!A:A),FALSE),
IF(LEFT(C247,3)="MEX",O247*10000*HLOOKUP("PTAX",'Histórico'!$A$1:$FG$983,MATCH(B247,'Histórico'!A:A),FALSE),
IF(LEFT(C247,3)="CHL",O247*10000*HLOOKUP("PTAX",'Histórico'!$A$1:$FG$983,MATCH(B247,'Histórico'!A:A),FALSE)
)))))))))))))))))))))))),""))</f>
        <v/>
      </c>
      <c r="O247" s="49" t="str">
        <f t="shared" si="2"/>
        <v/>
      </c>
      <c r="P247" s="49" t="str">
        <f t="shared" si="5"/>
        <v/>
      </c>
      <c r="Q247" s="51" t="str">
        <f>IF($C247&lt;&gt;"",SUMIFS($O$3:$O$401, $C$3:$C$401 ,$C247,$B$3:$B$401,"&lt;="&amp;Controle!$B$6),"")</f>
        <v/>
      </c>
      <c r="R247" s="51" t="str">
        <f>IF($D247&lt;&gt;"",SUMIFS($O$3:$O$401, $C$3:$C$401 ,$C247,$B$3:$B$401,"&lt;="&amp;Controle!$B$6,$F$3:$F$401,$F247),"")</f>
        <v/>
      </c>
      <c r="S247" s="51" t="str">
        <f>IF($D247&lt;&gt;"",SUMIFS($O$3:$O$401, $C$3:$C$401 ,$C247,$B$3:$B$401,"&lt;="&amp;'Controle D-1'!$B$6,$F$3:$F$401,$F247),"")</f>
        <v/>
      </c>
      <c r="T247" s="40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146"/>
      <c r="B248" s="149"/>
      <c r="C248" s="150"/>
      <c r="D248" s="150" t="str">
        <f>IF(ISTEXT(C248),VLOOKUP(C248,'Cadastro dos Ativos'!$A$2:$C$1000,3,0),"")</f>
        <v/>
      </c>
      <c r="E248" s="150"/>
      <c r="F248" s="150"/>
      <c r="G248" s="151"/>
      <c r="H248" s="46" t="str">
        <f>if($D248="Ações Americanas", HLOOKUP("PTAX",'Histórico'!$A$1:$EL$983,(MATCH(B248,'Histórico'!A:A))-1,""),
if($D248="Ações Europeias", HLOOKUP("EUR/BRL",'Histórico'!$A$1:$EL$983,(MATCH(B248,'Histórico'!A:A))-1,""),""))</f>
        <v/>
      </c>
      <c r="I248" s="150" t="str">
        <f t="array" ref="I248">IF(ISTEXT(C248),xlookup(C248,'Cadastro dos Ativos'!$A$2:$A$1000,'Cadastro dos Ativos'!$D$2:$D$1000),"")</f>
        <v/>
      </c>
      <c r="J248" s="150"/>
      <c r="K248" s="47" t="str">
        <f t="array" ref="K248">if(and(J248&lt;&gt;"",D248&lt;&gt;"Futuros"),
if(F248=Controle!$C$2, M248/xlookup(workday(B248,-1,Feriados!A:A),Controle!$B$10:$B$1000,Controle!$C$10:$C$1000),
if(F248=Controle!$F$2, M248/xlookup(workday(B248,-1,Feriados!A:A),Controle!$B$10:$B$1000,Controle!$F$10:$F$1000),
if(F248=Controle!$I$2, M248/xlookup(workday(B248,-1,Feriados!A:A),Controle!$B$10:$B$1000,Controle!$I$10:$I$1000),
if(F248=Controle!$L$2, M248/xlookup(workday(B248,-1,Feriados!A:A),Controle!$B$10:$B$1000,Controle!$L$10:$L$1000),
)))),
if(and(J248&lt;&gt;"",D248="Futuros"),
if(F248=Controle!$C$2, N248/xlookup(workday(B248,-1,Feriados!A:A),Controle!$B$10:$B$1000,Controle!$C$10:$C$1000),
if(F248=Controle!$F$2, N248/xlookup(workday(B248,-1,Feriados!A:A),Controle!$B$10:$B$1000,Controle!$F$10:$F$1000),
if(F248=Controle!$I$2, N248/xlookup(workday(B248,-1,Feriados!A:A),Controle!$B$10:$B$1000,Controle!$I$10:$I$1000),
if(F248=Controle!$L$2, N248/xlookup(workday(B248,-1,Feriados!A:A),Controle!$B$10:$B$1000,Controle!$L$10:$L$1000),
)))),""))</f>
        <v/>
      </c>
      <c r="L248" s="47" t="str">
        <f t="array" ref="L248">IF($J248&lt;&gt;"", IF($D248 = "Futuros" , $N248/xlookup(WORKDAY(B248,-1,Feriados!A:A),Controle!$B$10:$B$1000,Controle!$T$10:$T$1000) , $M248/xlookup(WORKDAY(B248,-1,Feriados!A:A),Controle!$B$10:$B$1000,Controle!$T$10:$T$1000)),"")</f>
        <v/>
      </c>
      <c r="M248" s="48" t="str">
        <f t="shared" si="4"/>
        <v/>
      </c>
      <c r="N248" s="48" t="str">
        <f>IFERROR(IF(D248="Futuros",
IF(LEFT(C248,3)="DI1",G248*O248,
IF(LEFT(C248,3)="ISP",G248*O248*HLOOKUP("PTAX",'Histórico'!$A$1:$EL$983,MATCH(B248,'Histórico'!A:A),FALSE)*50,
IF(LEFT(C248,3)="WDO",10*G248*O248*HLOOKUP("PTAX",'Histórico'!$A$1:$EL$983,MATCH(B248,'Histórico'!A:A),FALSE),
IF(LEFT(C248,3)="DOL",50*G248*O248,
IF(LEFT(C248,3)="EUR",G248*O248*50,
IF(LEFT(C248,3)="WEU",G248*O248*10,
IF(LEFT(C248,3)="IND",G248*O248,
IF(LEFT(C248,3)="WIN",G248*O248*0.2,
IF(LEFT(C248,3)="T10",G248*O248*1000*HLOOKUP("PTAX",'Histórico'!$A$1:$EL$983,MATCH(B248,'Histórico'!A:A),FALSE),
IF(LEFT(C248,3)="CCM",G248*O248*450,
IF(LEFT(C248,3)="SJC",G248*O248*HLOOKUP("PTAX",'Histórico'!$A$1:$EL$983,MATCH(B248,'Histórico'!A:A),FALSE)*450,
IF(LEFT(C248,3)="BGI",G248*O248*330,
IF(LEFT(C248,3)="OZ1",G248*O248*250,
IF(LEFT(C248,3)="CLP",G248*O248*25,
IF(LEFT(C248,3)="EUP", O248*10000*HLOOKUP("EUR/BRL",'Histórico'!$A$1:$EL$983,MATCH(B248,'Histórico'!A:A),FALSE),
IF(LEFT(C248,3)="JSE", G248*O248*0.4,
IF(LEFT(C248,3)="GBP", O248*10000*HLOOKUP("GBP/BRL",'Histórico'!$A$1:$FG$983,MATCH(B248,'Histórico'!A:A),FALSE),
IF(LEFT(C248,3)="JAP",O248*10000*HLOOKUP("PTAX",'Histórico'!$A$1:$FG$983,MATCH(B248,'Histórico'!A:A),FALSE),
IF(LEFT(C248,3)="CNH",O248*10000*HLOOKUP("PTAX",'Histórico'!$A$1:$FG$983,MATCH(B248,'Histórico'!A:A),FALSE),
IF(LEFT(C248,3)="AUS",O248*10000*HLOOKUP("PTAX",'Histórico'!$A$1:$FG$983,MATCH(B248,'Histórico'!A:A),FALSE),
IF(LEFT(C248,3)="CAN",O248*10000*HLOOKUP("PTAX",'Histórico'!$A$1:$FG$983,MATCH(B248,'Histórico'!A:A),FALSE),
IF(LEFT(C248,3)="GBR",O248*10000*HLOOKUP("GBP/BRL",'Histórico'!$A$1:$FG$983,MATCH(B248,'Histórico'!A:A),FALSE),
IF(LEFT(C248,3)="MEX",O248*10000*HLOOKUP("PTAX",'Histórico'!$A$1:$FG$983,MATCH(B248,'Histórico'!A:A),FALSE),
IF(LEFT(C248,3)="CHL",O248*10000*HLOOKUP("PTAX",'Histórico'!$A$1:$FG$983,MATCH(B248,'Histórico'!A:A),FALSE)
)))))))))))))))))))))))),""))</f>
        <v/>
      </c>
      <c r="O248" s="49" t="str">
        <f t="shared" si="2"/>
        <v/>
      </c>
      <c r="P248" s="49" t="str">
        <f t="shared" si="5"/>
        <v/>
      </c>
      <c r="Q248" s="51" t="str">
        <f>IF($C248&lt;&gt;"",SUMIFS($O$3:$O$401, $C$3:$C$401 ,$C248,$B$3:$B$401,"&lt;="&amp;Controle!$B$6),"")</f>
        <v/>
      </c>
      <c r="R248" s="51" t="str">
        <f>IF($D248&lt;&gt;"",SUMIFS($O$3:$O$401, $C$3:$C$401 ,$C248,$B$3:$B$401,"&lt;="&amp;Controle!$B$6,$F$3:$F$401,$F248),"")</f>
        <v/>
      </c>
      <c r="S248" s="51" t="str">
        <f>IF($D248&lt;&gt;"",SUMIFS($O$3:$O$401, $C$3:$C$401 ,$C248,$B$3:$B$401,"&lt;="&amp;'Controle D-1'!$B$6,$F$3:$F$401,$F248),"")</f>
        <v/>
      </c>
      <c r="T248" s="40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146"/>
      <c r="B249" s="149"/>
      <c r="C249" s="150"/>
      <c r="D249" s="150" t="str">
        <f>IF(ISTEXT(C249),VLOOKUP(C249,'Cadastro dos Ativos'!$A$2:$C$1000,3,0),"")</f>
        <v/>
      </c>
      <c r="E249" s="150"/>
      <c r="F249" s="150"/>
      <c r="G249" s="151"/>
      <c r="H249" s="101" t="str">
        <f>if($D249="Ações Americanas", HLOOKUP("PTAX",'Histórico'!$A$1:$EL$983,(MATCH(B249,'Histórico'!A:A))-1,""),
if($D249="Ações Europeias", HLOOKUP("EUR/BRL",'Histórico'!$A$1:$EL$983,(MATCH(B249,'Histórico'!A:A))-1,""),""))</f>
        <v/>
      </c>
      <c r="I249" s="150" t="str">
        <f t="array" ref="I249">IF(ISTEXT(C249),xlookup(C249,'Cadastro dos Ativos'!$A$2:$A$1000,'Cadastro dos Ativos'!$D$2:$D$1000),"")</f>
        <v/>
      </c>
      <c r="J249" s="150"/>
      <c r="K249" s="47" t="str">
        <f t="array" ref="K249">if(and(J249&lt;&gt;"",D249&lt;&gt;"Futuros"),
if(F249=Controle!$C$2, M249/xlookup(workday(B249,-1,Feriados!A:A),Controle!$B$10:$B$1000,Controle!$C$10:$C$1000),
if(F249=Controle!$F$2, M249/xlookup(workday(B249,-1,Feriados!A:A),Controle!$B$10:$B$1000,Controle!$F$10:$F$1000),
if(F249=Controle!$I$2, M249/xlookup(workday(B249,-1,Feriados!A:A),Controle!$B$10:$B$1000,Controle!$I$10:$I$1000),
if(F249=Controle!$L$2, M249/xlookup(workday(B249,-1,Feriados!A:A),Controle!$B$10:$B$1000,Controle!$L$10:$L$1000),
)))),
if(and(J249&lt;&gt;"",D249="Futuros"),
if(F249=Controle!$C$2, N249/xlookup(workday(B249,-1,Feriados!A:A),Controle!$B$10:$B$1000,Controle!$C$10:$C$1000),
if(F249=Controle!$F$2, N249/xlookup(workday(B249,-1,Feriados!A:A),Controle!$B$10:$B$1000,Controle!$F$10:$F$1000),
if(F249=Controle!$I$2, N249/xlookup(workday(B249,-1,Feriados!A:A),Controle!$B$10:$B$1000,Controle!$I$10:$I$1000),
if(F249=Controle!$L$2, N249/xlookup(workday(B249,-1,Feriados!A:A),Controle!$B$10:$B$1000,Controle!$L$10:$L$1000),
)))),""))</f>
        <v/>
      </c>
      <c r="L249" s="47" t="str">
        <f t="array" ref="L249">IF($J249&lt;&gt;"", IF($D249 = "Futuros" , $N249/xlookup(WORKDAY(B249,-1,Feriados!A:A),Controle!$B$10:$B$1000,Controle!$T$10:$T$1000) , $M249/xlookup(WORKDAY(B249,-1,Feriados!A:A),Controle!$B$10:$B$1000,Controle!$T$10:$T$1000)),"")</f>
        <v/>
      </c>
      <c r="M249" s="48" t="str">
        <f t="shared" si="4"/>
        <v/>
      </c>
      <c r="N249" s="48" t="str">
        <f>IFERROR(IF(D249="Futuros",
IF(LEFT(C249,3)="DI1",G249*O249,
IF(LEFT(C249,3)="ISP",G249*O249*HLOOKUP("PTAX",'Histórico'!$A$1:$EL$983,MATCH(B249,'Histórico'!A:A),FALSE)*50,
IF(LEFT(C249,3)="WDO",10*G249*O249*HLOOKUP("PTAX",'Histórico'!$A$1:$EL$983,MATCH(B249,'Histórico'!A:A),FALSE),
IF(LEFT(C249,3)="DOL",50*G249*O249,
IF(LEFT(C249,3)="EUR",G249*O249*50,
IF(LEFT(C249,3)="WEU",G249*O249*10,
IF(LEFT(C249,3)="IND",G249*O249,
IF(LEFT(C249,3)="WIN",G249*O249*0.2,
IF(LEFT(C249,3)="T10",G249*O249*1000*HLOOKUP("PTAX",'Histórico'!$A$1:$EL$983,MATCH(B249,'Histórico'!A:A),FALSE),
IF(LEFT(C249,3)="CCM",G249*O249*450,
IF(LEFT(C249,3)="SJC",G249*O249*HLOOKUP("PTAX",'Histórico'!$A$1:$EL$983,MATCH(B249,'Histórico'!A:A),FALSE)*450,
IF(LEFT(C249,3)="BGI",G249*O249*330,
IF(LEFT(C249,3)="OZ1",G249*O249*250,
IF(LEFT(C249,3)="CLP",G249*O249*25,
IF(LEFT(C249,3)="EUP", O249*10000*HLOOKUP("EUR/BRL",'Histórico'!$A$1:$EL$983,MATCH(B249,'Histórico'!A:A),FALSE),
IF(LEFT(C249,3)="JSE", G249*O249*0.4,
IF(LEFT(C249,3)="GBP", O249*10000*HLOOKUP("GBP/BRL",'Histórico'!$A$1:$FG$983,MATCH(B249,'Histórico'!A:A),FALSE),
IF(LEFT(C249,3)="JAP",O249*10000*HLOOKUP("PTAX",'Histórico'!$A$1:$FG$983,MATCH(B249,'Histórico'!A:A),FALSE),
IF(LEFT(C249,3)="CNH",O249*10000*HLOOKUP("PTAX",'Histórico'!$A$1:$FG$983,MATCH(B249,'Histórico'!A:A),FALSE),
IF(LEFT(C249,3)="AUS",O249*10000*HLOOKUP("PTAX",'Histórico'!$A$1:$FG$983,MATCH(B249,'Histórico'!A:A),FALSE),
IF(LEFT(C249,3)="CAN",O249*10000*HLOOKUP("PTAX",'Histórico'!$A$1:$FG$983,MATCH(B249,'Histórico'!A:A),FALSE),
IF(LEFT(C249,3)="GBR",O249*10000*HLOOKUP("GBP/BRL",'Histórico'!$A$1:$FG$983,MATCH(B249,'Histórico'!A:A),FALSE),
IF(LEFT(C249,3)="MEX",O249*10000*HLOOKUP("PTAX",'Histórico'!$A$1:$FG$983,MATCH(B249,'Histórico'!A:A),FALSE),
IF(LEFT(C249,3)="CHL",O249*10000*HLOOKUP("PTAX",'Histórico'!$A$1:$FG$983,MATCH(B249,'Histórico'!A:A),FALSE)
)))))))))))))))))))))))),""))</f>
        <v/>
      </c>
      <c r="O249" s="49" t="str">
        <f t="shared" si="2"/>
        <v/>
      </c>
      <c r="P249" s="49" t="str">
        <f t="shared" si="5"/>
        <v/>
      </c>
      <c r="Q249" s="51" t="str">
        <f>IF($C249&lt;&gt;"",SUMIFS($O$3:$O$401, $C$3:$C$401 ,$C249,$B$3:$B$401,"&lt;="&amp;Controle!$B$6),"")</f>
        <v/>
      </c>
      <c r="R249" s="51" t="str">
        <f>IF($D249&lt;&gt;"",SUMIFS($O$3:$O$401, $C$3:$C$401 ,$C249,$B$3:$B$401,"&lt;="&amp;Controle!$B$6,$F$3:$F$401,$F249),"")</f>
        <v/>
      </c>
      <c r="S249" s="51" t="str">
        <f>IF($D249&lt;&gt;"",SUMIFS($O$3:$O$401, $C$3:$C$401 ,$C249,$B$3:$B$401,"&lt;="&amp;'Controle D-1'!$B$6,$F$3:$F$401,$F249),"")</f>
        <v/>
      </c>
      <c r="T249" s="40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146"/>
      <c r="B250" s="149"/>
      <c r="C250" s="150"/>
      <c r="D250" s="150" t="str">
        <f>IF(ISTEXT(C250),VLOOKUP(C250,'Cadastro dos Ativos'!$A$2:$C$1000,3,0),"")</f>
        <v/>
      </c>
      <c r="E250" s="150"/>
      <c r="F250" s="150"/>
      <c r="G250" s="151"/>
      <c r="H250" s="46" t="str">
        <f>if($D250="Ações Americanas", HLOOKUP("PTAX",'Histórico'!$A$1:$EL$983,(MATCH(B250,'Histórico'!A:A))-1,""),
if($D250="Ações Europeias", HLOOKUP("EUR/BRL",'Histórico'!$A$1:$EL$983,(MATCH(B250,'Histórico'!A:A))-1,""),""))</f>
        <v/>
      </c>
      <c r="I250" s="150" t="str">
        <f t="array" ref="I250">IF(ISTEXT(C250),xlookup(C250,'Cadastro dos Ativos'!$A$2:$A$1000,'Cadastro dos Ativos'!$D$2:$D$1000),"")</f>
        <v/>
      </c>
      <c r="J250" s="150"/>
      <c r="K250" s="47" t="str">
        <f t="array" ref="K250">if(and(J250&lt;&gt;"",D250&lt;&gt;"Futuros"),
if(F250=Controle!$C$2, M250/xlookup(workday(B250,-1,Feriados!A:A),Controle!$B$10:$B$1000,Controle!$C$10:$C$1000),
if(F250=Controle!$F$2, M250/xlookup(workday(B250,-1,Feriados!A:A),Controle!$B$10:$B$1000,Controle!$F$10:$F$1000),
if(F250=Controle!$I$2, M250/xlookup(workday(B250,-1,Feriados!A:A),Controle!$B$10:$B$1000,Controle!$I$10:$I$1000),
if(F250=Controle!$L$2, M250/xlookup(workday(B250,-1,Feriados!A:A),Controle!$B$10:$B$1000,Controle!$L$10:$L$1000),
)))),
if(and(J250&lt;&gt;"",D250="Futuros"),
if(F250=Controle!$C$2, N250/xlookup(workday(B250,-1,Feriados!A:A),Controle!$B$10:$B$1000,Controle!$C$10:$C$1000),
if(F250=Controle!$F$2, N250/xlookup(workday(B250,-1,Feriados!A:A),Controle!$B$10:$B$1000,Controle!$F$10:$F$1000),
if(F250=Controle!$I$2, N250/xlookup(workday(B250,-1,Feriados!A:A),Controle!$B$10:$B$1000,Controle!$I$10:$I$1000),
if(F250=Controle!$L$2, N250/xlookup(workday(B250,-1,Feriados!A:A),Controle!$B$10:$B$1000,Controle!$L$10:$L$1000),
)))),""))</f>
        <v/>
      </c>
      <c r="L250" s="47" t="str">
        <f t="array" ref="L250">IF($J250&lt;&gt;"", IF($D250 = "Futuros" , $N250/xlookup(WORKDAY(B250,-1,Feriados!A:A),Controle!$B$10:$B$1000,Controle!$T$10:$T$1000) , $M250/xlookup(WORKDAY(B250,-1,Feriados!A:A),Controle!$B$10:$B$1000,Controle!$T$10:$T$1000)),"")</f>
        <v/>
      </c>
      <c r="M250" s="48" t="str">
        <f t="shared" si="4"/>
        <v/>
      </c>
      <c r="N250" s="48" t="str">
        <f>IFERROR(IF(D250="Futuros",
IF(LEFT(C250,3)="DI1",G250*O250,
IF(LEFT(C250,3)="ISP",G250*O250*HLOOKUP("PTAX",'Histórico'!$A$1:$EL$983,MATCH(B250,'Histórico'!A:A),FALSE)*50,
IF(LEFT(C250,3)="WDO",10*G250*O250*HLOOKUP("PTAX",'Histórico'!$A$1:$EL$983,MATCH(B250,'Histórico'!A:A),FALSE),
IF(LEFT(C250,3)="DOL",50*G250*O250,
IF(LEFT(C250,3)="EUR",G250*O250*50,
IF(LEFT(C250,3)="WEU",G250*O250*10,
IF(LEFT(C250,3)="IND",G250*O250,
IF(LEFT(C250,3)="WIN",G250*O250*0.2,
IF(LEFT(C250,3)="T10",G250*O250*1000*HLOOKUP("PTAX",'Histórico'!$A$1:$EL$983,MATCH(B250,'Histórico'!A:A),FALSE),
IF(LEFT(C250,3)="CCM",G250*O250*450,
IF(LEFT(C250,3)="SJC",G250*O250*HLOOKUP("PTAX",'Histórico'!$A$1:$EL$983,MATCH(B250,'Histórico'!A:A),FALSE)*450,
IF(LEFT(C250,3)="BGI",G250*O250*330,
IF(LEFT(C250,3)="OZ1",G250*O250*250,
IF(LEFT(C250,3)="CLP",G250*O250*25,
IF(LEFT(C250,3)="EUP", O250*10000*HLOOKUP("EUR/BRL",'Histórico'!$A$1:$EL$983,MATCH(B250,'Histórico'!A:A),FALSE),
IF(LEFT(C250,3)="JSE", G250*O250*0.4,
IF(LEFT(C250,3)="GBP", O250*10000*HLOOKUP("GBP/BRL",'Histórico'!$A$1:$FG$983,MATCH(B250,'Histórico'!A:A),FALSE),
IF(LEFT(C250,3)="JAP",O250*10000*HLOOKUP("PTAX",'Histórico'!$A$1:$FG$983,MATCH(B250,'Histórico'!A:A),FALSE),
IF(LEFT(C250,3)="CNH",O250*10000*HLOOKUP("PTAX",'Histórico'!$A$1:$FG$983,MATCH(B250,'Histórico'!A:A),FALSE),
IF(LEFT(C250,3)="AUS",O250*10000*HLOOKUP("PTAX",'Histórico'!$A$1:$FG$983,MATCH(B250,'Histórico'!A:A),FALSE),
IF(LEFT(C250,3)="CAN",O250*10000*HLOOKUP("PTAX",'Histórico'!$A$1:$FG$983,MATCH(B250,'Histórico'!A:A),FALSE),
IF(LEFT(C250,3)="GBR",O250*10000*HLOOKUP("GBP/BRL",'Histórico'!$A$1:$FG$983,MATCH(B250,'Histórico'!A:A),FALSE),
IF(LEFT(C250,3)="MEX",O250*10000*HLOOKUP("PTAX",'Histórico'!$A$1:$FG$983,MATCH(B250,'Histórico'!A:A),FALSE),
IF(LEFT(C250,3)="CHL",O250*10000*HLOOKUP("PTAX",'Histórico'!$A$1:$FG$983,MATCH(B250,'Histórico'!A:A),FALSE)
)))))))))))))))))))))))),""))</f>
        <v/>
      </c>
      <c r="O250" s="49" t="str">
        <f t="shared" si="2"/>
        <v/>
      </c>
      <c r="P250" s="49" t="str">
        <f t="shared" si="5"/>
        <v/>
      </c>
      <c r="Q250" s="51" t="str">
        <f>IF($C250&lt;&gt;"",SUMIFS($O$3:$O$401, $C$3:$C$401 ,$C250,$B$3:$B$401,"&lt;="&amp;Controle!$B$6),"")</f>
        <v/>
      </c>
      <c r="R250" s="51" t="str">
        <f>IF($D250&lt;&gt;"",SUMIFS($O$3:$O$401, $C$3:$C$401 ,$C250,$B$3:$B$401,"&lt;="&amp;Controle!$B$6,$F$3:$F$401,$F250),"")</f>
        <v/>
      </c>
      <c r="S250" s="51" t="str">
        <f>IF($D250&lt;&gt;"",SUMIFS($O$3:$O$401, $C$3:$C$401 ,$C250,$B$3:$B$401,"&lt;="&amp;'Controle D-1'!$B$6,$F$3:$F$401,$F250),"")</f>
        <v/>
      </c>
      <c r="T250" s="40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146"/>
      <c r="B251" s="149"/>
      <c r="C251" s="150"/>
      <c r="D251" s="150" t="str">
        <f>IF(ISTEXT(C251),VLOOKUP(C251,'Cadastro dos Ativos'!$A$2:$C$1000,3,0),"")</f>
        <v/>
      </c>
      <c r="E251" s="150"/>
      <c r="F251" s="150"/>
      <c r="G251" s="151"/>
      <c r="H251" s="101" t="str">
        <f>if($D251="Ações Americanas", HLOOKUP("PTAX",'Histórico'!$A$1:$EL$983,(MATCH(B251,'Histórico'!A:A))-1,""),
if($D251="Ações Europeias", HLOOKUP("EUR/BRL",'Histórico'!$A$1:$EL$983,(MATCH(B251,'Histórico'!A:A))-1,""),""))</f>
        <v/>
      </c>
      <c r="I251" s="150" t="str">
        <f t="array" ref="I251">IF(ISTEXT(C251),xlookup(C251,'Cadastro dos Ativos'!$A$2:$A$1000,'Cadastro dos Ativos'!$D$2:$D$1000),"")</f>
        <v/>
      </c>
      <c r="J251" s="150"/>
      <c r="K251" s="47" t="str">
        <f t="array" ref="K251">if(and(J251&lt;&gt;"",D251&lt;&gt;"Futuros"),
if(F251=Controle!$C$2, M251/xlookup(workday(B251,-1,Feriados!A:A),Controle!$B$10:$B$1000,Controle!$C$10:$C$1000),
if(F251=Controle!$F$2, M251/xlookup(workday(B251,-1,Feriados!A:A),Controle!$B$10:$B$1000,Controle!$F$10:$F$1000),
if(F251=Controle!$I$2, M251/xlookup(workday(B251,-1,Feriados!A:A),Controle!$B$10:$B$1000,Controle!$I$10:$I$1000),
if(F251=Controle!$L$2, M251/xlookup(workday(B251,-1,Feriados!A:A),Controle!$B$10:$B$1000,Controle!$L$10:$L$1000),
)))),
if(and(J251&lt;&gt;"",D251="Futuros"),
if(F251=Controle!$C$2, N251/xlookup(workday(B251,-1,Feriados!A:A),Controle!$B$10:$B$1000,Controle!$C$10:$C$1000),
if(F251=Controle!$F$2, N251/xlookup(workday(B251,-1,Feriados!A:A),Controle!$B$10:$B$1000,Controle!$F$10:$F$1000),
if(F251=Controle!$I$2, N251/xlookup(workday(B251,-1,Feriados!A:A),Controle!$B$10:$B$1000,Controle!$I$10:$I$1000),
if(F251=Controle!$L$2, N251/xlookup(workday(B251,-1,Feriados!A:A),Controle!$B$10:$B$1000,Controle!$L$10:$L$1000),
)))),""))</f>
        <v/>
      </c>
      <c r="L251" s="47" t="str">
        <f t="array" ref="L251">IF($J251&lt;&gt;"", IF($D251 = "Futuros" , $N251/xlookup(WORKDAY(B251,-1,Feriados!A:A),Controle!$B$10:$B$1000,Controle!$T$10:$T$1000) , $M251/xlookup(WORKDAY(B251,-1,Feriados!A:A),Controle!$B$10:$B$1000,Controle!$T$10:$T$1000)),"")</f>
        <v/>
      </c>
      <c r="M251" s="48" t="str">
        <f t="shared" si="4"/>
        <v/>
      </c>
      <c r="N251" s="48" t="str">
        <f>IFERROR(IF(D251="Futuros",
IF(LEFT(C251,3)="DI1",G251*O251,
IF(LEFT(C251,3)="ISP",G251*O251*HLOOKUP("PTAX",'Histórico'!$A$1:$EL$983,MATCH(B251,'Histórico'!A:A),FALSE)*50,
IF(LEFT(C251,3)="WDO",10*G251*O251*HLOOKUP("PTAX",'Histórico'!$A$1:$EL$983,MATCH(B251,'Histórico'!A:A),FALSE),
IF(LEFT(C251,3)="DOL",50*G251*O251,
IF(LEFT(C251,3)="EUR",G251*O251*50,
IF(LEFT(C251,3)="WEU",G251*O251*10,
IF(LEFT(C251,3)="IND",G251*O251,
IF(LEFT(C251,3)="WIN",G251*O251*0.2,
IF(LEFT(C251,3)="T10",G251*O251*1000*HLOOKUP("PTAX",'Histórico'!$A$1:$EL$983,MATCH(B251,'Histórico'!A:A),FALSE),
IF(LEFT(C251,3)="CCM",G251*O251*450,
IF(LEFT(C251,3)="SJC",G251*O251*HLOOKUP("PTAX",'Histórico'!$A$1:$EL$983,MATCH(B251,'Histórico'!A:A),FALSE)*450,
IF(LEFT(C251,3)="BGI",G251*O251*330,
IF(LEFT(C251,3)="OZ1",G251*O251*250,
IF(LEFT(C251,3)="CLP",G251*O251*25,
IF(LEFT(C251,3)="EUP", O251*10000*HLOOKUP("EUR/BRL",'Histórico'!$A$1:$EL$983,MATCH(B251,'Histórico'!A:A),FALSE),
IF(LEFT(C251,3)="JSE", G251*O251*0.4,
IF(LEFT(C251,3)="GBP", O251*10000*HLOOKUP("GBP/BRL",'Histórico'!$A$1:$FG$983,MATCH(B251,'Histórico'!A:A),FALSE),
IF(LEFT(C251,3)="JAP",O251*10000*HLOOKUP("PTAX",'Histórico'!$A$1:$FG$983,MATCH(B251,'Histórico'!A:A),FALSE),
IF(LEFT(C251,3)="CNH",O251*10000*HLOOKUP("PTAX",'Histórico'!$A$1:$FG$983,MATCH(B251,'Histórico'!A:A),FALSE),
IF(LEFT(C251,3)="AUS",O251*10000*HLOOKUP("PTAX",'Histórico'!$A$1:$FG$983,MATCH(B251,'Histórico'!A:A),FALSE),
IF(LEFT(C251,3)="CAN",O251*10000*HLOOKUP("PTAX",'Histórico'!$A$1:$FG$983,MATCH(B251,'Histórico'!A:A),FALSE),
IF(LEFT(C251,3)="GBR",O251*10000*HLOOKUP("GBP/BRL",'Histórico'!$A$1:$FG$983,MATCH(B251,'Histórico'!A:A),FALSE),
IF(LEFT(C251,3)="MEX",O251*10000*HLOOKUP("PTAX",'Histórico'!$A$1:$FG$983,MATCH(B251,'Histórico'!A:A),FALSE),
IF(LEFT(C251,3)="CHL",O251*10000*HLOOKUP("PTAX",'Histórico'!$A$1:$FG$983,MATCH(B251,'Histórico'!A:A),FALSE)
)))))))))))))))))))))))),""))</f>
        <v/>
      </c>
      <c r="O251" s="49" t="str">
        <f t="shared" si="2"/>
        <v/>
      </c>
      <c r="P251" s="49" t="str">
        <f t="shared" si="5"/>
        <v/>
      </c>
      <c r="Q251" s="51" t="str">
        <f>IF($C251&lt;&gt;"",SUMIFS($O$3:$O$401, $C$3:$C$401 ,$C251,$B$3:$B$401,"&lt;="&amp;Controle!$B$6),"")</f>
        <v/>
      </c>
      <c r="R251" s="51" t="str">
        <f>IF($D251&lt;&gt;"",SUMIFS($O$3:$O$401, $C$3:$C$401 ,$C251,$B$3:$B$401,"&lt;="&amp;Controle!$B$6,$F$3:$F$401,$F251),"")</f>
        <v/>
      </c>
      <c r="S251" s="51" t="str">
        <f>IF($D251&lt;&gt;"",SUMIFS($O$3:$O$401, $C$3:$C$401 ,$C251,$B$3:$B$401,"&lt;="&amp;'Controle D-1'!$B$6,$F$3:$F$401,$F251),"")</f>
        <v/>
      </c>
      <c r="T251" s="40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146"/>
      <c r="B252" s="149"/>
      <c r="C252" s="150"/>
      <c r="D252" s="150" t="str">
        <f>IF(ISTEXT(C252),VLOOKUP(C252,'Cadastro dos Ativos'!$A$2:$C$1000,3,0),"")</f>
        <v/>
      </c>
      <c r="E252" s="150"/>
      <c r="F252" s="150"/>
      <c r="G252" s="151"/>
      <c r="H252" s="46" t="str">
        <f>if($D252="Ações Americanas", HLOOKUP("PTAX",'Histórico'!$A$1:$EL$983,(MATCH(B252,'Histórico'!A:A))-1,""),
if($D252="Ações Europeias", HLOOKUP("EUR/BRL",'Histórico'!$A$1:$EL$983,(MATCH(B252,'Histórico'!A:A))-1,""),""))</f>
        <v/>
      </c>
      <c r="I252" s="150" t="str">
        <f t="array" ref="I252">IF(ISTEXT(C252),xlookup(C252,'Cadastro dos Ativos'!$A$2:$A$1000,'Cadastro dos Ativos'!$D$2:$D$1000),"")</f>
        <v/>
      </c>
      <c r="J252" s="150"/>
      <c r="K252" s="47" t="str">
        <f t="array" ref="K252">if(and(J252&lt;&gt;"",D252&lt;&gt;"Futuros"),
if(F252=Controle!$C$2, M252/xlookup(workday(B252,-1,Feriados!A:A),Controle!$B$10:$B$1000,Controle!$C$10:$C$1000),
if(F252=Controle!$F$2, M252/xlookup(workday(B252,-1,Feriados!A:A),Controle!$B$10:$B$1000,Controle!$F$10:$F$1000),
if(F252=Controle!$I$2, M252/xlookup(workday(B252,-1,Feriados!A:A),Controle!$B$10:$B$1000,Controle!$I$10:$I$1000),
if(F252=Controle!$L$2, M252/xlookup(workday(B252,-1,Feriados!A:A),Controle!$B$10:$B$1000,Controle!$L$10:$L$1000),
)))),
if(and(J252&lt;&gt;"",D252="Futuros"),
if(F252=Controle!$C$2, N252/xlookup(workday(B252,-1,Feriados!A:A),Controle!$B$10:$B$1000,Controle!$C$10:$C$1000),
if(F252=Controle!$F$2, N252/xlookup(workday(B252,-1,Feriados!A:A),Controle!$B$10:$B$1000,Controle!$F$10:$F$1000),
if(F252=Controle!$I$2, N252/xlookup(workday(B252,-1,Feriados!A:A),Controle!$B$10:$B$1000,Controle!$I$10:$I$1000),
if(F252=Controle!$L$2, N252/xlookup(workday(B252,-1,Feriados!A:A),Controle!$B$10:$B$1000,Controle!$L$10:$L$1000),
)))),""))</f>
        <v/>
      </c>
      <c r="L252" s="47" t="str">
        <f t="array" ref="L252">IF($J252&lt;&gt;"", IF($D252 = "Futuros" , $N252/xlookup(WORKDAY(B252,-1,Feriados!A:A),Controle!$B$10:$B$1000,Controle!$T$10:$T$1000) , $M252/xlookup(WORKDAY(B252,-1,Feriados!A:A),Controle!$B$10:$B$1000,Controle!$T$10:$T$1000)),"")</f>
        <v/>
      </c>
      <c r="M252" s="48" t="str">
        <f t="shared" si="4"/>
        <v/>
      </c>
      <c r="N252" s="48" t="str">
        <f>IFERROR(IF(D252="Futuros",
IF(LEFT(C252,3)="DI1",G252*O252,
IF(LEFT(C252,3)="ISP",G252*O252*HLOOKUP("PTAX",'Histórico'!$A$1:$EL$983,MATCH(B252,'Histórico'!A:A),FALSE)*50,
IF(LEFT(C252,3)="WDO",10*G252*O252*HLOOKUP("PTAX",'Histórico'!$A$1:$EL$983,MATCH(B252,'Histórico'!A:A),FALSE),
IF(LEFT(C252,3)="DOL",50*G252*O252,
IF(LEFT(C252,3)="EUR",G252*O252*50,
IF(LEFT(C252,3)="WEU",G252*O252*10,
IF(LEFT(C252,3)="IND",G252*O252,
IF(LEFT(C252,3)="WIN",G252*O252*0.2,
IF(LEFT(C252,3)="T10",G252*O252*1000*HLOOKUP("PTAX",'Histórico'!$A$1:$EL$983,MATCH(B252,'Histórico'!A:A),FALSE),
IF(LEFT(C252,3)="CCM",G252*O252*450,
IF(LEFT(C252,3)="SJC",G252*O252*HLOOKUP("PTAX",'Histórico'!$A$1:$EL$983,MATCH(B252,'Histórico'!A:A),FALSE)*450,
IF(LEFT(C252,3)="BGI",G252*O252*330,
IF(LEFT(C252,3)="OZ1",G252*O252*250,
IF(LEFT(C252,3)="CLP",G252*O252*25,
IF(LEFT(C252,3)="EUP", O252*10000*HLOOKUP("EUR/BRL",'Histórico'!$A$1:$EL$983,MATCH(B252,'Histórico'!A:A),FALSE),
IF(LEFT(C252,3)="JSE", G252*O252*0.4,
IF(LEFT(C252,3)="GBP", O252*10000*HLOOKUP("GBP/BRL",'Histórico'!$A$1:$FG$983,MATCH(B252,'Histórico'!A:A),FALSE),
IF(LEFT(C252,3)="JAP",O252*10000*HLOOKUP("PTAX",'Histórico'!$A$1:$FG$983,MATCH(B252,'Histórico'!A:A),FALSE),
IF(LEFT(C252,3)="CNH",O252*10000*HLOOKUP("PTAX",'Histórico'!$A$1:$FG$983,MATCH(B252,'Histórico'!A:A),FALSE),
IF(LEFT(C252,3)="AUS",O252*10000*HLOOKUP("PTAX",'Histórico'!$A$1:$FG$983,MATCH(B252,'Histórico'!A:A),FALSE),
IF(LEFT(C252,3)="CAN",O252*10000*HLOOKUP("PTAX",'Histórico'!$A$1:$FG$983,MATCH(B252,'Histórico'!A:A),FALSE),
IF(LEFT(C252,3)="GBR",O252*10000*HLOOKUP("GBP/BRL",'Histórico'!$A$1:$FG$983,MATCH(B252,'Histórico'!A:A),FALSE),
IF(LEFT(C252,3)="MEX",O252*10000*HLOOKUP("PTAX",'Histórico'!$A$1:$FG$983,MATCH(B252,'Histórico'!A:A),FALSE),
IF(LEFT(C252,3)="CHL",O252*10000*HLOOKUP("PTAX",'Histórico'!$A$1:$FG$983,MATCH(B252,'Histórico'!A:A),FALSE)
)))))))))))))))))))))))),""))</f>
        <v/>
      </c>
      <c r="O252" s="49" t="str">
        <f t="shared" si="2"/>
        <v/>
      </c>
      <c r="P252" s="49" t="str">
        <f t="shared" si="5"/>
        <v/>
      </c>
      <c r="Q252" s="51" t="str">
        <f>IF($C252&lt;&gt;"",SUMIFS($O$3:$O$401, $C$3:$C$401 ,$C252,$B$3:$B$401,"&lt;="&amp;Controle!$B$6),"")</f>
        <v/>
      </c>
      <c r="R252" s="51" t="str">
        <f>IF($D252&lt;&gt;"",SUMIFS($O$3:$O$401, $C$3:$C$401 ,$C252,$B$3:$B$401,"&lt;="&amp;Controle!$B$6,$F$3:$F$401,$F252),"")</f>
        <v/>
      </c>
      <c r="S252" s="51" t="str">
        <f>IF($D252&lt;&gt;"",SUMIFS($O$3:$O$401, $C$3:$C$401 ,$C252,$B$3:$B$401,"&lt;="&amp;'Controle D-1'!$B$6,$F$3:$F$401,$F252),"")</f>
        <v/>
      </c>
      <c r="T252" s="40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146"/>
      <c r="B253" s="149"/>
      <c r="C253" s="150"/>
      <c r="D253" s="150" t="str">
        <f>IF(ISTEXT(C253),VLOOKUP(C253,'Cadastro dos Ativos'!$A$2:$C$1000,3,0),"")</f>
        <v/>
      </c>
      <c r="E253" s="150"/>
      <c r="F253" s="150"/>
      <c r="G253" s="151"/>
      <c r="H253" s="101" t="str">
        <f>if($D253="Ações Americanas", HLOOKUP("PTAX",'Histórico'!$A$1:$EL$983,(MATCH(B253,'Histórico'!A:A))-1,""),
if($D253="Ações Europeias", HLOOKUP("EUR/BRL",'Histórico'!$A$1:$EL$983,(MATCH(B253,'Histórico'!A:A))-1,""),""))</f>
        <v/>
      </c>
      <c r="I253" s="150" t="str">
        <f t="array" ref="I253">IF(ISTEXT(C253),xlookup(C253,'Cadastro dos Ativos'!$A$2:$A$1000,'Cadastro dos Ativos'!$D$2:$D$1000),"")</f>
        <v/>
      </c>
      <c r="J253" s="150"/>
      <c r="K253" s="47" t="str">
        <f t="array" ref="K253">if(and(J253&lt;&gt;"",D253&lt;&gt;"Futuros"),
if(F253=Controle!$C$2, M253/xlookup(workday(B253,-1,Feriados!A:A),Controle!$B$10:$B$1000,Controle!$C$10:$C$1000),
if(F253=Controle!$F$2, M253/xlookup(workday(B253,-1,Feriados!A:A),Controle!$B$10:$B$1000,Controle!$F$10:$F$1000),
if(F253=Controle!$I$2, M253/xlookup(workday(B253,-1,Feriados!A:A),Controle!$B$10:$B$1000,Controle!$I$10:$I$1000),
if(F253=Controle!$L$2, M253/xlookup(workday(B253,-1,Feriados!A:A),Controle!$B$10:$B$1000,Controle!$L$10:$L$1000),
)))),
if(and(J253&lt;&gt;"",D253="Futuros"),
if(F253=Controle!$C$2, N253/xlookup(workday(B253,-1,Feriados!A:A),Controle!$B$10:$B$1000,Controle!$C$10:$C$1000),
if(F253=Controle!$F$2, N253/xlookup(workday(B253,-1,Feriados!A:A),Controle!$B$10:$B$1000,Controle!$F$10:$F$1000),
if(F253=Controle!$I$2, N253/xlookup(workday(B253,-1,Feriados!A:A),Controle!$B$10:$B$1000,Controle!$I$10:$I$1000),
if(F253=Controle!$L$2, N253/xlookup(workday(B253,-1,Feriados!A:A),Controle!$B$10:$B$1000,Controle!$L$10:$L$1000),
)))),""))</f>
        <v/>
      </c>
      <c r="L253" s="47" t="str">
        <f t="array" ref="L253">IF($J253&lt;&gt;"", IF($D253 = "Futuros" , $N253/xlookup(WORKDAY(B253,-1,Feriados!A:A),Controle!$B$10:$B$1000,Controle!$T$10:$T$1000) , $M253/xlookup(WORKDAY(B253,-1,Feriados!A:A),Controle!$B$10:$B$1000,Controle!$T$10:$T$1000)),"")</f>
        <v/>
      </c>
      <c r="M253" s="48" t="str">
        <f t="shared" si="4"/>
        <v/>
      </c>
      <c r="N253" s="48" t="str">
        <f>IFERROR(IF(D253="Futuros",
IF(LEFT(C253,3)="DI1",G253*O253,
IF(LEFT(C253,3)="ISP",G253*O253*HLOOKUP("PTAX",'Histórico'!$A$1:$EL$983,MATCH(B253,'Histórico'!A:A),FALSE)*50,
IF(LEFT(C253,3)="WDO",10*G253*O253*HLOOKUP("PTAX",'Histórico'!$A$1:$EL$983,MATCH(B253,'Histórico'!A:A),FALSE),
IF(LEFT(C253,3)="DOL",50*G253*O253,
IF(LEFT(C253,3)="EUR",G253*O253*50,
IF(LEFT(C253,3)="WEU",G253*O253*10,
IF(LEFT(C253,3)="IND",G253*O253,
IF(LEFT(C253,3)="WIN",G253*O253*0.2,
IF(LEFT(C253,3)="T10",G253*O253*1000*HLOOKUP("PTAX",'Histórico'!$A$1:$EL$983,MATCH(B253,'Histórico'!A:A),FALSE),
IF(LEFT(C253,3)="CCM",G253*O253*450,
IF(LEFT(C253,3)="SJC",G253*O253*HLOOKUP("PTAX",'Histórico'!$A$1:$EL$983,MATCH(B253,'Histórico'!A:A),FALSE)*450,
IF(LEFT(C253,3)="BGI",G253*O253*330,
IF(LEFT(C253,3)="OZ1",G253*O253*250,
IF(LEFT(C253,3)="CLP",G253*O253*25,
IF(LEFT(C253,3)="EUP", O253*10000*HLOOKUP("EUR/BRL",'Histórico'!$A$1:$EL$983,MATCH(B253,'Histórico'!A:A),FALSE),
IF(LEFT(C253,3)="JSE", G253*O253*0.4,
IF(LEFT(C253,3)="GBP", O253*10000*HLOOKUP("GBP/BRL",'Histórico'!$A$1:$FG$983,MATCH(B253,'Histórico'!A:A),FALSE),
IF(LEFT(C253,3)="JAP",O253*10000*HLOOKUP("PTAX",'Histórico'!$A$1:$FG$983,MATCH(B253,'Histórico'!A:A),FALSE),
IF(LEFT(C253,3)="CNH",O253*10000*HLOOKUP("PTAX",'Histórico'!$A$1:$FG$983,MATCH(B253,'Histórico'!A:A),FALSE),
IF(LEFT(C253,3)="AUS",O253*10000*HLOOKUP("PTAX",'Histórico'!$A$1:$FG$983,MATCH(B253,'Histórico'!A:A),FALSE),
IF(LEFT(C253,3)="CAN",O253*10000*HLOOKUP("PTAX",'Histórico'!$A$1:$FG$983,MATCH(B253,'Histórico'!A:A),FALSE),
IF(LEFT(C253,3)="GBR",O253*10000*HLOOKUP("GBP/BRL",'Histórico'!$A$1:$FG$983,MATCH(B253,'Histórico'!A:A),FALSE),
IF(LEFT(C253,3)="MEX",O253*10000*HLOOKUP("PTAX",'Histórico'!$A$1:$FG$983,MATCH(B253,'Histórico'!A:A),FALSE),
IF(LEFT(C253,3)="CHL",O253*10000*HLOOKUP("PTAX",'Histórico'!$A$1:$FG$983,MATCH(B253,'Histórico'!A:A),FALSE)
)))))))))))))))))))))))),""))</f>
        <v/>
      </c>
      <c r="O253" s="49" t="str">
        <f t="shared" si="2"/>
        <v/>
      </c>
      <c r="P253" s="49" t="str">
        <f t="shared" si="5"/>
        <v/>
      </c>
      <c r="Q253" s="51" t="str">
        <f>IF($C253&lt;&gt;"",SUMIFS($O$3:$O$401, $C$3:$C$401 ,$C253,$B$3:$B$401,"&lt;="&amp;Controle!$B$6),"")</f>
        <v/>
      </c>
      <c r="R253" s="51" t="str">
        <f>IF($D253&lt;&gt;"",SUMIFS($O$3:$O$401, $C$3:$C$401 ,$C253,$B$3:$B$401,"&lt;="&amp;Controle!$B$6,$F$3:$F$401,$F253),"")</f>
        <v/>
      </c>
      <c r="S253" s="51" t="str">
        <f>IF($D253&lt;&gt;"",SUMIFS($O$3:$O$401, $C$3:$C$401 ,$C253,$B$3:$B$401,"&lt;="&amp;'Controle D-1'!$B$6,$F$3:$F$401,$F253),"")</f>
        <v/>
      </c>
      <c r="T253" s="40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146"/>
      <c r="B254" s="149"/>
      <c r="C254" s="150"/>
      <c r="D254" s="150" t="str">
        <f>IF(ISTEXT(C254),VLOOKUP(C254,'Cadastro dos Ativos'!$A$2:$C$1000,3,0),"")</f>
        <v/>
      </c>
      <c r="E254" s="150"/>
      <c r="F254" s="150"/>
      <c r="G254" s="151"/>
      <c r="H254" s="46" t="str">
        <f>if($D254="Ações Americanas", HLOOKUP("PTAX",'Histórico'!$A$1:$EL$983,(MATCH(B254,'Histórico'!A:A))-1,""),
if($D254="Ações Europeias", HLOOKUP("EUR/BRL",'Histórico'!$A$1:$EL$983,(MATCH(B254,'Histórico'!A:A))-1,""),""))</f>
        <v/>
      </c>
      <c r="I254" s="150" t="str">
        <f t="array" ref="I254">IF(ISTEXT(C254),xlookup(C254,'Cadastro dos Ativos'!$A$2:$A$1000,'Cadastro dos Ativos'!$D$2:$D$1000),"")</f>
        <v/>
      </c>
      <c r="J254" s="150"/>
      <c r="K254" s="47" t="str">
        <f t="array" ref="K254">if(and(J254&lt;&gt;"",D254&lt;&gt;"Futuros"),
if(F254=Controle!$C$2, M254/xlookup(workday(B254,-1,Feriados!A:A),Controle!$B$10:$B$1000,Controle!$C$10:$C$1000),
if(F254=Controle!$F$2, M254/xlookup(workday(B254,-1,Feriados!A:A),Controle!$B$10:$B$1000,Controle!$F$10:$F$1000),
if(F254=Controle!$I$2, M254/xlookup(workday(B254,-1,Feriados!A:A),Controle!$B$10:$B$1000,Controle!$I$10:$I$1000),
if(F254=Controle!$L$2, M254/xlookup(workday(B254,-1,Feriados!A:A),Controle!$B$10:$B$1000,Controle!$L$10:$L$1000),
)))),
if(and(J254&lt;&gt;"",D254="Futuros"),
if(F254=Controle!$C$2, N254/xlookup(workday(B254,-1,Feriados!A:A),Controle!$B$10:$B$1000,Controle!$C$10:$C$1000),
if(F254=Controle!$F$2, N254/xlookup(workday(B254,-1,Feriados!A:A),Controle!$B$10:$B$1000,Controle!$F$10:$F$1000),
if(F254=Controle!$I$2, N254/xlookup(workday(B254,-1,Feriados!A:A),Controle!$B$10:$B$1000,Controle!$I$10:$I$1000),
if(F254=Controle!$L$2, N254/xlookup(workday(B254,-1,Feriados!A:A),Controle!$B$10:$B$1000,Controle!$L$10:$L$1000),
)))),""))</f>
        <v/>
      </c>
      <c r="L254" s="47" t="str">
        <f t="array" ref="L254">IF($J254&lt;&gt;"", IF($D254 = "Futuros" , $N254/xlookup(WORKDAY(B254,-1,Feriados!A:A),Controle!$B$10:$B$1000,Controle!$T$10:$T$1000) , $M254/xlookup(WORKDAY(B254,-1,Feriados!A:A),Controle!$B$10:$B$1000,Controle!$T$10:$T$1000)),"")</f>
        <v/>
      </c>
      <c r="M254" s="48" t="str">
        <f t="shared" si="4"/>
        <v/>
      </c>
      <c r="N254" s="48" t="str">
        <f>IFERROR(IF(D254="Futuros",
IF(LEFT(C254,3)="DI1",G254*O254,
IF(LEFT(C254,3)="ISP",G254*O254*HLOOKUP("PTAX",'Histórico'!$A$1:$EL$983,MATCH(B254,'Histórico'!A:A),FALSE)*50,
IF(LEFT(C254,3)="WDO",10*G254*O254*HLOOKUP("PTAX",'Histórico'!$A$1:$EL$983,MATCH(B254,'Histórico'!A:A),FALSE),
IF(LEFT(C254,3)="DOL",50*G254*O254,
IF(LEFT(C254,3)="EUR",G254*O254*50,
IF(LEFT(C254,3)="WEU",G254*O254*10,
IF(LEFT(C254,3)="IND",G254*O254,
IF(LEFT(C254,3)="WIN",G254*O254*0.2,
IF(LEFT(C254,3)="T10",G254*O254*1000*HLOOKUP("PTAX",'Histórico'!$A$1:$EL$983,MATCH(B254,'Histórico'!A:A),FALSE),
IF(LEFT(C254,3)="CCM",G254*O254*450,
IF(LEFT(C254,3)="SJC",G254*O254*HLOOKUP("PTAX",'Histórico'!$A$1:$EL$983,MATCH(B254,'Histórico'!A:A),FALSE)*450,
IF(LEFT(C254,3)="BGI",G254*O254*330,
IF(LEFT(C254,3)="OZ1",G254*O254*250,
IF(LEFT(C254,3)="CLP",G254*O254*25,
IF(LEFT(C254,3)="EUP", O254*10000*HLOOKUP("EUR/BRL",'Histórico'!$A$1:$EL$983,MATCH(B254,'Histórico'!A:A),FALSE),
IF(LEFT(C254,3)="JSE", G254*O254*0.4,
IF(LEFT(C254,3)="GBP", O254*10000*HLOOKUP("GBP/BRL",'Histórico'!$A$1:$FG$983,MATCH(B254,'Histórico'!A:A),FALSE),
IF(LEFT(C254,3)="JAP",O254*10000*HLOOKUP("PTAX",'Histórico'!$A$1:$FG$983,MATCH(B254,'Histórico'!A:A),FALSE),
IF(LEFT(C254,3)="CNH",O254*10000*HLOOKUP("PTAX",'Histórico'!$A$1:$FG$983,MATCH(B254,'Histórico'!A:A),FALSE),
IF(LEFT(C254,3)="AUS",O254*10000*HLOOKUP("PTAX",'Histórico'!$A$1:$FG$983,MATCH(B254,'Histórico'!A:A),FALSE),
IF(LEFT(C254,3)="CAN",O254*10000*HLOOKUP("PTAX",'Histórico'!$A$1:$FG$983,MATCH(B254,'Histórico'!A:A),FALSE),
IF(LEFT(C254,3)="GBR",O254*10000*HLOOKUP("GBP/BRL",'Histórico'!$A$1:$FG$983,MATCH(B254,'Histórico'!A:A),FALSE),
IF(LEFT(C254,3)="MEX",O254*10000*HLOOKUP("PTAX",'Histórico'!$A$1:$FG$983,MATCH(B254,'Histórico'!A:A),FALSE),
IF(LEFT(C254,3)="CHL",O254*10000*HLOOKUP("PTAX",'Histórico'!$A$1:$FG$983,MATCH(B254,'Histórico'!A:A),FALSE)
)))))))))))))))))))))))),""))</f>
        <v/>
      </c>
      <c r="O254" s="49" t="str">
        <f t="shared" si="2"/>
        <v/>
      </c>
      <c r="P254" s="49" t="str">
        <f t="shared" si="5"/>
        <v/>
      </c>
      <c r="Q254" s="51" t="str">
        <f>IF($C254&lt;&gt;"",SUMIFS($O$3:$O$401, $C$3:$C$401 ,$C254,$B$3:$B$401,"&lt;="&amp;Controle!$B$6),"")</f>
        <v/>
      </c>
      <c r="R254" s="51" t="str">
        <f>IF($D254&lt;&gt;"",SUMIFS($O$3:$O$401, $C$3:$C$401 ,$C254,$B$3:$B$401,"&lt;="&amp;Controle!$B$6,$F$3:$F$401,$F254),"")</f>
        <v/>
      </c>
      <c r="S254" s="51" t="str">
        <f>IF($D254&lt;&gt;"",SUMIFS($O$3:$O$401, $C$3:$C$401 ,$C254,$B$3:$B$401,"&lt;="&amp;'Controle D-1'!$B$6,$F$3:$F$401,$F254),"")</f>
        <v/>
      </c>
      <c r="T254" s="40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146"/>
      <c r="B255" s="149"/>
      <c r="C255" s="150"/>
      <c r="D255" s="150" t="str">
        <f>IF(ISTEXT(C255),VLOOKUP(C255,'Cadastro dos Ativos'!$A$2:$C$1000,3,0),"")</f>
        <v/>
      </c>
      <c r="E255" s="150"/>
      <c r="F255" s="150"/>
      <c r="G255" s="151"/>
      <c r="H255" s="101" t="str">
        <f>if($D255="Ações Americanas", HLOOKUP("PTAX",'Histórico'!$A$1:$EL$983,(MATCH(B255,'Histórico'!A:A))-1,""),
if($D255="Ações Europeias", HLOOKUP("EUR/BRL",'Histórico'!$A$1:$EL$983,(MATCH(B255,'Histórico'!A:A))-1,""),""))</f>
        <v/>
      </c>
      <c r="I255" s="150" t="str">
        <f t="array" ref="I255">IF(ISTEXT(C255),xlookup(C255,'Cadastro dos Ativos'!$A$2:$A$1000,'Cadastro dos Ativos'!$D$2:$D$1000),"")</f>
        <v/>
      </c>
      <c r="J255" s="150"/>
      <c r="K255" s="47" t="str">
        <f t="array" ref="K255">if(and(J255&lt;&gt;"",D255&lt;&gt;"Futuros"),
if(F255=Controle!$C$2, M255/xlookup(workday(B255,-1,Feriados!A:A),Controle!$B$10:$B$1000,Controle!$C$10:$C$1000),
if(F255=Controle!$F$2, M255/xlookup(workday(B255,-1,Feriados!A:A),Controle!$B$10:$B$1000,Controle!$F$10:$F$1000),
if(F255=Controle!$I$2, M255/xlookup(workday(B255,-1,Feriados!A:A),Controle!$B$10:$B$1000,Controle!$I$10:$I$1000),
if(F255=Controle!$L$2, M255/xlookup(workday(B255,-1,Feriados!A:A),Controle!$B$10:$B$1000,Controle!$L$10:$L$1000),
)))),
if(and(J255&lt;&gt;"",D255="Futuros"),
if(F255=Controle!$C$2, N255/xlookup(workday(B255,-1,Feriados!A:A),Controle!$B$10:$B$1000,Controle!$C$10:$C$1000),
if(F255=Controle!$F$2, N255/xlookup(workday(B255,-1,Feriados!A:A),Controle!$B$10:$B$1000,Controle!$F$10:$F$1000),
if(F255=Controle!$I$2, N255/xlookup(workday(B255,-1,Feriados!A:A),Controle!$B$10:$B$1000,Controle!$I$10:$I$1000),
if(F255=Controle!$L$2, N255/xlookup(workday(B255,-1,Feriados!A:A),Controle!$B$10:$B$1000,Controle!$L$10:$L$1000),
)))),""))</f>
        <v/>
      </c>
      <c r="L255" s="47" t="str">
        <f t="array" ref="L255">IF($J255&lt;&gt;"", IF($D255 = "Futuros" , $N255/xlookup(WORKDAY(B255,-1,Feriados!A:A),Controle!$B$10:$B$1000,Controle!$T$10:$T$1000) , $M255/xlookup(WORKDAY(B255,-1,Feriados!A:A),Controle!$B$10:$B$1000,Controle!$T$10:$T$1000)),"")</f>
        <v/>
      </c>
      <c r="M255" s="48" t="str">
        <f t="shared" si="4"/>
        <v/>
      </c>
      <c r="N255" s="48" t="str">
        <f>IFERROR(IF(D255="Futuros",
IF(LEFT(C255,3)="DI1",G255*O255,
IF(LEFT(C255,3)="ISP",G255*O255*HLOOKUP("PTAX",'Histórico'!$A$1:$EL$983,MATCH(B255,'Histórico'!A:A),FALSE)*50,
IF(LEFT(C255,3)="WDO",10*G255*O255*HLOOKUP("PTAX",'Histórico'!$A$1:$EL$983,MATCH(B255,'Histórico'!A:A),FALSE),
IF(LEFT(C255,3)="DOL",50*G255*O255,
IF(LEFT(C255,3)="EUR",G255*O255*50,
IF(LEFT(C255,3)="WEU",G255*O255*10,
IF(LEFT(C255,3)="IND",G255*O255,
IF(LEFT(C255,3)="WIN",G255*O255*0.2,
IF(LEFT(C255,3)="T10",G255*O255*1000*HLOOKUP("PTAX",'Histórico'!$A$1:$EL$983,MATCH(B255,'Histórico'!A:A),FALSE),
IF(LEFT(C255,3)="CCM",G255*O255*450,
IF(LEFT(C255,3)="SJC",G255*O255*HLOOKUP("PTAX",'Histórico'!$A$1:$EL$983,MATCH(B255,'Histórico'!A:A),FALSE)*450,
IF(LEFT(C255,3)="BGI",G255*O255*330,
IF(LEFT(C255,3)="OZ1",G255*O255*250,
IF(LEFT(C255,3)="CLP",G255*O255*25,
IF(LEFT(C255,3)="EUP", O255*10000*HLOOKUP("EUR/BRL",'Histórico'!$A$1:$EL$983,MATCH(B255,'Histórico'!A:A),FALSE),
IF(LEFT(C255,3)="JSE", G255*O255*0.4,
IF(LEFT(C255,3)="GBP", O255*10000*HLOOKUP("GBP/BRL",'Histórico'!$A$1:$FG$983,MATCH(B255,'Histórico'!A:A),FALSE),
IF(LEFT(C255,3)="JAP",O255*10000*HLOOKUP("PTAX",'Histórico'!$A$1:$FG$983,MATCH(B255,'Histórico'!A:A),FALSE),
IF(LEFT(C255,3)="CNH",O255*10000*HLOOKUP("PTAX",'Histórico'!$A$1:$FG$983,MATCH(B255,'Histórico'!A:A),FALSE),
IF(LEFT(C255,3)="AUS",O255*10000*HLOOKUP("PTAX",'Histórico'!$A$1:$FG$983,MATCH(B255,'Histórico'!A:A),FALSE),
IF(LEFT(C255,3)="CAN",O255*10000*HLOOKUP("PTAX",'Histórico'!$A$1:$FG$983,MATCH(B255,'Histórico'!A:A),FALSE),
IF(LEFT(C255,3)="GBR",O255*10000*HLOOKUP("GBP/BRL",'Histórico'!$A$1:$FG$983,MATCH(B255,'Histórico'!A:A),FALSE),
IF(LEFT(C255,3)="MEX",O255*10000*HLOOKUP("PTAX",'Histórico'!$A$1:$FG$983,MATCH(B255,'Histórico'!A:A),FALSE),
IF(LEFT(C255,3)="CHL",O255*10000*HLOOKUP("PTAX",'Histórico'!$A$1:$FG$983,MATCH(B255,'Histórico'!A:A),FALSE)
)))))))))))))))))))))))),""))</f>
        <v/>
      </c>
      <c r="O255" s="49" t="str">
        <f t="shared" si="2"/>
        <v/>
      </c>
      <c r="P255" s="49" t="str">
        <f t="shared" si="5"/>
        <v/>
      </c>
      <c r="Q255" s="51" t="str">
        <f>IF($C255&lt;&gt;"",SUMIFS($O$3:$O$401, $C$3:$C$401 ,$C255,$B$3:$B$401,"&lt;="&amp;Controle!$B$6),"")</f>
        <v/>
      </c>
      <c r="R255" s="51" t="str">
        <f>IF($D255&lt;&gt;"",SUMIFS($O$3:$O$401, $C$3:$C$401 ,$C255,$B$3:$B$401,"&lt;="&amp;Controle!$B$6,$F$3:$F$401,$F255),"")</f>
        <v/>
      </c>
      <c r="S255" s="51" t="str">
        <f>IF($D255&lt;&gt;"",SUMIFS($O$3:$O$401, $C$3:$C$401 ,$C255,$B$3:$B$401,"&lt;="&amp;'Controle D-1'!$B$6,$F$3:$F$401,$F255),"")</f>
        <v/>
      </c>
      <c r="T255" s="40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146"/>
      <c r="B256" s="149"/>
      <c r="C256" s="150"/>
      <c r="D256" s="150" t="str">
        <f>IF(ISTEXT(C256),VLOOKUP(C256,'Cadastro dos Ativos'!$A$2:$C$1000,3,0),"")</f>
        <v/>
      </c>
      <c r="E256" s="150"/>
      <c r="F256" s="150"/>
      <c r="G256" s="151"/>
      <c r="H256" s="46" t="str">
        <f>if($D256="Ações Americanas", HLOOKUP("PTAX",'Histórico'!$A$1:$EL$983,(MATCH(B256,'Histórico'!A:A))-1,""),
if($D256="Ações Europeias", HLOOKUP("EUR/BRL",'Histórico'!$A$1:$EL$983,(MATCH(B256,'Histórico'!A:A))-1,""),""))</f>
        <v/>
      </c>
      <c r="I256" s="150" t="str">
        <f t="array" ref="I256">IF(ISTEXT(C256),xlookup(C256,'Cadastro dos Ativos'!$A$2:$A$1000,'Cadastro dos Ativos'!$D$2:$D$1000),"")</f>
        <v/>
      </c>
      <c r="J256" s="150"/>
      <c r="K256" s="47" t="str">
        <f t="array" ref="K256">if(and(J256&lt;&gt;"",D256&lt;&gt;"Futuros"),
if(F256=Controle!$C$2, M256/xlookup(workday(B256,-1,Feriados!A:A),Controle!$B$10:$B$1000,Controle!$C$10:$C$1000),
if(F256=Controle!$F$2, M256/xlookup(workday(B256,-1,Feriados!A:A),Controle!$B$10:$B$1000,Controle!$F$10:$F$1000),
if(F256=Controle!$I$2, M256/xlookup(workday(B256,-1,Feriados!A:A),Controle!$B$10:$B$1000,Controle!$I$10:$I$1000),
if(F256=Controle!$L$2, M256/xlookup(workday(B256,-1,Feriados!A:A),Controle!$B$10:$B$1000,Controle!$L$10:$L$1000),
)))),
if(and(J256&lt;&gt;"",D256="Futuros"),
if(F256=Controle!$C$2, N256/xlookup(workday(B256,-1,Feriados!A:A),Controle!$B$10:$B$1000,Controle!$C$10:$C$1000),
if(F256=Controle!$F$2, N256/xlookup(workday(B256,-1,Feriados!A:A),Controle!$B$10:$B$1000,Controle!$F$10:$F$1000),
if(F256=Controle!$I$2, N256/xlookup(workday(B256,-1,Feriados!A:A),Controle!$B$10:$B$1000,Controle!$I$10:$I$1000),
if(F256=Controle!$L$2, N256/xlookup(workday(B256,-1,Feriados!A:A),Controle!$B$10:$B$1000,Controle!$L$10:$L$1000),
)))),""))</f>
        <v/>
      </c>
      <c r="L256" s="47" t="str">
        <f t="array" ref="L256">IF($J256&lt;&gt;"", IF($D256 = "Futuros" , $N256/xlookup(WORKDAY(B256,-1,Feriados!A:A),Controle!$B$10:$B$1000,Controle!$T$10:$T$1000) , $M256/xlookup(WORKDAY(B256,-1,Feriados!A:A),Controle!$B$10:$B$1000,Controle!$T$10:$T$1000)),"")</f>
        <v/>
      </c>
      <c r="M256" s="48" t="str">
        <f t="shared" si="4"/>
        <v/>
      </c>
      <c r="N256" s="48" t="str">
        <f>IFERROR(IF(D256="Futuros",
IF(LEFT(C256,3)="DI1",G256*O256,
IF(LEFT(C256,3)="ISP",G256*O256*HLOOKUP("PTAX",'Histórico'!$A$1:$EL$983,MATCH(B256,'Histórico'!A:A),FALSE)*50,
IF(LEFT(C256,3)="WDO",10*G256*O256*HLOOKUP("PTAX",'Histórico'!$A$1:$EL$983,MATCH(B256,'Histórico'!A:A),FALSE),
IF(LEFT(C256,3)="DOL",50*G256*O256,
IF(LEFT(C256,3)="EUR",G256*O256*50,
IF(LEFT(C256,3)="WEU",G256*O256*10,
IF(LEFT(C256,3)="IND",G256*O256,
IF(LEFT(C256,3)="WIN",G256*O256*0.2,
IF(LEFT(C256,3)="T10",G256*O256*1000*HLOOKUP("PTAX",'Histórico'!$A$1:$EL$983,MATCH(B256,'Histórico'!A:A),FALSE),
IF(LEFT(C256,3)="CCM",G256*O256*450,
IF(LEFT(C256,3)="SJC",G256*O256*HLOOKUP("PTAX",'Histórico'!$A$1:$EL$983,MATCH(B256,'Histórico'!A:A),FALSE)*450,
IF(LEFT(C256,3)="BGI",G256*O256*330,
IF(LEFT(C256,3)="OZ1",G256*O256*250,
IF(LEFT(C256,3)="CLP",G256*O256*25,
IF(LEFT(C256,3)="EUP", O256*10000*HLOOKUP("EUR/BRL",'Histórico'!$A$1:$EL$983,MATCH(B256,'Histórico'!A:A),FALSE),
IF(LEFT(C256,3)="JSE", G256*O256*0.4,
IF(LEFT(C256,3)="GBP", O256*10000*HLOOKUP("GBP/BRL",'Histórico'!$A$1:$FG$983,MATCH(B256,'Histórico'!A:A),FALSE),
IF(LEFT(C256,3)="JAP",O256*10000*HLOOKUP("PTAX",'Histórico'!$A$1:$FG$983,MATCH(B256,'Histórico'!A:A),FALSE),
IF(LEFT(C256,3)="CNH",O256*10000*HLOOKUP("PTAX",'Histórico'!$A$1:$FG$983,MATCH(B256,'Histórico'!A:A),FALSE),
IF(LEFT(C256,3)="AUS",O256*10000*HLOOKUP("PTAX",'Histórico'!$A$1:$FG$983,MATCH(B256,'Histórico'!A:A),FALSE),
IF(LEFT(C256,3)="CAN",O256*10000*HLOOKUP("PTAX",'Histórico'!$A$1:$FG$983,MATCH(B256,'Histórico'!A:A),FALSE),
IF(LEFT(C256,3)="GBR",O256*10000*HLOOKUP("GBP/BRL",'Histórico'!$A$1:$FG$983,MATCH(B256,'Histórico'!A:A),FALSE),
IF(LEFT(C256,3)="MEX",O256*10000*HLOOKUP("PTAX",'Histórico'!$A$1:$FG$983,MATCH(B256,'Histórico'!A:A),FALSE),
IF(LEFT(C256,3)="CHL",O256*10000*HLOOKUP("PTAX",'Histórico'!$A$1:$FG$983,MATCH(B256,'Histórico'!A:A),FALSE)
)))))))))))))))))))))))),""))</f>
        <v/>
      </c>
      <c r="O256" s="49" t="str">
        <f t="shared" si="2"/>
        <v/>
      </c>
      <c r="P256" s="49" t="str">
        <f t="shared" si="5"/>
        <v/>
      </c>
      <c r="Q256" s="51" t="str">
        <f>IF($C256&lt;&gt;"",SUMIFS($O$3:$O$401, $C$3:$C$401 ,$C256,$B$3:$B$401,"&lt;="&amp;Controle!$B$6),"")</f>
        <v/>
      </c>
      <c r="R256" s="51" t="str">
        <f>IF($D256&lt;&gt;"",SUMIFS($O$3:$O$401, $C$3:$C$401 ,$C256,$B$3:$B$401,"&lt;="&amp;Controle!$B$6,$F$3:$F$401,$F256),"")</f>
        <v/>
      </c>
      <c r="S256" s="51" t="str">
        <f>IF($D256&lt;&gt;"",SUMIFS($O$3:$O$401, $C$3:$C$401 ,$C256,$B$3:$B$401,"&lt;="&amp;'Controle D-1'!$B$6,$F$3:$F$401,$F256),"")</f>
        <v/>
      </c>
      <c r="T256" s="40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146"/>
      <c r="B257" s="149"/>
      <c r="C257" s="150"/>
      <c r="D257" s="150" t="str">
        <f>IF(ISTEXT(C257),VLOOKUP(C257,'Cadastro dos Ativos'!$A$2:$C$1000,3,0),"")</f>
        <v/>
      </c>
      <c r="E257" s="150"/>
      <c r="F257" s="150"/>
      <c r="G257" s="151"/>
      <c r="H257" s="101" t="str">
        <f>if($D257="Ações Americanas", HLOOKUP("PTAX",'Histórico'!$A$1:$EL$983,(MATCH(B257,'Histórico'!A:A))-1,""),
if($D257="Ações Europeias", HLOOKUP("EUR/BRL",'Histórico'!$A$1:$EL$983,(MATCH(B257,'Histórico'!A:A))-1,""),""))</f>
        <v/>
      </c>
      <c r="I257" s="150" t="str">
        <f t="array" ref="I257">IF(ISTEXT(C257),xlookup(C257,'Cadastro dos Ativos'!$A$2:$A$1000,'Cadastro dos Ativos'!$D$2:$D$1000),"")</f>
        <v/>
      </c>
      <c r="J257" s="150"/>
      <c r="K257" s="47" t="str">
        <f t="array" ref="K257">if(and(J257&lt;&gt;"",D257&lt;&gt;"Futuros"),
if(F257=Controle!$C$2, M257/xlookup(workday(B257,-1,Feriados!A:A),Controle!$B$10:$B$1000,Controle!$C$10:$C$1000),
if(F257=Controle!$F$2, M257/xlookup(workday(B257,-1,Feriados!A:A),Controle!$B$10:$B$1000,Controle!$F$10:$F$1000),
if(F257=Controle!$I$2, M257/xlookup(workday(B257,-1,Feriados!A:A),Controle!$B$10:$B$1000,Controle!$I$10:$I$1000),
if(F257=Controle!$L$2, M257/xlookup(workday(B257,-1,Feriados!A:A),Controle!$B$10:$B$1000,Controle!$L$10:$L$1000),
)))),
if(and(J257&lt;&gt;"",D257="Futuros"),
if(F257=Controle!$C$2, N257/xlookup(workday(B257,-1,Feriados!A:A),Controle!$B$10:$B$1000,Controle!$C$10:$C$1000),
if(F257=Controle!$F$2, N257/xlookup(workday(B257,-1,Feriados!A:A),Controle!$B$10:$B$1000,Controle!$F$10:$F$1000),
if(F257=Controle!$I$2, N257/xlookup(workday(B257,-1,Feriados!A:A),Controle!$B$10:$B$1000,Controle!$I$10:$I$1000),
if(F257=Controle!$L$2, N257/xlookup(workday(B257,-1,Feriados!A:A),Controle!$B$10:$B$1000,Controle!$L$10:$L$1000),
)))),""))</f>
        <v/>
      </c>
      <c r="L257" s="47" t="str">
        <f t="array" ref="L257">IF($J257&lt;&gt;"", IF($D257 = "Futuros" , $N257/xlookup(WORKDAY(B257,-1,Feriados!A:A),Controle!$B$10:$B$1000,Controle!$T$10:$T$1000) , $M257/xlookup(WORKDAY(B257,-1,Feriados!A:A),Controle!$B$10:$B$1000,Controle!$T$10:$T$1000)),"")</f>
        <v/>
      </c>
      <c r="M257" s="48" t="str">
        <f t="shared" si="4"/>
        <v/>
      </c>
      <c r="N257" s="48" t="str">
        <f>IFERROR(IF(D257="Futuros",
IF(LEFT(C257,3)="DI1",G257*O257,
IF(LEFT(C257,3)="ISP",G257*O257*HLOOKUP("PTAX",'Histórico'!$A$1:$EL$983,MATCH(B257,'Histórico'!A:A),FALSE)*50,
IF(LEFT(C257,3)="WDO",10*G257*O257*HLOOKUP("PTAX",'Histórico'!$A$1:$EL$983,MATCH(B257,'Histórico'!A:A),FALSE),
IF(LEFT(C257,3)="DOL",50*G257*O257,
IF(LEFT(C257,3)="EUR",G257*O257*50,
IF(LEFT(C257,3)="WEU",G257*O257*10,
IF(LEFT(C257,3)="IND",G257*O257,
IF(LEFT(C257,3)="WIN",G257*O257*0.2,
IF(LEFT(C257,3)="T10",G257*O257*1000*HLOOKUP("PTAX",'Histórico'!$A$1:$EL$983,MATCH(B257,'Histórico'!A:A),FALSE),
IF(LEFT(C257,3)="CCM",G257*O257*450,
IF(LEFT(C257,3)="SJC",G257*O257*HLOOKUP("PTAX",'Histórico'!$A$1:$EL$983,MATCH(B257,'Histórico'!A:A),FALSE)*450,
IF(LEFT(C257,3)="BGI",G257*O257*330,
IF(LEFT(C257,3)="OZ1",G257*O257*250,
IF(LEFT(C257,3)="CLP",G257*O257*25,
IF(LEFT(C257,3)="EUP", O257*10000*HLOOKUP("EUR/BRL",'Histórico'!$A$1:$EL$983,MATCH(B257,'Histórico'!A:A),FALSE),
IF(LEFT(C257,3)="JSE", G257*O257*0.4,
IF(LEFT(C257,3)="GBP", O257*10000*HLOOKUP("GBP/BRL",'Histórico'!$A$1:$FG$983,MATCH(B257,'Histórico'!A:A),FALSE),
IF(LEFT(C257,3)="JAP",O257*10000*HLOOKUP("PTAX",'Histórico'!$A$1:$FG$983,MATCH(B257,'Histórico'!A:A),FALSE),
IF(LEFT(C257,3)="CNH",O257*10000*HLOOKUP("PTAX",'Histórico'!$A$1:$FG$983,MATCH(B257,'Histórico'!A:A),FALSE),
IF(LEFT(C257,3)="AUS",O257*10000*HLOOKUP("PTAX",'Histórico'!$A$1:$FG$983,MATCH(B257,'Histórico'!A:A),FALSE),
IF(LEFT(C257,3)="CAN",O257*10000*HLOOKUP("PTAX",'Histórico'!$A$1:$FG$983,MATCH(B257,'Histórico'!A:A),FALSE),
IF(LEFT(C257,3)="GBR",O257*10000*HLOOKUP("GBP/BRL",'Histórico'!$A$1:$FG$983,MATCH(B257,'Histórico'!A:A),FALSE),
IF(LEFT(C257,3)="MEX",O257*10000*HLOOKUP("PTAX",'Histórico'!$A$1:$FG$983,MATCH(B257,'Histórico'!A:A),FALSE),
IF(LEFT(C257,3)="CHL",O257*10000*HLOOKUP("PTAX",'Histórico'!$A$1:$FG$983,MATCH(B257,'Histórico'!A:A),FALSE)
)))))))))))))))))))))))),""))</f>
        <v/>
      </c>
      <c r="O257" s="49" t="str">
        <f t="shared" si="2"/>
        <v/>
      </c>
      <c r="P257" s="49" t="str">
        <f t="shared" si="5"/>
        <v/>
      </c>
      <c r="Q257" s="51" t="str">
        <f>IF($C257&lt;&gt;"",SUMIFS($O$3:$O$401, $C$3:$C$401 ,$C257,$B$3:$B$401,"&lt;="&amp;Controle!$B$6),"")</f>
        <v/>
      </c>
      <c r="R257" s="51" t="str">
        <f>IF($D257&lt;&gt;"",SUMIFS($O$3:$O$401, $C$3:$C$401 ,$C257,$B$3:$B$401,"&lt;="&amp;Controle!$B$6,$F$3:$F$401,$F257),"")</f>
        <v/>
      </c>
      <c r="S257" s="51" t="str">
        <f>IF($D257&lt;&gt;"",SUMIFS($O$3:$O$401, $C$3:$C$401 ,$C257,$B$3:$B$401,"&lt;="&amp;'Controle D-1'!$B$6,$F$3:$F$401,$F257),"")</f>
        <v/>
      </c>
      <c r="T257" s="40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146"/>
      <c r="B258" s="149"/>
      <c r="C258" s="150"/>
      <c r="D258" s="150" t="str">
        <f>IF(ISTEXT(C258),VLOOKUP(C258,'Cadastro dos Ativos'!$A$2:$C$1000,3,0),"")</f>
        <v/>
      </c>
      <c r="E258" s="150"/>
      <c r="F258" s="150"/>
      <c r="G258" s="151"/>
      <c r="H258" s="46" t="str">
        <f>if($D258="Ações Americanas", HLOOKUP("PTAX",'Histórico'!$A$1:$EL$983,(MATCH(B258,'Histórico'!A:A))-1,""),
if($D258="Ações Europeias", HLOOKUP("EUR/BRL",'Histórico'!$A$1:$EL$983,(MATCH(B258,'Histórico'!A:A))-1,""),""))</f>
        <v/>
      </c>
      <c r="I258" s="150" t="str">
        <f t="array" ref="I258">IF(ISTEXT(C258),xlookup(C258,'Cadastro dos Ativos'!$A$2:$A$1000,'Cadastro dos Ativos'!$D$2:$D$1000),"")</f>
        <v/>
      </c>
      <c r="J258" s="150"/>
      <c r="K258" s="47" t="str">
        <f t="array" ref="K258">if(and(J258&lt;&gt;"",D258&lt;&gt;"Futuros"),
if(F258=Controle!$C$2, M258/xlookup(workday(B258,-1,Feriados!A:A),Controle!$B$10:$B$1000,Controle!$C$10:$C$1000),
if(F258=Controle!$F$2, M258/xlookup(workday(B258,-1,Feriados!A:A),Controle!$B$10:$B$1000,Controle!$F$10:$F$1000),
if(F258=Controle!$I$2, M258/xlookup(workday(B258,-1,Feriados!A:A),Controle!$B$10:$B$1000,Controle!$I$10:$I$1000),
if(F258=Controle!$L$2, M258/xlookup(workday(B258,-1,Feriados!A:A),Controle!$B$10:$B$1000,Controle!$L$10:$L$1000),
)))),
if(and(J258&lt;&gt;"",D258="Futuros"),
if(F258=Controle!$C$2, N258/xlookup(workday(B258,-1,Feriados!A:A),Controle!$B$10:$B$1000,Controle!$C$10:$C$1000),
if(F258=Controle!$F$2, N258/xlookup(workday(B258,-1,Feriados!A:A),Controle!$B$10:$B$1000,Controle!$F$10:$F$1000),
if(F258=Controle!$I$2, N258/xlookup(workday(B258,-1,Feriados!A:A),Controle!$B$10:$B$1000,Controle!$I$10:$I$1000),
if(F258=Controle!$L$2, N258/xlookup(workday(B258,-1,Feriados!A:A),Controle!$B$10:$B$1000,Controle!$L$10:$L$1000),
)))),""))</f>
        <v/>
      </c>
      <c r="L258" s="47" t="str">
        <f t="array" ref="L258">IF($J258&lt;&gt;"", IF($D258 = "Futuros" , $N258/xlookup(WORKDAY(B258,-1,Feriados!A:A),Controle!$B$10:$B$1000,Controle!$T$10:$T$1000) , $M258/xlookup(WORKDAY(B258,-1,Feriados!A:A),Controle!$B$10:$B$1000,Controle!$T$10:$T$1000)),"")</f>
        <v/>
      </c>
      <c r="M258" s="48" t="str">
        <f t="shared" si="4"/>
        <v/>
      </c>
      <c r="N258" s="48" t="str">
        <f>IFERROR(IF(D258="Futuros",
IF(LEFT(C258,3)="DI1",G258*O258,
IF(LEFT(C258,3)="ISP",G258*O258*HLOOKUP("PTAX",'Histórico'!$A$1:$EL$983,MATCH(B258,'Histórico'!A:A),FALSE)*50,
IF(LEFT(C258,3)="WDO",10*G258*O258*HLOOKUP("PTAX",'Histórico'!$A$1:$EL$983,MATCH(B258,'Histórico'!A:A),FALSE),
IF(LEFT(C258,3)="DOL",50*G258*O258,
IF(LEFT(C258,3)="EUR",G258*O258*50,
IF(LEFT(C258,3)="WEU",G258*O258*10,
IF(LEFT(C258,3)="IND",G258*O258,
IF(LEFT(C258,3)="WIN",G258*O258*0.2,
IF(LEFT(C258,3)="T10",G258*O258*1000*HLOOKUP("PTAX",'Histórico'!$A$1:$EL$983,MATCH(B258,'Histórico'!A:A),FALSE),
IF(LEFT(C258,3)="CCM",G258*O258*450,
IF(LEFT(C258,3)="SJC",G258*O258*HLOOKUP("PTAX",'Histórico'!$A$1:$EL$983,MATCH(B258,'Histórico'!A:A),FALSE)*450,
IF(LEFT(C258,3)="BGI",G258*O258*330,
IF(LEFT(C258,3)="OZ1",G258*O258*250,
IF(LEFT(C258,3)="CLP",G258*O258*25,
IF(LEFT(C258,3)="EUP", O258*10000*HLOOKUP("EUR/BRL",'Histórico'!$A$1:$EL$983,MATCH(B258,'Histórico'!A:A),FALSE),
IF(LEFT(C258,3)="JSE", G258*O258*0.4,
IF(LEFT(C258,3)="GBP", O258*10000*HLOOKUP("GBP/BRL",'Histórico'!$A$1:$FG$983,MATCH(B258,'Histórico'!A:A),FALSE),
IF(LEFT(C258,3)="JAP",O258*10000*HLOOKUP("PTAX",'Histórico'!$A$1:$FG$983,MATCH(B258,'Histórico'!A:A),FALSE),
IF(LEFT(C258,3)="CNH",O258*10000*HLOOKUP("PTAX",'Histórico'!$A$1:$FG$983,MATCH(B258,'Histórico'!A:A),FALSE),
IF(LEFT(C258,3)="AUS",O258*10000*HLOOKUP("PTAX",'Histórico'!$A$1:$FG$983,MATCH(B258,'Histórico'!A:A),FALSE),
IF(LEFT(C258,3)="CAN",O258*10000*HLOOKUP("PTAX",'Histórico'!$A$1:$FG$983,MATCH(B258,'Histórico'!A:A),FALSE),
IF(LEFT(C258,3)="GBR",O258*10000*HLOOKUP("GBP/BRL",'Histórico'!$A$1:$FG$983,MATCH(B258,'Histórico'!A:A),FALSE),
IF(LEFT(C258,3)="MEX",O258*10000*HLOOKUP("PTAX",'Histórico'!$A$1:$FG$983,MATCH(B258,'Histórico'!A:A),FALSE),
IF(LEFT(C258,3)="CHL",O258*10000*HLOOKUP("PTAX",'Histórico'!$A$1:$FG$983,MATCH(B258,'Histórico'!A:A),FALSE)
)))))))))))))))))))))))),""))</f>
        <v/>
      </c>
      <c r="O258" s="49" t="str">
        <f t="shared" si="2"/>
        <v/>
      </c>
      <c r="P258" s="49" t="str">
        <f t="shared" si="5"/>
        <v/>
      </c>
      <c r="Q258" s="51" t="str">
        <f>IF($C258&lt;&gt;"",SUMIFS($O$3:$O$401, $C$3:$C$401 ,$C258,$B$3:$B$401,"&lt;="&amp;Controle!$B$6),"")</f>
        <v/>
      </c>
      <c r="R258" s="51" t="str">
        <f>IF($D258&lt;&gt;"",SUMIFS($O$3:$O$401, $C$3:$C$401 ,$C258,$B$3:$B$401,"&lt;="&amp;Controle!$B$6,$F$3:$F$401,$F258),"")</f>
        <v/>
      </c>
      <c r="S258" s="51" t="str">
        <f>IF($D258&lt;&gt;"",SUMIFS($O$3:$O$401, $C$3:$C$401 ,$C258,$B$3:$B$401,"&lt;="&amp;'Controle D-1'!$B$6,$F$3:$F$401,$F258),"")</f>
        <v/>
      </c>
      <c r="T258" s="40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146"/>
      <c r="B259" s="149"/>
      <c r="C259" s="150"/>
      <c r="D259" s="150" t="str">
        <f>IF(ISTEXT(C259),VLOOKUP(C259,'Cadastro dos Ativos'!$A$2:$C$1000,3,0),"")</f>
        <v/>
      </c>
      <c r="E259" s="150"/>
      <c r="F259" s="150"/>
      <c r="G259" s="151"/>
      <c r="H259" s="101" t="str">
        <f>if($D259="Ações Americanas", HLOOKUP("PTAX",'Histórico'!$A$1:$EL$983,(MATCH(B259,'Histórico'!A:A))-1,""),
if($D259="Ações Europeias", HLOOKUP("EUR/BRL",'Histórico'!$A$1:$EL$983,(MATCH(B259,'Histórico'!A:A))-1,""),""))</f>
        <v/>
      </c>
      <c r="I259" s="150" t="str">
        <f t="array" ref="I259">IF(ISTEXT(C259),xlookup(C259,'Cadastro dos Ativos'!$A$2:$A$1000,'Cadastro dos Ativos'!$D$2:$D$1000),"")</f>
        <v/>
      </c>
      <c r="J259" s="150"/>
      <c r="K259" s="47" t="str">
        <f t="array" ref="K259">if(and(J259&lt;&gt;"",D259&lt;&gt;"Futuros"),
if(F259=Controle!$C$2, M259/xlookup(workday(B259,-1,Feriados!A:A),Controle!$B$10:$B$1000,Controle!$C$10:$C$1000),
if(F259=Controle!$F$2, M259/xlookup(workday(B259,-1,Feriados!A:A),Controle!$B$10:$B$1000,Controle!$F$10:$F$1000),
if(F259=Controle!$I$2, M259/xlookup(workday(B259,-1,Feriados!A:A),Controle!$B$10:$B$1000,Controle!$I$10:$I$1000),
if(F259=Controle!$L$2, M259/xlookup(workday(B259,-1,Feriados!A:A),Controle!$B$10:$B$1000,Controle!$L$10:$L$1000),
)))),
if(and(J259&lt;&gt;"",D259="Futuros"),
if(F259=Controle!$C$2, N259/xlookup(workday(B259,-1,Feriados!A:A),Controle!$B$10:$B$1000,Controle!$C$10:$C$1000),
if(F259=Controle!$F$2, N259/xlookup(workday(B259,-1,Feriados!A:A),Controle!$B$10:$B$1000,Controle!$F$10:$F$1000),
if(F259=Controle!$I$2, N259/xlookup(workday(B259,-1,Feriados!A:A),Controle!$B$10:$B$1000,Controle!$I$10:$I$1000),
if(F259=Controle!$L$2, N259/xlookup(workday(B259,-1,Feriados!A:A),Controle!$B$10:$B$1000,Controle!$L$10:$L$1000),
)))),""))</f>
        <v/>
      </c>
      <c r="L259" s="47" t="str">
        <f t="array" ref="L259">IF($J259&lt;&gt;"", IF($D259 = "Futuros" , $N259/xlookup(WORKDAY(B259,-1,Feriados!A:A),Controle!$B$10:$B$1000,Controle!$T$10:$T$1000) , $M259/xlookup(WORKDAY(B259,-1,Feriados!A:A),Controle!$B$10:$B$1000,Controle!$T$10:$T$1000)),"")</f>
        <v/>
      </c>
      <c r="M259" s="48" t="str">
        <f t="shared" si="4"/>
        <v/>
      </c>
      <c r="N259" s="48" t="str">
        <f>IFERROR(IF(D259="Futuros",
IF(LEFT(C259,3)="DI1",G259*O259,
IF(LEFT(C259,3)="ISP",G259*O259*HLOOKUP("PTAX",'Histórico'!$A$1:$EL$983,MATCH(B259,'Histórico'!A:A),FALSE)*50,
IF(LEFT(C259,3)="WDO",10*G259*O259*HLOOKUP("PTAX",'Histórico'!$A$1:$EL$983,MATCH(B259,'Histórico'!A:A),FALSE),
IF(LEFT(C259,3)="DOL",50*G259*O259,
IF(LEFT(C259,3)="EUR",G259*O259*50,
IF(LEFT(C259,3)="WEU",G259*O259*10,
IF(LEFT(C259,3)="IND",G259*O259,
IF(LEFT(C259,3)="WIN",G259*O259*0.2,
IF(LEFT(C259,3)="T10",G259*O259*1000*HLOOKUP("PTAX",'Histórico'!$A$1:$EL$983,MATCH(B259,'Histórico'!A:A),FALSE),
IF(LEFT(C259,3)="CCM",G259*O259*450,
IF(LEFT(C259,3)="SJC",G259*O259*HLOOKUP("PTAX",'Histórico'!$A$1:$EL$983,MATCH(B259,'Histórico'!A:A),FALSE)*450,
IF(LEFT(C259,3)="BGI",G259*O259*330,
IF(LEFT(C259,3)="OZ1",G259*O259*250,
IF(LEFT(C259,3)="CLP",G259*O259*25,
IF(LEFT(C259,3)="EUP", O259*10000*HLOOKUP("EUR/BRL",'Histórico'!$A$1:$EL$983,MATCH(B259,'Histórico'!A:A),FALSE),
IF(LEFT(C259,3)="JSE", G259*O259*0.4,
IF(LEFT(C259,3)="GBP", O259*10000*HLOOKUP("GBP/BRL",'Histórico'!$A$1:$FG$983,MATCH(B259,'Histórico'!A:A),FALSE),
IF(LEFT(C259,3)="JAP",O259*10000*HLOOKUP("PTAX",'Histórico'!$A$1:$FG$983,MATCH(B259,'Histórico'!A:A),FALSE),
IF(LEFT(C259,3)="CNH",O259*10000*HLOOKUP("PTAX",'Histórico'!$A$1:$FG$983,MATCH(B259,'Histórico'!A:A),FALSE),
IF(LEFT(C259,3)="AUS",O259*10000*HLOOKUP("PTAX",'Histórico'!$A$1:$FG$983,MATCH(B259,'Histórico'!A:A),FALSE),
IF(LEFT(C259,3)="CAN",O259*10000*HLOOKUP("PTAX",'Histórico'!$A$1:$FG$983,MATCH(B259,'Histórico'!A:A),FALSE),
IF(LEFT(C259,3)="GBR",O259*10000*HLOOKUP("GBP/BRL",'Histórico'!$A$1:$FG$983,MATCH(B259,'Histórico'!A:A),FALSE),
IF(LEFT(C259,3)="MEX",O259*10000*HLOOKUP("PTAX",'Histórico'!$A$1:$FG$983,MATCH(B259,'Histórico'!A:A),FALSE),
IF(LEFT(C259,3)="CHL",O259*10000*HLOOKUP("PTAX",'Histórico'!$A$1:$FG$983,MATCH(B259,'Histórico'!A:A),FALSE)
)))))))))))))))))))))))),""))</f>
        <v/>
      </c>
      <c r="O259" s="49" t="str">
        <f t="shared" si="2"/>
        <v/>
      </c>
      <c r="P259" s="49" t="str">
        <f t="shared" si="5"/>
        <v/>
      </c>
      <c r="Q259" s="51" t="str">
        <f>IF($C259&lt;&gt;"",SUMIFS($O$3:$O$401, $C$3:$C$401 ,$C259,$B$3:$B$401,"&lt;="&amp;Controle!$B$6),"")</f>
        <v/>
      </c>
      <c r="R259" s="51" t="str">
        <f>IF($D259&lt;&gt;"",SUMIFS($O$3:$O$401, $C$3:$C$401 ,$C259,$B$3:$B$401,"&lt;="&amp;Controle!$B$6,$F$3:$F$401,$F259),"")</f>
        <v/>
      </c>
      <c r="S259" s="51" t="str">
        <f>IF($D259&lt;&gt;"",SUMIFS($O$3:$O$401, $C$3:$C$401 ,$C259,$B$3:$B$401,"&lt;="&amp;'Controle D-1'!$B$6,$F$3:$F$401,$F259),"")</f>
        <v/>
      </c>
      <c r="T259" s="40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146"/>
      <c r="B260" s="149"/>
      <c r="C260" s="150"/>
      <c r="D260" s="150" t="str">
        <f>IF(ISTEXT(C260),VLOOKUP(C260,'Cadastro dos Ativos'!$A$2:$C$1000,3,0),"")</f>
        <v/>
      </c>
      <c r="E260" s="150"/>
      <c r="F260" s="150"/>
      <c r="G260" s="151"/>
      <c r="H260" s="46" t="str">
        <f>if($D260="Ações Americanas", HLOOKUP("PTAX",'Histórico'!$A$1:$EL$983,(MATCH(B260,'Histórico'!A:A))-1,""),
if($D260="Ações Europeias", HLOOKUP("EUR/BRL",'Histórico'!$A$1:$EL$983,(MATCH(B260,'Histórico'!A:A))-1,""),""))</f>
        <v/>
      </c>
      <c r="I260" s="150" t="str">
        <f t="array" ref="I260">IF(ISTEXT(C260),xlookup(C260,'Cadastro dos Ativos'!$A$2:$A$1000,'Cadastro dos Ativos'!$D$2:$D$1000),"")</f>
        <v/>
      </c>
      <c r="J260" s="150"/>
      <c r="K260" s="47" t="str">
        <f t="array" ref="K260">if(and(J260&lt;&gt;"",D260&lt;&gt;"Futuros"),
if(F260=Controle!$C$2, M260/xlookup(workday(B260,-1,Feriados!A:A),Controle!$B$10:$B$1000,Controle!$C$10:$C$1000),
if(F260=Controle!$F$2, M260/xlookup(workday(B260,-1,Feriados!A:A),Controle!$B$10:$B$1000,Controle!$F$10:$F$1000),
if(F260=Controle!$I$2, M260/xlookup(workday(B260,-1,Feriados!A:A),Controle!$B$10:$B$1000,Controle!$I$10:$I$1000),
if(F260=Controle!$L$2, M260/xlookup(workday(B260,-1,Feriados!A:A),Controle!$B$10:$B$1000,Controle!$L$10:$L$1000),
)))),
if(and(J260&lt;&gt;"",D260="Futuros"),
if(F260=Controle!$C$2, N260/xlookup(workday(B260,-1,Feriados!A:A),Controle!$B$10:$B$1000,Controle!$C$10:$C$1000),
if(F260=Controle!$F$2, N260/xlookup(workday(B260,-1,Feriados!A:A),Controle!$B$10:$B$1000,Controle!$F$10:$F$1000),
if(F260=Controle!$I$2, N260/xlookup(workday(B260,-1,Feriados!A:A),Controle!$B$10:$B$1000,Controle!$I$10:$I$1000),
if(F260=Controle!$L$2, N260/xlookup(workday(B260,-1,Feriados!A:A),Controle!$B$10:$B$1000,Controle!$L$10:$L$1000),
)))),""))</f>
        <v/>
      </c>
      <c r="L260" s="47" t="str">
        <f t="array" ref="L260">IF($J260&lt;&gt;"", IF($D260 = "Futuros" , $N260/xlookup(WORKDAY(B260,-1,Feriados!A:A),Controle!$B$10:$B$1000,Controle!$T$10:$T$1000) , $M260/xlookup(WORKDAY(B260,-1,Feriados!A:A),Controle!$B$10:$B$1000,Controle!$T$10:$T$1000)),"")</f>
        <v/>
      </c>
      <c r="M260" s="48" t="str">
        <f t="shared" si="4"/>
        <v/>
      </c>
      <c r="N260" s="48" t="str">
        <f>IFERROR(IF(D260="Futuros",
IF(LEFT(C260,3)="DI1",G260*O260,
IF(LEFT(C260,3)="ISP",G260*O260*HLOOKUP("PTAX",'Histórico'!$A$1:$EL$983,MATCH(B260,'Histórico'!A:A),FALSE)*50,
IF(LEFT(C260,3)="WDO",10*G260*O260*HLOOKUP("PTAX",'Histórico'!$A$1:$EL$983,MATCH(B260,'Histórico'!A:A),FALSE),
IF(LEFT(C260,3)="DOL",50*G260*O260,
IF(LEFT(C260,3)="EUR",G260*O260*50,
IF(LEFT(C260,3)="WEU",G260*O260*10,
IF(LEFT(C260,3)="IND",G260*O260,
IF(LEFT(C260,3)="WIN",G260*O260*0.2,
IF(LEFT(C260,3)="T10",G260*O260*1000*HLOOKUP("PTAX",'Histórico'!$A$1:$EL$983,MATCH(B260,'Histórico'!A:A),FALSE),
IF(LEFT(C260,3)="CCM",G260*O260*450,
IF(LEFT(C260,3)="SJC",G260*O260*HLOOKUP("PTAX",'Histórico'!$A$1:$EL$983,MATCH(B260,'Histórico'!A:A),FALSE)*450,
IF(LEFT(C260,3)="BGI",G260*O260*330,
IF(LEFT(C260,3)="OZ1",G260*O260*250,
IF(LEFT(C260,3)="CLP",G260*O260*25,
IF(LEFT(C260,3)="EUP", O260*10000*HLOOKUP("EUR/BRL",'Histórico'!$A$1:$EL$983,MATCH(B260,'Histórico'!A:A),FALSE),
IF(LEFT(C260,3)="JSE", G260*O260*0.4,
IF(LEFT(C260,3)="GBP", O260*10000*HLOOKUP("GBP/BRL",'Histórico'!$A$1:$FG$983,MATCH(B260,'Histórico'!A:A),FALSE),
IF(LEFT(C260,3)="JAP",O260*10000*HLOOKUP("PTAX",'Histórico'!$A$1:$FG$983,MATCH(B260,'Histórico'!A:A),FALSE),
IF(LEFT(C260,3)="CNH",O260*10000*HLOOKUP("PTAX",'Histórico'!$A$1:$FG$983,MATCH(B260,'Histórico'!A:A),FALSE),
IF(LEFT(C260,3)="AUS",O260*10000*HLOOKUP("PTAX",'Histórico'!$A$1:$FG$983,MATCH(B260,'Histórico'!A:A),FALSE),
IF(LEFT(C260,3)="CAN",O260*10000*HLOOKUP("PTAX",'Histórico'!$A$1:$FG$983,MATCH(B260,'Histórico'!A:A),FALSE),
IF(LEFT(C260,3)="GBR",O260*10000*HLOOKUP("GBP/BRL",'Histórico'!$A$1:$FG$983,MATCH(B260,'Histórico'!A:A),FALSE),
IF(LEFT(C260,3)="MEX",O260*10000*HLOOKUP("PTAX",'Histórico'!$A$1:$FG$983,MATCH(B260,'Histórico'!A:A),FALSE),
IF(LEFT(C260,3)="CHL",O260*10000*HLOOKUP("PTAX",'Histórico'!$A$1:$FG$983,MATCH(B260,'Histórico'!A:A),FALSE)
)))))))))))))))))))))))),""))</f>
        <v/>
      </c>
      <c r="O260" s="49" t="str">
        <f t="shared" si="2"/>
        <v/>
      </c>
      <c r="P260" s="49" t="str">
        <f t="shared" si="5"/>
        <v/>
      </c>
      <c r="Q260" s="51" t="str">
        <f>IF($C260&lt;&gt;"",SUMIFS($O$3:$O$401, $C$3:$C$401 ,$C260,$B$3:$B$401,"&lt;="&amp;Controle!$B$6),"")</f>
        <v/>
      </c>
      <c r="R260" s="51" t="str">
        <f>IF($D260&lt;&gt;"",SUMIFS($O$3:$O$401, $C$3:$C$401 ,$C260,$B$3:$B$401,"&lt;="&amp;Controle!$B$6,$F$3:$F$401,$F260),"")</f>
        <v/>
      </c>
      <c r="S260" s="51" t="str">
        <f>IF($D260&lt;&gt;"",SUMIFS($O$3:$O$401, $C$3:$C$401 ,$C260,$B$3:$B$401,"&lt;="&amp;'Controle D-1'!$B$6,$F$3:$F$401,$F260),"")</f>
        <v/>
      </c>
      <c r="T260" s="40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146"/>
      <c r="B261" s="149"/>
      <c r="C261" s="150"/>
      <c r="D261" s="150" t="str">
        <f>IF(ISTEXT(C261),VLOOKUP(C261,'Cadastro dos Ativos'!$A$2:$C$1000,3,0),"")</f>
        <v/>
      </c>
      <c r="E261" s="150"/>
      <c r="F261" s="150"/>
      <c r="G261" s="151"/>
      <c r="H261" s="101" t="str">
        <f>if($D261="Ações Americanas", HLOOKUP("PTAX",'Histórico'!$A$1:$EL$983,(MATCH(B261,'Histórico'!A:A))-1,""),
if($D261="Ações Europeias", HLOOKUP("EUR/BRL",'Histórico'!$A$1:$EL$983,(MATCH(B261,'Histórico'!A:A))-1,""),""))</f>
        <v/>
      </c>
      <c r="I261" s="150" t="str">
        <f t="array" ref="I261">IF(ISTEXT(C261),xlookup(C261,'Cadastro dos Ativos'!$A$2:$A$1000,'Cadastro dos Ativos'!$D$2:$D$1000),"")</f>
        <v/>
      </c>
      <c r="J261" s="150"/>
      <c r="K261" s="47" t="str">
        <f t="array" ref="K261">if(and(J261&lt;&gt;"",D261&lt;&gt;"Futuros"),
if(F261=Controle!$C$2, M261/xlookup(workday(B261,-1,Feriados!A:A),Controle!$B$10:$B$1000,Controle!$C$10:$C$1000),
if(F261=Controle!$F$2, M261/xlookup(workday(B261,-1,Feriados!A:A),Controle!$B$10:$B$1000,Controle!$F$10:$F$1000),
if(F261=Controle!$I$2, M261/xlookup(workday(B261,-1,Feriados!A:A),Controle!$B$10:$B$1000,Controle!$I$10:$I$1000),
if(F261=Controle!$L$2, M261/xlookup(workday(B261,-1,Feriados!A:A),Controle!$B$10:$B$1000,Controle!$L$10:$L$1000),
)))),
if(and(J261&lt;&gt;"",D261="Futuros"),
if(F261=Controle!$C$2, N261/xlookup(workday(B261,-1,Feriados!A:A),Controle!$B$10:$B$1000,Controle!$C$10:$C$1000),
if(F261=Controle!$F$2, N261/xlookup(workday(B261,-1,Feriados!A:A),Controle!$B$10:$B$1000,Controle!$F$10:$F$1000),
if(F261=Controle!$I$2, N261/xlookup(workday(B261,-1,Feriados!A:A),Controle!$B$10:$B$1000,Controle!$I$10:$I$1000),
if(F261=Controle!$L$2, N261/xlookup(workday(B261,-1,Feriados!A:A),Controle!$B$10:$B$1000,Controle!$L$10:$L$1000),
)))),""))</f>
        <v/>
      </c>
      <c r="L261" s="47" t="str">
        <f t="array" ref="L261">IF($J261&lt;&gt;"", IF($D261 = "Futuros" , $N261/xlookup(WORKDAY(B261,-1,Feriados!A:A),Controle!$B$10:$B$1000,Controle!$T$10:$T$1000) , $M261/xlookup(WORKDAY(B261,-1,Feriados!A:A),Controle!$B$10:$B$1000,Controle!$T$10:$T$1000)),"")</f>
        <v/>
      </c>
      <c r="M261" s="48" t="str">
        <f t="shared" si="4"/>
        <v/>
      </c>
      <c r="N261" s="48" t="str">
        <f>IFERROR(IF(D261="Futuros",
IF(LEFT(C261,3)="DI1",G261*O261,
IF(LEFT(C261,3)="ISP",G261*O261*HLOOKUP("PTAX",'Histórico'!$A$1:$EL$983,MATCH(B261,'Histórico'!A:A),FALSE)*50,
IF(LEFT(C261,3)="WDO",10*G261*O261*HLOOKUP("PTAX",'Histórico'!$A$1:$EL$983,MATCH(B261,'Histórico'!A:A),FALSE),
IF(LEFT(C261,3)="DOL",50*G261*O261,
IF(LEFT(C261,3)="EUR",G261*O261*50,
IF(LEFT(C261,3)="WEU",G261*O261*10,
IF(LEFT(C261,3)="IND",G261*O261,
IF(LEFT(C261,3)="WIN",G261*O261*0.2,
IF(LEFT(C261,3)="T10",G261*O261*1000*HLOOKUP("PTAX",'Histórico'!$A$1:$EL$983,MATCH(B261,'Histórico'!A:A),FALSE),
IF(LEFT(C261,3)="CCM",G261*O261*450,
IF(LEFT(C261,3)="SJC",G261*O261*HLOOKUP("PTAX",'Histórico'!$A$1:$EL$983,MATCH(B261,'Histórico'!A:A),FALSE)*450,
IF(LEFT(C261,3)="BGI",G261*O261*330,
IF(LEFT(C261,3)="OZ1",G261*O261*250,
IF(LEFT(C261,3)="CLP",G261*O261*25,
IF(LEFT(C261,3)="EUP", O261*10000*HLOOKUP("EUR/BRL",'Histórico'!$A$1:$EL$983,MATCH(B261,'Histórico'!A:A),FALSE),
IF(LEFT(C261,3)="JSE", G261*O261*0.4,
IF(LEFT(C261,3)="GBP", O261*10000*HLOOKUP("GBP/BRL",'Histórico'!$A$1:$FG$983,MATCH(B261,'Histórico'!A:A),FALSE),
IF(LEFT(C261,3)="JAP",O261*10000*HLOOKUP("PTAX",'Histórico'!$A$1:$FG$983,MATCH(B261,'Histórico'!A:A),FALSE),
IF(LEFT(C261,3)="CNH",O261*10000*HLOOKUP("PTAX",'Histórico'!$A$1:$FG$983,MATCH(B261,'Histórico'!A:A),FALSE),
IF(LEFT(C261,3)="AUS",O261*10000*HLOOKUP("PTAX",'Histórico'!$A$1:$FG$983,MATCH(B261,'Histórico'!A:A),FALSE),
IF(LEFT(C261,3)="CAN",O261*10000*HLOOKUP("PTAX",'Histórico'!$A$1:$FG$983,MATCH(B261,'Histórico'!A:A),FALSE),
IF(LEFT(C261,3)="GBR",O261*10000*HLOOKUP("GBP/BRL",'Histórico'!$A$1:$FG$983,MATCH(B261,'Histórico'!A:A),FALSE),
IF(LEFT(C261,3)="MEX",O261*10000*HLOOKUP("PTAX",'Histórico'!$A$1:$FG$983,MATCH(B261,'Histórico'!A:A),FALSE),
IF(LEFT(C261,3)="CHL",O261*10000*HLOOKUP("PTAX",'Histórico'!$A$1:$FG$983,MATCH(B261,'Histórico'!A:A),FALSE)
)))))))))))))))))))))))),""))</f>
        <v/>
      </c>
      <c r="O261" s="49" t="str">
        <f t="shared" si="2"/>
        <v/>
      </c>
      <c r="P261" s="49" t="str">
        <f t="shared" si="5"/>
        <v/>
      </c>
      <c r="Q261" s="51" t="str">
        <f>IF($C261&lt;&gt;"",SUMIFS($O$3:$O$401, $C$3:$C$401 ,$C261,$B$3:$B$401,"&lt;="&amp;Controle!$B$6),"")</f>
        <v/>
      </c>
      <c r="R261" s="51" t="str">
        <f>IF($D261&lt;&gt;"",SUMIFS($O$3:$O$401, $C$3:$C$401 ,$C261,$B$3:$B$401,"&lt;="&amp;Controle!$B$6,$F$3:$F$401,$F261),"")</f>
        <v/>
      </c>
      <c r="S261" s="51" t="str">
        <f>IF($D261&lt;&gt;"",SUMIFS($O$3:$O$401, $C$3:$C$401 ,$C261,$B$3:$B$401,"&lt;="&amp;'Controle D-1'!$B$6,$F$3:$F$401,$F261),"")</f>
        <v/>
      </c>
      <c r="T261" s="40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146"/>
      <c r="B262" s="149"/>
      <c r="C262" s="150"/>
      <c r="D262" s="150" t="str">
        <f>IF(ISTEXT(C262),VLOOKUP(C262,'Cadastro dos Ativos'!$A$2:$C$1000,3,0),"")</f>
        <v/>
      </c>
      <c r="E262" s="150"/>
      <c r="F262" s="150"/>
      <c r="G262" s="151"/>
      <c r="H262" s="46" t="str">
        <f>if($D262="Ações Americanas", HLOOKUP("PTAX",'Histórico'!$A$1:$EL$983,(MATCH(B262,'Histórico'!A:A))-1,""),
if($D262="Ações Europeias", HLOOKUP("EUR/BRL",'Histórico'!$A$1:$EL$983,(MATCH(B262,'Histórico'!A:A))-1,""),""))</f>
        <v/>
      </c>
      <c r="I262" s="150" t="str">
        <f t="array" ref="I262">IF(ISTEXT(C262),xlookup(C262,'Cadastro dos Ativos'!$A$2:$A$1000,'Cadastro dos Ativos'!$D$2:$D$1000),"")</f>
        <v/>
      </c>
      <c r="J262" s="150"/>
      <c r="K262" s="47" t="str">
        <f t="array" ref="K262">if(and(J262&lt;&gt;"",D262&lt;&gt;"Futuros"),
if(F262=Controle!$C$2, M262/xlookup(workday(B262,-1,Feriados!A:A),Controle!$B$10:$B$1000,Controle!$C$10:$C$1000),
if(F262=Controle!$F$2, M262/xlookup(workday(B262,-1,Feriados!A:A),Controle!$B$10:$B$1000,Controle!$F$10:$F$1000),
if(F262=Controle!$I$2, M262/xlookup(workday(B262,-1,Feriados!A:A),Controle!$B$10:$B$1000,Controle!$I$10:$I$1000),
if(F262=Controle!$L$2, M262/xlookup(workday(B262,-1,Feriados!A:A),Controle!$B$10:$B$1000,Controle!$L$10:$L$1000),
)))),
if(and(J262&lt;&gt;"",D262="Futuros"),
if(F262=Controle!$C$2, N262/xlookup(workday(B262,-1,Feriados!A:A),Controle!$B$10:$B$1000,Controle!$C$10:$C$1000),
if(F262=Controle!$F$2, N262/xlookup(workday(B262,-1,Feriados!A:A),Controle!$B$10:$B$1000,Controle!$F$10:$F$1000),
if(F262=Controle!$I$2, N262/xlookup(workday(B262,-1,Feriados!A:A),Controle!$B$10:$B$1000,Controle!$I$10:$I$1000),
if(F262=Controle!$L$2, N262/xlookup(workday(B262,-1,Feriados!A:A),Controle!$B$10:$B$1000,Controle!$L$10:$L$1000),
)))),""))</f>
        <v/>
      </c>
      <c r="L262" s="47" t="str">
        <f t="array" ref="L262">IF($J262&lt;&gt;"", IF($D262 = "Futuros" , $N262/xlookup(WORKDAY(B262,-1,Feriados!A:A),Controle!$B$10:$B$1000,Controle!$T$10:$T$1000) , $M262/xlookup(WORKDAY(B262,-1,Feriados!A:A),Controle!$B$10:$B$1000,Controle!$T$10:$T$1000)),"")</f>
        <v/>
      </c>
      <c r="M262" s="48" t="str">
        <f t="shared" si="4"/>
        <v/>
      </c>
      <c r="N262" s="48" t="str">
        <f>IFERROR(IF(D262="Futuros",
IF(LEFT(C262,3)="DI1",G262*O262,
IF(LEFT(C262,3)="ISP",G262*O262*HLOOKUP("PTAX",'Histórico'!$A$1:$EL$983,MATCH(B262,'Histórico'!A:A),FALSE)*50,
IF(LEFT(C262,3)="WDO",10*G262*O262*HLOOKUP("PTAX",'Histórico'!$A$1:$EL$983,MATCH(B262,'Histórico'!A:A),FALSE),
IF(LEFT(C262,3)="DOL",50*G262*O262,
IF(LEFT(C262,3)="EUR",G262*O262*50,
IF(LEFT(C262,3)="WEU",G262*O262*10,
IF(LEFT(C262,3)="IND",G262*O262,
IF(LEFT(C262,3)="WIN",G262*O262*0.2,
IF(LEFT(C262,3)="T10",G262*O262*1000*HLOOKUP("PTAX",'Histórico'!$A$1:$EL$983,MATCH(B262,'Histórico'!A:A),FALSE),
IF(LEFT(C262,3)="CCM",G262*O262*450,
IF(LEFT(C262,3)="SJC",G262*O262*HLOOKUP("PTAX",'Histórico'!$A$1:$EL$983,MATCH(B262,'Histórico'!A:A),FALSE)*450,
IF(LEFT(C262,3)="BGI",G262*O262*330,
IF(LEFT(C262,3)="OZ1",G262*O262*250,
IF(LEFT(C262,3)="CLP",G262*O262*25,
IF(LEFT(C262,3)="EUP", O262*10000*HLOOKUP("EUR/BRL",'Histórico'!$A$1:$EL$983,MATCH(B262,'Histórico'!A:A),FALSE),
IF(LEFT(C262,3)="JSE", G262*O262*0.4,
IF(LEFT(C262,3)="GBP", O262*10000*HLOOKUP("GBP/BRL",'Histórico'!$A$1:$FG$983,MATCH(B262,'Histórico'!A:A),FALSE),
IF(LEFT(C262,3)="JAP",O262*10000*HLOOKUP("PTAX",'Histórico'!$A$1:$FG$983,MATCH(B262,'Histórico'!A:A),FALSE),
IF(LEFT(C262,3)="CNH",O262*10000*HLOOKUP("PTAX",'Histórico'!$A$1:$FG$983,MATCH(B262,'Histórico'!A:A),FALSE),
IF(LEFT(C262,3)="AUS",O262*10000*HLOOKUP("PTAX",'Histórico'!$A$1:$FG$983,MATCH(B262,'Histórico'!A:A),FALSE),
IF(LEFT(C262,3)="CAN",O262*10000*HLOOKUP("PTAX",'Histórico'!$A$1:$FG$983,MATCH(B262,'Histórico'!A:A),FALSE),
IF(LEFT(C262,3)="GBR",O262*10000*HLOOKUP("GBP/BRL",'Histórico'!$A$1:$FG$983,MATCH(B262,'Histórico'!A:A),FALSE),
IF(LEFT(C262,3)="MEX",O262*10000*HLOOKUP("PTAX",'Histórico'!$A$1:$FG$983,MATCH(B262,'Histórico'!A:A),FALSE),
IF(LEFT(C262,3)="CHL",O262*10000*HLOOKUP("PTAX",'Histórico'!$A$1:$FG$983,MATCH(B262,'Histórico'!A:A),FALSE)
)))))))))))))))))))))))),""))</f>
        <v/>
      </c>
      <c r="O262" s="49" t="str">
        <f t="shared" si="2"/>
        <v/>
      </c>
      <c r="P262" s="49" t="str">
        <f t="shared" si="5"/>
        <v/>
      </c>
      <c r="Q262" s="51" t="str">
        <f>IF($C262&lt;&gt;"",SUMIFS($O$3:$O$401, $C$3:$C$401 ,$C262,$B$3:$B$401,"&lt;="&amp;Controle!$B$6),"")</f>
        <v/>
      </c>
      <c r="R262" s="51" t="str">
        <f>IF($D262&lt;&gt;"",SUMIFS($O$3:$O$401, $C$3:$C$401 ,$C262,$B$3:$B$401,"&lt;="&amp;Controle!$B$6,$F$3:$F$401,$F262),"")</f>
        <v/>
      </c>
      <c r="S262" s="51" t="str">
        <f>IF($D262&lt;&gt;"",SUMIFS($O$3:$O$401, $C$3:$C$401 ,$C262,$B$3:$B$401,"&lt;="&amp;'Controle D-1'!$B$6,$F$3:$F$401,$F262),"")</f>
        <v/>
      </c>
      <c r="T262" s="40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146"/>
      <c r="B263" s="149"/>
      <c r="C263" s="150"/>
      <c r="D263" s="150" t="str">
        <f>IF(ISTEXT(C263),VLOOKUP(C263,'Cadastro dos Ativos'!$A$2:$C$1000,3,0),"")</f>
        <v/>
      </c>
      <c r="E263" s="150"/>
      <c r="F263" s="150"/>
      <c r="G263" s="151"/>
      <c r="H263" s="101" t="str">
        <f>if($D263="Ações Americanas", HLOOKUP("PTAX",'Histórico'!$A$1:$EL$983,(MATCH(B263,'Histórico'!A:A))-1,""),
if($D263="Ações Europeias", HLOOKUP("EUR/BRL",'Histórico'!$A$1:$EL$983,(MATCH(B263,'Histórico'!A:A))-1,""),""))</f>
        <v/>
      </c>
      <c r="I263" s="150" t="str">
        <f t="array" ref="I263">IF(ISTEXT(C263),xlookup(C263,'Cadastro dos Ativos'!$A$2:$A$1000,'Cadastro dos Ativos'!$D$2:$D$1000),"")</f>
        <v/>
      </c>
      <c r="J263" s="150"/>
      <c r="K263" s="47" t="str">
        <f t="array" ref="K263">if(and(J263&lt;&gt;"",D263&lt;&gt;"Futuros"),
if(F263=Controle!$C$2, M263/xlookup(workday(B263,-1,Feriados!A:A),Controle!$B$10:$B$1000,Controle!$C$10:$C$1000),
if(F263=Controle!$F$2, M263/xlookup(workday(B263,-1,Feriados!A:A),Controle!$B$10:$B$1000,Controle!$F$10:$F$1000),
if(F263=Controle!$I$2, M263/xlookup(workday(B263,-1,Feriados!A:A),Controle!$B$10:$B$1000,Controle!$I$10:$I$1000),
if(F263=Controle!$L$2, M263/xlookup(workday(B263,-1,Feriados!A:A),Controle!$B$10:$B$1000,Controle!$L$10:$L$1000),
)))),
if(and(J263&lt;&gt;"",D263="Futuros"),
if(F263=Controle!$C$2, N263/xlookup(workday(B263,-1,Feriados!A:A),Controle!$B$10:$B$1000,Controle!$C$10:$C$1000),
if(F263=Controle!$F$2, N263/xlookup(workday(B263,-1,Feriados!A:A),Controle!$B$10:$B$1000,Controle!$F$10:$F$1000),
if(F263=Controle!$I$2, N263/xlookup(workday(B263,-1,Feriados!A:A),Controle!$B$10:$B$1000,Controle!$I$10:$I$1000),
if(F263=Controle!$L$2, N263/xlookup(workday(B263,-1,Feriados!A:A),Controle!$B$10:$B$1000,Controle!$L$10:$L$1000),
)))),""))</f>
        <v/>
      </c>
      <c r="L263" s="47" t="str">
        <f t="array" ref="L263">IF($J263&lt;&gt;"", IF($D263 = "Futuros" , $N263/xlookup(WORKDAY(B263,-1,Feriados!A:A),Controle!$B$10:$B$1000,Controle!$T$10:$T$1000) , $M263/xlookup(WORKDAY(B263,-1,Feriados!A:A),Controle!$B$10:$B$1000,Controle!$T$10:$T$1000)),"")</f>
        <v/>
      </c>
      <c r="M263" s="48" t="str">
        <f t="shared" si="4"/>
        <v/>
      </c>
      <c r="N263" s="48" t="str">
        <f>IFERROR(IF(D263="Futuros",
IF(LEFT(C263,3)="DI1",G263*O263,
IF(LEFT(C263,3)="ISP",G263*O263*HLOOKUP("PTAX",'Histórico'!$A$1:$EL$983,MATCH(B263,'Histórico'!A:A),FALSE)*50,
IF(LEFT(C263,3)="WDO",10*G263*O263*HLOOKUP("PTAX",'Histórico'!$A$1:$EL$983,MATCH(B263,'Histórico'!A:A),FALSE),
IF(LEFT(C263,3)="DOL",50*G263*O263,
IF(LEFT(C263,3)="EUR",G263*O263*50,
IF(LEFT(C263,3)="WEU",G263*O263*10,
IF(LEFT(C263,3)="IND",G263*O263,
IF(LEFT(C263,3)="WIN",G263*O263*0.2,
IF(LEFT(C263,3)="T10",G263*O263*1000*HLOOKUP("PTAX",'Histórico'!$A$1:$EL$983,MATCH(B263,'Histórico'!A:A),FALSE),
IF(LEFT(C263,3)="CCM",G263*O263*450,
IF(LEFT(C263,3)="SJC",G263*O263*HLOOKUP("PTAX",'Histórico'!$A$1:$EL$983,MATCH(B263,'Histórico'!A:A),FALSE)*450,
IF(LEFT(C263,3)="BGI",G263*O263*330,
IF(LEFT(C263,3)="OZ1",G263*O263*250,
IF(LEFT(C263,3)="CLP",G263*O263*25,
IF(LEFT(C263,3)="EUP", O263*10000*HLOOKUP("EUR/BRL",'Histórico'!$A$1:$EL$983,MATCH(B263,'Histórico'!A:A),FALSE),
IF(LEFT(C263,3)="JSE", G263*O263*0.4,
IF(LEFT(C263,3)="GBP", O263*10000*HLOOKUP("GBP/BRL",'Histórico'!$A$1:$FG$983,MATCH(B263,'Histórico'!A:A),FALSE),
IF(LEFT(C263,3)="JAP",O263*10000*HLOOKUP("PTAX",'Histórico'!$A$1:$FG$983,MATCH(B263,'Histórico'!A:A),FALSE),
IF(LEFT(C263,3)="CNH",O263*10000*HLOOKUP("PTAX",'Histórico'!$A$1:$FG$983,MATCH(B263,'Histórico'!A:A),FALSE),
IF(LEFT(C263,3)="AUS",O263*10000*HLOOKUP("PTAX",'Histórico'!$A$1:$FG$983,MATCH(B263,'Histórico'!A:A),FALSE),
IF(LEFT(C263,3)="CAN",O263*10000*HLOOKUP("PTAX",'Histórico'!$A$1:$FG$983,MATCH(B263,'Histórico'!A:A),FALSE),
IF(LEFT(C263,3)="GBR",O263*10000*HLOOKUP("GBP/BRL",'Histórico'!$A$1:$FG$983,MATCH(B263,'Histórico'!A:A),FALSE),
IF(LEFT(C263,3)="MEX",O263*10000*HLOOKUP("PTAX",'Histórico'!$A$1:$FG$983,MATCH(B263,'Histórico'!A:A),FALSE),
IF(LEFT(C263,3)="CHL",O263*10000*HLOOKUP("PTAX",'Histórico'!$A$1:$FG$983,MATCH(B263,'Histórico'!A:A),FALSE)
)))))))))))))))))))))))),""))</f>
        <v/>
      </c>
      <c r="O263" s="49" t="str">
        <f t="shared" si="2"/>
        <v/>
      </c>
      <c r="P263" s="49" t="str">
        <f t="shared" si="5"/>
        <v/>
      </c>
      <c r="Q263" s="51" t="str">
        <f>IF($C263&lt;&gt;"",SUMIFS($O$3:$O$401, $C$3:$C$401 ,$C263,$B$3:$B$401,"&lt;="&amp;Controle!$B$6),"")</f>
        <v/>
      </c>
      <c r="R263" s="51" t="str">
        <f>IF($D263&lt;&gt;"",SUMIFS($O$3:$O$401, $C$3:$C$401 ,$C263,$B$3:$B$401,"&lt;="&amp;Controle!$B$6,$F$3:$F$401,$F263),"")</f>
        <v/>
      </c>
      <c r="S263" s="51" t="str">
        <f>IF($D263&lt;&gt;"",SUMIFS($O$3:$O$401, $C$3:$C$401 ,$C263,$B$3:$B$401,"&lt;="&amp;'Controle D-1'!$B$6,$F$3:$F$401,$F263),"")</f>
        <v/>
      </c>
      <c r="T263" s="40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146"/>
      <c r="B264" s="149"/>
      <c r="C264" s="150"/>
      <c r="D264" s="150" t="str">
        <f>IF(ISTEXT(C264),VLOOKUP(C264,'Cadastro dos Ativos'!$A$2:$C$1000,3,0),"")</f>
        <v/>
      </c>
      <c r="E264" s="150"/>
      <c r="F264" s="150"/>
      <c r="G264" s="151"/>
      <c r="H264" s="46" t="str">
        <f>if($D264="Ações Americanas", HLOOKUP("PTAX",'Histórico'!$A$1:$EL$983,(MATCH(B264,'Histórico'!A:A))-1,""),
if($D264="Ações Europeias", HLOOKUP("EUR/BRL",'Histórico'!$A$1:$EL$983,(MATCH(B264,'Histórico'!A:A))-1,""),""))</f>
        <v/>
      </c>
      <c r="I264" s="150" t="str">
        <f t="array" ref="I264">IF(ISTEXT(C264),xlookup(C264,'Cadastro dos Ativos'!$A$2:$A$1000,'Cadastro dos Ativos'!$D$2:$D$1000),"")</f>
        <v/>
      </c>
      <c r="J264" s="150"/>
      <c r="K264" s="47" t="str">
        <f t="array" ref="K264">if(and(J264&lt;&gt;"",D264&lt;&gt;"Futuros"),
if(F264=Controle!$C$2, M264/xlookup(workday(B264,-1,Feriados!A:A),Controle!$B$10:$B$1000,Controle!$C$10:$C$1000),
if(F264=Controle!$F$2, M264/xlookup(workday(B264,-1,Feriados!A:A),Controle!$B$10:$B$1000,Controle!$F$10:$F$1000),
if(F264=Controle!$I$2, M264/xlookup(workday(B264,-1,Feriados!A:A),Controle!$B$10:$B$1000,Controle!$I$10:$I$1000),
if(F264=Controle!$L$2, M264/xlookup(workday(B264,-1,Feriados!A:A),Controle!$B$10:$B$1000,Controle!$L$10:$L$1000),
)))),
if(and(J264&lt;&gt;"",D264="Futuros"),
if(F264=Controle!$C$2, N264/xlookup(workday(B264,-1,Feriados!A:A),Controle!$B$10:$B$1000,Controle!$C$10:$C$1000),
if(F264=Controle!$F$2, N264/xlookup(workday(B264,-1,Feriados!A:A),Controle!$B$10:$B$1000,Controle!$F$10:$F$1000),
if(F264=Controle!$I$2, N264/xlookup(workday(B264,-1,Feriados!A:A),Controle!$B$10:$B$1000,Controle!$I$10:$I$1000),
if(F264=Controle!$L$2, N264/xlookup(workday(B264,-1,Feriados!A:A),Controle!$B$10:$B$1000,Controle!$L$10:$L$1000),
)))),""))</f>
        <v/>
      </c>
      <c r="L264" s="47" t="str">
        <f t="array" ref="L264">IF($J264&lt;&gt;"", IF($D264 = "Futuros" , $N264/xlookup(WORKDAY(B264,-1,Feriados!A:A),Controle!$B$10:$B$1000,Controle!$T$10:$T$1000) , $M264/xlookup(WORKDAY(B264,-1,Feriados!A:A),Controle!$B$10:$B$1000,Controle!$T$10:$T$1000)),"")</f>
        <v/>
      </c>
      <c r="M264" s="48" t="str">
        <f t="shared" si="4"/>
        <v/>
      </c>
      <c r="N264" s="48" t="str">
        <f>IFERROR(IF(D264="Futuros",
IF(LEFT(C264,3)="DI1",G264*O264,
IF(LEFT(C264,3)="ISP",G264*O264*HLOOKUP("PTAX",'Histórico'!$A$1:$EL$983,MATCH(B264,'Histórico'!A:A),FALSE)*50,
IF(LEFT(C264,3)="WDO",10*G264*O264*HLOOKUP("PTAX",'Histórico'!$A$1:$EL$983,MATCH(B264,'Histórico'!A:A),FALSE),
IF(LEFT(C264,3)="DOL",50*G264*O264,
IF(LEFT(C264,3)="EUR",G264*O264*50,
IF(LEFT(C264,3)="WEU",G264*O264*10,
IF(LEFT(C264,3)="IND",G264*O264,
IF(LEFT(C264,3)="WIN",G264*O264*0.2,
IF(LEFT(C264,3)="T10",G264*O264*1000*HLOOKUP("PTAX",'Histórico'!$A$1:$EL$983,MATCH(B264,'Histórico'!A:A),FALSE),
IF(LEFT(C264,3)="CCM",G264*O264*450,
IF(LEFT(C264,3)="SJC",G264*O264*HLOOKUP("PTAX",'Histórico'!$A$1:$EL$983,MATCH(B264,'Histórico'!A:A),FALSE)*450,
IF(LEFT(C264,3)="BGI",G264*O264*330,
IF(LEFT(C264,3)="OZ1",G264*O264*250,
IF(LEFT(C264,3)="CLP",G264*O264*25,
IF(LEFT(C264,3)="EUP", O264*10000*HLOOKUP("EUR/BRL",'Histórico'!$A$1:$EL$983,MATCH(B264,'Histórico'!A:A),FALSE),
IF(LEFT(C264,3)="JSE", G264*O264*0.4,
IF(LEFT(C264,3)="GBP", O264*10000*HLOOKUP("GBP/BRL",'Histórico'!$A$1:$FG$983,MATCH(B264,'Histórico'!A:A),FALSE),
IF(LEFT(C264,3)="JAP",O264*10000*HLOOKUP("PTAX",'Histórico'!$A$1:$FG$983,MATCH(B264,'Histórico'!A:A),FALSE),
IF(LEFT(C264,3)="CNH",O264*10000*HLOOKUP("PTAX",'Histórico'!$A$1:$FG$983,MATCH(B264,'Histórico'!A:A),FALSE),
IF(LEFT(C264,3)="AUS",O264*10000*HLOOKUP("PTAX",'Histórico'!$A$1:$FG$983,MATCH(B264,'Histórico'!A:A),FALSE),
IF(LEFT(C264,3)="CAN",O264*10000*HLOOKUP("PTAX",'Histórico'!$A$1:$FG$983,MATCH(B264,'Histórico'!A:A),FALSE),
IF(LEFT(C264,3)="GBR",O264*10000*HLOOKUP("GBP/BRL",'Histórico'!$A$1:$FG$983,MATCH(B264,'Histórico'!A:A),FALSE),
IF(LEFT(C264,3)="MEX",O264*10000*HLOOKUP("PTAX",'Histórico'!$A$1:$FG$983,MATCH(B264,'Histórico'!A:A),FALSE),
IF(LEFT(C264,3)="CHL",O264*10000*HLOOKUP("PTAX",'Histórico'!$A$1:$FG$983,MATCH(B264,'Histórico'!A:A),FALSE)
)))))))))))))))))))))))),""))</f>
        <v/>
      </c>
      <c r="O264" s="49" t="str">
        <f t="shared" si="2"/>
        <v/>
      </c>
      <c r="P264" s="49" t="str">
        <f t="shared" si="5"/>
        <v/>
      </c>
      <c r="Q264" s="51" t="str">
        <f>IF($C264&lt;&gt;"",SUMIFS($O$3:$O$401, $C$3:$C$401 ,$C264,$B$3:$B$401,"&lt;="&amp;Controle!$B$6),"")</f>
        <v/>
      </c>
      <c r="R264" s="51" t="str">
        <f>IF($D264&lt;&gt;"",SUMIFS($O$3:$O$401, $C$3:$C$401 ,$C264,$B$3:$B$401,"&lt;="&amp;Controle!$B$6,$F$3:$F$401,$F264),"")</f>
        <v/>
      </c>
      <c r="S264" s="51" t="str">
        <f>IF($D264&lt;&gt;"",SUMIFS($O$3:$O$401, $C$3:$C$401 ,$C264,$B$3:$B$401,"&lt;="&amp;'Controle D-1'!$B$6,$F$3:$F$401,$F264),"")</f>
        <v/>
      </c>
      <c r="T264" s="40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146"/>
      <c r="B265" s="149"/>
      <c r="C265" s="150"/>
      <c r="D265" s="150" t="str">
        <f>IF(ISTEXT(C265),VLOOKUP(C265,'Cadastro dos Ativos'!$A$2:$C$1000,3,0),"")</f>
        <v/>
      </c>
      <c r="E265" s="150"/>
      <c r="F265" s="150"/>
      <c r="G265" s="151"/>
      <c r="H265" s="101" t="str">
        <f>if($D265="Ações Americanas", HLOOKUP("PTAX",'Histórico'!$A$1:$EL$983,(MATCH(B265,'Histórico'!A:A))-1,""),
if($D265="Ações Europeias", HLOOKUP("EUR/BRL",'Histórico'!$A$1:$EL$983,(MATCH(B265,'Histórico'!A:A))-1,""),""))</f>
        <v/>
      </c>
      <c r="I265" s="150" t="str">
        <f t="array" ref="I265">IF(ISTEXT(C265),xlookup(C265,'Cadastro dos Ativos'!$A$2:$A$1000,'Cadastro dos Ativos'!$D$2:$D$1000),"")</f>
        <v/>
      </c>
      <c r="J265" s="150"/>
      <c r="K265" s="47" t="str">
        <f t="array" ref="K265">if(and(J265&lt;&gt;"",D265&lt;&gt;"Futuros"),
if(F265=Controle!$C$2, M265/xlookup(workday(B265,-1,Feriados!A:A),Controle!$B$10:$B$1000,Controle!$C$10:$C$1000),
if(F265=Controle!$F$2, M265/xlookup(workday(B265,-1,Feriados!A:A),Controle!$B$10:$B$1000,Controle!$F$10:$F$1000),
if(F265=Controle!$I$2, M265/xlookup(workday(B265,-1,Feriados!A:A),Controle!$B$10:$B$1000,Controle!$I$10:$I$1000),
if(F265=Controle!$L$2, M265/xlookup(workday(B265,-1,Feriados!A:A),Controle!$B$10:$B$1000,Controle!$L$10:$L$1000),
)))),
if(and(J265&lt;&gt;"",D265="Futuros"),
if(F265=Controle!$C$2, N265/xlookup(workday(B265,-1,Feriados!A:A),Controle!$B$10:$B$1000,Controle!$C$10:$C$1000),
if(F265=Controle!$F$2, N265/xlookup(workday(B265,-1,Feriados!A:A),Controle!$B$10:$B$1000,Controle!$F$10:$F$1000),
if(F265=Controle!$I$2, N265/xlookup(workday(B265,-1,Feriados!A:A),Controle!$B$10:$B$1000,Controle!$I$10:$I$1000),
if(F265=Controle!$L$2, N265/xlookup(workday(B265,-1,Feriados!A:A),Controle!$B$10:$B$1000,Controle!$L$10:$L$1000),
)))),""))</f>
        <v/>
      </c>
      <c r="L265" s="47" t="str">
        <f t="array" ref="L265">IF($J265&lt;&gt;"", IF($D265 = "Futuros" , $N265/xlookup(WORKDAY(B265,-1,Feriados!A:A),Controle!$B$10:$B$1000,Controle!$T$10:$T$1000) , $M265/xlookup(WORKDAY(B265,-1,Feriados!A:A),Controle!$B$10:$B$1000,Controle!$T$10:$T$1000)),"")</f>
        <v/>
      </c>
      <c r="M265" s="48" t="str">
        <f t="shared" si="4"/>
        <v/>
      </c>
      <c r="N265" s="48" t="str">
        <f>IFERROR(IF(D265="Futuros",
IF(LEFT(C265,3)="DI1",G265*O265,
IF(LEFT(C265,3)="ISP",G265*O265*HLOOKUP("PTAX",'Histórico'!$A$1:$EL$983,MATCH(B265,'Histórico'!A:A),FALSE)*50,
IF(LEFT(C265,3)="WDO",10*G265*O265*HLOOKUP("PTAX",'Histórico'!$A$1:$EL$983,MATCH(B265,'Histórico'!A:A),FALSE),
IF(LEFT(C265,3)="DOL",50*G265*O265,
IF(LEFT(C265,3)="EUR",G265*O265*50,
IF(LEFT(C265,3)="WEU",G265*O265*10,
IF(LEFT(C265,3)="IND",G265*O265,
IF(LEFT(C265,3)="WIN",G265*O265*0.2,
IF(LEFT(C265,3)="T10",G265*O265*1000*HLOOKUP("PTAX",'Histórico'!$A$1:$EL$983,MATCH(B265,'Histórico'!A:A),FALSE),
IF(LEFT(C265,3)="CCM",G265*O265*450,
IF(LEFT(C265,3)="SJC",G265*O265*HLOOKUP("PTAX",'Histórico'!$A$1:$EL$983,MATCH(B265,'Histórico'!A:A),FALSE)*450,
IF(LEFT(C265,3)="BGI",G265*O265*330,
IF(LEFT(C265,3)="OZ1",G265*O265*250,
IF(LEFT(C265,3)="CLP",G265*O265*25,
IF(LEFT(C265,3)="EUP", O265*10000*HLOOKUP("EUR/BRL",'Histórico'!$A$1:$EL$983,MATCH(B265,'Histórico'!A:A),FALSE),
IF(LEFT(C265,3)="JSE", G265*O265*0.4,
IF(LEFT(C265,3)="GBP", O265*10000*HLOOKUP("GBP/BRL",'Histórico'!$A$1:$FG$983,MATCH(B265,'Histórico'!A:A),FALSE),
IF(LEFT(C265,3)="JAP",O265*10000*HLOOKUP("PTAX",'Histórico'!$A$1:$FG$983,MATCH(B265,'Histórico'!A:A),FALSE),
IF(LEFT(C265,3)="CNH",O265*10000*HLOOKUP("PTAX",'Histórico'!$A$1:$FG$983,MATCH(B265,'Histórico'!A:A),FALSE),
IF(LEFT(C265,3)="AUS",O265*10000*HLOOKUP("PTAX",'Histórico'!$A$1:$FG$983,MATCH(B265,'Histórico'!A:A),FALSE),
IF(LEFT(C265,3)="CAN",O265*10000*HLOOKUP("PTAX",'Histórico'!$A$1:$FG$983,MATCH(B265,'Histórico'!A:A),FALSE),
IF(LEFT(C265,3)="GBR",O265*10000*HLOOKUP("GBP/BRL",'Histórico'!$A$1:$FG$983,MATCH(B265,'Histórico'!A:A),FALSE),
IF(LEFT(C265,3)="MEX",O265*10000*HLOOKUP("PTAX",'Histórico'!$A$1:$FG$983,MATCH(B265,'Histórico'!A:A),FALSE),
IF(LEFT(C265,3)="CHL",O265*10000*HLOOKUP("PTAX",'Histórico'!$A$1:$FG$983,MATCH(B265,'Histórico'!A:A),FALSE)
)))))))))))))))))))))))),""))</f>
        <v/>
      </c>
      <c r="O265" s="49" t="str">
        <f t="shared" si="2"/>
        <v/>
      </c>
      <c r="P265" s="49" t="str">
        <f t="shared" si="5"/>
        <v/>
      </c>
      <c r="Q265" s="51" t="str">
        <f>IF($C265&lt;&gt;"",SUMIFS($O$3:$O$401, $C$3:$C$401 ,$C265,$B$3:$B$401,"&lt;="&amp;Controle!$B$6),"")</f>
        <v/>
      </c>
      <c r="R265" s="51" t="str">
        <f>IF($D265&lt;&gt;"",SUMIFS($O$3:$O$401, $C$3:$C$401 ,$C265,$B$3:$B$401,"&lt;="&amp;Controle!$B$6,$F$3:$F$401,$F265),"")</f>
        <v/>
      </c>
      <c r="S265" s="51" t="str">
        <f>IF($D265&lt;&gt;"",SUMIFS($O$3:$O$401, $C$3:$C$401 ,$C265,$B$3:$B$401,"&lt;="&amp;'Controle D-1'!$B$6,$F$3:$F$401,$F265),"")</f>
        <v/>
      </c>
      <c r="T265" s="40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146"/>
      <c r="B266" s="149"/>
      <c r="C266" s="150"/>
      <c r="D266" s="150" t="str">
        <f>IF(ISTEXT(C266),VLOOKUP(C266,'Cadastro dos Ativos'!$A$2:$C$1000,3,0),"")</f>
        <v/>
      </c>
      <c r="E266" s="150"/>
      <c r="F266" s="150"/>
      <c r="G266" s="151"/>
      <c r="H266" s="46" t="str">
        <f>if($D266="Ações Americanas", HLOOKUP("PTAX",'Histórico'!$A$1:$EL$983,(MATCH(B266,'Histórico'!A:A))-1,""),
if($D266="Ações Europeias", HLOOKUP("EUR/BRL",'Histórico'!$A$1:$EL$983,(MATCH(B266,'Histórico'!A:A))-1,""),""))</f>
        <v/>
      </c>
      <c r="I266" s="150" t="str">
        <f t="array" ref="I266">IF(ISTEXT(C266),xlookup(C266,'Cadastro dos Ativos'!$A$2:$A$1000,'Cadastro dos Ativos'!$D$2:$D$1000),"")</f>
        <v/>
      </c>
      <c r="J266" s="150"/>
      <c r="K266" s="47" t="str">
        <f t="array" ref="K266">if(and(J266&lt;&gt;"",D266&lt;&gt;"Futuros"),
if(F266=Controle!$C$2, M266/xlookup(workday(B266,-1,Feriados!A:A),Controle!$B$10:$B$1000,Controle!$C$10:$C$1000),
if(F266=Controle!$F$2, M266/xlookup(workday(B266,-1,Feriados!A:A),Controle!$B$10:$B$1000,Controle!$F$10:$F$1000),
if(F266=Controle!$I$2, M266/xlookup(workday(B266,-1,Feriados!A:A),Controle!$B$10:$B$1000,Controle!$I$10:$I$1000),
if(F266=Controle!$L$2, M266/xlookup(workday(B266,-1,Feriados!A:A),Controle!$B$10:$B$1000,Controle!$L$10:$L$1000),
)))),
if(and(J266&lt;&gt;"",D266="Futuros"),
if(F266=Controle!$C$2, N266/xlookup(workday(B266,-1,Feriados!A:A),Controle!$B$10:$B$1000,Controle!$C$10:$C$1000),
if(F266=Controle!$F$2, N266/xlookup(workday(B266,-1,Feriados!A:A),Controle!$B$10:$B$1000,Controle!$F$10:$F$1000),
if(F266=Controle!$I$2, N266/xlookup(workday(B266,-1,Feriados!A:A),Controle!$B$10:$B$1000,Controle!$I$10:$I$1000),
if(F266=Controle!$L$2, N266/xlookup(workday(B266,-1,Feriados!A:A),Controle!$B$10:$B$1000,Controle!$L$10:$L$1000),
)))),""))</f>
        <v/>
      </c>
      <c r="L266" s="47" t="str">
        <f t="array" ref="L266">IF($J266&lt;&gt;"", IF($D266 = "Futuros" , $N266/xlookup(WORKDAY(B266,-1,Feriados!A:A),Controle!$B$10:$B$1000,Controle!$T$10:$T$1000) , $M266/xlookup(WORKDAY(B266,-1,Feriados!A:A),Controle!$B$10:$B$1000,Controle!$T$10:$T$1000)),"")</f>
        <v/>
      </c>
      <c r="M266" s="48" t="str">
        <f t="shared" si="4"/>
        <v/>
      </c>
      <c r="N266" s="48" t="str">
        <f>IFERROR(IF(D266="Futuros",
IF(LEFT(C266,3)="DI1",G266*O266,
IF(LEFT(C266,3)="ISP",G266*O266*HLOOKUP("PTAX",'Histórico'!$A$1:$EL$983,MATCH(B266,'Histórico'!A:A),FALSE)*50,
IF(LEFT(C266,3)="WDO",10*G266*O266*HLOOKUP("PTAX",'Histórico'!$A$1:$EL$983,MATCH(B266,'Histórico'!A:A),FALSE),
IF(LEFT(C266,3)="DOL",50*G266*O266,
IF(LEFT(C266,3)="EUR",G266*O266*50,
IF(LEFT(C266,3)="WEU",G266*O266*10,
IF(LEFT(C266,3)="IND",G266*O266,
IF(LEFT(C266,3)="WIN",G266*O266*0.2,
IF(LEFT(C266,3)="T10",G266*O266*1000*HLOOKUP("PTAX",'Histórico'!$A$1:$EL$983,MATCH(B266,'Histórico'!A:A),FALSE),
IF(LEFT(C266,3)="CCM",G266*O266*450,
IF(LEFT(C266,3)="SJC",G266*O266*HLOOKUP("PTAX",'Histórico'!$A$1:$EL$983,MATCH(B266,'Histórico'!A:A),FALSE)*450,
IF(LEFT(C266,3)="BGI",G266*O266*330,
IF(LEFT(C266,3)="OZ1",G266*O266*250,
IF(LEFT(C266,3)="CLP",G266*O266*25,
IF(LEFT(C266,3)="EUP", O266*10000*HLOOKUP("EUR/BRL",'Histórico'!$A$1:$EL$983,MATCH(B266,'Histórico'!A:A),FALSE),
IF(LEFT(C266,3)="JSE", G266*O266*0.4,
IF(LEFT(C266,3)="GBP", O266*10000*HLOOKUP("GBP/BRL",'Histórico'!$A$1:$FG$983,MATCH(B266,'Histórico'!A:A),FALSE),
IF(LEFT(C266,3)="JAP",O266*10000*HLOOKUP("PTAX",'Histórico'!$A$1:$FG$983,MATCH(B266,'Histórico'!A:A),FALSE),
IF(LEFT(C266,3)="CNH",O266*10000*HLOOKUP("PTAX",'Histórico'!$A$1:$FG$983,MATCH(B266,'Histórico'!A:A),FALSE),
IF(LEFT(C266,3)="AUS",O266*10000*HLOOKUP("PTAX",'Histórico'!$A$1:$FG$983,MATCH(B266,'Histórico'!A:A),FALSE),
IF(LEFT(C266,3)="CAN",O266*10000*HLOOKUP("PTAX",'Histórico'!$A$1:$FG$983,MATCH(B266,'Histórico'!A:A),FALSE),
IF(LEFT(C266,3)="GBR",O266*10000*HLOOKUP("GBP/BRL",'Histórico'!$A$1:$FG$983,MATCH(B266,'Histórico'!A:A),FALSE),
IF(LEFT(C266,3)="MEX",O266*10000*HLOOKUP("PTAX",'Histórico'!$A$1:$FG$983,MATCH(B266,'Histórico'!A:A),FALSE),
IF(LEFT(C266,3)="CHL",O266*10000*HLOOKUP("PTAX",'Histórico'!$A$1:$FG$983,MATCH(B266,'Histórico'!A:A),FALSE)
)))))))))))))))))))))))),""))</f>
        <v/>
      </c>
      <c r="O266" s="49" t="str">
        <f t="shared" si="2"/>
        <v/>
      </c>
      <c r="P266" s="49" t="str">
        <f t="shared" si="5"/>
        <v/>
      </c>
      <c r="Q266" s="51" t="str">
        <f>IF($C266&lt;&gt;"",SUMIFS($O$3:$O$401, $C$3:$C$401 ,$C266,$B$3:$B$401,"&lt;="&amp;Controle!$B$6),"")</f>
        <v/>
      </c>
      <c r="R266" s="51" t="str">
        <f>IF($D266&lt;&gt;"",SUMIFS($O$3:$O$401, $C$3:$C$401 ,$C266,$B$3:$B$401,"&lt;="&amp;Controle!$B$6,$F$3:$F$401,$F266),"")</f>
        <v/>
      </c>
      <c r="S266" s="51" t="str">
        <f>IF($D266&lt;&gt;"",SUMIFS($O$3:$O$401, $C$3:$C$401 ,$C266,$B$3:$B$401,"&lt;="&amp;'Controle D-1'!$B$6,$F$3:$F$401,$F266),"")</f>
        <v/>
      </c>
      <c r="T266" s="40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146"/>
      <c r="B267" s="149"/>
      <c r="C267" s="150"/>
      <c r="D267" s="150" t="str">
        <f>IF(ISTEXT(C267),VLOOKUP(C267,'Cadastro dos Ativos'!$A$2:$C$1000,3,0),"")</f>
        <v/>
      </c>
      <c r="E267" s="150"/>
      <c r="F267" s="150"/>
      <c r="G267" s="151"/>
      <c r="H267" s="101" t="str">
        <f>if($D267="Ações Americanas", HLOOKUP("PTAX",'Histórico'!$A$1:$EL$983,(MATCH(B267,'Histórico'!A:A))-1,""),
if($D267="Ações Europeias", HLOOKUP("EUR/BRL",'Histórico'!$A$1:$EL$983,(MATCH(B267,'Histórico'!A:A))-1,""),""))</f>
        <v/>
      </c>
      <c r="I267" s="150" t="str">
        <f t="array" ref="I267">IF(ISTEXT(C267),xlookup(C267,'Cadastro dos Ativos'!$A$2:$A$1000,'Cadastro dos Ativos'!$D$2:$D$1000),"")</f>
        <v/>
      </c>
      <c r="J267" s="150"/>
      <c r="K267" s="47" t="str">
        <f t="array" ref="K267">if(and(J267&lt;&gt;"",D267&lt;&gt;"Futuros"),
if(F267=Controle!$C$2, M267/xlookup(workday(B267,-1,Feriados!A:A),Controle!$B$10:$B$1000,Controle!$C$10:$C$1000),
if(F267=Controle!$F$2, M267/xlookup(workday(B267,-1,Feriados!A:A),Controle!$B$10:$B$1000,Controle!$F$10:$F$1000),
if(F267=Controle!$I$2, M267/xlookup(workday(B267,-1,Feriados!A:A),Controle!$B$10:$B$1000,Controle!$I$10:$I$1000),
if(F267=Controle!$L$2, M267/xlookup(workday(B267,-1,Feriados!A:A),Controle!$B$10:$B$1000,Controle!$L$10:$L$1000),
)))),
if(and(J267&lt;&gt;"",D267="Futuros"),
if(F267=Controle!$C$2, N267/xlookup(workday(B267,-1,Feriados!A:A),Controle!$B$10:$B$1000,Controle!$C$10:$C$1000),
if(F267=Controle!$F$2, N267/xlookup(workday(B267,-1,Feriados!A:A),Controle!$B$10:$B$1000,Controle!$F$10:$F$1000),
if(F267=Controle!$I$2, N267/xlookup(workday(B267,-1,Feriados!A:A),Controle!$B$10:$B$1000,Controle!$I$10:$I$1000),
if(F267=Controle!$L$2, N267/xlookup(workday(B267,-1,Feriados!A:A),Controle!$B$10:$B$1000,Controle!$L$10:$L$1000),
)))),""))</f>
        <v/>
      </c>
      <c r="L267" s="47" t="str">
        <f t="array" ref="L267">IF($J267&lt;&gt;"", IF($D267 = "Futuros" , $N267/xlookup(WORKDAY(B267,-1,Feriados!A:A),Controle!$B$10:$B$1000,Controle!$T$10:$T$1000) , $M267/xlookup(WORKDAY(B267,-1,Feriados!A:A),Controle!$B$10:$B$1000,Controle!$T$10:$T$1000)),"")</f>
        <v/>
      </c>
      <c r="M267" s="48" t="str">
        <f t="shared" si="4"/>
        <v/>
      </c>
      <c r="N267" s="48" t="str">
        <f>IFERROR(IF(D267="Futuros",
IF(LEFT(C267,3)="DI1",G267*O267,
IF(LEFT(C267,3)="ISP",G267*O267*HLOOKUP("PTAX",'Histórico'!$A$1:$EL$983,MATCH(B267,'Histórico'!A:A),FALSE)*50,
IF(LEFT(C267,3)="WDO",10*G267*O267*HLOOKUP("PTAX",'Histórico'!$A$1:$EL$983,MATCH(B267,'Histórico'!A:A),FALSE),
IF(LEFT(C267,3)="DOL",50*G267*O267,
IF(LEFT(C267,3)="EUR",G267*O267*50,
IF(LEFT(C267,3)="WEU",G267*O267*10,
IF(LEFT(C267,3)="IND",G267*O267,
IF(LEFT(C267,3)="WIN",G267*O267*0.2,
IF(LEFT(C267,3)="T10",G267*O267*1000*HLOOKUP("PTAX",'Histórico'!$A$1:$EL$983,MATCH(B267,'Histórico'!A:A),FALSE),
IF(LEFT(C267,3)="CCM",G267*O267*450,
IF(LEFT(C267,3)="SJC",G267*O267*HLOOKUP("PTAX",'Histórico'!$A$1:$EL$983,MATCH(B267,'Histórico'!A:A),FALSE)*450,
IF(LEFT(C267,3)="BGI",G267*O267*330,
IF(LEFT(C267,3)="OZ1",G267*O267*250,
IF(LEFT(C267,3)="CLP",G267*O267*25,
IF(LEFT(C267,3)="EUP", O267*10000*HLOOKUP("EUR/BRL",'Histórico'!$A$1:$EL$983,MATCH(B267,'Histórico'!A:A),FALSE),
IF(LEFT(C267,3)="JSE", G267*O267*0.4,
IF(LEFT(C267,3)="GBP", O267*10000*HLOOKUP("GBP/BRL",'Histórico'!$A$1:$FG$983,MATCH(B267,'Histórico'!A:A),FALSE),
IF(LEFT(C267,3)="JAP",O267*10000*HLOOKUP("PTAX",'Histórico'!$A$1:$FG$983,MATCH(B267,'Histórico'!A:A),FALSE),
IF(LEFT(C267,3)="CNH",O267*10000*HLOOKUP("PTAX",'Histórico'!$A$1:$FG$983,MATCH(B267,'Histórico'!A:A),FALSE),
IF(LEFT(C267,3)="AUS",O267*10000*HLOOKUP("PTAX",'Histórico'!$A$1:$FG$983,MATCH(B267,'Histórico'!A:A),FALSE),
IF(LEFT(C267,3)="CAN",O267*10000*HLOOKUP("PTAX",'Histórico'!$A$1:$FG$983,MATCH(B267,'Histórico'!A:A),FALSE),
IF(LEFT(C267,3)="GBR",O267*10000*HLOOKUP("GBP/BRL",'Histórico'!$A$1:$FG$983,MATCH(B267,'Histórico'!A:A),FALSE),
IF(LEFT(C267,3)="MEX",O267*10000*HLOOKUP("PTAX",'Histórico'!$A$1:$FG$983,MATCH(B267,'Histórico'!A:A),FALSE),
IF(LEFT(C267,3)="CHL",O267*10000*HLOOKUP("PTAX",'Histórico'!$A$1:$FG$983,MATCH(B267,'Histórico'!A:A),FALSE)
)))))))))))))))))))))))),""))</f>
        <v/>
      </c>
      <c r="O267" s="49" t="str">
        <f t="shared" si="2"/>
        <v/>
      </c>
      <c r="P267" s="49" t="str">
        <f t="shared" si="5"/>
        <v/>
      </c>
      <c r="Q267" s="51" t="str">
        <f>IF($C267&lt;&gt;"",SUMIFS($O$3:$O$401, $C$3:$C$401 ,$C267,$B$3:$B$401,"&lt;="&amp;Controle!$B$6),"")</f>
        <v/>
      </c>
      <c r="R267" s="51" t="str">
        <f>IF($D267&lt;&gt;"",SUMIFS($O$3:$O$401, $C$3:$C$401 ,$C267,$B$3:$B$401,"&lt;="&amp;Controle!$B$6,$F$3:$F$401,$F267),"")</f>
        <v/>
      </c>
      <c r="S267" s="51" t="str">
        <f>IF($D267&lt;&gt;"",SUMIFS($O$3:$O$401, $C$3:$C$401 ,$C267,$B$3:$B$401,"&lt;="&amp;'Controle D-1'!$B$6,$F$3:$F$401,$F267),"")</f>
        <v/>
      </c>
      <c r="T267" s="40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146"/>
      <c r="B268" s="149"/>
      <c r="C268" s="150"/>
      <c r="D268" s="150" t="str">
        <f>IF(ISTEXT(C268),VLOOKUP(C268,'Cadastro dos Ativos'!$A$2:$C$1000,3,0),"")</f>
        <v/>
      </c>
      <c r="E268" s="150"/>
      <c r="F268" s="150"/>
      <c r="G268" s="151"/>
      <c r="H268" s="46" t="str">
        <f>if($D268="Ações Americanas", HLOOKUP("PTAX",'Histórico'!$A$1:$EL$983,(MATCH(B268,'Histórico'!A:A))-1,""),
if($D268="Ações Europeias", HLOOKUP("EUR/BRL",'Histórico'!$A$1:$EL$983,(MATCH(B268,'Histórico'!A:A))-1,""),""))</f>
        <v/>
      </c>
      <c r="I268" s="150" t="str">
        <f t="array" ref="I268">IF(ISTEXT(C268),xlookup(C268,'Cadastro dos Ativos'!$A$2:$A$1000,'Cadastro dos Ativos'!$D$2:$D$1000),"")</f>
        <v/>
      </c>
      <c r="J268" s="150"/>
      <c r="K268" s="47" t="str">
        <f t="array" ref="K268">if(and(J268&lt;&gt;"",D268&lt;&gt;"Futuros"),
if(F268=Controle!$C$2, M268/xlookup(workday(B268,-1,Feriados!A:A),Controle!$B$10:$B$1000,Controle!$C$10:$C$1000),
if(F268=Controle!$F$2, M268/xlookup(workday(B268,-1,Feriados!A:A),Controle!$B$10:$B$1000,Controle!$F$10:$F$1000),
if(F268=Controle!$I$2, M268/xlookup(workday(B268,-1,Feriados!A:A),Controle!$B$10:$B$1000,Controle!$I$10:$I$1000),
if(F268=Controle!$L$2, M268/xlookup(workday(B268,-1,Feriados!A:A),Controle!$B$10:$B$1000,Controle!$L$10:$L$1000),
)))),
if(and(J268&lt;&gt;"",D268="Futuros"),
if(F268=Controle!$C$2, N268/xlookup(workday(B268,-1,Feriados!A:A),Controle!$B$10:$B$1000,Controle!$C$10:$C$1000),
if(F268=Controle!$F$2, N268/xlookup(workday(B268,-1,Feriados!A:A),Controle!$B$10:$B$1000,Controle!$F$10:$F$1000),
if(F268=Controle!$I$2, N268/xlookup(workday(B268,-1,Feriados!A:A),Controle!$B$10:$B$1000,Controle!$I$10:$I$1000),
if(F268=Controle!$L$2, N268/xlookup(workday(B268,-1,Feriados!A:A),Controle!$B$10:$B$1000,Controle!$L$10:$L$1000),
)))),""))</f>
        <v/>
      </c>
      <c r="L268" s="47" t="str">
        <f t="array" ref="L268">IF($J268&lt;&gt;"", IF($D268 = "Futuros" , $N268/xlookup(WORKDAY(B268,-1,Feriados!A:A),Controle!$B$10:$B$1000,Controle!$T$10:$T$1000) , $M268/xlookup(WORKDAY(B268,-1,Feriados!A:A),Controle!$B$10:$B$1000,Controle!$T$10:$T$1000)),"")</f>
        <v/>
      </c>
      <c r="M268" s="48" t="str">
        <f t="shared" si="4"/>
        <v/>
      </c>
      <c r="N268" s="48" t="str">
        <f>IFERROR(IF(D268="Futuros",
IF(LEFT(C268,3)="DI1",G268*O268,
IF(LEFT(C268,3)="ISP",G268*O268*HLOOKUP("PTAX",'Histórico'!$A$1:$EL$983,MATCH(B268,'Histórico'!A:A),FALSE)*50,
IF(LEFT(C268,3)="WDO",10*G268*O268*HLOOKUP("PTAX",'Histórico'!$A$1:$EL$983,MATCH(B268,'Histórico'!A:A),FALSE),
IF(LEFT(C268,3)="DOL",50*G268*O268,
IF(LEFT(C268,3)="EUR",G268*O268*50,
IF(LEFT(C268,3)="WEU",G268*O268*10,
IF(LEFT(C268,3)="IND",G268*O268,
IF(LEFT(C268,3)="WIN",G268*O268*0.2,
IF(LEFT(C268,3)="T10",G268*O268*1000*HLOOKUP("PTAX",'Histórico'!$A$1:$EL$983,MATCH(B268,'Histórico'!A:A),FALSE),
IF(LEFT(C268,3)="CCM",G268*O268*450,
IF(LEFT(C268,3)="SJC",G268*O268*HLOOKUP("PTAX",'Histórico'!$A$1:$EL$983,MATCH(B268,'Histórico'!A:A),FALSE)*450,
IF(LEFT(C268,3)="BGI",G268*O268*330,
IF(LEFT(C268,3)="OZ1",G268*O268*250,
IF(LEFT(C268,3)="CLP",G268*O268*25,
IF(LEFT(C268,3)="EUP", O268*10000*HLOOKUP("EUR/BRL",'Histórico'!$A$1:$EL$983,MATCH(B268,'Histórico'!A:A),FALSE),
IF(LEFT(C268,3)="JSE", G268*O268*0.4,
IF(LEFT(C268,3)="GBP", O268*10000*HLOOKUP("GBP/BRL",'Histórico'!$A$1:$FG$983,MATCH(B268,'Histórico'!A:A),FALSE),
IF(LEFT(C268,3)="JAP",O268*10000*HLOOKUP("PTAX",'Histórico'!$A$1:$FG$983,MATCH(B268,'Histórico'!A:A),FALSE),
IF(LEFT(C268,3)="CNH",O268*10000*HLOOKUP("PTAX",'Histórico'!$A$1:$FG$983,MATCH(B268,'Histórico'!A:A),FALSE),
IF(LEFT(C268,3)="AUS",O268*10000*HLOOKUP("PTAX",'Histórico'!$A$1:$FG$983,MATCH(B268,'Histórico'!A:A),FALSE),
IF(LEFT(C268,3)="CAN",O268*10000*HLOOKUP("PTAX",'Histórico'!$A$1:$FG$983,MATCH(B268,'Histórico'!A:A),FALSE),
IF(LEFT(C268,3)="GBR",O268*10000*HLOOKUP("GBP/BRL",'Histórico'!$A$1:$FG$983,MATCH(B268,'Histórico'!A:A),FALSE),
IF(LEFT(C268,3)="MEX",O268*10000*HLOOKUP("PTAX",'Histórico'!$A$1:$FG$983,MATCH(B268,'Histórico'!A:A),FALSE),
IF(LEFT(C268,3)="CHL",O268*10000*HLOOKUP("PTAX",'Histórico'!$A$1:$FG$983,MATCH(B268,'Histórico'!A:A),FALSE)
)))))))))))))))))))))))),""))</f>
        <v/>
      </c>
      <c r="O268" s="49" t="str">
        <f t="shared" si="2"/>
        <v/>
      </c>
      <c r="P268" s="49" t="str">
        <f t="shared" si="5"/>
        <v/>
      </c>
      <c r="Q268" s="51" t="str">
        <f>IF($C268&lt;&gt;"",SUMIFS($O$3:$O$401, $C$3:$C$401 ,$C268,$B$3:$B$401,"&lt;="&amp;Controle!$B$6),"")</f>
        <v/>
      </c>
      <c r="R268" s="51" t="str">
        <f>IF($D268&lt;&gt;"",SUMIFS($O$3:$O$401, $C$3:$C$401 ,$C268,$B$3:$B$401,"&lt;="&amp;Controle!$B$6,$F$3:$F$401,$F268),"")</f>
        <v/>
      </c>
      <c r="S268" s="51" t="str">
        <f>IF($D268&lt;&gt;"",SUMIFS($O$3:$O$401, $C$3:$C$401 ,$C268,$B$3:$B$401,"&lt;="&amp;'Controle D-1'!$B$6,$F$3:$F$401,$F268),"")</f>
        <v/>
      </c>
      <c r="T268" s="40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146"/>
      <c r="B269" s="149"/>
      <c r="C269" s="150"/>
      <c r="D269" s="150" t="str">
        <f>IF(ISTEXT(C269),VLOOKUP(C269,'Cadastro dos Ativos'!$A$2:$C$1000,3,0),"")</f>
        <v/>
      </c>
      <c r="E269" s="150"/>
      <c r="F269" s="150"/>
      <c r="G269" s="151"/>
      <c r="H269" s="101" t="str">
        <f>if($D269="Ações Americanas", HLOOKUP("PTAX",'Histórico'!$A$1:$EL$983,(MATCH(B269,'Histórico'!A:A))-1,""),
if($D269="Ações Europeias", HLOOKUP("EUR/BRL",'Histórico'!$A$1:$EL$983,(MATCH(B269,'Histórico'!A:A))-1,""),""))</f>
        <v/>
      </c>
      <c r="I269" s="150" t="str">
        <f t="array" ref="I269">IF(ISTEXT(C269),xlookup(C269,'Cadastro dos Ativos'!$A$2:$A$1000,'Cadastro dos Ativos'!$D$2:$D$1000),"")</f>
        <v/>
      </c>
      <c r="J269" s="150"/>
      <c r="K269" s="47" t="str">
        <f t="array" ref="K269">if(and(J269&lt;&gt;"",D269&lt;&gt;"Futuros"),
if(F269=Controle!$C$2, M269/xlookup(workday(B269,-1,Feriados!A:A),Controle!$B$10:$B$1000,Controle!$C$10:$C$1000),
if(F269=Controle!$F$2, M269/xlookup(workday(B269,-1,Feriados!A:A),Controle!$B$10:$B$1000,Controle!$F$10:$F$1000),
if(F269=Controle!$I$2, M269/xlookup(workday(B269,-1,Feriados!A:A),Controle!$B$10:$B$1000,Controle!$I$10:$I$1000),
if(F269=Controle!$L$2, M269/xlookup(workday(B269,-1,Feriados!A:A),Controle!$B$10:$B$1000,Controle!$L$10:$L$1000),
)))),
if(and(J269&lt;&gt;"",D269="Futuros"),
if(F269=Controle!$C$2, N269/xlookup(workday(B269,-1,Feriados!A:A),Controle!$B$10:$B$1000,Controle!$C$10:$C$1000),
if(F269=Controle!$F$2, N269/xlookup(workday(B269,-1,Feriados!A:A),Controle!$B$10:$B$1000,Controle!$F$10:$F$1000),
if(F269=Controle!$I$2, N269/xlookup(workday(B269,-1,Feriados!A:A),Controle!$B$10:$B$1000,Controle!$I$10:$I$1000),
if(F269=Controle!$L$2, N269/xlookup(workday(B269,-1,Feriados!A:A),Controle!$B$10:$B$1000,Controle!$L$10:$L$1000),
)))),""))</f>
        <v/>
      </c>
      <c r="L269" s="47" t="str">
        <f t="array" ref="L269">IF($J269&lt;&gt;"", IF($D269 = "Futuros" , $N269/xlookup(WORKDAY(B269,-1,Feriados!A:A),Controle!$B$10:$B$1000,Controle!$T$10:$T$1000) , $M269/xlookup(WORKDAY(B269,-1,Feriados!A:A),Controle!$B$10:$B$1000,Controle!$T$10:$T$1000)),"")</f>
        <v/>
      </c>
      <c r="M269" s="48" t="str">
        <f t="shared" si="4"/>
        <v/>
      </c>
      <c r="N269" s="48" t="str">
        <f>IFERROR(IF(D269="Futuros",
IF(LEFT(C269,3)="DI1",G269*O269,
IF(LEFT(C269,3)="ISP",G269*O269*HLOOKUP("PTAX",'Histórico'!$A$1:$EL$983,MATCH(B269,'Histórico'!A:A),FALSE)*50,
IF(LEFT(C269,3)="WDO",10*G269*O269*HLOOKUP("PTAX",'Histórico'!$A$1:$EL$983,MATCH(B269,'Histórico'!A:A),FALSE),
IF(LEFT(C269,3)="DOL",50*G269*O269,
IF(LEFT(C269,3)="EUR",G269*O269*50,
IF(LEFT(C269,3)="WEU",G269*O269*10,
IF(LEFT(C269,3)="IND",G269*O269,
IF(LEFT(C269,3)="WIN",G269*O269*0.2,
IF(LEFT(C269,3)="T10",G269*O269*1000*HLOOKUP("PTAX",'Histórico'!$A$1:$EL$983,MATCH(B269,'Histórico'!A:A),FALSE),
IF(LEFT(C269,3)="CCM",G269*O269*450,
IF(LEFT(C269,3)="SJC",G269*O269*HLOOKUP("PTAX",'Histórico'!$A$1:$EL$983,MATCH(B269,'Histórico'!A:A),FALSE)*450,
IF(LEFT(C269,3)="BGI",G269*O269*330,
IF(LEFT(C269,3)="OZ1",G269*O269*250,
IF(LEFT(C269,3)="CLP",G269*O269*25,
IF(LEFT(C269,3)="EUP", O269*10000*HLOOKUP("EUR/BRL",'Histórico'!$A$1:$EL$983,MATCH(B269,'Histórico'!A:A),FALSE),
IF(LEFT(C269,3)="JSE", G269*O269*0.4,
IF(LEFT(C269,3)="GBP", O269*10000*HLOOKUP("GBP/BRL",'Histórico'!$A$1:$FG$983,MATCH(B269,'Histórico'!A:A),FALSE),
IF(LEFT(C269,3)="JAP",O269*10000*HLOOKUP("PTAX",'Histórico'!$A$1:$FG$983,MATCH(B269,'Histórico'!A:A),FALSE),
IF(LEFT(C269,3)="CNH",O269*10000*HLOOKUP("PTAX",'Histórico'!$A$1:$FG$983,MATCH(B269,'Histórico'!A:A),FALSE),
IF(LEFT(C269,3)="AUS",O269*10000*HLOOKUP("PTAX",'Histórico'!$A$1:$FG$983,MATCH(B269,'Histórico'!A:A),FALSE),
IF(LEFT(C269,3)="CAN",O269*10000*HLOOKUP("PTAX",'Histórico'!$A$1:$FG$983,MATCH(B269,'Histórico'!A:A),FALSE),
IF(LEFT(C269,3)="GBR",O269*10000*HLOOKUP("GBP/BRL",'Histórico'!$A$1:$FG$983,MATCH(B269,'Histórico'!A:A),FALSE),
IF(LEFT(C269,3)="MEX",O269*10000*HLOOKUP("PTAX",'Histórico'!$A$1:$FG$983,MATCH(B269,'Histórico'!A:A),FALSE),
IF(LEFT(C269,3)="CHL",O269*10000*HLOOKUP("PTAX",'Histórico'!$A$1:$FG$983,MATCH(B269,'Histórico'!A:A),FALSE)
)))))))))))))))))))))))),""))</f>
        <v/>
      </c>
      <c r="O269" s="49" t="str">
        <f t="shared" si="2"/>
        <v/>
      </c>
      <c r="P269" s="49" t="str">
        <f t="shared" si="5"/>
        <v/>
      </c>
      <c r="Q269" s="51" t="str">
        <f>IF($C269&lt;&gt;"",SUMIFS($O$3:$O$401, $C$3:$C$401 ,$C269,$B$3:$B$401,"&lt;="&amp;Controle!$B$6),"")</f>
        <v/>
      </c>
      <c r="R269" s="51" t="str">
        <f>IF($D269&lt;&gt;"",SUMIFS($O$3:$O$401, $C$3:$C$401 ,$C269,$B$3:$B$401,"&lt;="&amp;Controle!$B$6,$F$3:$F$401,$F269),"")</f>
        <v/>
      </c>
      <c r="S269" s="51" t="str">
        <f>IF($D269&lt;&gt;"",SUMIFS($O$3:$O$401, $C$3:$C$401 ,$C269,$B$3:$B$401,"&lt;="&amp;'Controle D-1'!$B$6,$F$3:$F$401,$F269),"")</f>
        <v/>
      </c>
      <c r="T269" s="40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146"/>
      <c r="B270" s="149"/>
      <c r="C270" s="150"/>
      <c r="D270" s="150" t="str">
        <f>IF(ISTEXT(C270),VLOOKUP(C270,'Cadastro dos Ativos'!$A$2:$C$1000,3,0),"")</f>
        <v/>
      </c>
      <c r="E270" s="150"/>
      <c r="F270" s="150"/>
      <c r="G270" s="151"/>
      <c r="H270" s="46" t="str">
        <f>if($D270="Ações Americanas", HLOOKUP("PTAX",'Histórico'!$A$1:$EL$983,(MATCH(B270,'Histórico'!A:A))-1,""),
if($D270="Ações Europeias", HLOOKUP("EUR/BRL",'Histórico'!$A$1:$EL$983,(MATCH(B270,'Histórico'!A:A))-1,""),""))</f>
        <v/>
      </c>
      <c r="I270" s="150" t="str">
        <f t="array" ref="I270">IF(ISTEXT(C270),xlookup(C270,'Cadastro dos Ativos'!$A$2:$A$1000,'Cadastro dos Ativos'!$D$2:$D$1000),"")</f>
        <v/>
      </c>
      <c r="J270" s="150"/>
      <c r="K270" s="47" t="str">
        <f t="array" ref="K270">if(and(J270&lt;&gt;"",D270&lt;&gt;"Futuros"),
if(F270=Controle!$C$2, M270/xlookup(workday(B270,-1,Feriados!A:A),Controle!$B$10:$B$1000,Controle!$C$10:$C$1000),
if(F270=Controle!$F$2, M270/xlookup(workday(B270,-1,Feriados!A:A),Controle!$B$10:$B$1000,Controle!$F$10:$F$1000),
if(F270=Controle!$I$2, M270/xlookup(workday(B270,-1,Feriados!A:A),Controle!$B$10:$B$1000,Controle!$I$10:$I$1000),
if(F270=Controle!$L$2, M270/xlookup(workday(B270,-1,Feriados!A:A),Controle!$B$10:$B$1000,Controle!$L$10:$L$1000),
)))),
if(and(J270&lt;&gt;"",D270="Futuros"),
if(F270=Controle!$C$2, N270/xlookup(workday(B270,-1,Feriados!A:A),Controle!$B$10:$B$1000,Controle!$C$10:$C$1000),
if(F270=Controle!$F$2, N270/xlookup(workday(B270,-1,Feriados!A:A),Controle!$B$10:$B$1000,Controle!$F$10:$F$1000),
if(F270=Controle!$I$2, N270/xlookup(workday(B270,-1,Feriados!A:A),Controle!$B$10:$B$1000,Controle!$I$10:$I$1000),
if(F270=Controle!$L$2, N270/xlookup(workday(B270,-1,Feriados!A:A),Controle!$B$10:$B$1000,Controle!$L$10:$L$1000),
)))),""))</f>
        <v/>
      </c>
      <c r="L270" s="47" t="str">
        <f t="array" ref="L270">IF($J270&lt;&gt;"", IF($D270 = "Futuros" , $N270/xlookup(WORKDAY(B270,-1,Feriados!A:A),Controle!$B$10:$B$1000,Controle!$T$10:$T$1000) , $M270/xlookup(WORKDAY(B270,-1,Feriados!A:A),Controle!$B$10:$B$1000,Controle!$T$10:$T$1000)),"")</f>
        <v/>
      </c>
      <c r="M270" s="48" t="str">
        <f t="shared" si="4"/>
        <v/>
      </c>
      <c r="N270" s="48" t="str">
        <f>IFERROR(IF(D270="Futuros",
IF(LEFT(C270,3)="DI1",G270*O270,
IF(LEFT(C270,3)="ISP",G270*O270*HLOOKUP("PTAX",'Histórico'!$A$1:$EL$983,MATCH(B270,'Histórico'!A:A),FALSE)*50,
IF(LEFT(C270,3)="WDO",10*G270*O270*HLOOKUP("PTAX",'Histórico'!$A$1:$EL$983,MATCH(B270,'Histórico'!A:A),FALSE),
IF(LEFT(C270,3)="DOL",50*G270*O270,
IF(LEFT(C270,3)="EUR",G270*O270*50,
IF(LEFT(C270,3)="WEU",G270*O270*10,
IF(LEFT(C270,3)="IND",G270*O270,
IF(LEFT(C270,3)="WIN",G270*O270*0.2,
IF(LEFT(C270,3)="T10",G270*O270*1000*HLOOKUP("PTAX",'Histórico'!$A$1:$EL$983,MATCH(B270,'Histórico'!A:A),FALSE),
IF(LEFT(C270,3)="CCM",G270*O270*450,
IF(LEFT(C270,3)="SJC",G270*O270*HLOOKUP("PTAX",'Histórico'!$A$1:$EL$983,MATCH(B270,'Histórico'!A:A),FALSE)*450,
IF(LEFT(C270,3)="BGI",G270*O270*330,
IF(LEFT(C270,3)="OZ1",G270*O270*250,
IF(LEFT(C270,3)="CLP",G270*O270*25,
IF(LEFT(C270,3)="EUP", O270*10000*HLOOKUP("EUR/BRL",'Histórico'!$A$1:$EL$983,MATCH(B270,'Histórico'!A:A),FALSE),
IF(LEFT(C270,3)="JSE", G270*O270*0.4,
IF(LEFT(C270,3)="GBP", O270*10000*HLOOKUP("GBP/BRL",'Histórico'!$A$1:$FG$983,MATCH(B270,'Histórico'!A:A),FALSE),
IF(LEFT(C270,3)="JAP",O270*10000*HLOOKUP("PTAX",'Histórico'!$A$1:$FG$983,MATCH(B270,'Histórico'!A:A),FALSE),
IF(LEFT(C270,3)="CNH",O270*10000*HLOOKUP("PTAX",'Histórico'!$A$1:$FG$983,MATCH(B270,'Histórico'!A:A),FALSE),
IF(LEFT(C270,3)="AUS",O270*10000*HLOOKUP("PTAX",'Histórico'!$A$1:$FG$983,MATCH(B270,'Histórico'!A:A),FALSE),
IF(LEFT(C270,3)="CAN",O270*10000*HLOOKUP("PTAX",'Histórico'!$A$1:$FG$983,MATCH(B270,'Histórico'!A:A),FALSE),
IF(LEFT(C270,3)="GBR",O270*10000*HLOOKUP("GBP/BRL",'Histórico'!$A$1:$FG$983,MATCH(B270,'Histórico'!A:A),FALSE),
IF(LEFT(C270,3)="MEX",O270*10000*HLOOKUP("PTAX",'Histórico'!$A$1:$FG$983,MATCH(B270,'Histórico'!A:A),FALSE),
IF(LEFT(C270,3)="CHL",O270*10000*HLOOKUP("PTAX",'Histórico'!$A$1:$FG$983,MATCH(B270,'Histórico'!A:A),FALSE)
)))))))))))))))))))))))),""))</f>
        <v/>
      </c>
      <c r="O270" s="49" t="str">
        <f t="shared" si="2"/>
        <v/>
      </c>
      <c r="P270" s="49" t="str">
        <f t="shared" si="5"/>
        <v/>
      </c>
      <c r="Q270" s="51" t="str">
        <f>IF($C270&lt;&gt;"",SUMIFS($O$3:$O$401, $C$3:$C$401 ,$C270,$B$3:$B$401,"&lt;="&amp;Controle!$B$6),"")</f>
        <v/>
      </c>
      <c r="R270" s="51" t="str">
        <f>IF($D270&lt;&gt;"",SUMIFS($O$3:$O$401, $C$3:$C$401 ,$C270,$B$3:$B$401,"&lt;="&amp;Controle!$B$6,$F$3:$F$401,$F270),"")</f>
        <v/>
      </c>
      <c r="S270" s="51" t="str">
        <f>IF($D270&lt;&gt;"",SUMIFS($O$3:$O$401, $C$3:$C$401 ,$C270,$B$3:$B$401,"&lt;="&amp;'Controle D-1'!$B$6,$F$3:$F$401,$F270),"")</f>
        <v/>
      </c>
      <c r="T270" s="40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146"/>
      <c r="B271" s="149"/>
      <c r="C271" s="150"/>
      <c r="D271" s="150" t="str">
        <f>IF(ISTEXT(C271),VLOOKUP(C271,'Cadastro dos Ativos'!$A$2:$C$1000,3,0),"")</f>
        <v/>
      </c>
      <c r="E271" s="150"/>
      <c r="F271" s="150"/>
      <c r="G271" s="151"/>
      <c r="H271" s="101" t="str">
        <f>if($D271="Ações Americanas", HLOOKUP("PTAX",'Histórico'!$A$1:$EL$983,(MATCH(B271,'Histórico'!A:A))-1,""),
if($D271="Ações Europeias", HLOOKUP("EUR/BRL",'Histórico'!$A$1:$EL$983,(MATCH(B271,'Histórico'!A:A))-1,""),""))</f>
        <v/>
      </c>
      <c r="I271" s="150" t="str">
        <f t="array" ref="I271">IF(ISTEXT(C271),xlookup(C271,'Cadastro dos Ativos'!$A$2:$A$1000,'Cadastro dos Ativos'!$D$2:$D$1000),"")</f>
        <v/>
      </c>
      <c r="J271" s="150"/>
      <c r="K271" s="47" t="str">
        <f t="array" ref="K271">if(and(J271&lt;&gt;"",D271&lt;&gt;"Futuros"),
if(F271=Controle!$C$2, M271/xlookup(workday(B271,-1,Feriados!A:A),Controle!$B$10:$B$1000,Controle!$C$10:$C$1000),
if(F271=Controle!$F$2, M271/xlookup(workday(B271,-1,Feriados!A:A),Controle!$B$10:$B$1000,Controle!$F$10:$F$1000),
if(F271=Controle!$I$2, M271/xlookup(workday(B271,-1,Feriados!A:A),Controle!$B$10:$B$1000,Controle!$I$10:$I$1000),
if(F271=Controle!$L$2, M271/xlookup(workday(B271,-1,Feriados!A:A),Controle!$B$10:$B$1000,Controle!$L$10:$L$1000),
)))),
if(and(J271&lt;&gt;"",D271="Futuros"),
if(F271=Controle!$C$2, N271/xlookup(workday(B271,-1,Feriados!A:A),Controle!$B$10:$B$1000,Controle!$C$10:$C$1000),
if(F271=Controle!$F$2, N271/xlookup(workday(B271,-1,Feriados!A:A),Controle!$B$10:$B$1000,Controle!$F$10:$F$1000),
if(F271=Controle!$I$2, N271/xlookup(workday(B271,-1,Feriados!A:A),Controle!$B$10:$B$1000,Controle!$I$10:$I$1000),
if(F271=Controle!$L$2, N271/xlookup(workday(B271,-1,Feriados!A:A),Controle!$B$10:$B$1000,Controle!$L$10:$L$1000),
)))),""))</f>
        <v/>
      </c>
      <c r="L271" s="47" t="str">
        <f t="array" ref="L271">IF($J271&lt;&gt;"", IF($D271 = "Futuros" , $N271/xlookup(WORKDAY(B271,-1,Feriados!A:A),Controle!$B$10:$B$1000,Controle!$T$10:$T$1000) , $M271/xlookup(WORKDAY(B271,-1,Feriados!A:A),Controle!$B$10:$B$1000,Controle!$T$10:$T$1000)),"")</f>
        <v/>
      </c>
      <c r="M271" s="48" t="str">
        <f t="shared" si="4"/>
        <v/>
      </c>
      <c r="N271" s="48" t="str">
        <f>IFERROR(IF(D271="Futuros",
IF(LEFT(C271,3)="DI1",G271*O271,
IF(LEFT(C271,3)="ISP",G271*O271*HLOOKUP("PTAX",'Histórico'!$A$1:$EL$983,MATCH(B271,'Histórico'!A:A),FALSE)*50,
IF(LEFT(C271,3)="WDO",10*G271*O271*HLOOKUP("PTAX",'Histórico'!$A$1:$EL$983,MATCH(B271,'Histórico'!A:A),FALSE),
IF(LEFT(C271,3)="DOL",50*G271*O271,
IF(LEFT(C271,3)="EUR",G271*O271*50,
IF(LEFT(C271,3)="WEU",G271*O271*10,
IF(LEFT(C271,3)="IND",G271*O271,
IF(LEFT(C271,3)="WIN",G271*O271*0.2,
IF(LEFT(C271,3)="T10",G271*O271*1000*HLOOKUP("PTAX",'Histórico'!$A$1:$EL$983,MATCH(B271,'Histórico'!A:A),FALSE),
IF(LEFT(C271,3)="CCM",G271*O271*450,
IF(LEFT(C271,3)="SJC",G271*O271*HLOOKUP("PTAX",'Histórico'!$A$1:$EL$983,MATCH(B271,'Histórico'!A:A),FALSE)*450,
IF(LEFT(C271,3)="BGI",G271*O271*330,
IF(LEFT(C271,3)="OZ1",G271*O271*250,
IF(LEFT(C271,3)="CLP",G271*O271*25,
IF(LEFT(C271,3)="EUP", O271*10000*HLOOKUP("EUR/BRL",'Histórico'!$A$1:$EL$983,MATCH(B271,'Histórico'!A:A),FALSE),
IF(LEFT(C271,3)="JSE", G271*O271*0.4,
IF(LEFT(C271,3)="GBP", O271*10000*HLOOKUP("GBP/BRL",'Histórico'!$A$1:$FG$983,MATCH(B271,'Histórico'!A:A),FALSE),
IF(LEFT(C271,3)="JAP",O271*10000*HLOOKUP("PTAX",'Histórico'!$A$1:$FG$983,MATCH(B271,'Histórico'!A:A),FALSE),
IF(LEFT(C271,3)="CNH",O271*10000*HLOOKUP("PTAX",'Histórico'!$A$1:$FG$983,MATCH(B271,'Histórico'!A:A),FALSE),
IF(LEFT(C271,3)="AUS",O271*10000*HLOOKUP("PTAX",'Histórico'!$A$1:$FG$983,MATCH(B271,'Histórico'!A:A),FALSE),
IF(LEFT(C271,3)="CAN",O271*10000*HLOOKUP("PTAX",'Histórico'!$A$1:$FG$983,MATCH(B271,'Histórico'!A:A),FALSE),
IF(LEFT(C271,3)="GBR",O271*10000*HLOOKUP("GBP/BRL",'Histórico'!$A$1:$FG$983,MATCH(B271,'Histórico'!A:A),FALSE),
IF(LEFT(C271,3)="MEX",O271*10000*HLOOKUP("PTAX",'Histórico'!$A$1:$FG$983,MATCH(B271,'Histórico'!A:A),FALSE),
IF(LEFT(C271,3)="CHL",O271*10000*HLOOKUP("PTAX",'Histórico'!$A$1:$FG$983,MATCH(B271,'Histórico'!A:A),FALSE)
)))))))))))))))))))))))),""))</f>
        <v/>
      </c>
      <c r="O271" s="49" t="str">
        <f t="shared" si="2"/>
        <v/>
      </c>
      <c r="P271" s="49" t="str">
        <f t="shared" si="5"/>
        <v/>
      </c>
      <c r="Q271" s="51" t="str">
        <f>IF($C271&lt;&gt;"",SUMIFS($O$3:$O$401, $C$3:$C$401 ,$C271,$B$3:$B$401,"&lt;="&amp;Controle!$B$6),"")</f>
        <v/>
      </c>
      <c r="R271" s="51" t="str">
        <f>IF($D271&lt;&gt;"",SUMIFS($O$3:$O$401, $C$3:$C$401 ,$C271,$B$3:$B$401,"&lt;="&amp;Controle!$B$6,$F$3:$F$401,$F271),"")</f>
        <v/>
      </c>
      <c r="S271" s="51" t="str">
        <f>IF($D271&lt;&gt;"",SUMIFS($O$3:$O$401, $C$3:$C$401 ,$C271,$B$3:$B$401,"&lt;="&amp;'Controle D-1'!$B$6,$F$3:$F$401,$F271),"")</f>
        <v/>
      </c>
      <c r="T271" s="40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146"/>
      <c r="B272" s="149"/>
      <c r="C272" s="150"/>
      <c r="D272" s="150" t="str">
        <f>IF(ISTEXT(C272),VLOOKUP(C272,'Cadastro dos Ativos'!$A$2:$C$1000,3,0),"")</f>
        <v/>
      </c>
      <c r="E272" s="150"/>
      <c r="F272" s="150"/>
      <c r="G272" s="151"/>
      <c r="H272" s="46" t="str">
        <f>if($D272="Ações Americanas", HLOOKUP("PTAX",'Histórico'!$A$1:$EL$983,(MATCH(B272,'Histórico'!A:A))-1,""),
if($D272="Ações Europeias", HLOOKUP("EUR/BRL",'Histórico'!$A$1:$EL$983,(MATCH(B272,'Histórico'!A:A))-1,""),""))</f>
        <v/>
      </c>
      <c r="I272" s="150" t="str">
        <f t="array" ref="I272">IF(ISTEXT(C272),xlookup(C272,'Cadastro dos Ativos'!$A$2:$A$1000,'Cadastro dos Ativos'!$D$2:$D$1000),"")</f>
        <v/>
      </c>
      <c r="J272" s="150"/>
      <c r="K272" s="47" t="str">
        <f t="array" ref="K272">if(and(J272&lt;&gt;"",D272&lt;&gt;"Futuros"),
if(F272=Controle!$C$2, M272/xlookup(workday(B272,-1,Feriados!A:A),Controle!$B$10:$B$1000,Controle!$C$10:$C$1000),
if(F272=Controle!$F$2, M272/xlookup(workday(B272,-1,Feriados!A:A),Controle!$B$10:$B$1000,Controle!$F$10:$F$1000),
if(F272=Controle!$I$2, M272/xlookup(workday(B272,-1,Feriados!A:A),Controle!$B$10:$B$1000,Controle!$I$10:$I$1000),
if(F272=Controle!$L$2, M272/xlookup(workday(B272,-1,Feriados!A:A),Controle!$B$10:$B$1000,Controle!$L$10:$L$1000),
)))),
if(and(J272&lt;&gt;"",D272="Futuros"),
if(F272=Controle!$C$2, N272/xlookup(workday(B272,-1,Feriados!A:A),Controle!$B$10:$B$1000,Controle!$C$10:$C$1000),
if(F272=Controle!$F$2, N272/xlookup(workday(B272,-1,Feriados!A:A),Controle!$B$10:$B$1000,Controle!$F$10:$F$1000),
if(F272=Controle!$I$2, N272/xlookup(workday(B272,-1,Feriados!A:A),Controle!$B$10:$B$1000,Controle!$I$10:$I$1000),
if(F272=Controle!$L$2, N272/xlookup(workday(B272,-1,Feriados!A:A),Controle!$B$10:$B$1000,Controle!$L$10:$L$1000),
)))),""))</f>
        <v/>
      </c>
      <c r="L272" s="47" t="str">
        <f t="array" ref="L272">IF($J272&lt;&gt;"", IF($D272 = "Futuros" , $N272/xlookup(WORKDAY(B272,-1,Feriados!A:A),Controle!$B$10:$B$1000,Controle!$T$10:$T$1000) , $M272/xlookup(WORKDAY(B272,-1,Feriados!A:A),Controle!$B$10:$B$1000,Controle!$T$10:$T$1000)),"")</f>
        <v/>
      </c>
      <c r="M272" s="48" t="str">
        <f t="shared" si="4"/>
        <v/>
      </c>
      <c r="N272" s="48" t="str">
        <f>IFERROR(IF(D272="Futuros",
IF(LEFT(C272,3)="DI1",G272*O272,
IF(LEFT(C272,3)="ISP",G272*O272*HLOOKUP("PTAX",'Histórico'!$A$1:$EL$983,MATCH(B272,'Histórico'!A:A),FALSE)*50,
IF(LEFT(C272,3)="WDO",10*G272*O272*HLOOKUP("PTAX",'Histórico'!$A$1:$EL$983,MATCH(B272,'Histórico'!A:A),FALSE),
IF(LEFT(C272,3)="DOL",50*G272*O272,
IF(LEFT(C272,3)="EUR",G272*O272*50,
IF(LEFT(C272,3)="WEU",G272*O272*10,
IF(LEFT(C272,3)="IND",G272*O272,
IF(LEFT(C272,3)="WIN",G272*O272*0.2,
IF(LEFT(C272,3)="T10",G272*O272*1000*HLOOKUP("PTAX",'Histórico'!$A$1:$EL$983,MATCH(B272,'Histórico'!A:A),FALSE),
IF(LEFT(C272,3)="CCM",G272*O272*450,
IF(LEFT(C272,3)="SJC",G272*O272*HLOOKUP("PTAX",'Histórico'!$A$1:$EL$983,MATCH(B272,'Histórico'!A:A),FALSE)*450,
IF(LEFT(C272,3)="BGI",G272*O272*330,
IF(LEFT(C272,3)="OZ1",G272*O272*250,
IF(LEFT(C272,3)="CLP",G272*O272*25,
IF(LEFT(C272,3)="EUP", O272*10000*HLOOKUP("EUR/BRL",'Histórico'!$A$1:$EL$983,MATCH(B272,'Histórico'!A:A),FALSE),
IF(LEFT(C272,3)="JSE", G272*O272*0.4,
IF(LEFT(C272,3)="GBP", O272*10000*HLOOKUP("GBP/BRL",'Histórico'!$A$1:$FG$983,MATCH(B272,'Histórico'!A:A),FALSE),
IF(LEFT(C272,3)="JAP",O272*10000*HLOOKUP("PTAX",'Histórico'!$A$1:$FG$983,MATCH(B272,'Histórico'!A:A),FALSE),
IF(LEFT(C272,3)="CNH",O272*10000*HLOOKUP("PTAX",'Histórico'!$A$1:$FG$983,MATCH(B272,'Histórico'!A:A),FALSE),
IF(LEFT(C272,3)="AUS",O272*10000*HLOOKUP("PTAX",'Histórico'!$A$1:$FG$983,MATCH(B272,'Histórico'!A:A),FALSE),
IF(LEFT(C272,3)="CAN",O272*10000*HLOOKUP("PTAX",'Histórico'!$A$1:$FG$983,MATCH(B272,'Histórico'!A:A),FALSE),
IF(LEFT(C272,3)="GBR",O272*10000*HLOOKUP("GBP/BRL",'Histórico'!$A$1:$FG$983,MATCH(B272,'Histórico'!A:A),FALSE),
IF(LEFT(C272,3)="MEX",O272*10000*HLOOKUP("PTAX",'Histórico'!$A$1:$FG$983,MATCH(B272,'Histórico'!A:A),FALSE),
IF(LEFT(C272,3)="CHL",O272*10000*HLOOKUP("PTAX",'Histórico'!$A$1:$FG$983,MATCH(B272,'Histórico'!A:A),FALSE)
)))))))))))))))))))))))),""))</f>
        <v/>
      </c>
      <c r="O272" s="49" t="str">
        <f t="shared" si="2"/>
        <v/>
      </c>
      <c r="P272" s="49" t="str">
        <f t="shared" si="5"/>
        <v/>
      </c>
      <c r="Q272" s="51" t="str">
        <f>IF($C272&lt;&gt;"",SUMIFS($O$3:$O$401, $C$3:$C$401 ,$C272,$B$3:$B$401,"&lt;="&amp;Controle!$B$6),"")</f>
        <v/>
      </c>
      <c r="R272" s="51" t="str">
        <f>IF($D272&lt;&gt;"",SUMIFS($O$3:$O$401, $C$3:$C$401 ,$C272,$B$3:$B$401,"&lt;="&amp;Controle!$B$6,$F$3:$F$401,$F272),"")</f>
        <v/>
      </c>
      <c r="S272" s="51" t="str">
        <f>IF($D272&lt;&gt;"",SUMIFS($O$3:$O$401, $C$3:$C$401 ,$C272,$B$3:$B$401,"&lt;="&amp;'Controle D-1'!$B$6,$F$3:$F$401,$F272),"")</f>
        <v/>
      </c>
      <c r="T272" s="40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146"/>
      <c r="B273" s="149"/>
      <c r="C273" s="150"/>
      <c r="D273" s="150" t="str">
        <f>IF(ISTEXT(C273),VLOOKUP(C273,'Cadastro dos Ativos'!$A$2:$C$1000,3,0),"")</f>
        <v/>
      </c>
      <c r="E273" s="150"/>
      <c r="F273" s="150"/>
      <c r="G273" s="151"/>
      <c r="H273" s="101" t="str">
        <f>if($D273="Ações Americanas", HLOOKUP("PTAX",'Histórico'!$A$1:$EL$983,(MATCH(B273,'Histórico'!A:A))-1,""),
if($D273="Ações Europeias", HLOOKUP("EUR/BRL",'Histórico'!$A$1:$EL$983,(MATCH(B273,'Histórico'!A:A))-1,""),""))</f>
        <v/>
      </c>
      <c r="I273" s="150" t="str">
        <f t="array" ref="I273">IF(ISTEXT(C273),xlookup(C273,'Cadastro dos Ativos'!$A$2:$A$1000,'Cadastro dos Ativos'!$D$2:$D$1000),"")</f>
        <v/>
      </c>
      <c r="J273" s="150"/>
      <c r="K273" s="47" t="str">
        <f t="array" ref="K273">if(and(J273&lt;&gt;"",D273&lt;&gt;"Futuros"),
if(F273=Controle!$C$2, M273/xlookup(workday(B273,-1,Feriados!A:A),Controle!$B$10:$B$1000,Controle!$C$10:$C$1000),
if(F273=Controle!$F$2, M273/xlookup(workday(B273,-1,Feriados!A:A),Controle!$B$10:$B$1000,Controle!$F$10:$F$1000),
if(F273=Controle!$I$2, M273/xlookup(workday(B273,-1,Feriados!A:A),Controle!$B$10:$B$1000,Controle!$I$10:$I$1000),
if(F273=Controle!$L$2, M273/xlookup(workday(B273,-1,Feriados!A:A),Controle!$B$10:$B$1000,Controle!$L$10:$L$1000),
)))),
if(and(J273&lt;&gt;"",D273="Futuros"),
if(F273=Controle!$C$2, N273/xlookup(workday(B273,-1,Feriados!A:A),Controle!$B$10:$B$1000,Controle!$C$10:$C$1000),
if(F273=Controle!$F$2, N273/xlookup(workday(B273,-1,Feriados!A:A),Controle!$B$10:$B$1000,Controle!$F$10:$F$1000),
if(F273=Controle!$I$2, N273/xlookup(workday(B273,-1,Feriados!A:A),Controle!$B$10:$B$1000,Controle!$I$10:$I$1000),
if(F273=Controle!$L$2, N273/xlookup(workday(B273,-1,Feriados!A:A),Controle!$B$10:$B$1000,Controle!$L$10:$L$1000),
)))),""))</f>
        <v/>
      </c>
      <c r="L273" s="47" t="str">
        <f t="array" ref="L273">IF($J273&lt;&gt;"", IF($D273 = "Futuros" , $N273/xlookup(WORKDAY(B273,-1,Feriados!A:A),Controle!$B$10:$B$1000,Controle!$T$10:$T$1000) , $M273/xlookup(WORKDAY(B273,-1,Feriados!A:A),Controle!$B$10:$B$1000,Controle!$T$10:$T$1000)),"")</f>
        <v/>
      </c>
      <c r="M273" s="48" t="str">
        <f t="shared" si="4"/>
        <v/>
      </c>
      <c r="N273" s="48" t="str">
        <f>IFERROR(IF(D273="Futuros",
IF(LEFT(C273,3)="DI1",G273*O273,
IF(LEFT(C273,3)="ISP",G273*O273*HLOOKUP("PTAX",'Histórico'!$A$1:$EL$983,MATCH(B273,'Histórico'!A:A),FALSE)*50,
IF(LEFT(C273,3)="WDO",10*G273*O273*HLOOKUP("PTAX",'Histórico'!$A$1:$EL$983,MATCH(B273,'Histórico'!A:A),FALSE),
IF(LEFT(C273,3)="DOL",50*G273*O273,
IF(LEFT(C273,3)="EUR",G273*O273*50,
IF(LEFT(C273,3)="WEU",G273*O273*10,
IF(LEFT(C273,3)="IND",G273*O273,
IF(LEFT(C273,3)="WIN",G273*O273*0.2,
IF(LEFT(C273,3)="T10",G273*O273*1000*HLOOKUP("PTAX",'Histórico'!$A$1:$EL$983,MATCH(B273,'Histórico'!A:A),FALSE),
IF(LEFT(C273,3)="CCM",G273*O273*450,
IF(LEFT(C273,3)="SJC",G273*O273*HLOOKUP("PTAX",'Histórico'!$A$1:$EL$983,MATCH(B273,'Histórico'!A:A),FALSE)*450,
IF(LEFT(C273,3)="BGI",G273*O273*330,
IF(LEFT(C273,3)="OZ1",G273*O273*250,
IF(LEFT(C273,3)="CLP",G273*O273*25,
IF(LEFT(C273,3)="EUP", O273*10000*HLOOKUP("EUR/BRL",'Histórico'!$A$1:$EL$983,MATCH(B273,'Histórico'!A:A),FALSE),
IF(LEFT(C273,3)="JSE", G273*O273*0.4,
IF(LEFT(C273,3)="GBP", O273*10000*HLOOKUP("GBP/BRL",'Histórico'!$A$1:$FG$983,MATCH(B273,'Histórico'!A:A),FALSE),
IF(LEFT(C273,3)="JAP",O273*10000*HLOOKUP("PTAX",'Histórico'!$A$1:$FG$983,MATCH(B273,'Histórico'!A:A),FALSE),
IF(LEFT(C273,3)="CNH",O273*10000*HLOOKUP("PTAX",'Histórico'!$A$1:$FG$983,MATCH(B273,'Histórico'!A:A),FALSE),
IF(LEFT(C273,3)="AUS",O273*10000*HLOOKUP("PTAX",'Histórico'!$A$1:$FG$983,MATCH(B273,'Histórico'!A:A),FALSE),
IF(LEFT(C273,3)="CAN",O273*10000*HLOOKUP("PTAX",'Histórico'!$A$1:$FG$983,MATCH(B273,'Histórico'!A:A),FALSE),
IF(LEFT(C273,3)="GBR",O273*10000*HLOOKUP("GBP/BRL",'Histórico'!$A$1:$FG$983,MATCH(B273,'Histórico'!A:A),FALSE),
IF(LEFT(C273,3)="MEX",O273*10000*HLOOKUP("PTAX",'Histórico'!$A$1:$FG$983,MATCH(B273,'Histórico'!A:A),FALSE),
IF(LEFT(C273,3)="CHL",O273*10000*HLOOKUP("PTAX",'Histórico'!$A$1:$FG$983,MATCH(B273,'Histórico'!A:A),FALSE)
)))))))))))))))))))))))),""))</f>
        <v/>
      </c>
      <c r="O273" s="49" t="str">
        <f t="shared" si="2"/>
        <v/>
      </c>
      <c r="P273" s="49" t="str">
        <f t="shared" si="5"/>
        <v/>
      </c>
      <c r="Q273" s="51" t="str">
        <f>IF($C273&lt;&gt;"",SUMIFS($O$3:$O$401, $C$3:$C$401 ,$C273,$B$3:$B$401,"&lt;="&amp;Controle!$B$6),"")</f>
        <v/>
      </c>
      <c r="R273" s="51" t="str">
        <f>IF($D273&lt;&gt;"",SUMIFS($O$3:$O$401, $C$3:$C$401 ,$C273,$B$3:$B$401,"&lt;="&amp;Controle!$B$6,$F$3:$F$401,$F273),"")</f>
        <v/>
      </c>
      <c r="S273" s="51" t="str">
        <f>IF($D273&lt;&gt;"",SUMIFS($O$3:$O$401, $C$3:$C$401 ,$C273,$B$3:$B$401,"&lt;="&amp;'Controle D-1'!$B$6,$F$3:$F$401,$F273),"")</f>
        <v/>
      </c>
      <c r="T273" s="40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146"/>
      <c r="B274" s="149"/>
      <c r="C274" s="150"/>
      <c r="D274" s="150" t="str">
        <f>IF(ISTEXT(C274),VLOOKUP(C274,'Cadastro dos Ativos'!$A$2:$C$1000,3,0),"")</f>
        <v/>
      </c>
      <c r="E274" s="150"/>
      <c r="F274" s="150"/>
      <c r="G274" s="151"/>
      <c r="H274" s="46" t="str">
        <f>if($D274="Ações Americanas", HLOOKUP("PTAX",'Histórico'!$A$1:$EL$983,(MATCH(B274,'Histórico'!A:A))-1,""),
if($D274="Ações Europeias", HLOOKUP("EUR/BRL",'Histórico'!$A$1:$EL$983,(MATCH(B274,'Histórico'!A:A))-1,""),""))</f>
        <v/>
      </c>
      <c r="I274" s="150" t="str">
        <f t="array" ref="I274">IF(ISTEXT(C274),xlookup(C274,'Cadastro dos Ativos'!$A$2:$A$1000,'Cadastro dos Ativos'!$D$2:$D$1000),"")</f>
        <v/>
      </c>
      <c r="J274" s="150"/>
      <c r="K274" s="47" t="str">
        <f t="array" ref="K274">if(and(J274&lt;&gt;"",D274&lt;&gt;"Futuros"),
if(F274=Controle!$C$2, M274/xlookup(workday(B274,-1,Feriados!A:A),Controle!$B$10:$B$1000,Controle!$C$10:$C$1000),
if(F274=Controle!$F$2, M274/xlookup(workday(B274,-1,Feriados!A:A),Controle!$B$10:$B$1000,Controle!$F$10:$F$1000),
if(F274=Controle!$I$2, M274/xlookup(workday(B274,-1,Feriados!A:A),Controle!$B$10:$B$1000,Controle!$I$10:$I$1000),
if(F274=Controle!$L$2, M274/xlookup(workday(B274,-1,Feriados!A:A),Controle!$B$10:$B$1000,Controle!$L$10:$L$1000),
)))),
if(and(J274&lt;&gt;"",D274="Futuros"),
if(F274=Controle!$C$2, N274/xlookup(workday(B274,-1,Feriados!A:A),Controle!$B$10:$B$1000,Controle!$C$10:$C$1000),
if(F274=Controle!$F$2, N274/xlookup(workday(B274,-1,Feriados!A:A),Controle!$B$10:$B$1000,Controle!$F$10:$F$1000),
if(F274=Controle!$I$2, N274/xlookup(workday(B274,-1,Feriados!A:A),Controle!$B$10:$B$1000,Controle!$I$10:$I$1000),
if(F274=Controle!$L$2, N274/xlookup(workday(B274,-1,Feriados!A:A),Controle!$B$10:$B$1000,Controle!$L$10:$L$1000),
)))),""))</f>
        <v/>
      </c>
      <c r="L274" s="47" t="str">
        <f t="array" ref="L274">IF($J274&lt;&gt;"", IF($D274 = "Futuros" , $N274/xlookup(WORKDAY(B274,-1,Feriados!A:A),Controle!$B$10:$B$1000,Controle!$T$10:$T$1000) , $M274/xlookup(WORKDAY(B274,-1,Feriados!A:A),Controle!$B$10:$B$1000,Controle!$T$10:$T$1000)),"")</f>
        <v/>
      </c>
      <c r="M274" s="48" t="str">
        <f t="shared" si="4"/>
        <v/>
      </c>
      <c r="N274" s="48" t="str">
        <f>IFERROR(IF(D274="Futuros",
IF(LEFT(C274,3)="DI1",G274*O274,
IF(LEFT(C274,3)="ISP",G274*O274*HLOOKUP("PTAX",'Histórico'!$A$1:$EL$983,MATCH(B274,'Histórico'!A:A),FALSE)*50,
IF(LEFT(C274,3)="WDO",10*G274*O274*HLOOKUP("PTAX",'Histórico'!$A$1:$EL$983,MATCH(B274,'Histórico'!A:A),FALSE),
IF(LEFT(C274,3)="DOL",50*G274*O274,
IF(LEFT(C274,3)="EUR",G274*O274*50,
IF(LEFT(C274,3)="WEU",G274*O274*10,
IF(LEFT(C274,3)="IND",G274*O274,
IF(LEFT(C274,3)="WIN",G274*O274*0.2,
IF(LEFT(C274,3)="T10",G274*O274*1000*HLOOKUP("PTAX",'Histórico'!$A$1:$EL$983,MATCH(B274,'Histórico'!A:A),FALSE),
IF(LEFT(C274,3)="CCM",G274*O274*450,
IF(LEFT(C274,3)="SJC",G274*O274*HLOOKUP("PTAX",'Histórico'!$A$1:$EL$983,MATCH(B274,'Histórico'!A:A),FALSE)*450,
IF(LEFT(C274,3)="BGI",G274*O274*330,
IF(LEFT(C274,3)="OZ1",G274*O274*250,
IF(LEFT(C274,3)="CLP",G274*O274*25,
IF(LEFT(C274,3)="EUP", O274*10000*HLOOKUP("EUR/BRL",'Histórico'!$A$1:$EL$983,MATCH(B274,'Histórico'!A:A),FALSE),
IF(LEFT(C274,3)="JSE", G274*O274*0.4,
IF(LEFT(C274,3)="GBP", O274*10000*HLOOKUP("GBP/BRL",'Histórico'!$A$1:$FG$983,MATCH(B274,'Histórico'!A:A),FALSE),
IF(LEFT(C274,3)="JAP",O274*10000*HLOOKUP("PTAX",'Histórico'!$A$1:$FG$983,MATCH(B274,'Histórico'!A:A),FALSE),
IF(LEFT(C274,3)="CNH",O274*10000*HLOOKUP("PTAX",'Histórico'!$A$1:$FG$983,MATCH(B274,'Histórico'!A:A),FALSE),
IF(LEFT(C274,3)="AUS",O274*10000*HLOOKUP("PTAX",'Histórico'!$A$1:$FG$983,MATCH(B274,'Histórico'!A:A),FALSE),
IF(LEFT(C274,3)="CAN",O274*10000*HLOOKUP("PTAX",'Histórico'!$A$1:$FG$983,MATCH(B274,'Histórico'!A:A),FALSE),
IF(LEFT(C274,3)="GBR",O274*10000*HLOOKUP("GBP/BRL",'Histórico'!$A$1:$FG$983,MATCH(B274,'Histórico'!A:A),FALSE),
IF(LEFT(C274,3)="MEX",O274*10000*HLOOKUP("PTAX",'Histórico'!$A$1:$FG$983,MATCH(B274,'Histórico'!A:A),FALSE),
IF(LEFT(C274,3)="CHL",O274*10000*HLOOKUP("PTAX",'Histórico'!$A$1:$FG$983,MATCH(B274,'Histórico'!A:A),FALSE)
)))))))))))))))))))))))),""))</f>
        <v/>
      </c>
      <c r="O274" s="49" t="str">
        <f t="shared" si="2"/>
        <v/>
      </c>
      <c r="P274" s="49" t="str">
        <f t="shared" si="5"/>
        <v/>
      </c>
      <c r="Q274" s="51" t="str">
        <f>IF($C274&lt;&gt;"",SUMIFS($O$3:$O$401, $C$3:$C$401 ,$C274,$B$3:$B$401,"&lt;="&amp;Controle!$B$6),"")</f>
        <v/>
      </c>
      <c r="R274" s="51" t="str">
        <f>IF($D274&lt;&gt;"",SUMIFS($O$3:$O$401, $C$3:$C$401 ,$C274,$B$3:$B$401,"&lt;="&amp;Controle!$B$6,$F$3:$F$401,$F274),"")</f>
        <v/>
      </c>
      <c r="S274" s="51" t="str">
        <f>IF($D274&lt;&gt;"",SUMIFS($O$3:$O$401, $C$3:$C$401 ,$C274,$B$3:$B$401,"&lt;="&amp;'Controle D-1'!$B$6,$F$3:$F$401,$F274),"")</f>
        <v/>
      </c>
      <c r="T274" s="40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146"/>
      <c r="B275" s="149"/>
      <c r="C275" s="150"/>
      <c r="D275" s="150" t="str">
        <f>IF(ISTEXT(C275),VLOOKUP(C275,'Cadastro dos Ativos'!$A$2:$C$1000,3,0),"")</f>
        <v/>
      </c>
      <c r="E275" s="150"/>
      <c r="F275" s="150"/>
      <c r="G275" s="151"/>
      <c r="H275" s="101" t="str">
        <f>if($D275="Ações Americanas", HLOOKUP("PTAX",'Histórico'!$A$1:$EL$983,(MATCH(B275,'Histórico'!A:A))-1,""),
if($D275="Ações Europeias", HLOOKUP("EUR/BRL",'Histórico'!$A$1:$EL$983,(MATCH(B275,'Histórico'!A:A))-1,""),""))</f>
        <v/>
      </c>
      <c r="I275" s="150" t="str">
        <f t="array" ref="I275">IF(ISTEXT(C275),xlookup(C275,'Cadastro dos Ativos'!$A$2:$A$1000,'Cadastro dos Ativos'!$D$2:$D$1000),"")</f>
        <v/>
      </c>
      <c r="J275" s="150"/>
      <c r="K275" s="47" t="str">
        <f t="array" ref="K275">if(and(J275&lt;&gt;"",D275&lt;&gt;"Futuros"),
if(F275=Controle!$C$2, M275/xlookup(workday(B275,-1,Feriados!A:A),Controle!$B$10:$B$1000,Controle!$C$10:$C$1000),
if(F275=Controle!$F$2, M275/xlookup(workday(B275,-1,Feriados!A:A),Controle!$B$10:$B$1000,Controle!$F$10:$F$1000),
if(F275=Controle!$I$2, M275/xlookup(workday(B275,-1,Feriados!A:A),Controle!$B$10:$B$1000,Controle!$I$10:$I$1000),
if(F275=Controle!$L$2, M275/xlookup(workday(B275,-1,Feriados!A:A),Controle!$B$10:$B$1000,Controle!$L$10:$L$1000),
)))),
if(and(J275&lt;&gt;"",D275="Futuros"),
if(F275=Controle!$C$2, N275/xlookup(workday(B275,-1,Feriados!A:A),Controle!$B$10:$B$1000,Controle!$C$10:$C$1000),
if(F275=Controle!$F$2, N275/xlookup(workday(B275,-1,Feriados!A:A),Controle!$B$10:$B$1000,Controle!$F$10:$F$1000),
if(F275=Controle!$I$2, N275/xlookup(workday(B275,-1,Feriados!A:A),Controle!$B$10:$B$1000,Controle!$I$10:$I$1000),
if(F275=Controle!$L$2, N275/xlookup(workday(B275,-1,Feriados!A:A),Controle!$B$10:$B$1000,Controle!$L$10:$L$1000),
)))),""))</f>
        <v/>
      </c>
      <c r="L275" s="47" t="str">
        <f t="array" ref="L275">IF($J275&lt;&gt;"", IF($D275 = "Futuros" , $N275/xlookup(WORKDAY(B275,-1,Feriados!A:A),Controle!$B$10:$B$1000,Controle!$T$10:$T$1000) , $M275/xlookup(WORKDAY(B275,-1,Feriados!A:A),Controle!$B$10:$B$1000,Controle!$T$10:$T$1000)),"")</f>
        <v/>
      </c>
      <c r="M275" s="48" t="str">
        <f t="shared" si="4"/>
        <v/>
      </c>
      <c r="N275" s="48" t="str">
        <f>IFERROR(IF(D275="Futuros",
IF(LEFT(C275,3)="DI1",G275*O275,
IF(LEFT(C275,3)="ISP",G275*O275*HLOOKUP("PTAX",'Histórico'!$A$1:$EL$983,MATCH(B275,'Histórico'!A:A),FALSE)*50,
IF(LEFT(C275,3)="WDO",10*G275*O275*HLOOKUP("PTAX",'Histórico'!$A$1:$EL$983,MATCH(B275,'Histórico'!A:A),FALSE),
IF(LEFT(C275,3)="DOL",50*G275*O275,
IF(LEFT(C275,3)="EUR",G275*O275*50,
IF(LEFT(C275,3)="WEU",G275*O275*10,
IF(LEFT(C275,3)="IND",G275*O275,
IF(LEFT(C275,3)="WIN",G275*O275*0.2,
IF(LEFT(C275,3)="T10",G275*O275*1000*HLOOKUP("PTAX",'Histórico'!$A$1:$EL$983,MATCH(B275,'Histórico'!A:A),FALSE),
IF(LEFT(C275,3)="CCM",G275*O275*450,
IF(LEFT(C275,3)="SJC",G275*O275*HLOOKUP("PTAX",'Histórico'!$A$1:$EL$983,MATCH(B275,'Histórico'!A:A),FALSE)*450,
IF(LEFT(C275,3)="BGI",G275*O275*330,
IF(LEFT(C275,3)="OZ1",G275*O275*250,
IF(LEFT(C275,3)="CLP",G275*O275*25,
IF(LEFT(C275,3)="EUP", O275*10000*HLOOKUP("EUR/BRL",'Histórico'!$A$1:$EL$983,MATCH(B275,'Histórico'!A:A),FALSE),
IF(LEFT(C275,3)="JSE", G275*O275*0.4,
IF(LEFT(C275,3)="GBP", O275*10000*HLOOKUP("GBP/BRL",'Histórico'!$A$1:$FG$983,MATCH(B275,'Histórico'!A:A),FALSE),
IF(LEFT(C275,3)="JAP",O275*10000*HLOOKUP("PTAX",'Histórico'!$A$1:$FG$983,MATCH(B275,'Histórico'!A:A),FALSE),
IF(LEFT(C275,3)="CNH",O275*10000*HLOOKUP("PTAX",'Histórico'!$A$1:$FG$983,MATCH(B275,'Histórico'!A:A),FALSE),
IF(LEFT(C275,3)="AUS",O275*10000*HLOOKUP("PTAX",'Histórico'!$A$1:$FG$983,MATCH(B275,'Histórico'!A:A),FALSE),
IF(LEFT(C275,3)="CAN",O275*10000*HLOOKUP("PTAX",'Histórico'!$A$1:$FG$983,MATCH(B275,'Histórico'!A:A),FALSE),
IF(LEFT(C275,3)="GBR",O275*10000*HLOOKUP("GBP/BRL",'Histórico'!$A$1:$FG$983,MATCH(B275,'Histórico'!A:A),FALSE),
IF(LEFT(C275,3)="MEX",O275*10000*HLOOKUP("PTAX",'Histórico'!$A$1:$FG$983,MATCH(B275,'Histórico'!A:A),FALSE),
IF(LEFT(C275,3)="CHL",O275*10000*HLOOKUP("PTAX",'Histórico'!$A$1:$FG$983,MATCH(B275,'Histórico'!A:A),FALSE)
)))))))))))))))))))))))),""))</f>
        <v/>
      </c>
      <c r="O275" s="49" t="str">
        <f t="shared" si="2"/>
        <v/>
      </c>
      <c r="P275" s="49" t="str">
        <f t="shared" si="5"/>
        <v/>
      </c>
      <c r="Q275" s="51" t="str">
        <f>IF($C275&lt;&gt;"",SUMIFS($O$3:$O$401, $C$3:$C$401 ,$C275,$B$3:$B$401,"&lt;="&amp;Controle!$B$6),"")</f>
        <v/>
      </c>
      <c r="R275" s="51" t="str">
        <f>IF($D275&lt;&gt;"",SUMIFS($O$3:$O$401, $C$3:$C$401 ,$C275,$B$3:$B$401,"&lt;="&amp;Controle!$B$6,$F$3:$F$401,$F275),"")</f>
        <v/>
      </c>
      <c r="S275" s="51" t="str">
        <f>IF($D275&lt;&gt;"",SUMIFS($O$3:$O$401, $C$3:$C$401 ,$C275,$B$3:$B$401,"&lt;="&amp;'Controle D-1'!$B$6,$F$3:$F$401,$F275),"")</f>
        <v/>
      </c>
      <c r="T275" s="40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146"/>
      <c r="B276" s="149"/>
      <c r="C276" s="150"/>
      <c r="D276" s="150" t="str">
        <f>IF(ISTEXT(C276),VLOOKUP(C276,'Cadastro dos Ativos'!$A$2:$C$1000,3,0),"")</f>
        <v/>
      </c>
      <c r="E276" s="150"/>
      <c r="F276" s="150"/>
      <c r="G276" s="151"/>
      <c r="H276" s="46" t="str">
        <f>if($D276="Ações Americanas", HLOOKUP("PTAX",'Histórico'!$A$1:$EL$983,(MATCH(B276,'Histórico'!A:A))-1,""),
if($D276="Ações Europeias", HLOOKUP("EUR/BRL",'Histórico'!$A$1:$EL$983,(MATCH(B276,'Histórico'!A:A))-1,""),""))</f>
        <v/>
      </c>
      <c r="I276" s="150" t="str">
        <f t="array" ref="I276">IF(ISTEXT(C276),xlookup(C276,'Cadastro dos Ativos'!$A$2:$A$1000,'Cadastro dos Ativos'!$D$2:$D$1000),"")</f>
        <v/>
      </c>
      <c r="J276" s="150"/>
      <c r="K276" s="47" t="str">
        <f t="array" ref="K276">if(and(J276&lt;&gt;"",D276&lt;&gt;"Futuros"),
if(F276=Controle!$C$2, M276/xlookup(workday(B276,-1,Feriados!A:A),Controle!$B$10:$B$1000,Controle!$C$10:$C$1000),
if(F276=Controle!$F$2, M276/xlookup(workday(B276,-1,Feriados!A:A),Controle!$B$10:$B$1000,Controle!$F$10:$F$1000),
if(F276=Controle!$I$2, M276/xlookup(workday(B276,-1,Feriados!A:A),Controle!$B$10:$B$1000,Controle!$I$10:$I$1000),
if(F276=Controle!$L$2, M276/xlookup(workday(B276,-1,Feriados!A:A),Controle!$B$10:$B$1000,Controle!$L$10:$L$1000),
)))),
if(and(J276&lt;&gt;"",D276="Futuros"),
if(F276=Controle!$C$2, N276/xlookup(workday(B276,-1,Feriados!A:A),Controle!$B$10:$B$1000,Controle!$C$10:$C$1000),
if(F276=Controle!$F$2, N276/xlookup(workday(B276,-1,Feriados!A:A),Controle!$B$10:$B$1000,Controle!$F$10:$F$1000),
if(F276=Controle!$I$2, N276/xlookup(workday(B276,-1,Feriados!A:A),Controle!$B$10:$B$1000,Controle!$I$10:$I$1000),
if(F276=Controle!$L$2, N276/xlookup(workday(B276,-1,Feriados!A:A),Controle!$B$10:$B$1000,Controle!$L$10:$L$1000),
)))),""))</f>
        <v/>
      </c>
      <c r="L276" s="47" t="str">
        <f t="array" ref="L276">IF($J276&lt;&gt;"", IF($D276 = "Futuros" , $N276/xlookup(WORKDAY(B276,-1,Feriados!A:A),Controle!$B$10:$B$1000,Controle!$T$10:$T$1000) , $M276/xlookup(WORKDAY(B276,-1,Feriados!A:A),Controle!$B$10:$B$1000,Controle!$T$10:$T$1000)),"")</f>
        <v/>
      </c>
      <c r="M276" s="48" t="str">
        <f t="shared" si="4"/>
        <v/>
      </c>
      <c r="N276" s="48" t="str">
        <f>IFERROR(IF(D276="Futuros",
IF(LEFT(C276,3)="DI1",G276*O276,
IF(LEFT(C276,3)="ISP",G276*O276*HLOOKUP("PTAX",'Histórico'!$A$1:$EL$983,MATCH(B276,'Histórico'!A:A),FALSE)*50,
IF(LEFT(C276,3)="WDO",10*G276*O276*HLOOKUP("PTAX",'Histórico'!$A$1:$EL$983,MATCH(B276,'Histórico'!A:A),FALSE),
IF(LEFT(C276,3)="DOL",50*G276*O276,
IF(LEFT(C276,3)="EUR",G276*O276*50,
IF(LEFT(C276,3)="WEU",G276*O276*10,
IF(LEFT(C276,3)="IND",G276*O276,
IF(LEFT(C276,3)="WIN",G276*O276*0.2,
IF(LEFT(C276,3)="T10",G276*O276*1000*HLOOKUP("PTAX",'Histórico'!$A$1:$EL$983,MATCH(B276,'Histórico'!A:A),FALSE),
IF(LEFT(C276,3)="CCM",G276*O276*450,
IF(LEFT(C276,3)="SJC",G276*O276*HLOOKUP("PTAX",'Histórico'!$A$1:$EL$983,MATCH(B276,'Histórico'!A:A),FALSE)*450,
IF(LEFT(C276,3)="BGI",G276*O276*330,
IF(LEFT(C276,3)="OZ1",G276*O276*250,
IF(LEFT(C276,3)="CLP",G276*O276*25,
IF(LEFT(C276,3)="EUP", O276*10000*HLOOKUP("EUR/BRL",'Histórico'!$A$1:$EL$983,MATCH(B276,'Histórico'!A:A),FALSE),
IF(LEFT(C276,3)="JSE", G276*O276*0.4,
IF(LEFT(C276,3)="GBP", O276*10000*HLOOKUP("GBP/BRL",'Histórico'!$A$1:$FG$983,MATCH(B276,'Histórico'!A:A),FALSE),
IF(LEFT(C276,3)="JAP",O276*10000*HLOOKUP("PTAX",'Histórico'!$A$1:$FG$983,MATCH(B276,'Histórico'!A:A),FALSE),
IF(LEFT(C276,3)="CNH",O276*10000*HLOOKUP("PTAX",'Histórico'!$A$1:$FG$983,MATCH(B276,'Histórico'!A:A),FALSE),
IF(LEFT(C276,3)="AUS",O276*10000*HLOOKUP("PTAX",'Histórico'!$A$1:$FG$983,MATCH(B276,'Histórico'!A:A),FALSE),
IF(LEFT(C276,3)="CAN",O276*10000*HLOOKUP("PTAX",'Histórico'!$A$1:$FG$983,MATCH(B276,'Histórico'!A:A),FALSE),
IF(LEFT(C276,3)="GBR",O276*10000*HLOOKUP("GBP/BRL",'Histórico'!$A$1:$FG$983,MATCH(B276,'Histórico'!A:A),FALSE),
IF(LEFT(C276,3)="MEX",O276*10000*HLOOKUP("PTAX",'Histórico'!$A$1:$FG$983,MATCH(B276,'Histórico'!A:A),FALSE),
IF(LEFT(C276,3)="CHL",O276*10000*HLOOKUP("PTAX",'Histórico'!$A$1:$FG$983,MATCH(B276,'Histórico'!A:A),FALSE)
)))))))))))))))))))))))),""))</f>
        <v/>
      </c>
      <c r="O276" s="49" t="str">
        <f t="shared" si="2"/>
        <v/>
      </c>
      <c r="P276" s="49" t="str">
        <f t="shared" si="5"/>
        <v/>
      </c>
      <c r="Q276" s="51" t="str">
        <f>IF($C276&lt;&gt;"",SUMIFS($O$3:$O$401, $C$3:$C$401 ,$C276,$B$3:$B$401,"&lt;="&amp;Controle!$B$6),"")</f>
        <v/>
      </c>
      <c r="R276" s="51" t="str">
        <f>IF($D276&lt;&gt;"",SUMIFS($O$3:$O$401, $C$3:$C$401 ,$C276,$B$3:$B$401,"&lt;="&amp;Controle!$B$6,$F$3:$F$401,$F276),"")</f>
        <v/>
      </c>
      <c r="S276" s="51" t="str">
        <f>IF($D276&lt;&gt;"",SUMIFS($O$3:$O$401, $C$3:$C$401 ,$C276,$B$3:$B$401,"&lt;="&amp;'Controle D-1'!$B$6,$F$3:$F$401,$F276),"")</f>
        <v/>
      </c>
      <c r="T276" s="40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146"/>
      <c r="B277" s="149"/>
      <c r="C277" s="150"/>
      <c r="D277" s="150" t="str">
        <f>IF(ISTEXT(C277),VLOOKUP(C277,'Cadastro dos Ativos'!$A$2:$C$1000,3,0),"")</f>
        <v/>
      </c>
      <c r="E277" s="150"/>
      <c r="F277" s="150"/>
      <c r="G277" s="151"/>
      <c r="H277" s="101" t="str">
        <f>if($D277="Ações Americanas", HLOOKUP("PTAX",'Histórico'!$A$1:$EL$983,(MATCH(B277,'Histórico'!A:A))-1,""),
if($D277="Ações Europeias", HLOOKUP("EUR/BRL",'Histórico'!$A$1:$EL$983,(MATCH(B277,'Histórico'!A:A))-1,""),""))</f>
        <v/>
      </c>
      <c r="I277" s="150" t="str">
        <f t="array" ref="I277">IF(ISTEXT(C277),xlookup(C277,'Cadastro dos Ativos'!$A$2:$A$1000,'Cadastro dos Ativos'!$D$2:$D$1000),"")</f>
        <v/>
      </c>
      <c r="J277" s="150"/>
      <c r="K277" s="47" t="str">
        <f t="array" ref="K277">if(and(J277&lt;&gt;"",D277&lt;&gt;"Futuros"),
if(F277=Controle!$C$2, M277/xlookup(workday(B277,-1,Feriados!A:A),Controle!$B$10:$B$1000,Controle!$C$10:$C$1000),
if(F277=Controle!$F$2, M277/xlookup(workday(B277,-1,Feriados!A:A),Controle!$B$10:$B$1000,Controle!$F$10:$F$1000),
if(F277=Controle!$I$2, M277/xlookup(workday(B277,-1,Feriados!A:A),Controle!$B$10:$B$1000,Controle!$I$10:$I$1000),
if(F277=Controle!$L$2, M277/xlookup(workday(B277,-1,Feriados!A:A),Controle!$B$10:$B$1000,Controle!$L$10:$L$1000),
)))),
if(and(J277&lt;&gt;"",D277="Futuros"),
if(F277=Controle!$C$2, N277/xlookup(workday(B277,-1,Feriados!A:A),Controle!$B$10:$B$1000,Controle!$C$10:$C$1000),
if(F277=Controle!$F$2, N277/xlookup(workday(B277,-1,Feriados!A:A),Controle!$B$10:$B$1000,Controle!$F$10:$F$1000),
if(F277=Controle!$I$2, N277/xlookup(workday(B277,-1,Feriados!A:A),Controle!$B$10:$B$1000,Controle!$I$10:$I$1000),
if(F277=Controle!$L$2, N277/xlookup(workday(B277,-1,Feriados!A:A),Controle!$B$10:$B$1000,Controle!$L$10:$L$1000),
)))),""))</f>
        <v/>
      </c>
      <c r="L277" s="47" t="str">
        <f t="array" ref="L277">IF($J277&lt;&gt;"", IF($D277 = "Futuros" , $N277/xlookup(WORKDAY(B277,-1,Feriados!A:A),Controle!$B$10:$B$1000,Controle!$T$10:$T$1000) , $M277/xlookup(WORKDAY(B277,-1,Feriados!A:A),Controle!$B$10:$B$1000,Controle!$T$10:$T$1000)),"")</f>
        <v/>
      </c>
      <c r="M277" s="48" t="str">
        <f t="shared" si="4"/>
        <v/>
      </c>
      <c r="N277" s="48" t="str">
        <f>IFERROR(IF(D277="Futuros",
IF(LEFT(C277,3)="DI1",G277*O277,
IF(LEFT(C277,3)="ISP",G277*O277*HLOOKUP("PTAX",'Histórico'!$A$1:$EL$983,MATCH(B277,'Histórico'!A:A),FALSE)*50,
IF(LEFT(C277,3)="WDO",10*G277*O277*HLOOKUP("PTAX",'Histórico'!$A$1:$EL$983,MATCH(B277,'Histórico'!A:A),FALSE),
IF(LEFT(C277,3)="DOL",50*G277*O277,
IF(LEFT(C277,3)="EUR",G277*O277*50,
IF(LEFT(C277,3)="WEU",G277*O277*10,
IF(LEFT(C277,3)="IND",G277*O277,
IF(LEFT(C277,3)="WIN",G277*O277*0.2,
IF(LEFT(C277,3)="T10",G277*O277*1000*HLOOKUP("PTAX",'Histórico'!$A$1:$EL$983,MATCH(B277,'Histórico'!A:A),FALSE),
IF(LEFT(C277,3)="CCM",G277*O277*450,
IF(LEFT(C277,3)="SJC",G277*O277*HLOOKUP("PTAX",'Histórico'!$A$1:$EL$983,MATCH(B277,'Histórico'!A:A),FALSE)*450,
IF(LEFT(C277,3)="BGI",G277*O277*330,
IF(LEFT(C277,3)="OZ1",G277*O277*250,
IF(LEFT(C277,3)="CLP",G277*O277*25,
IF(LEFT(C277,3)="EUP", O277*10000*HLOOKUP("EUR/BRL",'Histórico'!$A$1:$EL$983,MATCH(B277,'Histórico'!A:A),FALSE),
IF(LEFT(C277,3)="JSE", G277*O277*0.4,
IF(LEFT(C277,3)="GBP", O277*10000*HLOOKUP("GBP/BRL",'Histórico'!$A$1:$FG$983,MATCH(B277,'Histórico'!A:A),FALSE),
IF(LEFT(C277,3)="JAP",O277*10000*HLOOKUP("PTAX",'Histórico'!$A$1:$FG$983,MATCH(B277,'Histórico'!A:A),FALSE),
IF(LEFT(C277,3)="CNH",O277*10000*HLOOKUP("PTAX",'Histórico'!$A$1:$FG$983,MATCH(B277,'Histórico'!A:A),FALSE),
IF(LEFT(C277,3)="AUS",O277*10000*HLOOKUP("PTAX",'Histórico'!$A$1:$FG$983,MATCH(B277,'Histórico'!A:A),FALSE),
IF(LEFT(C277,3)="CAN",O277*10000*HLOOKUP("PTAX",'Histórico'!$A$1:$FG$983,MATCH(B277,'Histórico'!A:A),FALSE),
IF(LEFT(C277,3)="GBR",O277*10000*HLOOKUP("GBP/BRL",'Histórico'!$A$1:$FG$983,MATCH(B277,'Histórico'!A:A),FALSE),
IF(LEFT(C277,3)="MEX",O277*10000*HLOOKUP("PTAX",'Histórico'!$A$1:$FG$983,MATCH(B277,'Histórico'!A:A),FALSE),
IF(LEFT(C277,3)="CHL",O277*10000*HLOOKUP("PTAX",'Histórico'!$A$1:$FG$983,MATCH(B277,'Histórico'!A:A),FALSE)
)))))))))))))))))))))))),""))</f>
        <v/>
      </c>
      <c r="O277" s="49" t="str">
        <f t="shared" si="2"/>
        <v/>
      </c>
      <c r="P277" s="49" t="str">
        <f t="shared" si="5"/>
        <v/>
      </c>
      <c r="Q277" s="51" t="str">
        <f>IF($C277&lt;&gt;"",SUMIFS($O$3:$O$401, $C$3:$C$401 ,$C277,$B$3:$B$401,"&lt;="&amp;Controle!$B$6),"")</f>
        <v/>
      </c>
      <c r="R277" s="51" t="str">
        <f>IF($D277&lt;&gt;"",SUMIFS($O$3:$O$401, $C$3:$C$401 ,$C277,$B$3:$B$401,"&lt;="&amp;Controle!$B$6,$F$3:$F$401,$F277),"")</f>
        <v/>
      </c>
      <c r="S277" s="51" t="str">
        <f>IF($D277&lt;&gt;"",SUMIFS($O$3:$O$401, $C$3:$C$401 ,$C277,$B$3:$B$401,"&lt;="&amp;'Controle D-1'!$B$6,$F$3:$F$401,$F277),"")</f>
        <v/>
      </c>
      <c r="T277" s="40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146"/>
      <c r="B278" s="149"/>
      <c r="C278" s="150"/>
      <c r="D278" s="150" t="str">
        <f>IF(ISTEXT(C278),VLOOKUP(C278,'Cadastro dos Ativos'!$A$2:$C$1000,3,0),"")</f>
        <v/>
      </c>
      <c r="E278" s="150"/>
      <c r="F278" s="150"/>
      <c r="G278" s="151"/>
      <c r="H278" s="46" t="str">
        <f>if($D278="Ações Americanas", HLOOKUP("PTAX",'Histórico'!$A$1:$EL$983,(MATCH(B278,'Histórico'!A:A))-1,""),
if($D278="Ações Europeias", HLOOKUP("EUR/BRL",'Histórico'!$A$1:$EL$983,(MATCH(B278,'Histórico'!A:A))-1,""),""))</f>
        <v/>
      </c>
      <c r="I278" s="150" t="str">
        <f t="array" ref="I278">IF(ISTEXT(C278),xlookup(C278,'Cadastro dos Ativos'!$A$2:$A$1000,'Cadastro dos Ativos'!$D$2:$D$1000),"")</f>
        <v/>
      </c>
      <c r="J278" s="150"/>
      <c r="K278" s="47" t="str">
        <f t="array" ref="K278">if(and(J278&lt;&gt;"",D278&lt;&gt;"Futuros"),
if(F278=Controle!$C$2, M278/xlookup(workday(B278,-1,Feriados!A:A),Controle!$B$10:$B$1000,Controle!$C$10:$C$1000),
if(F278=Controle!$F$2, M278/xlookup(workday(B278,-1,Feriados!A:A),Controle!$B$10:$B$1000,Controle!$F$10:$F$1000),
if(F278=Controle!$I$2, M278/xlookup(workday(B278,-1,Feriados!A:A),Controle!$B$10:$B$1000,Controle!$I$10:$I$1000),
if(F278=Controle!$L$2, M278/xlookup(workday(B278,-1,Feriados!A:A),Controle!$B$10:$B$1000,Controle!$L$10:$L$1000),
)))),
if(and(J278&lt;&gt;"",D278="Futuros"),
if(F278=Controle!$C$2, N278/xlookup(workday(B278,-1,Feriados!A:A),Controle!$B$10:$B$1000,Controle!$C$10:$C$1000),
if(F278=Controle!$F$2, N278/xlookup(workday(B278,-1,Feriados!A:A),Controle!$B$10:$B$1000,Controle!$F$10:$F$1000),
if(F278=Controle!$I$2, N278/xlookup(workday(B278,-1,Feriados!A:A),Controle!$B$10:$B$1000,Controle!$I$10:$I$1000),
if(F278=Controle!$L$2, N278/xlookup(workday(B278,-1,Feriados!A:A),Controle!$B$10:$B$1000,Controle!$L$10:$L$1000),
)))),""))</f>
        <v/>
      </c>
      <c r="L278" s="47" t="str">
        <f t="array" ref="L278">IF($J278&lt;&gt;"", IF($D278 = "Futuros" , $N278/xlookup(WORKDAY(B278,-1,Feriados!A:A),Controle!$B$10:$B$1000,Controle!$T$10:$T$1000) , $M278/xlookup(WORKDAY(B278,-1,Feriados!A:A),Controle!$B$10:$B$1000,Controle!$T$10:$T$1000)),"")</f>
        <v/>
      </c>
      <c r="M278" s="48" t="str">
        <f t="shared" si="4"/>
        <v/>
      </c>
      <c r="N278" s="48" t="str">
        <f>IFERROR(IF(D278="Futuros",
IF(LEFT(C278,3)="DI1",G278*O278,
IF(LEFT(C278,3)="ISP",G278*O278*HLOOKUP("PTAX",'Histórico'!$A$1:$EL$983,MATCH(B278,'Histórico'!A:A),FALSE)*50,
IF(LEFT(C278,3)="WDO",10*G278*O278*HLOOKUP("PTAX",'Histórico'!$A$1:$EL$983,MATCH(B278,'Histórico'!A:A),FALSE),
IF(LEFT(C278,3)="DOL",50*G278*O278,
IF(LEFT(C278,3)="EUR",G278*O278*50,
IF(LEFT(C278,3)="WEU",G278*O278*10,
IF(LEFT(C278,3)="IND",G278*O278,
IF(LEFT(C278,3)="WIN",G278*O278*0.2,
IF(LEFT(C278,3)="T10",G278*O278*1000*HLOOKUP("PTAX",'Histórico'!$A$1:$EL$983,MATCH(B278,'Histórico'!A:A),FALSE),
IF(LEFT(C278,3)="CCM",G278*O278*450,
IF(LEFT(C278,3)="SJC",G278*O278*HLOOKUP("PTAX",'Histórico'!$A$1:$EL$983,MATCH(B278,'Histórico'!A:A),FALSE)*450,
IF(LEFT(C278,3)="BGI",G278*O278*330,
IF(LEFT(C278,3)="OZ1",G278*O278*250,
IF(LEFT(C278,3)="CLP",G278*O278*25,
IF(LEFT(C278,3)="EUP", O278*10000*HLOOKUP("EUR/BRL",'Histórico'!$A$1:$EL$983,MATCH(B278,'Histórico'!A:A),FALSE),
IF(LEFT(C278,3)="JSE", G278*O278*0.4,
IF(LEFT(C278,3)="GBP", O278*10000*HLOOKUP("GBP/BRL",'Histórico'!$A$1:$FG$983,MATCH(B278,'Histórico'!A:A),FALSE),
IF(LEFT(C278,3)="JAP",O278*10000*HLOOKUP("PTAX",'Histórico'!$A$1:$FG$983,MATCH(B278,'Histórico'!A:A),FALSE),
IF(LEFT(C278,3)="CNH",O278*10000*HLOOKUP("PTAX",'Histórico'!$A$1:$FG$983,MATCH(B278,'Histórico'!A:A),FALSE),
IF(LEFT(C278,3)="AUS",O278*10000*HLOOKUP("PTAX",'Histórico'!$A$1:$FG$983,MATCH(B278,'Histórico'!A:A),FALSE),
IF(LEFT(C278,3)="CAN",O278*10000*HLOOKUP("PTAX",'Histórico'!$A$1:$FG$983,MATCH(B278,'Histórico'!A:A),FALSE),
IF(LEFT(C278,3)="GBR",O278*10000*HLOOKUP("GBP/BRL",'Histórico'!$A$1:$FG$983,MATCH(B278,'Histórico'!A:A),FALSE),
IF(LEFT(C278,3)="MEX",O278*10000*HLOOKUP("PTAX",'Histórico'!$A$1:$FG$983,MATCH(B278,'Histórico'!A:A),FALSE),
IF(LEFT(C278,3)="CHL",O278*10000*HLOOKUP("PTAX",'Histórico'!$A$1:$FG$983,MATCH(B278,'Histórico'!A:A),FALSE)
)))))))))))))))))))))))),""))</f>
        <v/>
      </c>
      <c r="O278" s="49" t="str">
        <f t="shared" si="2"/>
        <v/>
      </c>
      <c r="P278" s="49" t="str">
        <f t="shared" si="5"/>
        <v/>
      </c>
      <c r="Q278" s="51" t="str">
        <f>IF($C278&lt;&gt;"",SUMIFS($O$3:$O$401, $C$3:$C$401 ,$C278,$B$3:$B$401,"&lt;="&amp;Controle!$B$6),"")</f>
        <v/>
      </c>
      <c r="R278" s="51" t="str">
        <f>IF($D278&lt;&gt;"",SUMIFS($O$3:$O$401, $C$3:$C$401 ,$C278,$B$3:$B$401,"&lt;="&amp;Controle!$B$6,$F$3:$F$401,$F278),"")</f>
        <v/>
      </c>
      <c r="S278" s="51" t="str">
        <f>IF($D278&lt;&gt;"",SUMIFS($O$3:$O$401, $C$3:$C$401 ,$C278,$B$3:$B$401,"&lt;="&amp;'Controle D-1'!$B$6,$F$3:$F$401,$F278),"")</f>
        <v/>
      </c>
      <c r="T278" s="40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146"/>
      <c r="B279" s="149"/>
      <c r="C279" s="150"/>
      <c r="D279" s="150" t="str">
        <f>IF(ISTEXT(C279),VLOOKUP(C279,'Cadastro dos Ativos'!$A$2:$C$1000,3,0),"")</f>
        <v/>
      </c>
      <c r="E279" s="150"/>
      <c r="F279" s="150"/>
      <c r="G279" s="151"/>
      <c r="H279" s="101" t="str">
        <f>if($D279="Ações Americanas", HLOOKUP("PTAX",'Histórico'!$A$1:$EL$983,(MATCH(B279,'Histórico'!A:A))-1,""),
if($D279="Ações Europeias", HLOOKUP("EUR/BRL",'Histórico'!$A$1:$EL$983,(MATCH(B279,'Histórico'!A:A))-1,""),""))</f>
        <v/>
      </c>
      <c r="I279" s="150" t="str">
        <f t="array" ref="I279">IF(ISTEXT(C279),xlookup(C279,'Cadastro dos Ativos'!$A$2:$A$1000,'Cadastro dos Ativos'!$D$2:$D$1000),"")</f>
        <v/>
      </c>
      <c r="J279" s="150"/>
      <c r="K279" s="47" t="str">
        <f t="array" ref="K279">if(and(J279&lt;&gt;"",D279&lt;&gt;"Futuros"),
if(F279=Controle!$C$2, M279/xlookup(workday(B279,-1,Feriados!A:A),Controle!$B$10:$B$1000,Controle!$C$10:$C$1000),
if(F279=Controle!$F$2, M279/xlookup(workday(B279,-1,Feriados!A:A),Controle!$B$10:$B$1000,Controle!$F$10:$F$1000),
if(F279=Controle!$I$2, M279/xlookup(workday(B279,-1,Feriados!A:A),Controle!$B$10:$B$1000,Controle!$I$10:$I$1000),
if(F279=Controle!$L$2, M279/xlookup(workday(B279,-1,Feriados!A:A),Controle!$B$10:$B$1000,Controle!$L$10:$L$1000),
)))),
if(and(J279&lt;&gt;"",D279="Futuros"),
if(F279=Controle!$C$2, N279/xlookup(workday(B279,-1,Feriados!A:A),Controle!$B$10:$B$1000,Controle!$C$10:$C$1000),
if(F279=Controle!$F$2, N279/xlookup(workday(B279,-1,Feriados!A:A),Controle!$B$10:$B$1000,Controle!$F$10:$F$1000),
if(F279=Controle!$I$2, N279/xlookup(workday(B279,-1,Feriados!A:A),Controle!$B$10:$B$1000,Controle!$I$10:$I$1000),
if(F279=Controle!$L$2, N279/xlookup(workday(B279,-1,Feriados!A:A),Controle!$B$10:$B$1000,Controle!$L$10:$L$1000),
)))),""))</f>
        <v/>
      </c>
      <c r="L279" s="47" t="str">
        <f t="array" ref="L279">IF($J279&lt;&gt;"", IF($D279 = "Futuros" , $N279/xlookup(WORKDAY(B279,-1,Feriados!A:A),Controle!$B$10:$B$1000,Controle!$T$10:$T$1000) , $M279/xlookup(WORKDAY(B279,-1,Feriados!A:A),Controle!$B$10:$B$1000,Controle!$T$10:$T$1000)),"")</f>
        <v/>
      </c>
      <c r="M279" s="48" t="str">
        <f t="shared" si="4"/>
        <v/>
      </c>
      <c r="N279" s="48" t="str">
        <f>IFERROR(IF(D279="Futuros",
IF(LEFT(C279,3)="DI1",G279*O279,
IF(LEFT(C279,3)="ISP",G279*O279*HLOOKUP("PTAX",'Histórico'!$A$1:$EL$983,MATCH(B279,'Histórico'!A:A),FALSE)*50,
IF(LEFT(C279,3)="WDO",10*G279*O279*HLOOKUP("PTAX",'Histórico'!$A$1:$EL$983,MATCH(B279,'Histórico'!A:A),FALSE),
IF(LEFT(C279,3)="DOL",50*G279*O279,
IF(LEFT(C279,3)="EUR",G279*O279*50,
IF(LEFT(C279,3)="WEU",G279*O279*10,
IF(LEFT(C279,3)="IND",G279*O279,
IF(LEFT(C279,3)="WIN",G279*O279*0.2,
IF(LEFT(C279,3)="T10",G279*O279*1000*HLOOKUP("PTAX",'Histórico'!$A$1:$EL$983,MATCH(B279,'Histórico'!A:A),FALSE),
IF(LEFT(C279,3)="CCM",G279*O279*450,
IF(LEFT(C279,3)="SJC",G279*O279*HLOOKUP("PTAX",'Histórico'!$A$1:$EL$983,MATCH(B279,'Histórico'!A:A),FALSE)*450,
IF(LEFT(C279,3)="BGI",G279*O279*330,
IF(LEFT(C279,3)="OZ1",G279*O279*250,
IF(LEFT(C279,3)="CLP",G279*O279*25,
IF(LEFT(C279,3)="EUP", O279*10000*HLOOKUP("EUR/BRL",'Histórico'!$A$1:$EL$983,MATCH(B279,'Histórico'!A:A),FALSE),
IF(LEFT(C279,3)="JSE", G279*O279*0.4,
IF(LEFT(C279,3)="GBP", O279*10000*HLOOKUP("GBP/BRL",'Histórico'!$A$1:$FG$983,MATCH(B279,'Histórico'!A:A),FALSE),
IF(LEFT(C279,3)="JAP",O279*10000*HLOOKUP("PTAX",'Histórico'!$A$1:$FG$983,MATCH(B279,'Histórico'!A:A),FALSE),
IF(LEFT(C279,3)="CNH",O279*10000*HLOOKUP("PTAX",'Histórico'!$A$1:$FG$983,MATCH(B279,'Histórico'!A:A),FALSE),
IF(LEFT(C279,3)="AUS",O279*10000*HLOOKUP("PTAX",'Histórico'!$A$1:$FG$983,MATCH(B279,'Histórico'!A:A),FALSE),
IF(LEFT(C279,3)="CAN",O279*10000*HLOOKUP("PTAX",'Histórico'!$A$1:$FG$983,MATCH(B279,'Histórico'!A:A),FALSE),
IF(LEFT(C279,3)="GBR",O279*10000*HLOOKUP("GBP/BRL",'Histórico'!$A$1:$FG$983,MATCH(B279,'Histórico'!A:A),FALSE),
IF(LEFT(C279,3)="MEX",O279*10000*HLOOKUP("PTAX",'Histórico'!$A$1:$FG$983,MATCH(B279,'Histórico'!A:A),FALSE),
IF(LEFT(C279,3)="CHL",O279*10000*HLOOKUP("PTAX",'Histórico'!$A$1:$FG$983,MATCH(B279,'Histórico'!A:A),FALSE)
)))))))))))))))))))))))),""))</f>
        <v/>
      </c>
      <c r="O279" s="49" t="str">
        <f t="shared" si="2"/>
        <v/>
      </c>
      <c r="P279" s="49" t="str">
        <f t="shared" si="5"/>
        <v/>
      </c>
      <c r="Q279" s="51" t="str">
        <f>IF($C279&lt;&gt;"",SUMIFS($O$3:$O$401, $C$3:$C$401 ,$C279,$B$3:$B$401,"&lt;="&amp;Controle!$B$6),"")</f>
        <v/>
      </c>
      <c r="R279" s="51" t="str">
        <f>IF($D279&lt;&gt;"",SUMIFS($O$3:$O$401, $C$3:$C$401 ,$C279,$B$3:$B$401,"&lt;="&amp;Controle!$B$6,$F$3:$F$401,$F279),"")</f>
        <v/>
      </c>
      <c r="S279" s="51" t="str">
        <f>IF($D279&lt;&gt;"",SUMIFS($O$3:$O$401, $C$3:$C$401 ,$C279,$B$3:$B$401,"&lt;="&amp;'Controle D-1'!$B$6,$F$3:$F$401,$F279),"")</f>
        <v/>
      </c>
      <c r="T279" s="40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146"/>
      <c r="B280" s="149"/>
      <c r="C280" s="150"/>
      <c r="D280" s="150" t="str">
        <f>IF(ISTEXT(C280),VLOOKUP(C280,'Cadastro dos Ativos'!$A$2:$C$1000,3,0),"")</f>
        <v/>
      </c>
      <c r="E280" s="150"/>
      <c r="F280" s="150"/>
      <c r="G280" s="151"/>
      <c r="H280" s="46" t="str">
        <f>if($D280="Ações Americanas", HLOOKUP("PTAX",'Histórico'!$A$1:$EL$983,(MATCH(B280,'Histórico'!A:A))-1,""),
if($D280="Ações Europeias", HLOOKUP("EUR/BRL",'Histórico'!$A$1:$EL$983,(MATCH(B280,'Histórico'!A:A))-1,""),""))</f>
        <v/>
      </c>
      <c r="I280" s="150" t="str">
        <f t="array" ref="I280">IF(ISTEXT(C280),xlookup(C280,'Cadastro dos Ativos'!$A$2:$A$1000,'Cadastro dos Ativos'!$D$2:$D$1000),"")</f>
        <v/>
      </c>
      <c r="J280" s="150"/>
      <c r="K280" s="47" t="str">
        <f t="array" ref="K280">if(and(J280&lt;&gt;"",D280&lt;&gt;"Futuros"),
if(F280=Controle!$C$2, M280/xlookup(workday(B280,-1,Feriados!A:A),Controle!$B$10:$B$1000,Controle!$C$10:$C$1000),
if(F280=Controle!$F$2, M280/xlookup(workday(B280,-1,Feriados!A:A),Controle!$B$10:$B$1000,Controle!$F$10:$F$1000),
if(F280=Controle!$I$2, M280/xlookup(workday(B280,-1,Feriados!A:A),Controle!$B$10:$B$1000,Controle!$I$10:$I$1000),
if(F280=Controle!$L$2, M280/xlookup(workday(B280,-1,Feriados!A:A),Controle!$B$10:$B$1000,Controle!$L$10:$L$1000),
)))),
if(and(J280&lt;&gt;"",D280="Futuros"),
if(F280=Controle!$C$2, N280/xlookup(workday(B280,-1,Feriados!A:A),Controle!$B$10:$B$1000,Controle!$C$10:$C$1000),
if(F280=Controle!$F$2, N280/xlookup(workday(B280,-1,Feriados!A:A),Controle!$B$10:$B$1000,Controle!$F$10:$F$1000),
if(F280=Controle!$I$2, N280/xlookup(workday(B280,-1,Feriados!A:A),Controle!$B$10:$B$1000,Controle!$I$10:$I$1000),
if(F280=Controle!$L$2, N280/xlookup(workday(B280,-1,Feriados!A:A),Controle!$B$10:$B$1000,Controle!$L$10:$L$1000),
)))),""))</f>
        <v/>
      </c>
      <c r="L280" s="47" t="str">
        <f t="array" ref="L280">IF($J280&lt;&gt;"", IF($D280 = "Futuros" , $N280/xlookup(WORKDAY(B280,-1,Feriados!A:A),Controle!$B$10:$B$1000,Controle!$T$10:$T$1000) , $M280/xlookup(WORKDAY(B280,-1,Feriados!A:A),Controle!$B$10:$B$1000,Controle!$T$10:$T$1000)),"")</f>
        <v/>
      </c>
      <c r="M280" s="48" t="str">
        <f t="shared" si="4"/>
        <v/>
      </c>
      <c r="N280" s="48" t="str">
        <f>IFERROR(IF(D280="Futuros",
IF(LEFT(C280,3)="DI1",G280*O280,
IF(LEFT(C280,3)="ISP",G280*O280*HLOOKUP("PTAX",'Histórico'!$A$1:$EL$983,MATCH(B280,'Histórico'!A:A),FALSE)*50,
IF(LEFT(C280,3)="WDO",10*G280*O280*HLOOKUP("PTAX",'Histórico'!$A$1:$EL$983,MATCH(B280,'Histórico'!A:A),FALSE),
IF(LEFT(C280,3)="DOL",50*G280*O280,
IF(LEFT(C280,3)="EUR",G280*O280*50,
IF(LEFT(C280,3)="WEU",G280*O280*10,
IF(LEFT(C280,3)="IND",G280*O280,
IF(LEFT(C280,3)="WIN",G280*O280*0.2,
IF(LEFT(C280,3)="T10",G280*O280*1000*HLOOKUP("PTAX",'Histórico'!$A$1:$EL$983,MATCH(B280,'Histórico'!A:A),FALSE),
IF(LEFT(C280,3)="CCM",G280*O280*450,
IF(LEFT(C280,3)="SJC",G280*O280*HLOOKUP("PTAX",'Histórico'!$A$1:$EL$983,MATCH(B280,'Histórico'!A:A),FALSE)*450,
IF(LEFT(C280,3)="BGI",G280*O280*330,
IF(LEFT(C280,3)="OZ1",G280*O280*250,
IF(LEFT(C280,3)="CLP",G280*O280*25,
IF(LEFT(C280,3)="EUP", O280*10000*HLOOKUP("EUR/BRL",'Histórico'!$A$1:$EL$983,MATCH(B280,'Histórico'!A:A),FALSE),
IF(LEFT(C280,3)="JSE", G280*O280*0.4,
IF(LEFT(C280,3)="GBP", O280*10000*HLOOKUP("GBP/BRL",'Histórico'!$A$1:$FG$983,MATCH(B280,'Histórico'!A:A),FALSE),
IF(LEFT(C280,3)="JAP",O280*10000*HLOOKUP("PTAX",'Histórico'!$A$1:$FG$983,MATCH(B280,'Histórico'!A:A),FALSE),
IF(LEFT(C280,3)="CNH",O280*10000*HLOOKUP("PTAX",'Histórico'!$A$1:$FG$983,MATCH(B280,'Histórico'!A:A),FALSE),
IF(LEFT(C280,3)="AUS",O280*10000*HLOOKUP("PTAX",'Histórico'!$A$1:$FG$983,MATCH(B280,'Histórico'!A:A),FALSE),
IF(LEFT(C280,3)="CAN",O280*10000*HLOOKUP("PTAX",'Histórico'!$A$1:$FG$983,MATCH(B280,'Histórico'!A:A),FALSE),
IF(LEFT(C280,3)="GBR",O280*10000*HLOOKUP("GBP/BRL",'Histórico'!$A$1:$FG$983,MATCH(B280,'Histórico'!A:A),FALSE),
IF(LEFT(C280,3)="MEX",O280*10000*HLOOKUP("PTAX",'Histórico'!$A$1:$FG$983,MATCH(B280,'Histórico'!A:A),FALSE),
IF(LEFT(C280,3)="CHL",O280*10000*HLOOKUP("PTAX",'Histórico'!$A$1:$FG$983,MATCH(B280,'Histórico'!A:A),FALSE)
)))))))))))))))))))))))),""))</f>
        <v/>
      </c>
      <c r="O280" s="49" t="str">
        <f t="shared" si="2"/>
        <v/>
      </c>
      <c r="P280" s="49" t="str">
        <f t="shared" si="5"/>
        <v/>
      </c>
      <c r="Q280" s="51" t="str">
        <f>IF($C280&lt;&gt;"",SUMIFS($O$3:$O$401, $C$3:$C$401 ,$C280,$B$3:$B$401,"&lt;="&amp;Controle!$B$6),"")</f>
        <v/>
      </c>
      <c r="R280" s="51" t="str">
        <f>IF($D280&lt;&gt;"",SUMIFS($O$3:$O$401, $C$3:$C$401 ,$C280,$B$3:$B$401,"&lt;="&amp;Controle!$B$6,$F$3:$F$401,$F280),"")</f>
        <v/>
      </c>
      <c r="S280" s="51" t="str">
        <f>IF($D280&lt;&gt;"",SUMIFS($O$3:$O$401, $C$3:$C$401 ,$C280,$B$3:$B$401,"&lt;="&amp;'Controle D-1'!$B$6,$F$3:$F$401,$F280),"")</f>
        <v/>
      </c>
      <c r="T280" s="40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146"/>
      <c r="B281" s="149"/>
      <c r="C281" s="150"/>
      <c r="D281" s="150" t="str">
        <f>IF(ISTEXT(C281),VLOOKUP(C281,'Cadastro dos Ativos'!$A$2:$C$1000,3,0),"")</f>
        <v/>
      </c>
      <c r="E281" s="150"/>
      <c r="F281" s="150"/>
      <c r="G281" s="151"/>
      <c r="H281" s="101" t="str">
        <f>if($D281="Ações Americanas", HLOOKUP("PTAX",'Histórico'!$A$1:$EL$983,(MATCH(B281,'Histórico'!A:A))-1,""),
if($D281="Ações Europeias", HLOOKUP("EUR/BRL",'Histórico'!$A$1:$EL$983,(MATCH(B281,'Histórico'!A:A))-1,""),""))</f>
        <v/>
      </c>
      <c r="I281" s="150" t="str">
        <f t="array" ref="I281">IF(ISTEXT(C281),xlookup(C281,'Cadastro dos Ativos'!$A$2:$A$1000,'Cadastro dos Ativos'!$D$2:$D$1000),"")</f>
        <v/>
      </c>
      <c r="J281" s="150"/>
      <c r="K281" s="47" t="str">
        <f t="array" ref="K281">if(and(J281&lt;&gt;"",D281&lt;&gt;"Futuros"),
if(F281=Controle!$C$2, M281/xlookup(workday(B281,-1,Feriados!A:A),Controle!$B$10:$B$1000,Controle!$C$10:$C$1000),
if(F281=Controle!$F$2, M281/xlookup(workday(B281,-1,Feriados!A:A),Controle!$B$10:$B$1000,Controle!$F$10:$F$1000),
if(F281=Controle!$I$2, M281/xlookup(workday(B281,-1,Feriados!A:A),Controle!$B$10:$B$1000,Controle!$I$10:$I$1000),
if(F281=Controle!$L$2, M281/xlookup(workday(B281,-1,Feriados!A:A),Controle!$B$10:$B$1000,Controle!$L$10:$L$1000),
)))),
if(and(J281&lt;&gt;"",D281="Futuros"),
if(F281=Controle!$C$2, N281/xlookup(workday(B281,-1,Feriados!A:A),Controle!$B$10:$B$1000,Controle!$C$10:$C$1000),
if(F281=Controle!$F$2, N281/xlookup(workday(B281,-1,Feriados!A:A),Controle!$B$10:$B$1000,Controle!$F$10:$F$1000),
if(F281=Controle!$I$2, N281/xlookup(workday(B281,-1,Feriados!A:A),Controle!$B$10:$B$1000,Controle!$I$10:$I$1000),
if(F281=Controle!$L$2, N281/xlookup(workday(B281,-1,Feriados!A:A),Controle!$B$10:$B$1000,Controle!$L$10:$L$1000),
)))),""))</f>
        <v/>
      </c>
      <c r="L281" s="47" t="str">
        <f t="array" ref="L281">IF($J281&lt;&gt;"", IF($D281 = "Futuros" , $N281/xlookup(WORKDAY(B281,-1,Feriados!A:A),Controle!$B$10:$B$1000,Controle!$T$10:$T$1000) , $M281/xlookup(WORKDAY(B281,-1,Feriados!A:A),Controle!$B$10:$B$1000,Controle!$T$10:$T$1000)),"")</f>
        <v/>
      </c>
      <c r="M281" s="48" t="str">
        <f t="shared" si="4"/>
        <v/>
      </c>
      <c r="N281" s="48" t="str">
        <f>IFERROR(IF(D281="Futuros",
IF(LEFT(C281,3)="DI1",G281*O281,
IF(LEFT(C281,3)="ISP",G281*O281*HLOOKUP("PTAX",'Histórico'!$A$1:$EL$983,MATCH(B281,'Histórico'!A:A),FALSE)*50,
IF(LEFT(C281,3)="WDO",10*G281*O281*HLOOKUP("PTAX",'Histórico'!$A$1:$EL$983,MATCH(B281,'Histórico'!A:A),FALSE),
IF(LEFT(C281,3)="DOL",50*G281*O281,
IF(LEFT(C281,3)="EUR",G281*O281*50,
IF(LEFT(C281,3)="WEU",G281*O281*10,
IF(LEFT(C281,3)="IND",G281*O281,
IF(LEFT(C281,3)="WIN",G281*O281*0.2,
IF(LEFT(C281,3)="T10",G281*O281*1000*HLOOKUP("PTAX",'Histórico'!$A$1:$EL$983,MATCH(B281,'Histórico'!A:A),FALSE),
IF(LEFT(C281,3)="CCM",G281*O281*450,
IF(LEFT(C281,3)="SJC",G281*O281*HLOOKUP("PTAX",'Histórico'!$A$1:$EL$983,MATCH(B281,'Histórico'!A:A),FALSE)*450,
IF(LEFT(C281,3)="BGI",G281*O281*330,
IF(LEFT(C281,3)="OZ1",G281*O281*250,
IF(LEFT(C281,3)="CLP",G281*O281*25,
IF(LEFT(C281,3)="EUP", O281*10000*HLOOKUP("EUR/BRL",'Histórico'!$A$1:$EL$983,MATCH(B281,'Histórico'!A:A),FALSE),
IF(LEFT(C281,3)="JSE", G281*O281*0.4,
IF(LEFT(C281,3)="GBP", O281*10000*HLOOKUP("GBP/BRL",'Histórico'!$A$1:$FG$983,MATCH(B281,'Histórico'!A:A),FALSE),
IF(LEFT(C281,3)="JAP",O281*10000*HLOOKUP("PTAX",'Histórico'!$A$1:$FG$983,MATCH(B281,'Histórico'!A:A),FALSE),
IF(LEFT(C281,3)="CNH",O281*10000*HLOOKUP("PTAX",'Histórico'!$A$1:$FG$983,MATCH(B281,'Histórico'!A:A),FALSE),
IF(LEFT(C281,3)="AUS",O281*10000*HLOOKUP("PTAX",'Histórico'!$A$1:$FG$983,MATCH(B281,'Histórico'!A:A),FALSE),
IF(LEFT(C281,3)="CAN",O281*10000*HLOOKUP("PTAX",'Histórico'!$A$1:$FG$983,MATCH(B281,'Histórico'!A:A),FALSE),
IF(LEFT(C281,3)="GBR",O281*10000*HLOOKUP("GBP/BRL",'Histórico'!$A$1:$FG$983,MATCH(B281,'Histórico'!A:A),FALSE),
IF(LEFT(C281,3)="MEX",O281*10000*HLOOKUP("PTAX",'Histórico'!$A$1:$FG$983,MATCH(B281,'Histórico'!A:A),FALSE),
IF(LEFT(C281,3)="CHL",O281*10000*HLOOKUP("PTAX",'Histórico'!$A$1:$FG$983,MATCH(B281,'Histórico'!A:A),FALSE)
)))))))))))))))))))))))),""))</f>
        <v/>
      </c>
      <c r="O281" s="49" t="str">
        <f t="shared" si="2"/>
        <v/>
      </c>
      <c r="P281" s="49" t="str">
        <f t="shared" si="5"/>
        <v/>
      </c>
      <c r="Q281" s="51" t="str">
        <f>IF($C281&lt;&gt;"",SUMIFS($O$3:$O$401, $C$3:$C$401 ,$C281,$B$3:$B$401,"&lt;="&amp;Controle!$B$6),"")</f>
        <v/>
      </c>
      <c r="R281" s="51" t="str">
        <f>IF($D281&lt;&gt;"",SUMIFS($O$3:$O$401, $C$3:$C$401 ,$C281,$B$3:$B$401,"&lt;="&amp;Controle!$B$6,$F$3:$F$401,$F281),"")</f>
        <v/>
      </c>
      <c r="S281" s="51" t="str">
        <f>IF($D281&lt;&gt;"",SUMIFS($O$3:$O$401, $C$3:$C$401 ,$C281,$B$3:$B$401,"&lt;="&amp;'Controle D-1'!$B$6,$F$3:$F$401,$F281),"")</f>
        <v/>
      </c>
      <c r="T281" s="40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146"/>
      <c r="B282" s="149"/>
      <c r="C282" s="150"/>
      <c r="D282" s="150" t="str">
        <f>IF(ISTEXT(C282),VLOOKUP(C282,'Cadastro dos Ativos'!$A$2:$C$1000,3,0),"")</f>
        <v/>
      </c>
      <c r="E282" s="150"/>
      <c r="F282" s="150"/>
      <c r="G282" s="151"/>
      <c r="H282" s="46" t="str">
        <f>if($D282="Ações Americanas", HLOOKUP("PTAX",'Histórico'!$A$1:$EL$983,(MATCH(B282,'Histórico'!A:A))-1,""),
if($D282="Ações Europeias", HLOOKUP("EUR/BRL",'Histórico'!$A$1:$EL$983,(MATCH(B282,'Histórico'!A:A))-1,""),""))</f>
        <v/>
      </c>
      <c r="I282" s="150" t="str">
        <f t="array" ref="I282">IF(ISTEXT(C282),xlookup(C282,'Cadastro dos Ativos'!$A$2:$A$1000,'Cadastro dos Ativos'!$D$2:$D$1000),"")</f>
        <v/>
      </c>
      <c r="J282" s="150"/>
      <c r="K282" s="47" t="str">
        <f t="array" ref="K282">if(and(J282&lt;&gt;"",D282&lt;&gt;"Futuros"),
if(F282=Controle!$C$2, M282/xlookup(workday(B282,-1,Feriados!A:A),Controle!$B$10:$B$1000,Controle!$C$10:$C$1000),
if(F282=Controle!$F$2, M282/xlookup(workday(B282,-1,Feriados!A:A),Controle!$B$10:$B$1000,Controle!$F$10:$F$1000),
if(F282=Controle!$I$2, M282/xlookup(workday(B282,-1,Feriados!A:A),Controle!$B$10:$B$1000,Controle!$I$10:$I$1000),
if(F282=Controle!$L$2, M282/xlookup(workday(B282,-1,Feriados!A:A),Controle!$B$10:$B$1000,Controle!$L$10:$L$1000),
)))),
if(and(J282&lt;&gt;"",D282="Futuros"),
if(F282=Controle!$C$2, N282/xlookup(workday(B282,-1,Feriados!A:A),Controle!$B$10:$B$1000,Controle!$C$10:$C$1000),
if(F282=Controle!$F$2, N282/xlookup(workday(B282,-1,Feriados!A:A),Controle!$B$10:$B$1000,Controle!$F$10:$F$1000),
if(F282=Controle!$I$2, N282/xlookup(workday(B282,-1,Feriados!A:A),Controle!$B$10:$B$1000,Controle!$I$10:$I$1000),
if(F282=Controle!$L$2, N282/xlookup(workday(B282,-1,Feriados!A:A),Controle!$B$10:$B$1000,Controle!$L$10:$L$1000),
)))),""))</f>
        <v/>
      </c>
      <c r="L282" s="47" t="str">
        <f t="array" ref="L282">IF($J282&lt;&gt;"", IF($D282 = "Futuros" , $N282/xlookup(WORKDAY(B282,-1,Feriados!A:A),Controle!$B$10:$B$1000,Controle!$T$10:$T$1000) , $M282/xlookup(WORKDAY(B282,-1,Feriados!A:A),Controle!$B$10:$B$1000,Controle!$T$10:$T$1000)),"")</f>
        <v/>
      </c>
      <c r="M282" s="48" t="str">
        <f t="shared" si="4"/>
        <v/>
      </c>
      <c r="N282" s="48" t="str">
        <f>IFERROR(IF(D282="Futuros",
IF(LEFT(C282,3)="DI1",G282*O282,
IF(LEFT(C282,3)="ISP",G282*O282*HLOOKUP("PTAX",'Histórico'!$A$1:$EL$983,MATCH(B282,'Histórico'!A:A),FALSE)*50,
IF(LEFT(C282,3)="WDO",10*G282*O282*HLOOKUP("PTAX",'Histórico'!$A$1:$EL$983,MATCH(B282,'Histórico'!A:A),FALSE),
IF(LEFT(C282,3)="DOL",50*G282*O282,
IF(LEFT(C282,3)="EUR",G282*O282*50,
IF(LEFT(C282,3)="WEU",G282*O282*10,
IF(LEFT(C282,3)="IND",G282*O282,
IF(LEFT(C282,3)="WIN",G282*O282*0.2,
IF(LEFT(C282,3)="T10",G282*O282*1000*HLOOKUP("PTAX",'Histórico'!$A$1:$EL$983,MATCH(B282,'Histórico'!A:A),FALSE),
IF(LEFT(C282,3)="CCM",G282*O282*450,
IF(LEFT(C282,3)="SJC",G282*O282*HLOOKUP("PTAX",'Histórico'!$A$1:$EL$983,MATCH(B282,'Histórico'!A:A),FALSE)*450,
IF(LEFT(C282,3)="BGI",G282*O282*330,
IF(LEFT(C282,3)="OZ1",G282*O282*250,
IF(LEFT(C282,3)="CLP",G282*O282*25,
IF(LEFT(C282,3)="EUP", O282*10000*HLOOKUP("EUR/BRL",'Histórico'!$A$1:$EL$983,MATCH(B282,'Histórico'!A:A),FALSE),
IF(LEFT(C282,3)="JSE", G282*O282*0.4,
IF(LEFT(C282,3)="GBP", O282*10000*HLOOKUP("GBP/BRL",'Histórico'!$A$1:$FG$983,MATCH(B282,'Histórico'!A:A),FALSE),
IF(LEFT(C282,3)="JAP",O282*10000*HLOOKUP("PTAX",'Histórico'!$A$1:$FG$983,MATCH(B282,'Histórico'!A:A),FALSE),
IF(LEFT(C282,3)="CNH",O282*10000*HLOOKUP("PTAX",'Histórico'!$A$1:$FG$983,MATCH(B282,'Histórico'!A:A),FALSE),
IF(LEFT(C282,3)="AUS",O282*10000*HLOOKUP("PTAX",'Histórico'!$A$1:$FG$983,MATCH(B282,'Histórico'!A:A),FALSE),
IF(LEFT(C282,3)="CAN",O282*10000*HLOOKUP("PTAX",'Histórico'!$A$1:$FG$983,MATCH(B282,'Histórico'!A:A),FALSE),
IF(LEFT(C282,3)="GBR",O282*10000*HLOOKUP("GBP/BRL",'Histórico'!$A$1:$FG$983,MATCH(B282,'Histórico'!A:A),FALSE),
IF(LEFT(C282,3)="MEX",O282*10000*HLOOKUP("PTAX",'Histórico'!$A$1:$FG$983,MATCH(B282,'Histórico'!A:A),FALSE),
IF(LEFT(C282,3)="CHL",O282*10000*HLOOKUP("PTAX",'Histórico'!$A$1:$FG$983,MATCH(B282,'Histórico'!A:A),FALSE)
)))))))))))))))))))))))),""))</f>
        <v/>
      </c>
      <c r="O282" s="49" t="str">
        <f t="shared" si="2"/>
        <v/>
      </c>
      <c r="P282" s="49" t="str">
        <f t="shared" si="5"/>
        <v/>
      </c>
      <c r="Q282" s="51" t="str">
        <f>IF($C282&lt;&gt;"",SUMIFS($O$3:$O$401, $C$3:$C$401 ,$C282,$B$3:$B$401,"&lt;="&amp;Controle!$B$6),"")</f>
        <v/>
      </c>
      <c r="R282" s="51" t="str">
        <f>IF($D282&lt;&gt;"",SUMIFS($O$3:$O$401, $C$3:$C$401 ,$C282,$B$3:$B$401,"&lt;="&amp;Controle!$B$6,$F$3:$F$401,$F282),"")</f>
        <v/>
      </c>
      <c r="S282" s="51" t="str">
        <f>IF($D282&lt;&gt;"",SUMIFS($O$3:$O$401, $C$3:$C$401 ,$C282,$B$3:$B$401,"&lt;="&amp;'Controle D-1'!$B$6,$F$3:$F$401,$F282),"")</f>
        <v/>
      </c>
      <c r="T282" s="40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146"/>
      <c r="B283" s="149"/>
      <c r="C283" s="150"/>
      <c r="D283" s="150" t="str">
        <f>IF(ISTEXT(C283),VLOOKUP(C283,'Cadastro dos Ativos'!$A$2:$C$1000,3,0),"")</f>
        <v/>
      </c>
      <c r="E283" s="150"/>
      <c r="F283" s="150"/>
      <c r="G283" s="151"/>
      <c r="H283" s="101" t="str">
        <f>if($D283="Ações Americanas", HLOOKUP("PTAX",'Histórico'!$A$1:$EL$983,(MATCH(B283,'Histórico'!A:A))-1,""),
if($D283="Ações Europeias", HLOOKUP("EUR/BRL",'Histórico'!$A$1:$EL$983,(MATCH(B283,'Histórico'!A:A))-1,""),""))</f>
        <v/>
      </c>
      <c r="I283" s="150" t="str">
        <f t="array" ref="I283">IF(ISTEXT(C283),xlookup(C283,'Cadastro dos Ativos'!$A$2:$A$1000,'Cadastro dos Ativos'!$D$2:$D$1000),"")</f>
        <v/>
      </c>
      <c r="J283" s="150"/>
      <c r="K283" s="47" t="str">
        <f t="array" ref="K283">if(and(J283&lt;&gt;"",D283&lt;&gt;"Futuros"),
if(F283=Controle!$C$2, M283/xlookup(workday(B283,-1,Feriados!A:A),Controle!$B$10:$B$1000,Controle!$C$10:$C$1000),
if(F283=Controle!$F$2, M283/xlookup(workday(B283,-1,Feriados!A:A),Controle!$B$10:$B$1000,Controle!$F$10:$F$1000),
if(F283=Controle!$I$2, M283/xlookup(workday(B283,-1,Feriados!A:A),Controle!$B$10:$B$1000,Controle!$I$10:$I$1000),
if(F283=Controle!$L$2, M283/xlookup(workday(B283,-1,Feriados!A:A),Controle!$B$10:$B$1000,Controle!$L$10:$L$1000),
)))),
if(and(J283&lt;&gt;"",D283="Futuros"),
if(F283=Controle!$C$2, N283/xlookup(workday(B283,-1,Feriados!A:A),Controle!$B$10:$B$1000,Controle!$C$10:$C$1000),
if(F283=Controle!$F$2, N283/xlookup(workday(B283,-1,Feriados!A:A),Controle!$B$10:$B$1000,Controle!$F$10:$F$1000),
if(F283=Controle!$I$2, N283/xlookup(workday(B283,-1,Feriados!A:A),Controle!$B$10:$B$1000,Controle!$I$10:$I$1000),
if(F283=Controle!$L$2, N283/xlookup(workday(B283,-1,Feriados!A:A),Controle!$B$10:$B$1000,Controle!$L$10:$L$1000),
)))),""))</f>
        <v/>
      </c>
      <c r="L283" s="47" t="str">
        <f t="array" ref="L283">IF($J283&lt;&gt;"", IF($D283 = "Futuros" , $N283/xlookup(WORKDAY(B283,-1,Feriados!A:A),Controle!$B$10:$B$1000,Controle!$T$10:$T$1000) , $M283/xlookup(WORKDAY(B283,-1,Feriados!A:A),Controle!$B$10:$B$1000,Controle!$T$10:$T$1000)),"")</f>
        <v/>
      </c>
      <c r="M283" s="48" t="str">
        <f t="shared" si="4"/>
        <v/>
      </c>
      <c r="N283" s="48" t="str">
        <f>IFERROR(IF(D283="Futuros",
IF(LEFT(C283,3)="DI1",G283*O283,
IF(LEFT(C283,3)="ISP",G283*O283*HLOOKUP("PTAX",'Histórico'!$A$1:$EL$983,MATCH(B283,'Histórico'!A:A),FALSE)*50,
IF(LEFT(C283,3)="WDO",10*G283*O283*HLOOKUP("PTAX",'Histórico'!$A$1:$EL$983,MATCH(B283,'Histórico'!A:A),FALSE),
IF(LEFT(C283,3)="DOL",50*G283*O283,
IF(LEFT(C283,3)="EUR",G283*O283*50,
IF(LEFT(C283,3)="WEU",G283*O283*10,
IF(LEFT(C283,3)="IND",G283*O283,
IF(LEFT(C283,3)="WIN",G283*O283*0.2,
IF(LEFT(C283,3)="T10",G283*O283*1000*HLOOKUP("PTAX",'Histórico'!$A$1:$EL$983,MATCH(B283,'Histórico'!A:A),FALSE),
IF(LEFT(C283,3)="CCM",G283*O283*450,
IF(LEFT(C283,3)="SJC",G283*O283*HLOOKUP("PTAX",'Histórico'!$A$1:$EL$983,MATCH(B283,'Histórico'!A:A),FALSE)*450,
IF(LEFT(C283,3)="BGI",G283*O283*330,
IF(LEFT(C283,3)="OZ1",G283*O283*250,
IF(LEFT(C283,3)="CLP",G283*O283*25,
IF(LEFT(C283,3)="EUP", O283*10000*HLOOKUP("EUR/BRL",'Histórico'!$A$1:$EL$983,MATCH(B283,'Histórico'!A:A),FALSE),
IF(LEFT(C283,3)="JSE", G283*O283*0.4,
IF(LEFT(C283,3)="GBP", O283*10000*HLOOKUP("GBP/BRL",'Histórico'!$A$1:$FG$983,MATCH(B283,'Histórico'!A:A),FALSE),
IF(LEFT(C283,3)="JAP",O283*10000*HLOOKUP("PTAX",'Histórico'!$A$1:$FG$983,MATCH(B283,'Histórico'!A:A),FALSE),
IF(LEFT(C283,3)="CNH",O283*10000*HLOOKUP("PTAX",'Histórico'!$A$1:$FG$983,MATCH(B283,'Histórico'!A:A),FALSE),
IF(LEFT(C283,3)="AUS",O283*10000*HLOOKUP("PTAX",'Histórico'!$A$1:$FG$983,MATCH(B283,'Histórico'!A:A),FALSE),
IF(LEFT(C283,3)="CAN",O283*10000*HLOOKUP("PTAX",'Histórico'!$A$1:$FG$983,MATCH(B283,'Histórico'!A:A),FALSE),
IF(LEFT(C283,3)="GBR",O283*10000*HLOOKUP("GBP/BRL",'Histórico'!$A$1:$FG$983,MATCH(B283,'Histórico'!A:A),FALSE),
IF(LEFT(C283,3)="MEX",O283*10000*HLOOKUP("PTAX",'Histórico'!$A$1:$FG$983,MATCH(B283,'Histórico'!A:A),FALSE),
IF(LEFT(C283,3)="CHL",O283*10000*HLOOKUP("PTAX",'Histórico'!$A$1:$FG$983,MATCH(B283,'Histórico'!A:A),FALSE)
)))))))))))))))))))))))),""))</f>
        <v/>
      </c>
      <c r="O283" s="49" t="str">
        <f t="shared" si="2"/>
        <v/>
      </c>
      <c r="P283" s="49" t="str">
        <f t="shared" si="5"/>
        <v/>
      </c>
      <c r="Q283" s="51" t="str">
        <f>IF($C283&lt;&gt;"",SUMIFS($O$3:$O$401, $C$3:$C$401 ,$C283,$B$3:$B$401,"&lt;="&amp;Controle!$B$6),"")</f>
        <v/>
      </c>
      <c r="R283" s="51" t="str">
        <f>IF($D283&lt;&gt;"",SUMIFS($O$3:$O$401, $C$3:$C$401 ,$C283,$B$3:$B$401,"&lt;="&amp;Controle!$B$6,$F$3:$F$401,$F283),"")</f>
        <v/>
      </c>
      <c r="S283" s="51" t="str">
        <f>IF($D283&lt;&gt;"",SUMIFS($O$3:$O$401, $C$3:$C$401 ,$C283,$B$3:$B$401,"&lt;="&amp;'Controle D-1'!$B$6,$F$3:$F$401,$F283),"")</f>
        <v/>
      </c>
      <c r="T283" s="40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146"/>
      <c r="B284" s="149"/>
      <c r="C284" s="150"/>
      <c r="D284" s="150" t="str">
        <f>IF(ISTEXT(C284),VLOOKUP(C284,'Cadastro dos Ativos'!$A$2:$C$1000,3,0),"")</f>
        <v/>
      </c>
      <c r="E284" s="150"/>
      <c r="F284" s="150"/>
      <c r="G284" s="151"/>
      <c r="H284" s="46" t="str">
        <f>if($D284="Ações Americanas", HLOOKUP("PTAX",'Histórico'!$A$1:$EL$983,(MATCH(B284,'Histórico'!A:A))-1,""),
if($D284="Ações Europeias", HLOOKUP("EUR/BRL",'Histórico'!$A$1:$EL$983,(MATCH(B284,'Histórico'!A:A))-1,""),""))</f>
        <v/>
      </c>
      <c r="I284" s="150" t="str">
        <f t="array" ref="I284">IF(ISTEXT(C284),xlookup(C284,'Cadastro dos Ativos'!$A$2:$A$1000,'Cadastro dos Ativos'!$D$2:$D$1000),"")</f>
        <v/>
      </c>
      <c r="J284" s="150"/>
      <c r="K284" s="47" t="str">
        <f t="array" ref="K284">if(and(J284&lt;&gt;"",D284&lt;&gt;"Futuros"),
if(F284=Controle!$C$2, M284/xlookup(workday(B284,-1,Feriados!A:A),Controle!$B$10:$B$1000,Controle!$C$10:$C$1000),
if(F284=Controle!$F$2, M284/xlookup(workday(B284,-1,Feriados!A:A),Controle!$B$10:$B$1000,Controle!$F$10:$F$1000),
if(F284=Controle!$I$2, M284/xlookup(workday(B284,-1,Feriados!A:A),Controle!$B$10:$B$1000,Controle!$I$10:$I$1000),
if(F284=Controle!$L$2, M284/xlookup(workday(B284,-1,Feriados!A:A),Controle!$B$10:$B$1000,Controle!$L$10:$L$1000),
)))),
if(and(J284&lt;&gt;"",D284="Futuros"),
if(F284=Controle!$C$2, N284/xlookup(workday(B284,-1,Feriados!A:A),Controle!$B$10:$B$1000,Controle!$C$10:$C$1000),
if(F284=Controle!$F$2, N284/xlookup(workday(B284,-1,Feriados!A:A),Controle!$B$10:$B$1000,Controle!$F$10:$F$1000),
if(F284=Controle!$I$2, N284/xlookup(workday(B284,-1,Feriados!A:A),Controle!$B$10:$B$1000,Controle!$I$10:$I$1000),
if(F284=Controle!$L$2, N284/xlookup(workday(B284,-1,Feriados!A:A),Controle!$B$10:$B$1000,Controle!$L$10:$L$1000),
)))),""))</f>
        <v/>
      </c>
      <c r="L284" s="47" t="str">
        <f t="array" ref="L284">IF($J284&lt;&gt;"", IF($D284 = "Futuros" , $N284/xlookup(WORKDAY(B284,-1,Feriados!A:A),Controle!$B$10:$B$1000,Controle!$T$10:$T$1000) , $M284/xlookup(WORKDAY(B284,-1,Feriados!A:A),Controle!$B$10:$B$1000,Controle!$T$10:$T$1000)),"")</f>
        <v/>
      </c>
      <c r="M284" s="48" t="str">
        <f t="shared" si="4"/>
        <v/>
      </c>
      <c r="N284" s="48" t="str">
        <f>IFERROR(IF(D284="Futuros",
IF(LEFT(C284,3)="DI1",G284*O284,
IF(LEFT(C284,3)="ISP",G284*O284*HLOOKUP("PTAX",'Histórico'!$A$1:$EL$983,MATCH(B284,'Histórico'!A:A),FALSE)*50,
IF(LEFT(C284,3)="WDO",10*G284*O284*HLOOKUP("PTAX",'Histórico'!$A$1:$EL$983,MATCH(B284,'Histórico'!A:A),FALSE),
IF(LEFT(C284,3)="DOL",50*G284*O284,
IF(LEFT(C284,3)="EUR",G284*O284*50,
IF(LEFT(C284,3)="WEU",G284*O284*10,
IF(LEFT(C284,3)="IND",G284*O284,
IF(LEFT(C284,3)="WIN",G284*O284*0.2,
IF(LEFT(C284,3)="T10",G284*O284*1000*HLOOKUP("PTAX",'Histórico'!$A$1:$EL$983,MATCH(B284,'Histórico'!A:A),FALSE),
IF(LEFT(C284,3)="CCM",G284*O284*450,
IF(LEFT(C284,3)="SJC",G284*O284*HLOOKUP("PTAX",'Histórico'!$A$1:$EL$983,MATCH(B284,'Histórico'!A:A),FALSE)*450,
IF(LEFT(C284,3)="BGI",G284*O284*330,
IF(LEFT(C284,3)="OZ1",G284*O284*250,
IF(LEFT(C284,3)="CLP",G284*O284*25,
IF(LEFT(C284,3)="EUP", O284*10000*HLOOKUP("EUR/BRL",'Histórico'!$A$1:$EL$983,MATCH(B284,'Histórico'!A:A),FALSE),
IF(LEFT(C284,3)="JSE", G284*O284*0.4,
IF(LEFT(C284,3)="GBP", O284*10000*HLOOKUP("GBP/BRL",'Histórico'!$A$1:$FG$983,MATCH(B284,'Histórico'!A:A),FALSE),
IF(LEFT(C284,3)="JAP",O284*10000*HLOOKUP("PTAX",'Histórico'!$A$1:$FG$983,MATCH(B284,'Histórico'!A:A),FALSE),
IF(LEFT(C284,3)="CNH",O284*10000*HLOOKUP("PTAX",'Histórico'!$A$1:$FG$983,MATCH(B284,'Histórico'!A:A),FALSE),
IF(LEFT(C284,3)="AUS",O284*10000*HLOOKUP("PTAX",'Histórico'!$A$1:$FG$983,MATCH(B284,'Histórico'!A:A),FALSE),
IF(LEFT(C284,3)="CAN",O284*10000*HLOOKUP("PTAX",'Histórico'!$A$1:$FG$983,MATCH(B284,'Histórico'!A:A),FALSE),
IF(LEFT(C284,3)="GBR",O284*10000*HLOOKUP("GBP/BRL",'Histórico'!$A$1:$FG$983,MATCH(B284,'Histórico'!A:A),FALSE),
IF(LEFT(C284,3)="MEX",O284*10000*HLOOKUP("PTAX",'Histórico'!$A$1:$FG$983,MATCH(B284,'Histórico'!A:A),FALSE),
IF(LEFT(C284,3)="CHL",O284*10000*HLOOKUP("PTAX",'Histórico'!$A$1:$FG$983,MATCH(B284,'Histórico'!A:A),FALSE)
)))))))))))))))))))))))),""))</f>
        <v/>
      </c>
      <c r="O284" s="49" t="str">
        <f t="shared" si="2"/>
        <v/>
      </c>
      <c r="P284" s="49" t="str">
        <f t="shared" si="5"/>
        <v/>
      </c>
      <c r="Q284" s="51" t="str">
        <f>IF($C284&lt;&gt;"",SUMIFS($O$3:$O$401, $C$3:$C$401 ,$C284,$B$3:$B$401,"&lt;="&amp;Controle!$B$6),"")</f>
        <v/>
      </c>
      <c r="R284" s="51" t="str">
        <f>IF($D284&lt;&gt;"",SUMIFS($O$3:$O$401, $C$3:$C$401 ,$C284,$B$3:$B$401,"&lt;="&amp;Controle!$B$6,$F$3:$F$401,$F284),"")</f>
        <v/>
      </c>
      <c r="S284" s="51" t="str">
        <f>IF($D284&lt;&gt;"",SUMIFS($O$3:$O$401, $C$3:$C$401 ,$C284,$B$3:$B$401,"&lt;="&amp;'Controle D-1'!$B$6,$F$3:$F$401,$F284),"")</f>
        <v/>
      </c>
      <c r="T284" s="40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146"/>
      <c r="B285" s="149"/>
      <c r="C285" s="150"/>
      <c r="D285" s="150" t="str">
        <f>IF(ISTEXT(C285),VLOOKUP(C285,'Cadastro dos Ativos'!$A$2:$C$1000,3,0),"")</f>
        <v/>
      </c>
      <c r="E285" s="150"/>
      <c r="F285" s="150"/>
      <c r="G285" s="151"/>
      <c r="H285" s="101" t="str">
        <f>if($D285="Ações Americanas", HLOOKUP("PTAX",'Histórico'!$A$1:$EL$983,(MATCH(B285,'Histórico'!A:A))-1,""),
if($D285="Ações Europeias", HLOOKUP("EUR/BRL",'Histórico'!$A$1:$EL$983,(MATCH(B285,'Histórico'!A:A))-1,""),""))</f>
        <v/>
      </c>
      <c r="I285" s="150" t="str">
        <f t="array" ref="I285">IF(ISTEXT(C285),xlookup(C285,'Cadastro dos Ativos'!$A$2:$A$1000,'Cadastro dos Ativos'!$D$2:$D$1000),"")</f>
        <v/>
      </c>
      <c r="J285" s="150"/>
      <c r="K285" s="47" t="str">
        <f t="array" ref="K285">if(and(J285&lt;&gt;"",D285&lt;&gt;"Futuros"),
if(F285=Controle!$C$2, M285/xlookup(workday(B285,-1,Feriados!A:A),Controle!$B$10:$B$1000,Controle!$C$10:$C$1000),
if(F285=Controle!$F$2, M285/xlookup(workday(B285,-1,Feriados!A:A),Controle!$B$10:$B$1000,Controle!$F$10:$F$1000),
if(F285=Controle!$I$2, M285/xlookup(workday(B285,-1,Feriados!A:A),Controle!$B$10:$B$1000,Controle!$I$10:$I$1000),
if(F285=Controle!$L$2, M285/xlookup(workday(B285,-1,Feriados!A:A),Controle!$B$10:$B$1000,Controle!$L$10:$L$1000),
)))),
if(and(J285&lt;&gt;"",D285="Futuros"),
if(F285=Controle!$C$2, N285/xlookup(workday(B285,-1,Feriados!A:A),Controle!$B$10:$B$1000,Controle!$C$10:$C$1000),
if(F285=Controle!$F$2, N285/xlookup(workday(B285,-1,Feriados!A:A),Controle!$B$10:$B$1000,Controle!$F$10:$F$1000),
if(F285=Controle!$I$2, N285/xlookup(workday(B285,-1,Feriados!A:A),Controle!$B$10:$B$1000,Controle!$I$10:$I$1000),
if(F285=Controle!$L$2, N285/xlookup(workday(B285,-1,Feriados!A:A),Controle!$B$10:$B$1000,Controle!$L$10:$L$1000),
)))),""))</f>
        <v/>
      </c>
      <c r="L285" s="47" t="str">
        <f t="array" ref="L285">IF($J285&lt;&gt;"", IF($D285 = "Futuros" , $N285/xlookup(WORKDAY(B285,-1,Feriados!A:A),Controle!$B$10:$B$1000,Controle!$T$10:$T$1000) , $M285/xlookup(WORKDAY(B285,-1,Feriados!A:A),Controle!$B$10:$B$1000,Controle!$T$10:$T$1000)),"")</f>
        <v/>
      </c>
      <c r="M285" s="48" t="str">
        <f t="shared" si="4"/>
        <v/>
      </c>
      <c r="N285" s="48" t="str">
        <f>IFERROR(IF(D285="Futuros",
IF(LEFT(C285,3)="DI1",G285*O285,
IF(LEFT(C285,3)="ISP",G285*O285*HLOOKUP("PTAX",'Histórico'!$A$1:$EL$983,MATCH(B285,'Histórico'!A:A),FALSE)*50,
IF(LEFT(C285,3)="WDO",10*G285*O285*HLOOKUP("PTAX",'Histórico'!$A$1:$EL$983,MATCH(B285,'Histórico'!A:A),FALSE),
IF(LEFT(C285,3)="DOL",50*G285*O285,
IF(LEFT(C285,3)="EUR",G285*O285*50,
IF(LEFT(C285,3)="WEU",G285*O285*10,
IF(LEFT(C285,3)="IND",G285*O285,
IF(LEFT(C285,3)="WIN",G285*O285*0.2,
IF(LEFT(C285,3)="T10",G285*O285*1000*HLOOKUP("PTAX",'Histórico'!$A$1:$EL$983,MATCH(B285,'Histórico'!A:A),FALSE),
IF(LEFT(C285,3)="CCM",G285*O285*450,
IF(LEFT(C285,3)="SJC",G285*O285*HLOOKUP("PTAX",'Histórico'!$A$1:$EL$983,MATCH(B285,'Histórico'!A:A),FALSE)*450,
IF(LEFT(C285,3)="BGI",G285*O285*330,
IF(LEFT(C285,3)="OZ1",G285*O285*250,
IF(LEFT(C285,3)="CLP",G285*O285*25,
IF(LEFT(C285,3)="EUP", O285*10000*HLOOKUP("EUR/BRL",'Histórico'!$A$1:$EL$983,MATCH(B285,'Histórico'!A:A),FALSE),
IF(LEFT(C285,3)="JSE", G285*O285*0.4,
IF(LEFT(C285,3)="GBP", O285*10000*HLOOKUP("GBP/BRL",'Histórico'!$A$1:$FG$983,MATCH(B285,'Histórico'!A:A),FALSE),
IF(LEFT(C285,3)="JAP",O285*10000*HLOOKUP("PTAX",'Histórico'!$A$1:$FG$983,MATCH(B285,'Histórico'!A:A),FALSE),
IF(LEFT(C285,3)="CNH",O285*10000*HLOOKUP("PTAX",'Histórico'!$A$1:$FG$983,MATCH(B285,'Histórico'!A:A),FALSE),
IF(LEFT(C285,3)="AUS",O285*10000*HLOOKUP("PTAX",'Histórico'!$A$1:$FG$983,MATCH(B285,'Histórico'!A:A),FALSE),
IF(LEFT(C285,3)="CAN",O285*10000*HLOOKUP("PTAX",'Histórico'!$A$1:$FG$983,MATCH(B285,'Histórico'!A:A),FALSE),
IF(LEFT(C285,3)="GBR",O285*10000*HLOOKUP("GBP/BRL",'Histórico'!$A$1:$FG$983,MATCH(B285,'Histórico'!A:A),FALSE),
IF(LEFT(C285,3)="MEX",O285*10000*HLOOKUP("PTAX",'Histórico'!$A$1:$FG$983,MATCH(B285,'Histórico'!A:A),FALSE),
IF(LEFT(C285,3)="CHL",O285*10000*HLOOKUP("PTAX",'Histórico'!$A$1:$FG$983,MATCH(B285,'Histórico'!A:A),FALSE)
)))))))))))))))))))))))),""))</f>
        <v/>
      </c>
      <c r="O285" s="49" t="str">
        <f t="shared" si="2"/>
        <v/>
      </c>
      <c r="P285" s="49" t="str">
        <f t="shared" si="5"/>
        <v/>
      </c>
      <c r="Q285" s="51" t="str">
        <f>IF($C285&lt;&gt;"",SUMIFS($O$3:$O$401, $C$3:$C$401 ,$C285,$B$3:$B$401,"&lt;="&amp;Controle!$B$6),"")</f>
        <v/>
      </c>
      <c r="R285" s="51" t="str">
        <f>IF($D285&lt;&gt;"",SUMIFS($O$3:$O$401, $C$3:$C$401 ,$C285,$B$3:$B$401,"&lt;="&amp;Controle!$B$6,$F$3:$F$401,$F285),"")</f>
        <v/>
      </c>
      <c r="S285" s="51" t="str">
        <f>IF($D285&lt;&gt;"",SUMIFS($O$3:$O$401, $C$3:$C$401 ,$C285,$B$3:$B$401,"&lt;="&amp;'Controle D-1'!$B$6,$F$3:$F$401,$F285),"")</f>
        <v/>
      </c>
      <c r="T285" s="40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146"/>
      <c r="B286" s="149"/>
      <c r="C286" s="150"/>
      <c r="D286" s="150" t="str">
        <f>IF(ISTEXT(C286),VLOOKUP(C286,'Cadastro dos Ativos'!$A$2:$C$1000,3,0),"")</f>
        <v/>
      </c>
      <c r="E286" s="150"/>
      <c r="F286" s="150"/>
      <c r="G286" s="151"/>
      <c r="H286" s="46" t="str">
        <f>if($D286="Ações Americanas", HLOOKUP("PTAX",'Histórico'!$A$1:$EL$983,(MATCH(B286,'Histórico'!A:A))-1,""),
if($D286="Ações Europeias", HLOOKUP("EUR/BRL",'Histórico'!$A$1:$EL$983,(MATCH(B286,'Histórico'!A:A))-1,""),""))</f>
        <v/>
      </c>
      <c r="I286" s="150" t="str">
        <f t="array" ref="I286">IF(ISTEXT(C286),xlookup(C286,'Cadastro dos Ativos'!$A$2:$A$1000,'Cadastro dos Ativos'!$D$2:$D$1000),"")</f>
        <v/>
      </c>
      <c r="J286" s="150"/>
      <c r="K286" s="47" t="str">
        <f t="array" ref="K286">if(and(J286&lt;&gt;"",D286&lt;&gt;"Futuros"),
if(F286=Controle!$C$2, M286/xlookup(workday(B286,-1,Feriados!A:A),Controle!$B$10:$B$1000,Controle!$C$10:$C$1000),
if(F286=Controle!$F$2, M286/xlookup(workday(B286,-1,Feriados!A:A),Controle!$B$10:$B$1000,Controle!$F$10:$F$1000),
if(F286=Controle!$I$2, M286/xlookup(workday(B286,-1,Feriados!A:A),Controle!$B$10:$B$1000,Controle!$I$10:$I$1000),
if(F286=Controle!$L$2, M286/xlookup(workday(B286,-1,Feriados!A:A),Controle!$B$10:$B$1000,Controle!$L$10:$L$1000),
)))),
if(and(J286&lt;&gt;"",D286="Futuros"),
if(F286=Controle!$C$2, N286/xlookup(workday(B286,-1,Feriados!A:A),Controle!$B$10:$B$1000,Controle!$C$10:$C$1000),
if(F286=Controle!$F$2, N286/xlookup(workday(B286,-1,Feriados!A:A),Controle!$B$10:$B$1000,Controle!$F$10:$F$1000),
if(F286=Controle!$I$2, N286/xlookup(workday(B286,-1,Feriados!A:A),Controle!$B$10:$B$1000,Controle!$I$10:$I$1000),
if(F286=Controle!$L$2, N286/xlookup(workday(B286,-1,Feriados!A:A),Controle!$B$10:$B$1000,Controle!$L$10:$L$1000),
)))),""))</f>
        <v/>
      </c>
      <c r="L286" s="47" t="str">
        <f t="array" ref="L286">IF($J286&lt;&gt;"", IF($D286 = "Futuros" , $N286/xlookup(WORKDAY(B286,-1,Feriados!A:A),Controle!$B$10:$B$1000,Controle!$T$10:$T$1000) , $M286/xlookup(WORKDAY(B286,-1,Feriados!A:A),Controle!$B$10:$B$1000,Controle!$T$10:$T$1000)),"")</f>
        <v/>
      </c>
      <c r="M286" s="48" t="str">
        <f t="shared" si="4"/>
        <v/>
      </c>
      <c r="N286" s="48" t="str">
        <f>IFERROR(IF(D286="Futuros",
IF(LEFT(C286,3)="DI1",G286*O286,
IF(LEFT(C286,3)="ISP",G286*O286*HLOOKUP("PTAX",'Histórico'!$A$1:$EL$983,MATCH(B286,'Histórico'!A:A),FALSE)*50,
IF(LEFT(C286,3)="WDO",10*G286*O286*HLOOKUP("PTAX",'Histórico'!$A$1:$EL$983,MATCH(B286,'Histórico'!A:A),FALSE),
IF(LEFT(C286,3)="DOL",50*G286*O286,
IF(LEFT(C286,3)="EUR",G286*O286*50,
IF(LEFT(C286,3)="WEU",G286*O286*10,
IF(LEFT(C286,3)="IND",G286*O286,
IF(LEFT(C286,3)="WIN",G286*O286*0.2,
IF(LEFT(C286,3)="T10",G286*O286*1000*HLOOKUP("PTAX",'Histórico'!$A$1:$EL$983,MATCH(B286,'Histórico'!A:A),FALSE),
IF(LEFT(C286,3)="CCM",G286*O286*450,
IF(LEFT(C286,3)="SJC",G286*O286*HLOOKUP("PTAX",'Histórico'!$A$1:$EL$983,MATCH(B286,'Histórico'!A:A),FALSE)*450,
IF(LEFT(C286,3)="BGI",G286*O286*330,
IF(LEFT(C286,3)="OZ1",G286*O286*250,
IF(LEFT(C286,3)="CLP",G286*O286*25,
IF(LEFT(C286,3)="EUP", O286*10000*HLOOKUP("EUR/BRL",'Histórico'!$A$1:$EL$983,MATCH(B286,'Histórico'!A:A),FALSE),
IF(LEFT(C286,3)="JSE", G286*O286*0.4,
IF(LEFT(C286,3)="GBP", O286*10000*HLOOKUP("GBP/BRL",'Histórico'!$A$1:$FG$983,MATCH(B286,'Histórico'!A:A),FALSE),
IF(LEFT(C286,3)="JAP",O286*10000*HLOOKUP("PTAX",'Histórico'!$A$1:$FG$983,MATCH(B286,'Histórico'!A:A),FALSE),
IF(LEFT(C286,3)="CNH",O286*10000*HLOOKUP("PTAX",'Histórico'!$A$1:$FG$983,MATCH(B286,'Histórico'!A:A),FALSE),
IF(LEFT(C286,3)="AUS",O286*10000*HLOOKUP("PTAX",'Histórico'!$A$1:$FG$983,MATCH(B286,'Histórico'!A:A),FALSE),
IF(LEFT(C286,3)="CAN",O286*10000*HLOOKUP("PTAX",'Histórico'!$A$1:$FG$983,MATCH(B286,'Histórico'!A:A),FALSE),
IF(LEFT(C286,3)="GBR",O286*10000*HLOOKUP("GBP/BRL",'Histórico'!$A$1:$FG$983,MATCH(B286,'Histórico'!A:A),FALSE),
IF(LEFT(C286,3)="MEX",O286*10000*HLOOKUP("PTAX",'Histórico'!$A$1:$FG$983,MATCH(B286,'Histórico'!A:A),FALSE),
IF(LEFT(C286,3)="CHL",O286*10000*HLOOKUP("PTAX",'Histórico'!$A$1:$FG$983,MATCH(B286,'Histórico'!A:A),FALSE)
)))))))))))))))))))))))),""))</f>
        <v/>
      </c>
      <c r="O286" s="49" t="str">
        <f t="shared" si="2"/>
        <v/>
      </c>
      <c r="P286" s="49" t="str">
        <f t="shared" si="5"/>
        <v/>
      </c>
      <c r="Q286" s="51" t="str">
        <f>IF($C286&lt;&gt;"",SUMIFS($O$3:$O$401, $C$3:$C$401 ,$C286,$B$3:$B$401,"&lt;="&amp;Controle!$B$6),"")</f>
        <v/>
      </c>
      <c r="R286" s="51" t="str">
        <f>IF($D286&lt;&gt;"",SUMIFS($O$3:$O$401, $C$3:$C$401 ,$C286,$B$3:$B$401,"&lt;="&amp;Controle!$B$6,$F$3:$F$401,$F286),"")</f>
        <v/>
      </c>
      <c r="S286" s="51" t="str">
        <f>IF($D286&lt;&gt;"",SUMIFS($O$3:$O$401, $C$3:$C$401 ,$C286,$B$3:$B$401,"&lt;="&amp;'Controle D-1'!$B$6,$F$3:$F$401,$F286),"")</f>
        <v/>
      </c>
      <c r="T286" s="40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146"/>
      <c r="B287" s="149"/>
      <c r="C287" s="150"/>
      <c r="D287" s="150" t="str">
        <f>IF(ISTEXT(C287),VLOOKUP(C287,'Cadastro dos Ativos'!$A$2:$C$1000,3,0),"")</f>
        <v/>
      </c>
      <c r="E287" s="150"/>
      <c r="F287" s="150"/>
      <c r="G287" s="151"/>
      <c r="H287" s="101" t="str">
        <f>if($D287="Ações Americanas", HLOOKUP("PTAX",'Histórico'!$A$1:$EL$983,(MATCH(B287,'Histórico'!A:A))-1,""),
if($D287="Ações Europeias", HLOOKUP("EUR/BRL",'Histórico'!$A$1:$EL$983,(MATCH(B287,'Histórico'!A:A))-1,""),""))</f>
        <v/>
      </c>
      <c r="I287" s="150" t="str">
        <f t="array" ref="I287">IF(ISTEXT(C287),xlookup(C287,'Cadastro dos Ativos'!$A$2:$A$1000,'Cadastro dos Ativos'!$D$2:$D$1000),"")</f>
        <v/>
      </c>
      <c r="J287" s="150"/>
      <c r="K287" s="47" t="str">
        <f t="array" ref="K287">if(and(J287&lt;&gt;"",D287&lt;&gt;"Futuros"),
if(F287=Controle!$C$2, M287/xlookup(workday(B287,-1,Feriados!A:A),Controle!$B$10:$B$1000,Controle!$C$10:$C$1000),
if(F287=Controle!$F$2, M287/xlookup(workday(B287,-1,Feriados!A:A),Controle!$B$10:$B$1000,Controle!$F$10:$F$1000),
if(F287=Controle!$I$2, M287/xlookup(workday(B287,-1,Feriados!A:A),Controle!$B$10:$B$1000,Controle!$I$10:$I$1000),
if(F287=Controle!$L$2, M287/xlookup(workday(B287,-1,Feriados!A:A),Controle!$B$10:$B$1000,Controle!$L$10:$L$1000),
)))),
if(and(J287&lt;&gt;"",D287="Futuros"),
if(F287=Controle!$C$2, N287/xlookup(workday(B287,-1,Feriados!A:A),Controle!$B$10:$B$1000,Controle!$C$10:$C$1000),
if(F287=Controle!$F$2, N287/xlookup(workday(B287,-1,Feriados!A:A),Controle!$B$10:$B$1000,Controle!$F$10:$F$1000),
if(F287=Controle!$I$2, N287/xlookup(workday(B287,-1,Feriados!A:A),Controle!$B$10:$B$1000,Controle!$I$10:$I$1000),
if(F287=Controle!$L$2, N287/xlookup(workday(B287,-1,Feriados!A:A),Controle!$B$10:$B$1000,Controle!$L$10:$L$1000),
)))),""))</f>
        <v/>
      </c>
      <c r="L287" s="47" t="str">
        <f t="array" ref="L287">IF($J287&lt;&gt;"", IF($D287 = "Futuros" , $N287/xlookup(WORKDAY(B287,-1,Feriados!A:A),Controle!$B$10:$B$1000,Controle!$T$10:$T$1000) , $M287/xlookup(WORKDAY(B287,-1,Feriados!A:A),Controle!$B$10:$B$1000,Controle!$T$10:$T$1000)),"")</f>
        <v/>
      </c>
      <c r="M287" s="48" t="str">
        <f t="shared" si="4"/>
        <v/>
      </c>
      <c r="N287" s="48" t="str">
        <f>IFERROR(IF(D287="Futuros",
IF(LEFT(C287,3)="DI1",G287*O287,
IF(LEFT(C287,3)="ISP",G287*O287*HLOOKUP("PTAX",'Histórico'!$A$1:$EL$983,MATCH(B287,'Histórico'!A:A),FALSE)*50,
IF(LEFT(C287,3)="WDO",10*G287*O287*HLOOKUP("PTAX",'Histórico'!$A$1:$EL$983,MATCH(B287,'Histórico'!A:A),FALSE),
IF(LEFT(C287,3)="DOL",50*G287*O287,
IF(LEFT(C287,3)="EUR",G287*O287*50,
IF(LEFT(C287,3)="WEU",G287*O287*10,
IF(LEFT(C287,3)="IND",G287*O287,
IF(LEFT(C287,3)="WIN",G287*O287*0.2,
IF(LEFT(C287,3)="T10",G287*O287*1000*HLOOKUP("PTAX",'Histórico'!$A$1:$EL$983,MATCH(B287,'Histórico'!A:A),FALSE),
IF(LEFT(C287,3)="CCM",G287*O287*450,
IF(LEFT(C287,3)="SJC",G287*O287*HLOOKUP("PTAX",'Histórico'!$A$1:$EL$983,MATCH(B287,'Histórico'!A:A),FALSE)*450,
IF(LEFT(C287,3)="BGI",G287*O287*330,
IF(LEFT(C287,3)="OZ1",G287*O287*250,
IF(LEFT(C287,3)="CLP",G287*O287*25,
IF(LEFT(C287,3)="EUP", O287*10000*HLOOKUP("EUR/BRL",'Histórico'!$A$1:$EL$983,MATCH(B287,'Histórico'!A:A),FALSE),
IF(LEFT(C287,3)="JSE", G287*O287*0.4,
IF(LEFT(C287,3)="GBP", O287*10000*HLOOKUP("GBP/BRL",'Histórico'!$A$1:$FG$983,MATCH(B287,'Histórico'!A:A),FALSE),
IF(LEFT(C287,3)="JAP",O287*10000*HLOOKUP("PTAX",'Histórico'!$A$1:$FG$983,MATCH(B287,'Histórico'!A:A),FALSE),
IF(LEFT(C287,3)="CNH",O287*10000*HLOOKUP("PTAX",'Histórico'!$A$1:$FG$983,MATCH(B287,'Histórico'!A:A),FALSE),
IF(LEFT(C287,3)="AUS",O287*10000*HLOOKUP("PTAX",'Histórico'!$A$1:$FG$983,MATCH(B287,'Histórico'!A:A),FALSE),
IF(LEFT(C287,3)="CAN",O287*10000*HLOOKUP("PTAX",'Histórico'!$A$1:$FG$983,MATCH(B287,'Histórico'!A:A),FALSE),
IF(LEFT(C287,3)="GBR",O287*10000*HLOOKUP("GBP/BRL",'Histórico'!$A$1:$FG$983,MATCH(B287,'Histórico'!A:A),FALSE),
IF(LEFT(C287,3)="MEX",O287*10000*HLOOKUP("PTAX",'Histórico'!$A$1:$FG$983,MATCH(B287,'Histórico'!A:A),FALSE),
IF(LEFT(C287,3)="CHL",O287*10000*HLOOKUP("PTAX",'Histórico'!$A$1:$FG$983,MATCH(B287,'Histórico'!A:A),FALSE)
)))))))))))))))))))))))),""))</f>
        <v/>
      </c>
      <c r="O287" s="49" t="str">
        <f t="shared" si="2"/>
        <v/>
      </c>
      <c r="P287" s="49" t="str">
        <f t="shared" si="5"/>
        <v/>
      </c>
      <c r="Q287" s="51" t="str">
        <f>IF($C287&lt;&gt;"",SUMIFS($O$3:$O$401, $C$3:$C$401 ,$C287,$B$3:$B$401,"&lt;="&amp;Controle!$B$6),"")</f>
        <v/>
      </c>
      <c r="R287" s="51" t="str">
        <f>IF($D287&lt;&gt;"",SUMIFS($O$3:$O$401, $C$3:$C$401 ,$C287,$B$3:$B$401,"&lt;="&amp;Controle!$B$6,$F$3:$F$401,$F287),"")</f>
        <v/>
      </c>
      <c r="S287" s="51" t="str">
        <f>IF($D287&lt;&gt;"",SUMIFS($O$3:$O$401, $C$3:$C$401 ,$C287,$B$3:$B$401,"&lt;="&amp;'Controle D-1'!$B$6,$F$3:$F$401,$F287),"")</f>
        <v/>
      </c>
      <c r="T287" s="40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146"/>
      <c r="B288" s="149"/>
      <c r="C288" s="150"/>
      <c r="D288" s="150" t="str">
        <f>IF(ISTEXT(C288),VLOOKUP(C288,'Cadastro dos Ativos'!$A$2:$C$1000,3,0),"")</f>
        <v/>
      </c>
      <c r="E288" s="150"/>
      <c r="F288" s="150"/>
      <c r="G288" s="151"/>
      <c r="H288" s="46" t="str">
        <f>if($D288="Ações Americanas", HLOOKUP("PTAX",'Histórico'!$A$1:$EL$983,(MATCH(B288,'Histórico'!A:A))-1,""),
if($D288="Ações Europeias", HLOOKUP("EUR/BRL",'Histórico'!$A$1:$EL$983,(MATCH(B288,'Histórico'!A:A))-1,""),""))</f>
        <v/>
      </c>
      <c r="I288" s="150" t="str">
        <f t="array" ref="I288">IF(ISTEXT(C288),xlookup(C288,'Cadastro dos Ativos'!$A$2:$A$1000,'Cadastro dos Ativos'!$D$2:$D$1000),"")</f>
        <v/>
      </c>
      <c r="J288" s="150"/>
      <c r="K288" s="47" t="str">
        <f t="array" ref="K288">if(and(J288&lt;&gt;"",D288&lt;&gt;"Futuros"),
if(F288=Controle!$C$2, M288/xlookup(workday(B288,-1,Feriados!A:A),Controle!$B$10:$B$1000,Controle!$C$10:$C$1000),
if(F288=Controle!$F$2, M288/xlookup(workday(B288,-1,Feriados!A:A),Controle!$B$10:$B$1000,Controle!$F$10:$F$1000),
if(F288=Controle!$I$2, M288/xlookup(workday(B288,-1,Feriados!A:A),Controle!$B$10:$B$1000,Controle!$I$10:$I$1000),
if(F288=Controle!$L$2, M288/xlookup(workday(B288,-1,Feriados!A:A),Controle!$B$10:$B$1000,Controle!$L$10:$L$1000),
)))),
if(and(J288&lt;&gt;"",D288="Futuros"),
if(F288=Controle!$C$2, N288/xlookup(workday(B288,-1,Feriados!A:A),Controle!$B$10:$B$1000,Controle!$C$10:$C$1000),
if(F288=Controle!$F$2, N288/xlookup(workday(B288,-1,Feriados!A:A),Controle!$B$10:$B$1000,Controle!$F$10:$F$1000),
if(F288=Controle!$I$2, N288/xlookup(workday(B288,-1,Feriados!A:A),Controle!$B$10:$B$1000,Controle!$I$10:$I$1000),
if(F288=Controle!$L$2, N288/xlookup(workday(B288,-1,Feriados!A:A),Controle!$B$10:$B$1000,Controle!$L$10:$L$1000),
)))),""))</f>
        <v/>
      </c>
      <c r="L288" s="47" t="str">
        <f t="array" ref="L288">IF($J288&lt;&gt;"", IF($D288 = "Futuros" , $N288/xlookup(WORKDAY(B288,-1,Feriados!A:A),Controle!$B$10:$B$1000,Controle!$T$10:$T$1000) , $M288/xlookup(WORKDAY(B288,-1,Feriados!A:A),Controle!$B$10:$B$1000,Controle!$T$10:$T$1000)),"")</f>
        <v/>
      </c>
      <c r="M288" s="48" t="str">
        <f t="shared" si="4"/>
        <v/>
      </c>
      <c r="N288" s="48" t="str">
        <f>IFERROR(IF(D288="Futuros",
IF(LEFT(C288,3)="DI1",G288*O288,
IF(LEFT(C288,3)="ISP",G288*O288*HLOOKUP("PTAX",'Histórico'!$A$1:$EL$983,MATCH(B288,'Histórico'!A:A),FALSE)*50,
IF(LEFT(C288,3)="WDO",10*G288*O288*HLOOKUP("PTAX",'Histórico'!$A$1:$EL$983,MATCH(B288,'Histórico'!A:A),FALSE),
IF(LEFT(C288,3)="DOL",50*G288*O288,
IF(LEFT(C288,3)="EUR",G288*O288*50,
IF(LEFT(C288,3)="WEU",G288*O288*10,
IF(LEFT(C288,3)="IND",G288*O288,
IF(LEFT(C288,3)="WIN",G288*O288*0.2,
IF(LEFT(C288,3)="T10",G288*O288*1000*HLOOKUP("PTAX",'Histórico'!$A$1:$EL$983,MATCH(B288,'Histórico'!A:A),FALSE),
IF(LEFT(C288,3)="CCM",G288*O288*450,
IF(LEFT(C288,3)="SJC",G288*O288*HLOOKUP("PTAX",'Histórico'!$A$1:$EL$983,MATCH(B288,'Histórico'!A:A),FALSE)*450,
IF(LEFT(C288,3)="BGI",G288*O288*330,
IF(LEFT(C288,3)="OZ1",G288*O288*250,
IF(LEFT(C288,3)="CLP",G288*O288*25,
IF(LEFT(C288,3)="EUP", O288*10000*HLOOKUP("EUR/BRL",'Histórico'!$A$1:$EL$983,MATCH(B288,'Histórico'!A:A),FALSE),
IF(LEFT(C288,3)="JSE", G288*O288*0.4,
IF(LEFT(C288,3)="GBP", O288*10000*HLOOKUP("GBP/BRL",'Histórico'!$A$1:$FG$983,MATCH(B288,'Histórico'!A:A),FALSE),
IF(LEFT(C288,3)="JAP",O288*10000*HLOOKUP("PTAX",'Histórico'!$A$1:$FG$983,MATCH(B288,'Histórico'!A:A),FALSE),
IF(LEFT(C288,3)="CNH",O288*10000*HLOOKUP("PTAX",'Histórico'!$A$1:$FG$983,MATCH(B288,'Histórico'!A:A),FALSE),
IF(LEFT(C288,3)="AUS",O288*10000*HLOOKUP("PTAX",'Histórico'!$A$1:$FG$983,MATCH(B288,'Histórico'!A:A),FALSE),
IF(LEFT(C288,3)="CAN",O288*10000*HLOOKUP("PTAX",'Histórico'!$A$1:$FG$983,MATCH(B288,'Histórico'!A:A),FALSE),
IF(LEFT(C288,3)="GBR",O288*10000*HLOOKUP("GBP/BRL",'Histórico'!$A$1:$FG$983,MATCH(B288,'Histórico'!A:A),FALSE),
IF(LEFT(C288,3)="MEX",O288*10000*HLOOKUP("PTAX",'Histórico'!$A$1:$FG$983,MATCH(B288,'Histórico'!A:A),FALSE),
IF(LEFT(C288,3)="CHL",O288*10000*HLOOKUP("PTAX",'Histórico'!$A$1:$FG$983,MATCH(B288,'Histórico'!A:A),FALSE)
)))))))))))))))))))))))),""))</f>
        <v/>
      </c>
      <c r="O288" s="49" t="str">
        <f t="shared" si="2"/>
        <v/>
      </c>
      <c r="P288" s="49" t="str">
        <f t="shared" si="5"/>
        <v/>
      </c>
      <c r="Q288" s="51" t="str">
        <f>IF($C288&lt;&gt;"",SUMIFS($O$3:$O$401, $C$3:$C$401 ,$C288,$B$3:$B$401,"&lt;="&amp;Controle!$B$6),"")</f>
        <v/>
      </c>
      <c r="R288" s="51" t="str">
        <f>IF($D288&lt;&gt;"",SUMIFS($O$3:$O$401, $C$3:$C$401 ,$C288,$B$3:$B$401,"&lt;="&amp;Controle!$B$6,$F$3:$F$401,$F288),"")</f>
        <v/>
      </c>
      <c r="S288" s="51" t="str">
        <f>IF($D288&lt;&gt;"",SUMIFS($O$3:$O$401, $C$3:$C$401 ,$C288,$B$3:$B$401,"&lt;="&amp;'Controle D-1'!$B$6,$F$3:$F$401,$F288),"")</f>
        <v/>
      </c>
      <c r="T288" s="40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146"/>
      <c r="B289" s="149"/>
      <c r="C289" s="150"/>
      <c r="D289" s="150" t="str">
        <f>IF(ISTEXT(C289),VLOOKUP(C289,'Cadastro dos Ativos'!$A$2:$C$1000,3,0),"")</f>
        <v/>
      </c>
      <c r="E289" s="150"/>
      <c r="F289" s="150"/>
      <c r="G289" s="151"/>
      <c r="H289" s="101" t="str">
        <f>if($D289="Ações Americanas", HLOOKUP("PTAX",'Histórico'!$A$1:$EL$983,(MATCH(B289,'Histórico'!A:A))-1,""),
if($D289="Ações Europeias", HLOOKUP("EUR/BRL",'Histórico'!$A$1:$EL$983,(MATCH(B289,'Histórico'!A:A))-1,""),""))</f>
        <v/>
      </c>
      <c r="I289" s="150" t="str">
        <f t="array" ref="I289">IF(ISTEXT(C289),xlookup(C289,'Cadastro dos Ativos'!$A$2:$A$1000,'Cadastro dos Ativos'!$D$2:$D$1000),"")</f>
        <v/>
      </c>
      <c r="J289" s="150"/>
      <c r="K289" s="47" t="str">
        <f t="array" ref="K289">if(and(J289&lt;&gt;"",D289&lt;&gt;"Futuros"),
if(F289=Controle!$C$2, M289/xlookup(workday(B289,-1,Feriados!A:A),Controle!$B$10:$B$1000,Controle!$C$10:$C$1000),
if(F289=Controle!$F$2, M289/xlookup(workday(B289,-1,Feriados!A:A),Controle!$B$10:$B$1000,Controle!$F$10:$F$1000),
if(F289=Controle!$I$2, M289/xlookup(workday(B289,-1,Feriados!A:A),Controle!$B$10:$B$1000,Controle!$I$10:$I$1000),
if(F289=Controle!$L$2, M289/xlookup(workday(B289,-1,Feriados!A:A),Controle!$B$10:$B$1000,Controle!$L$10:$L$1000),
)))),
if(and(J289&lt;&gt;"",D289="Futuros"),
if(F289=Controle!$C$2, N289/xlookup(workday(B289,-1,Feriados!A:A),Controle!$B$10:$B$1000,Controle!$C$10:$C$1000),
if(F289=Controle!$F$2, N289/xlookup(workday(B289,-1,Feriados!A:A),Controle!$B$10:$B$1000,Controle!$F$10:$F$1000),
if(F289=Controle!$I$2, N289/xlookup(workday(B289,-1,Feriados!A:A),Controle!$B$10:$B$1000,Controle!$I$10:$I$1000),
if(F289=Controle!$L$2, N289/xlookup(workday(B289,-1,Feriados!A:A),Controle!$B$10:$B$1000,Controle!$L$10:$L$1000),
)))),""))</f>
        <v/>
      </c>
      <c r="L289" s="47" t="str">
        <f t="array" ref="L289">IF($J289&lt;&gt;"", IF($D289 = "Futuros" , $N289/xlookup(WORKDAY(B289,-1,Feriados!A:A),Controle!$B$10:$B$1000,Controle!$T$10:$T$1000) , $M289/xlookup(WORKDAY(B289,-1,Feriados!A:A),Controle!$B$10:$B$1000,Controle!$T$10:$T$1000)),"")</f>
        <v/>
      </c>
      <c r="M289" s="48" t="str">
        <f t="shared" si="4"/>
        <v/>
      </c>
      <c r="N289" s="48" t="str">
        <f>IFERROR(IF(D289="Futuros",
IF(LEFT(C289,3)="DI1",G289*O289,
IF(LEFT(C289,3)="ISP",G289*O289*HLOOKUP("PTAX",'Histórico'!$A$1:$EL$983,MATCH(B289,'Histórico'!A:A),FALSE)*50,
IF(LEFT(C289,3)="WDO",10*G289*O289*HLOOKUP("PTAX",'Histórico'!$A$1:$EL$983,MATCH(B289,'Histórico'!A:A),FALSE),
IF(LEFT(C289,3)="DOL",50*G289*O289,
IF(LEFT(C289,3)="EUR",G289*O289*50,
IF(LEFT(C289,3)="WEU",G289*O289*10,
IF(LEFT(C289,3)="IND",G289*O289,
IF(LEFT(C289,3)="WIN",G289*O289*0.2,
IF(LEFT(C289,3)="T10",G289*O289*1000*HLOOKUP("PTAX",'Histórico'!$A$1:$EL$983,MATCH(B289,'Histórico'!A:A),FALSE),
IF(LEFT(C289,3)="CCM",G289*O289*450,
IF(LEFT(C289,3)="SJC",G289*O289*HLOOKUP("PTAX",'Histórico'!$A$1:$EL$983,MATCH(B289,'Histórico'!A:A),FALSE)*450,
IF(LEFT(C289,3)="BGI",G289*O289*330,
IF(LEFT(C289,3)="OZ1",G289*O289*250,
IF(LEFT(C289,3)="CLP",G289*O289*25,
IF(LEFT(C289,3)="EUP", O289*10000*HLOOKUP("EUR/BRL",'Histórico'!$A$1:$EL$983,MATCH(B289,'Histórico'!A:A),FALSE),
IF(LEFT(C289,3)="JSE", G289*O289*0.4,
IF(LEFT(C289,3)="GBP", O289*10000*HLOOKUP("GBP/BRL",'Histórico'!$A$1:$FG$983,MATCH(B289,'Histórico'!A:A),FALSE),
IF(LEFT(C289,3)="JAP",O289*10000*HLOOKUP("PTAX",'Histórico'!$A$1:$FG$983,MATCH(B289,'Histórico'!A:A),FALSE),
IF(LEFT(C289,3)="CNH",O289*10000*HLOOKUP("PTAX",'Histórico'!$A$1:$FG$983,MATCH(B289,'Histórico'!A:A),FALSE),
IF(LEFT(C289,3)="AUS",O289*10000*HLOOKUP("PTAX",'Histórico'!$A$1:$FG$983,MATCH(B289,'Histórico'!A:A),FALSE),
IF(LEFT(C289,3)="CAN",O289*10000*HLOOKUP("PTAX",'Histórico'!$A$1:$FG$983,MATCH(B289,'Histórico'!A:A),FALSE),
IF(LEFT(C289,3)="GBR",O289*10000*HLOOKUP("GBP/BRL",'Histórico'!$A$1:$FG$983,MATCH(B289,'Histórico'!A:A),FALSE),
IF(LEFT(C289,3)="MEX",O289*10000*HLOOKUP("PTAX",'Histórico'!$A$1:$FG$983,MATCH(B289,'Histórico'!A:A),FALSE),
IF(LEFT(C289,3)="CHL",O289*10000*HLOOKUP("PTAX",'Histórico'!$A$1:$FG$983,MATCH(B289,'Histórico'!A:A),FALSE)
)))))))))))))))))))))))),""))</f>
        <v/>
      </c>
      <c r="O289" s="49" t="str">
        <f t="shared" si="2"/>
        <v/>
      </c>
      <c r="P289" s="49" t="str">
        <f t="shared" si="5"/>
        <v/>
      </c>
      <c r="Q289" s="51" t="str">
        <f>IF($C289&lt;&gt;"",SUMIFS($O$3:$O$401, $C$3:$C$401 ,$C289,$B$3:$B$401,"&lt;="&amp;Controle!$B$6),"")</f>
        <v/>
      </c>
      <c r="R289" s="51" t="str">
        <f>IF($D289&lt;&gt;"",SUMIFS($O$3:$O$401, $C$3:$C$401 ,$C289,$B$3:$B$401,"&lt;="&amp;Controle!$B$6,$F$3:$F$401,$F289),"")</f>
        <v/>
      </c>
      <c r="S289" s="51" t="str">
        <f>IF($D289&lt;&gt;"",SUMIFS($O$3:$O$401, $C$3:$C$401 ,$C289,$B$3:$B$401,"&lt;="&amp;'Controle D-1'!$B$6,$F$3:$F$401,$F289),"")</f>
        <v/>
      </c>
      <c r="T289" s="40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146"/>
      <c r="B290" s="149"/>
      <c r="C290" s="150"/>
      <c r="D290" s="150" t="str">
        <f>IF(ISTEXT(C290),VLOOKUP(C290,'Cadastro dos Ativos'!$A$2:$C$1000,3,0),"")</f>
        <v/>
      </c>
      <c r="E290" s="150"/>
      <c r="F290" s="150"/>
      <c r="G290" s="151"/>
      <c r="H290" s="46" t="str">
        <f>if($D290="Ações Americanas", HLOOKUP("PTAX",'Histórico'!$A$1:$EL$983,(MATCH(B290,'Histórico'!A:A))-1,""),
if($D290="Ações Europeias", HLOOKUP("EUR/BRL",'Histórico'!$A$1:$EL$983,(MATCH(B290,'Histórico'!A:A))-1,""),""))</f>
        <v/>
      </c>
      <c r="I290" s="150" t="str">
        <f t="array" ref="I290">IF(ISTEXT(C290),xlookup(C290,'Cadastro dos Ativos'!$A$2:$A$1000,'Cadastro dos Ativos'!$D$2:$D$1000),"")</f>
        <v/>
      </c>
      <c r="J290" s="150"/>
      <c r="K290" s="47" t="str">
        <f t="array" ref="K290">if(and(J290&lt;&gt;"",D290&lt;&gt;"Futuros"),
if(F290=Controle!$C$2, M290/xlookup(workday(B290,-1,Feriados!A:A),Controle!$B$10:$B$1000,Controle!$C$10:$C$1000),
if(F290=Controle!$F$2, M290/xlookup(workday(B290,-1,Feriados!A:A),Controle!$B$10:$B$1000,Controle!$F$10:$F$1000),
if(F290=Controle!$I$2, M290/xlookup(workday(B290,-1,Feriados!A:A),Controle!$B$10:$B$1000,Controle!$I$10:$I$1000),
if(F290=Controle!$L$2, M290/xlookup(workday(B290,-1,Feriados!A:A),Controle!$B$10:$B$1000,Controle!$L$10:$L$1000),
)))),
if(and(J290&lt;&gt;"",D290="Futuros"),
if(F290=Controle!$C$2, N290/xlookup(workday(B290,-1,Feriados!A:A),Controle!$B$10:$B$1000,Controle!$C$10:$C$1000),
if(F290=Controle!$F$2, N290/xlookup(workday(B290,-1,Feriados!A:A),Controle!$B$10:$B$1000,Controle!$F$10:$F$1000),
if(F290=Controle!$I$2, N290/xlookup(workday(B290,-1,Feriados!A:A),Controle!$B$10:$B$1000,Controle!$I$10:$I$1000),
if(F290=Controle!$L$2, N290/xlookup(workday(B290,-1,Feriados!A:A),Controle!$B$10:$B$1000,Controle!$L$10:$L$1000),
)))),""))</f>
        <v/>
      </c>
      <c r="L290" s="47" t="str">
        <f t="array" ref="L290">IF($J290&lt;&gt;"", IF($D290 = "Futuros" , $N290/xlookup(WORKDAY(B290,-1,Feriados!A:A),Controle!$B$10:$B$1000,Controle!$T$10:$T$1000) , $M290/xlookup(WORKDAY(B290,-1,Feriados!A:A),Controle!$B$10:$B$1000,Controle!$T$10:$T$1000)),"")</f>
        <v/>
      </c>
      <c r="M290" s="48" t="str">
        <f t="shared" si="4"/>
        <v/>
      </c>
      <c r="N290" s="48" t="str">
        <f>IFERROR(IF(D290="Futuros",
IF(LEFT(C290,3)="DI1",G290*O290,
IF(LEFT(C290,3)="ISP",G290*O290*HLOOKUP("PTAX",'Histórico'!$A$1:$EL$983,MATCH(B290,'Histórico'!A:A),FALSE)*50,
IF(LEFT(C290,3)="WDO",10*G290*O290*HLOOKUP("PTAX",'Histórico'!$A$1:$EL$983,MATCH(B290,'Histórico'!A:A),FALSE),
IF(LEFT(C290,3)="DOL",50*G290*O290,
IF(LEFT(C290,3)="EUR",G290*O290*50,
IF(LEFT(C290,3)="WEU",G290*O290*10,
IF(LEFT(C290,3)="IND",G290*O290,
IF(LEFT(C290,3)="WIN",G290*O290*0.2,
IF(LEFT(C290,3)="T10",G290*O290*1000*HLOOKUP("PTAX",'Histórico'!$A$1:$EL$983,MATCH(B290,'Histórico'!A:A),FALSE),
IF(LEFT(C290,3)="CCM",G290*O290*450,
IF(LEFT(C290,3)="SJC",G290*O290*HLOOKUP("PTAX",'Histórico'!$A$1:$EL$983,MATCH(B290,'Histórico'!A:A),FALSE)*450,
IF(LEFT(C290,3)="BGI",G290*O290*330,
IF(LEFT(C290,3)="OZ1",G290*O290*250,
IF(LEFT(C290,3)="CLP",G290*O290*25,
IF(LEFT(C290,3)="EUP", O290*10000*HLOOKUP("EUR/BRL",'Histórico'!$A$1:$EL$983,MATCH(B290,'Histórico'!A:A),FALSE),
IF(LEFT(C290,3)="JSE", G290*O290*0.4,
IF(LEFT(C290,3)="GBP", O290*10000*HLOOKUP("GBP/BRL",'Histórico'!$A$1:$FG$983,MATCH(B290,'Histórico'!A:A),FALSE),
IF(LEFT(C290,3)="JAP",O290*10000*HLOOKUP("PTAX",'Histórico'!$A$1:$FG$983,MATCH(B290,'Histórico'!A:A),FALSE),
IF(LEFT(C290,3)="CNH",O290*10000*HLOOKUP("PTAX",'Histórico'!$A$1:$FG$983,MATCH(B290,'Histórico'!A:A),FALSE),
IF(LEFT(C290,3)="AUS",O290*10000*HLOOKUP("PTAX",'Histórico'!$A$1:$FG$983,MATCH(B290,'Histórico'!A:A),FALSE),
IF(LEFT(C290,3)="CAN",O290*10000*HLOOKUP("PTAX",'Histórico'!$A$1:$FG$983,MATCH(B290,'Histórico'!A:A),FALSE),
IF(LEFT(C290,3)="GBR",O290*10000*HLOOKUP("GBP/BRL",'Histórico'!$A$1:$FG$983,MATCH(B290,'Histórico'!A:A),FALSE),
IF(LEFT(C290,3)="MEX",O290*10000*HLOOKUP("PTAX",'Histórico'!$A$1:$FG$983,MATCH(B290,'Histórico'!A:A),FALSE),
IF(LEFT(C290,3)="CHL",O290*10000*HLOOKUP("PTAX",'Histórico'!$A$1:$FG$983,MATCH(B290,'Histórico'!A:A),FALSE)
)))))))))))))))))))))))),""))</f>
        <v/>
      </c>
      <c r="O290" s="49" t="str">
        <f t="shared" si="2"/>
        <v/>
      </c>
      <c r="P290" s="49" t="str">
        <f t="shared" si="5"/>
        <v/>
      </c>
      <c r="Q290" s="51" t="str">
        <f>IF($C290&lt;&gt;"",SUMIFS($O$3:$O$401, $C$3:$C$401 ,$C290,$B$3:$B$401,"&lt;="&amp;Controle!$B$6),"")</f>
        <v/>
      </c>
      <c r="R290" s="51" t="str">
        <f>IF($D290&lt;&gt;"",SUMIFS($O$3:$O$401, $C$3:$C$401 ,$C290,$B$3:$B$401,"&lt;="&amp;Controle!$B$6,$F$3:$F$401,$F290),"")</f>
        <v/>
      </c>
      <c r="S290" s="51" t="str">
        <f>IF($D290&lt;&gt;"",SUMIFS($O$3:$O$401, $C$3:$C$401 ,$C290,$B$3:$B$401,"&lt;="&amp;'Controle D-1'!$B$6,$F$3:$F$401,$F290),"")</f>
        <v/>
      </c>
      <c r="T290" s="40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146"/>
      <c r="B291" s="149"/>
      <c r="C291" s="150"/>
      <c r="D291" s="150" t="str">
        <f>IF(ISTEXT(C291),VLOOKUP(C291,'Cadastro dos Ativos'!$A$2:$C$1000,3,0),"")</f>
        <v/>
      </c>
      <c r="E291" s="150"/>
      <c r="F291" s="150"/>
      <c r="G291" s="151"/>
      <c r="H291" s="101" t="str">
        <f>if($D291="Ações Americanas", HLOOKUP("PTAX",'Histórico'!$A$1:$EL$983,(MATCH(B291,'Histórico'!A:A))-1,""),
if($D291="Ações Europeias", HLOOKUP("EUR/BRL",'Histórico'!$A$1:$EL$983,(MATCH(B291,'Histórico'!A:A))-1,""),""))</f>
        <v/>
      </c>
      <c r="I291" s="150" t="str">
        <f t="array" ref="I291">IF(ISTEXT(C291),xlookup(C291,'Cadastro dos Ativos'!$A$2:$A$1000,'Cadastro dos Ativos'!$D$2:$D$1000),"")</f>
        <v/>
      </c>
      <c r="J291" s="150"/>
      <c r="K291" s="47" t="str">
        <f t="array" ref="K291">if(and(J291&lt;&gt;"",D291&lt;&gt;"Futuros"),
if(F291=Controle!$C$2, M291/xlookup(workday(B291,-1,Feriados!A:A),Controle!$B$10:$B$1000,Controle!$C$10:$C$1000),
if(F291=Controle!$F$2, M291/xlookup(workday(B291,-1,Feriados!A:A),Controle!$B$10:$B$1000,Controle!$F$10:$F$1000),
if(F291=Controle!$I$2, M291/xlookup(workday(B291,-1,Feriados!A:A),Controle!$B$10:$B$1000,Controle!$I$10:$I$1000),
if(F291=Controle!$L$2, M291/xlookup(workday(B291,-1,Feriados!A:A),Controle!$B$10:$B$1000,Controle!$L$10:$L$1000),
)))),
if(and(J291&lt;&gt;"",D291="Futuros"),
if(F291=Controle!$C$2, N291/xlookup(workday(B291,-1,Feriados!A:A),Controle!$B$10:$B$1000,Controle!$C$10:$C$1000),
if(F291=Controle!$F$2, N291/xlookup(workday(B291,-1,Feriados!A:A),Controle!$B$10:$B$1000,Controle!$F$10:$F$1000),
if(F291=Controle!$I$2, N291/xlookup(workday(B291,-1,Feriados!A:A),Controle!$B$10:$B$1000,Controle!$I$10:$I$1000),
if(F291=Controle!$L$2, N291/xlookup(workday(B291,-1,Feriados!A:A),Controle!$B$10:$B$1000,Controle!$L$10:$L$1000),
)))),""))</f>
        <v/>
      </c>
      <c r="L291" s="47" t="str">
        <f t="array" ref="L291">IF($J291&lt;&gt;"", IF($D291 = "Futuros" , $N291/xlookup(WORKDAY(B291,-1,Feriados!A:A),Controle!$B$10:$B$1000,Controle!$T$10:$T$1000) , $M291/xlookup(WORKDAY(B291,-1,Feriados!A:A),Controle!$B$10:$B$1000,Controle!$T$10:$T$1000)),"")</f>
        <v/>
      </c>
      <c r="M291" s="48" t="str">
        <f t="shared" si="4"/>
        <v/>
      </c>
      <c r="N291" s="48" t="str">
        <f>IFERROR(IF(D291="Futuros",
IF(LEFT(C291,3)="DI1",G291*O291,
IF(LEFT(C291,3)="ISP",G291*O291*HLOOKUP("PTAX",'Histórico'!$A$1:$EL$983,MATCH(B291,'Histórico'!A:A),FALSE)*50,
IF(LEFT(C291,3)="WDO",10*G291*O291*HLOOKUP("PTAX",'Histórico'!$A$1:$EL$983,MATCH(B291,'Histórico'!A:A),FALSE),
IF(LEFT(C291,3)="DOL",50*G291*O291,
IF(LEFT(C291,3)="EUR",G291*O291*50,
IF(LEFT(C291,3)="WEU",G291*O291*10,
IF(LEFT(C291,3)="IND",G291*O291,
IF(LEFT(C291,3)="WIN",G291*O291*0.2,
IF(LEFT(C291,3)="T10",G291*O291*1000*HLOOKUP("PTAX",'Histórico'!$A$1:$EL$983,MATCH(B291,'Histórico'!A:A),FALSE),
IF(LEFT(C291,3)="CCM",G291*O291*450,
IF(LEFT(C291,3)="SJC",G291*O291*HLOOKUP("PTAX",'Histórico'!$A$1:$EL$983,MATCH(B291,'Histórico'!A:A),FALSE)*450,
IF(LEFT(C291,3)="BGI",G291*O291*330,
IF(LEFT(C291,3)="OZ1",G291*O291*250,
IF(LEFT(C291,3)="CLP",G291*O291*25,
IF(LEFT(C291,3)="EUP", O291*10000*HLOOKUP("EUR/BRL",'Histórico'!$A$1:$EL$983,MATCH(B291,'Histórico'!A:A),FALSE),
IF(LEFT(C291,3)="JSE", G291*O291*0.4,
IF(LEFT(C291,3)="GBP", O291*10000*HLOOKUP("GBP/BRL",'Histórico'!$A$1:$FG$983,MATCH(B291,'Histórico'!A:A),FALSE),
IF(LEFT(C291,3)="JAP",O291*10000*HLOOKUP("PTAX",'Histórico'!$A$1:$FG$983,MATCH(B291,'Histórico'!A:A),FALSE),
IF(LEFT(C291,3)="CNH",O291*10000*HLOOKUP("PTAX",'Histórico'!$A$1:$FG$983,MATCH(B291,'Histórico'!A:A),FALSE),
IF(LEFT(C291,3)="AUS",O291*10000*HLOOKUP("PTAX",'Histórico'!$A$1:$FG$983,MATCH(B291,'Histórico'!A:A),FALSE),
IF(LEFT(C291,3)="CAN",O291*10000*HLOOKUP("PTAX",'Histórico'!$A$1:$FG$983,MATCH(B291,'Histórico'!A:A),FALSE),
IF(LEFT(C291,3)="GBR",O291*10000*HLOOKUP("GBP/BRL",'Histórico'!$A$1:$FG$983,MATCH(B291,'Histórico'!A:A),FALSE),
IF(LEFT(C291,3)="MEX",O291*10000*HLOOKUP("PTAX",'Histórico'!$A$1:$FG$983,MATCH(B291,'Histórico'!A:A),FALSE),
IF(LEFT(C291,3)="CHL",O291*10000*HLOOKUP("PTAX",'Histórico'!$A$1:$FG$983,MATCH(B291,'Histórico'!A:A),FALSE)
)))))))))))))))))))))))),""))</f>
        <v/>
      </c>
      <c r="O291" s="49" t="str">
        <f t="shared" si="2"/>
        <v/>
      </c>
      <c r="P291" s="49" t="str">
        <f t="shared" si="5"/>
        <v/>
      </c>
      <c r="Q291" s="51" t="str">
        <f>IF($C291&lt;&gt;"",SUMIFS($O$3:$O$401, $C$3:$C$401 ,$C291,$B$3:$B$401,"&lt;="&amp;Controle!$B$6),"")</f>
        <v/>
      </c>
      <c r="R291" s="51" t="str">
        <f>IF($D291&lt;&gt;"",SUMIFS($O$3:$O$401, $C$3:$C$401 ,$C291,$B$3:$B$401,"&lt;="&amp;Controle!$B$6,$F$3:$F$401,$F291),"")</f>
        <v/>
      </c>
      <c r="S291" s="51" t="str">
        <f>IF($D291&lt;&gt;"",SUMIFS($O$3:$O$401, $C$3:$C$401 ,$C291,$B$3:$B$401,"&lt;="&amp;'Controle D-1'!$B$6,$F$3:$F$401,$F291),"")</f>
        <v/>
      </c>
      <c r="T291" s="40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146"/>
      <c r="B292" s="149"/>
      <c r="C292" s="150"/>
      <c r="D292" s="150" t="str">
        <f>IF(ISTEXT(C292),VLOOKUP(C292,'Cadastro dos Ativos'!$A$2:$C$1000,3,0),"")</f>
        <v/>
      </c>
      <c r="E292" s="150"/>
      <c r="F292" s="150"/>
      <c r="G292" s="151"/>
      <c r="H292" s="46" t="str">
        <f>if($D292="Ações Americanas", HLOOKUP("PTAX",'Histórico'!$A$1:$EL$983,(MATCH(B292,'Histórico'!A:A))-1,""),
if($D292="Ações Europeias", HLOOKUP("EUR/BRL",'Histórico'!$A$1:$EL$983,(MATCH(B292,'Histórico'!A:A))-1,""),""))</f>
        <v/>
      </c>
      <c r="I292" s="150" t="str">
        <f t="array" ref="I292">IF(ISTEXT(C292),xlookup(C292,'Cadastro dos Ativos'!$A$2:$A$1000,'Cadastro dos Ativos'!$D$2:$D$1000),"")</f>
        <v/>
      </c>
      <c r="J292" s="150"/>
      <c r="K292" s="47" t="str">
        <f t="array" ref="K292">if(and(J292&lt;&gt;"",D292&lt;&gt;"Futuros"),
if(F292=Controle!$C$2, M292/xlookup(workday(B292,-1,Feriados!A:A),Controle!$B$10:$B$1000,Controle!$C$10:$C$1000),
if(F292=Controle!$F$2, M292/xlookup(workday(B292,-1,Feriados!A:A),Controle!$B$10:$B$1000,Controle!$F$10:$F$1000),
if(F292=Controle!$I$2, M292/xlookup(workday(B292,-1,Feriados!A:A),Controle!$B$10:$B$1000,Controle!$I$10:$I$1000),
if(F292=Controle!$L$2, M292/xlookup(workday(B292,-1,Feriados!A:A),Controle!$B$10:$B$1000,Controle!$L$10:$L$1000),
)))),
if(and(J292&lt;&gt;"",D292="Futuros"),
if(F292=Controle!$C$2, N292/xlookup(workday(B292,-1,Feriados!A:A),Controle!$B$10:$B$1000,Controle!$C$10:$C$1000),
if(F292=Controle!$F$2, N292/xlookup(workday(B292,-1,Feriados!A:A),Controle!$B$10:$B$1000,Controle!$F$10:$F$1000),
if(F292=Controle!$I$2, N292/xlookup(workday(B292,-1,Feriados!A:A),Controle!$B$10:$B$1000,Controle!$I$10:$I$1000),
if(F292=Controle!$L$2, N292/xlookup(workday(B292,-1,Feriados!A:A),Controle!$B$10:$B$1000,Controle!$L$10:$L$1000),
)))),""))</f>
        <v/>
      </c>
      <c r="L292" s="47" t="str">
        <f t="array" ref="L292">IF($J292&lt;&gt;"", IF($D292 = "Futuros" , $N292/xlookup(WORKDAY(B292,-1,Feriados!A:A),Controle!$B$10:$B$1000,Controle!$T$10:$T$1000) , $M292/xlookup(WORKDAY(B292,-1,Feriados!A:A),Controle!$B$10:$B$1000,Controle!$T$10:$T$1000)),"")</f>
        <v/>
      </c>
      <c r="M292" s="48" t="str">
        <f t="shared" si="4"/>
        <v/>
      </c>
      <c r="N292" s="48" t="str">
        <f>IFERROR(IF(D292="Futuros",
IF(LEFT(C292,3)="DI1",G292*O292,
IF(LEFT(C292,3)="ISP",G292*O292*HLOOKUP("PTAX",'Histórico'!$A$1:$EL$983,MATCH(B292,'Histórico'!A:A),FALSE)*50,
IF(LEFT(C292,3)="WDO",10*G292*O292*HLOOKUP("PTAX",'Histórico'!$A$1:$EL$983,MATCH(B292,'Histórico'!A:A),FALSE),
IF(LEFT(C292,3)="DOL",50*G292*O292,
IF(LEFT(C292,3)="EUR",G292*O292*50,
IF(LEFT(C292,3)="WEU",G292*O292*10,
IF(LEFT(C292,3)="IND",G292*O292,
IF(LEFT(C292,3)="WIN",G292*O292*0.2,
IF(LEFT(C292,3)="T10",G292*O292*1000*HLOOKUP("PTAX",'Histórico'!$A$1:$EL$983,MATCH(B292,'Histórico'!A:A),FALSE),
IF(LEFT(C292,3)="CCM",G292*O292*450,
IF(LEFT(C292,3)="SJC",G292*O292*HLOOKUP("PTAX",'Histórico'!$A$1:$EL$983,MATCH(B292,'Histórico'!A:A),FALSE)*450,
IF(LEFT(C292,3)="BGI",G292*O292*330,
IF(LEFT(C292,3)="OZ1",G292*O292*250,
IF(LEFT(C292,3)="CLP",G292*O292*25,
IF(LEFT(C292,3)="EUP", O292*10000*HLOOKUP("EUR/BRL",'Histórico'!$A$1:$EL$983,MATCH(B292,'Histórico'!A:A),FALSE),
IF(LEFT(C292,3)="JSE", G292*O292*0.4,
IF(LEFT(C292,3)="GBP", O292*10000*HLOOKUP("GBP/BRL",'Histórico'!$A$1:$FG$983,MATCH(B292,'Histórico'!A:A),FALSE),
IF(LEFT(C292,3)="JAP",O292*10000*HLOOKUP("PTAX",'Histórico'!$A$1:$FG$983,MATCH(B292,'Histórico'!A:A),FALSE),
IF(LEFT(C292,3)="CNH",O292*10000*HLOOKUP("PTAX",'Histórico'!$A$1:$FG$983,MATCH(B292,'Histórico'!A:A),FALSE),
IF(LEFT(C292,3)="AUS",O292*10000*HLOOKUP("PTAX",'Histórico'!$A$1:$FG$983,MATCH(B292,'Histórico'!A:A),FALSE),
IF(LEFT(C292,3)="CAN",O292*10000*HLOOKUP("PTAX",'Histórico'!$A$1:$FG$983,MATCH(B292,'Histórico'!A:A),FALSE),
IF(LEFT(C292,3)="GBR",O292*10000*HLOOKUP("GBP/BRL",'Histórico'!$A$1:$FG$983,MATCH(B292,'Histórico'!A:A),FALSE),
IF(LEFT(C292,3)="MEX",O292*10000*HLOOKUP("PTAX",'Histórico'!$A$1:$FG$983,MATCH(B292,'Histórico'!A:A),FALSE),
IF(LEFT(C292,3)="CHL",O292*10000*HLOOKUP("PTAX",'Histórico'!$A$1:$FG$983,MATCH(B292,'Histórico'!A:A),FALSE)
)))))))))))))))))))))))),""))</f>
        <v/>
      </c>
      <c r="O292" s="49" t="str">
        <f t="shared" si="2"/>
        <v/>
      </c>
      <c r="P292" s="49" t="str">
        <f t="shared" si="5"/>
        <v/>
      </c>
      <c r="Q292" s="51" t="str">
        <f>IF($C292&lt;&gt;"",SUMIFS($O$3:$O$401, $C$3:$C$401 ,$C292,$B$3:$B$401,"&lt;="&amp;Controle!$B$6),"")</f>
        <v/>
      </c>
      <c r="R292" s="51" t="str">
        <f>IF($D292&lt;&gt;"",SUMIFS($O$3:$O$401, $C$3:$C$401 ,$C292,$B$3:$B$401,"&lt;="&amp;Controle!$B$6,$F$3:$F$401,$F292),"")</f>
        <v/>
      </c>
      <c r="S292" s="51" t="str">
        <f>IF($D292&lt;&gt;"",SUMIFS($O$3:$O$401, $C$3:$C$401 ,$C292,$B$3:$B$401,"&lt;="&amp;'Controle D-1'!$B$6,$F$3:$F$401,$F292),"")</f>
        <v/>
      </c>
      <c r="T292" s="40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146"/>
      <c r="B293" s="149"/>
      <c r="C293" s="150"/>
      <c r="D293" s="150" t="str">
        <f>IF(ISTEXT(C293),VLOOKUP(C293,'Cadastro dos Ativos'!$A$2:$C$1000,3,0),"")</f>
        <v/>
      </c>
      <c r="E293" s="150"/>
      <c r="F293" s="150"/>
      <c r="G293" s="151"/>
      <c r="H293" s="101" t="str">
        <f>if($D293="Ações Americanas", HLOOKUP("PTAX",'Histórico'!$A$1:$EL$983,(MATCH(B293,'Histórico'!A:A))-1,""),
if($D293="Ações Europeias", HLOOKUP("EUR/BRL",'Histórico'!$A$1:$EL$983,(MATCH(B293,'Histórico'!A:A))-1,""),""))</f>
        <v/>
      </c>
      <c r="I293" s="150" t="str">
        <f t="array" ref="I293">IF(ISTEXT(C293),xlookup(C293,'Cadastro dos Ativos'!$A$2:$A$1000,'Cadastro dos Ativos'!$D$2:$D$1000),"")</f>
        <v/>
      </c>
      <c r="J293" s="150"/>
      <c r="K293" s="47" t="str">
        <f t="array" ref="K293">if(and(J293&lt;&gt;"",D293&lt;&gt;"Futuros"),
if(F293=Controle!$C$2, M293/xlookup(workday(B293,-1,Feriados!A:A),Controle!$B$10:$B$1000,Controle!$C$10:$C$1000),
if(F293=Controle!$F$2, M293/xlookup(workday(B293,-1,Feriados!A:A),Controle!$B$10:$B$1000,Controle!$F$10:$F$1000),
if(F293=Controle!$I$2, M293/xlookup(workday(B293,-1,Feriados!A:A),Controle!$B$10:$B$1000,Controle!$I$10:$I$1000),
if(F293=Controle!$L$2, M293/xlookup(workday(B293,-1,Feriados!A:A),Controle!$B$10:$B$1000,Controle!$L$10:$L$1000),
)))),
if(and(J293&lt;&gt;"",D293="Futuros"),
if(F293=Controle!$C$2, N293/xlookup(workday(B293,-1,Feriados!A:A),Controle!$B$10:$B$1000,Controle!$C$10:$C$1000),
if(F293=Controle!$F$2, N293/xlookup(workday(B293,-1,Feriados!A:A),Controle!$B$10:$B$1000,Controle!$F$10:$F$1000),
if(F293=Controle!$I$2, N293/xlookup(workday(B293,-1,Feriados!A:A),Controle!$B$10:$B$1000,Controle!$I$10:$I$1000),
if(F293=Controle!$L$2, N293/xlookup(workday(B293,-1,Feriados!A:A),Controle!$B$10:$B$1000,Controle!$L$10:$L$1000),
)))),""))</f>
        <v/>
      </c>
      <c r="L293" s="47" t="str">
        <f t="array" ref="L293">IF($J293&lt;&gt;"", IF($D293 = "Futuros" , $N293/xlookup(WORKDAY(B293,-1,Feriados!A:A),Controle!$B$10:$B$1000,Controle!$T$10:$T$1000) , $M293/xlookup(WORKDAY(B293,-1,Feriados!A:A),Controle!$B$10:$B$1000,Controle!$T$10:$T$1000)),"")</f>
        <v/>
      </c>
      <c r="M293" s="48" t="str">
        <f t="shared" si="4"/>
        <v/>
      </c>
      <c r="N293" s="48" t="str">
        <f>IFERROR(IF(D293="Futuros",
IF(LEFT(C293,3)="DI1",G293*O293,
IF(LEFT(C293,3)="ISP",G293*O293*HLOOKUP("PTAX",'Histórico'!$A$1:$EL$983,MATCH(B293,'Histórico'!A:A),FALSE)*50,
IF(LEFT(C293,3)="WDO",10*G293*O293*HLOOKUP("PTAX",'Histórico'!$A$1:$EL$983,MATCH(B293,'Histórico'!A:A),FALSE),
IF(LEFT(C293,3)="DOL",50*G293*O293,
IF(LEFT(C293,3)="EUR",G293*O293*50,
IF(LEFT(C293,3)="WEU",G293*O293*10,
IF(LEFT(C293,3)="IND",G293*O293,
IF(LEFT(C293,3)="WIN",G293*O293*0.2,
IF(LEFT(C293,3)="T10",G293*O293*1000*HLOOKUP("PTAX",'Histórico'!$A$1:$EL$983,MATCH(B293,'Histórico'!A:A),FALSE),
IF(LEFT(C293,3)="CCM",G293*O293*450,
IF(LEFT(C293,3)="SJC",G293*O293*HLOOKUP("PTAX",'Histórico'!$A$1:$EL$983,MATCH(B293,'Histórico'!A:A),FALSE)*450,
IF(LEFT(C293,3)="BGI",G293*O293*330,
IF(LEFT(C293,3)="OZ1",G293*O293*250,
IF(LEFT(C293,3)="CLP",G293*O293*25,
IF(LEFT(C293,3)="EUP", O293*10000*HLOOKUP("EUR/BRL",'Histórico'!$A$1:$EL$983,MATCH(B293,'Histórico'!A:A),FALSE),
IF(LEFT(C293,3)="JSE", G293*O293*0.4,
IF(LEFT(C293,3)="GBP", O293*10000*HLOOKUP("GBP/BRL",'Histórico'!$A$1:$FG$983,MATCH(B293,'Histórico'!A:A),FALSE),
IF(LEFT(C293,3)="JAP",O293*10000*HLOOKUP("PTAX",'Histórico'!$A$1:$FG$983,MATCH(B293,'Histórico'!A:A),FALSE),
IF(LEFT(C293,3)="CNH",O293*10000*HLOOKUP("PTAX",'Histórico'!$A$1:$FG$983,MATCH(B293,'Histórico'!A:A),FALSE),
IF(LEFT(C293,3)="AUS",O293*10000*HLOOKUP("PTAX",'Histórico'!$A$1:$FG$983,MATCH(B293,'Histórico'!A:A),FALSE),
IF(LEFT(C293,3)="CAN",O293*10000*HLOOKUP("PTAX",'Histórico'!$A$1:$FG$983,MATCH(B293,'Histórico'!A:A),FALSE),
IF(LEFT(C293,3)="GBR",O293*10000*HLOOKUP("GBP/BRL",'Histórico'!$A$1:$FG$983,MATCH(B293,'Histórico'!A:A),FALSE),
IF(LEFT(C293,3)="MEX",O293*10000*HLOOKUP("PTAX",'Histórico'!$A$1:$FG$983,MATCH(B293,'Histórico'!A:A),FALSE),
IF(LEFT(C293,3)="CHL",O293*10000*HLOOKUP("PTAX",'Histórico'!$A$1:$FG$983,MATCH(B293,'Histórico'!A:A),FALSE)
)))))))))))))))))))))))),""))</f>
        <v/>
      </c>
      <c r="O293" s="49" t="str">
        <f t="shared" si="2"/>
        <v/>
      </c>
      <c r="P293" s="49" t="str">
        <f t="shared" si="5"/>
        <v/>
      </c>
      <c r="Q293" s="51" t="str">
        <f>IF($C293&lt;&gt;"",SUMIFS($O$3:$O$401, $C$3:$C$401 ,$C293,$B$3:$B$401,"&lt;="&amp;Controle!$B$6),"")</f>
        <v/>
      </c>
      <c r="R293" s="51" t="str">
        <f>IF($D293&lt;&gt;"",SUMIFS($O$3:$O$401, $C$3:$C$401 ,$C293,$B$3:$B$401,"&lt;="&amp;Controle!$B$6,$F$3:$F$401,$F293),"")</f>
        <v/>
      </c>
      <c r="S293" s="51" t="str">
        <f>IF($D293&lt;&gt;"",SUMIFS($O$3:$O$401, $C$3:$C$401 ,$C293,$B$3:$B$401,"&lt;="&amp;'Controle D-1'!$B$6,$F$3:$F$401,$F293),"")</f>
        <v/>
      </c>
      <c r="T293" s="40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146"/>
      <c r="B294" s="149"/>
      <c r="C294" s="150"/>
      <c r="D294" s="150" t="str">
        <f>IF(ISTEXT(C294),VLOOKUP(C294,'Cadastro dos Ativos'!$A$2:$C$1000,3,0),"")</f>
        <v/>
      </c>
      <c r="E294" s="150"/>
      <c r="F294" s="150"/>
      <c r="G294" s="151"/>
      <c r="H294" s="46" t="str">
        <f>if($D294="Ações Americanas", HLOOKUP("PTAX",'Histórico'!$A$1:$EL$983,(MATCH(B294,'Histórico'!A:A))-1,""),
if($D294="Ações Europeias", HLOOKUP("EUR/BRL",'Histórico'!$A$1:$EL$983,(MATCH(B294,'Histórico'!A:A))-1,""),""))</f>
        <v/>
      </c>
      <c r="I294" s="150" t="str">
        <f t="array" ref="I294">IF(ISTEXT(C294),xlookup(C294,'Cadastro dos Ativos'!$A$2:$A$1000,'Cadastro dos Ativos'!$D$2:$D$1000),"")</f>
        <v/>
      </c>
      <c r="J294" s="150"/>
      <c r="K294" s="47" t="str">
        <f t="array" ref="K294">if(and(J294&lt;&gt;"",D294&lt;&gt;"Futuros"),
if(F294=Controle!$C$2, M294/xlookup(workday(B294,-1,Feriados!A:A),Controle!$B$10:$B$1000,Controle!$C$10:$C$1000),
if(F294=Controle!$F$2, M294/xlookup(workday(B294,-1,Feriados!A:A),Controle!$B$10:$B$1000,Controle!$F$10:$F$1000),
if(F294=Controle!$I$2, M294/xlookup(workday(B294,-1,Feriados!A:A),Controle!$B$10:$B$1000,Controle!$I$10:$I$1000),
if(F294=Controle!$L$2, M294/xlookup(workday(B294,-1,Feriados!A:A),Controle!$B$10:$B$1000,Controle!$L$10:$L$1000),
)))),
if(and(J294&lt;&gt;"",D294="Futuros"),
if(F294=Controle!$C$2, N294/xlookup(workday(B294,-1,Feriados!A:A),Controle!$B$10:$B$1000,Controle!$C$10:$C$1000),
if(F294=Controle!$F$2, N294/xlookup(workday(B294,-1,Feriados!A:A),Controle!$B$10:$B$1000,Controle!$F$10:$F$1000),
if(F294=Controle!$I$2, N294/xlookup(workday(B294,-1,Feriados!A:A),Controle!$B$10:$B$1000,Controle!$I$10:$I$1000),
if(F294=Controle!$L$2, N294/xlookup(workday(B294,-1,Feriados!A:A),Controle!$B$10:$B$1000,Controle!$L$10:$L$1000),
)))),""))</f>
        <v/>
      </c>
      <c r="L294" s="47" t="str">
        <f t="array" ref="L294">IF($J294&lt;&gt;"", IF($D294 = "Futuros" , $N294/xlookup(WORKDAY(B294,-1,Feriados!A:A),Controle!$B$10:$B$1000,Controle!$T$10:$T$1000) , $M294/xlookup(WORKDAY(B294,-1,Feriados!A:A),Controle!$B$10:$B$1000,Controle!$T$10:$T$1000)),"")</f>
        <v/>
      </c>
      <c r="M294" s="48" t="str">
        <f t="shared" si="4"/>
        <v/>
      </c>
      <c r="N294" s="48" t="str">
        <f>IFERROR(IF(D294="Futuros",
IF(LEFT(C294,3)="DI1",G294*O294,
IF(LEFT(C294,3)="ISP",G294*O294*HLOOKUP("PTAX",'Histórico'!$A$1:$EL$983,MATCH(B294,'Histórico'!A:A),FALSE)*50,
IF(LEFT(C294,3)="WDO",10*G294*O294*HLOOKUP("PTAX",'Histórico'!$A$1:$EL$983,MATCH(B294,'Histórico'!A:A),FALSE),
IF(LEFT(C294,3)="DOL",50*G294*O294,
IF(LEFT(C294,3)="EUR",G294*O294*50,
IF(LEFT(C294,3)="WEU",G294*O294*10,
IF(LEFT(C294,3)="IND",G294*O294,
IF(LEFT(C294,3)="WIN",G294*O294*0.2,
IF(LEFT(C294,3)="T10",G294*O294*1000*HLOOKUP("PTAX",'Histórico'!$A$1:$EL$983,MATCH(B294,'Histórico'!A:A),FALSE),
IF(LEFT(C294,3)="CCM",G294*O294*450,
IF(LEFT(C294,3)="SJC",G294*O294*HLOOKUP("PTAX",'Histórico'!$A$1:$EL$983,MATCH(B294,'Histórico'!A:A),FALSE)*450,
IF(LEFT(C294,3)="BGI",G294*O294*330,
IF(LEFT(C294,3)="OZ1",G294*O294*250,
IF(LEFT(C294,3)="CLP",G294*O294*25,
IF(LEFT(C294,3)="EUP", O294*10000*HLOOKUP("EUR/BRL",'Histórico'!$A$1:$EL$983,MATCH(B294,'Histórico'!A:A),FALSE),
IF(LEFT(C294,3)="JSE", G294*O294*0.4,
IF(LEFT(C294,3)="GBP", O294*10000*HLOOKUP("GBP/BRL",'Histórico'!$A$1:$FG$983,MATCH(B294,'Histórico'!A:A),FALSE),
IF(LEFT(C294,3)="JAP",O294*10000*HLOOKUP("PTAX",'Histórico'!$A$1:$FG$983,MATCH(B294,'Histórico'!A:A),FALSE),
IF(LEFT(C294,3)="CNH",O294*10000*HLOOKUP("PTAX",'Histórico'!$A$1:$FG$983,MATCH(B294,'Histórico'!A:A),FALSE),
IF(LEFT(C294,3)="AUS",O294*10000*HLOOKUP("PTAX",'Histórico'!$A$1:$FG$983,MATCH(B294,'Histórico'!A:A),FALSE),
IF(LEFT(C294,3)="CAN",O294*10000*HLOOKUP("PTAX",'Histórico'!$A$1:$FG$983,MATCH(B294,'Histórico'!A:A),FALSE),
IF(LEFT(C294,3)="GBR",O294*10000*HLOOKUP("GBP/BRL",'Histórico'!$A$1:$FG$983,MATCH(B294,'Histórico'!A:A),FALSE),
IF(LEFT(C294,3)="MEX",O294*10000*HLOOKUP("PTAX",'Histórico'!$A$1:$FG$983,MATCH(B294,'Histórico'!A:A),FALSE),
IF(LEFT(C294,3)="CHL",O294*10000*HLOOKUP("PTAX",'Histórico'!$A$1:$FG$983,MATCH(B294,'Histórico'!A:A),FALSE)
)))))))))))))))))))))))),""))</f>
        <v/>
      </c>
      <c r="O294" s="49" t="str">
        <f t="shared" si="2"/>
        <v/>
      </c>
      <c r="P294" s="49" t="str">
        <f t="shared" si="5"/>
        <v/>
      </c>
      <c r="Q294" s="51" t="str">
        <f>IF($C294&lt;&gt;"",SUMIFS($O$3:$O$401, $C$3:$C$401 ,$C294,$B$3:$B$401,"&lt;="&amp;Controle!$B$6),"")</f>
        <v/>
      </c>
      <c r="R294" s="51" t="str">
        <f>IF($D294&lt;&gt;"",SUMIFS($O$3:$O$401, $C$3:$C$401 ,$C294,$B$3:$B$401,"&lt;="&amp;Controle!$B$6,$F$3:$F$401,$F294),"")</f>
        <v/>
      </c>
      <c r="S294" s="51" t="str">
        <f>IF($D294&lt;&gt;"",SUMIFS($O$3:$O$401, $C$3:$C$401 ,$C294,$B$3:$B$401,"&lt;="&amp;'Controle D-1'!$B$6,$F$3:$F$401,$F294),"")</f>
        <v/>
      </c>
      <c r="T294" s="40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146"/>
      <c r="B295" s="149"/>
      <c r="C295" s="150"/>
      <c r="D295" s="150" t="str">
        <f>IF(ISTEXT(C295),VLOOKUP(C295,'Cadastro dos Ativos'!$A$2:$C$1000,3,0),"")</f>
        <v/>
      </c>
      <c r="E295" s="150"/>
      <c r="F295" s="150"/>
      <c r="G295" s="151"/>
      <c r="H295" s="101" t="str">
        <f>if($D295="Ações Americanas", HLOOKUP("PTAX",'Histórico'!$A$1:$EL$983,(MATCH(B295,'Histórico'!A:A))-1,""),
if($D295="Ações Europeias", HLOOKUP("EUR/BRL",'Histórico'!$A$1:$EL$983,(MATCH(B295,'Histórico'!A:A))-1,""),""))</f>
        <v/>
      </c>
      <c r="I295" s="150" t="str">
        <f t="array" ref="I295">IF(ISTEXT(C295),xlookup(C295,'Cadastro dos Ativos'!$A$2:$A$1000,'Cadastro dos Ativos'!$D$2:$D$1000),"")</f>
        <v/>
      </c>
      <c r="J295" s="150"/>
      <c r="K295" s="47" t="str">
        <f t="array" ref="K295">if(and(J295&lt;&gt;"",D295&lt;&gt;"Futuros"),
if(F295=Controle!$C$2, M295/xlookup(workday(B295,-1,Feriados!A:A),Controle!$B$10:$B$1000,Controle!$C$10:$C$1000),
if(F295=Controle!$F$2, M295/xlookup(workday(B295,-1,Feriados!A:A),Controle!$B$10:$B$1000,Controle!$F$10:$F$1000),
if(F295=Controle!$I$2, M295/xlookup(workday(B295,-1,Feriados!A:A),Controle!$B$10:$B$1000,Controle!$I$10:$I$1000),
if(F295=Controle!$L$2, M295/xlookup(workday(B295,-1,Feriados!A:A),Controle!$B$10:$B$1000,Controle!$L$10:$L$1000),
)))),
if(and(J295&lt;&gt;"",D295="Futuros"),
if(F295=Controle!$C$2, N295/xlookup(workday(B295,-1,Feriados!A:A),Controle!$B$10:$B$1000,Controle!$C$10:$C$1000),
if(F295=Controle!$F$2, N295/xlookup(workday(B295,-1,Feriados!A:A),Controle!$B$10:$B$1000,Controle!$F$10:$F$1000),
if(F295=Controle!$I$2, N295/xlookup(workday(B295,-1,Feriados!A:A),Controle!$B$10:$B$1000,Controle!$I$10:$I$1000),
if(F295=Controle!$L$2, N295/xlookup(workday(B295,-1,Feriados!A:A),Controle!$B$10:$B$1000,Controle!$L$10:$L$1000),
)))),""))</f>
        <v/>
      </c>
      <c r="L295" s="47" t="str">
        <f t="array" ref="L295">IF($J295&lt;&gt;"", IF($D295 = "Futuros" , $N295/xlookup(WORKDAY(B295,-1,Feriados!A:A),Controle!$B$10:$B$1000,Controle!$T$10:$T$1000) , $M295/xlookup(WORKDAY(B295,-1,Feriados!A:A),Controle!$B$10:$B$1000,Controle!$T$10:$T$1000)),"")</f>
        <v/>
      </c>
      <c r="M295" s="48" t="str">
        <f t="shared" si="4"/>
        <v/>
      </c>
      <c r="N295" s="48" t="str">
        <f>IFERROR(IF(D295="Futuros",
IF(LEFT(C295,3)="DI1",G295*O295,
IF(LEFT(C295,3)="ISP",G295*O295*HLOOKUP("PTAX",'Histórico'!$A$1:$EL$983,MATCH(B295,'Histórico'!A:A),FALSE)*50,
IF(LEFT(C295,3)="WDO",10*G295*O295*HLOOKUP("PTAX",'Histórico'!$A$1:$EL$983,MATCH(B295,'Histórico'!A:A),FALSE),
IF(LEFT(C295,3)="DOL",50*G295*O295,
IF(LEFT(C295,3)="EUR",G295*O295*50,
IF(LEFT(C295,3)="WEU",G295*O295*10,
IF(LEFT(C295,3)="IND",G295*O295,
IF(LEFT(C295,3)="WIN",G295*O295*0.2,
IF(LEFT(C295,3)="T10",G295*O295*1000*HLOOKUP("PTAX",'Histórico'!$A$1:$EL$983,MATCH(B295,'Histórico'!A:A),FALSE),
IF(LEFT(C295,3)="CCM",G295*O295*450,
IF(LEFT(C295,3)="SJC",G295*O295*HLOOKUP("PTAX",'Histórico'!$A$1:$EL$983,MATCH(B295,'Histórico'!A:A),FALSE)*450,
IF(LEFT(C295,3)="BGI",G295*O295*330,
IF(LEFT(C295,3)="OZ1",G295*O295*250,
IF(LEFT(C295,3)="CLP",G295*O295*25,
IF(LEFT(C295,3)="EUP", O295*10000*HLOOKUP("EUR/BRL",'Histórico'!$A$1:$EL$983,MATCH(B295,'Histórico'!A:A),FALSE),
IF(LEFT(C295,3)="JSE", G295*O295*0.4,
IF(LEFT(C295,3)="GBP", O295*10000*HLOOKUP("GBP/BRL",'Histórico'!$A$1:$FG$983,MATCH(B295,'Histórico'!A:A),FALSE),
IF(LEFT(C295,3)="JAP",O295*10000*HLOOKUP("PTAX",'Histórico'!$A$1:$FG$983,MATCH(B295,'Histórico'!A:A),FALSE),
IF(LEFT(C295,3)="CNH",O295*10000*HLOOKUP("PTAX",'Histórico'!$A$1:$FG$983,MATCH(B295,'Histórico'!A:A),FALSE),
IF(LEFT(C295,3)="AUS",O295*10000*HLOOKUP("PTAX",'Histórico'!$A$1:$FG$983,MATCH(B295,'Histórico'!A:A),FALSE),
IF(LEFT(C295,3)="CAN",O295*10000*HLOOKUP("PTAX",'Histórico'!$A$1:$FG$983,MATCH(B295,'Histórico'!A:A),FALSE),
IF(LEFT(C295,3)="GBR",O295*10000*HLOOKUP("GBP/BRL",'Histórico'!$A$1:$FG$983,MATCH(B295,'Histórico'!A:A),FALSE),
IF(LEFT(C295,3)="MEX",O295*10000*HLOOKUP("PTAX",'Histórico'!$A$1:$FG$983,MATCH(B295,'Histórico'!A:A),FALSE),
IF(LEFT(C295,3)="CHL",O295*10000*HLOOKUP("PTAX",'Histórico'!$A$1:$FG$983,MATCH(B295,'Histórico'!A:A),FALSE)
)))))))))))))))))))))))),""))</f>
        <v/>
      </c>
      <c r="O295" s="49" t="str">
        <f t="shared" si="2"/>
        <v/>
      </c>
      <c r="P295" s="49" t="str">
        <f t="shared" si="5"/>
        <v/>
      </c>
      <c r="Q295" s="51" t="str">
        <f>IF($C295&lt;&gt;"",SUMIFS($O$3:$O$401, $C$3:$C$401 ,$C295,$B$3:$B$401,"&lt;="&amp;Controle!$B$6),"")</f>
        <v/>
      </c>
      <c r="R295" s="51" t="str">
        <f>IF($D295&lt;&gt;"",SUMIFS($O$3:$O$401, $C$3:$C$401 ,$C295,$B$3:$B$401,"&lt;="&amp;Controle!$B$6,$F$3:$F$401,$F295),"")</f>
        <v/>
      </c>
      <c r="S295" s="51" t="str">
        <f>IF($D295&lt;&gt;"",SUMIFS($O$3:$O$401, $C$3:$C$401 ,$C295,$B$3:$B$401,"&lt;="&amp;'Controle D-1'!$B$6,$F$3:$F$401,$F295),"")</f>
        <v/>
      </c>
      <c r="T295" s="40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146"/>
      <c r="B296" s="149"/>
      <c r="C296" s="150"/>
      <c r="D296" s="150" t="str">
        <f>IF(ISTEXT(C296),VLOOKUP(C296,'Cadastro dos Ativos'!$A$2:$C$1000,3,0),"")</f>
        <v/>
      </c>
      <c r="E296" s="150"/>
      <c r="F296" s="150"/>
      <c r="G296" s="151"/>
      <c r="H296" s="46" t="str">
        <f>if($D296="Ações Americanas", HLOOKUP("PTAX",'Histórico'!$A$1:$EL$983,(MATCH(B296,'Histórico'!A:A))-1,""),
if($D296="Ações Europeias", HLOOKUP("EUR/BRL",'Histórico'!$A$1:$EL$983,(MATCH(B296,'Histórico'!A:A))-1,""),""))</f>
        <v/>
      </c>
      <c r="I296" s="150" t="str">
        <f t="array" ref="I296">IF(ISTEXT(C296),xlookup(C296,'Cadastro dos Ativos'!$A$2:$A$1000,'Cadastro dos Ativos'!$D$2:$D$1000),"")</f>
        <v/>
      </c>
      <c r="J296" s="150"/>
      <c r="K296" s="47" t="str">
        <f t="array" ref="K296">if(and(J296&lt;&gt;"",D296&lt;&gt;"Futuros"),
if(F296=Controle!$C$2, M296/xlookup(workday(B296,-1,Feriados!A:A),Controle!$B$10:$B$1000,Controle!$C$10:$C$1000),
if(F296=Controle!$F$2, M296/xlookup(workday(B296,-1,Feriados!A:A),Controle!$B$10:$B$1000,Controle!$F$10:$F$1000),
if(F296=Controle!$I$2, M296/xlookup(workday(B296,-1,Feriados!A:A),Controle!$B$10:$B$1000,Controle!$I$10:$I$1000),
if(F296=Controle!$L$2, M296/xlookup(workday(B296,-1,Feriados!A:A),Controle!$B$10:$B$1000,Controle!$L$10:$L$1000),
)))),
if(and(J296&lt;&gt;"",D296="Futuros"),
if(F296=Controle!$C$2, N296/xlookup(workday(B296,-1,Feriados!A:A),Controle!$B$10:$B$1000,Controle!$C$10:$C$1000),
if(F296=Controle!$F$2, N296/xlookup(workday(B296,-1,Feriados!A:A),Controle!$B$10:$B$1000,Controle!$F$10:$F$1000),
if(F296=Controle!$I$2, N296/xlookup(workday(B296,-1,Feriados!A:A),Controle!$B$10:$B$1000,Controle!$I$10:$I$1000),
if(F296=Controle!$L$2, N296/xlookup(workday(B296,-1,Feriados!A:A),Controle!$B$10:$B$1000,Controle!$L$10:$L$1000),
)))),""))</f>
        <v/>
      </c>
      <c r="L296" s="47" t="str">
        <f t="array" ref="L296">IF($J296&lt;&gt;"", IF($D296 = "Futuros" , $N296/xlookup(WORKDAY(B296,-1,Feriados!A:A),Controle!$B$10:$B$1000,Controle!$T$10:$T$1000) , $M296/xlookup(WORKDAY(B296,-1,Feriados!A:A),Controle!$B$10:$B$1000,Controle!$T$10:$T$1000)),"")</f>
        <v/>
      </c>
      <c r="M296" s="48" t="str">
        <f t="shared" si="4"/>
        <v/>
      </c>
      <c r="N296" s="48" t="str">
        <f>IFERROR(IF(D296="Futuros",
IF(LEFT(C296,3)="DI1",G296*O296,
IF(LEFT(C296,3)="ISP",G296*O296*HLOOKUP("PTAX",'Histórico'!$A$1:$EL$983,MATCH(B296,'Histórico'!A:A),FALSE)*50,
IF(LEFT(C296,3)="WDO",10*G296*O296*HLOOKUP("PTAX",'Histórico'!$A$1:$EL$983,MATCH(B296,'Histórico'!A:A),FALSE),
IF(LEFT(C296,3)="DOL",50*G296*O296,
IF(LEFT(C296,3)="EUR",G296*O296*50,
IF(LEFT(C296,3)="WEU",G296*O296*10,
IF(LEFT(C296,3)="IND",G296*O296,
IF(LEFT(C296,3)="WIN",G296*O296*0.2,
IF(LEFT(C296,3)="T10",G296*O296*1000*HLOOKUP("PTAX",'Histórico'!$A$1:$EL$983,MATCH(B296,'Histórico'!A:A),FALSE),
IF(LEFT(C296,3)="CCM",G296*O296*450,
IF(LEFT(C296,3)="SJC",G296*O296*HLOOKUP("PTAX",'Histórico'!$A$1:$EL$983,MATCH(B296,'Histórico'!A:A),FALSE)*450,
IF(LEFT(C296,3)="BGI",G296*O296*330,
IF(LEFT(C296,3)="OZ1",G296*O296*250,
IF(LEFT(C296,3)="CLP",G296*O296*25,
IF(LEFT(C296,3)="EUP", O296*10000*HLOOKUP("EUR/BRL",'Histórico'!$A$1:$EL$983,MATCH(B296,'Histórico'!A:A),FALSE),
IF(LEFT(C296,3)="JSE", G296*O296*0.4,
IF(LEFT(C296,3)="GBP", O296*10000*HLOOKUP("GBP/BRL",'Histórico'!$A$1:$FG$983,MATCH(B296,'Histórico'!A:A),FALSE),
IF(LEFT(C296,3)="JAP",O296*10000*HLOOKUP("PTAX",'Histórico'!$A$1:$FG$983,MATCH(B296,'Histórico'!A:A),FALSE),
IF(LEFT(C296,3)="CNH",O296*10000*HLOOKUP("PTAX",'Histórico'!$A$1:$FG$983,MATCH(B296,'Histórico'!A:A),FALSE),
IF(LEFT(C296,3)="AUS",O296*10000*HLOOKUP("PTAX",'Histórico'!$A$1:$FG$983,MATCH(B296,'Histórico'!A:A),FALSE),
IF(LEFT(C296,3)="CAN",O296*10000*HLOOKUP("PTAX",'Histórico'!$A$1:$FG$983,MATCH(B296,'Histórico'!A:A),FALSE),
IF(LEFT(C296,3)="GBR",O296*10000*HLOOKUP("GBP/BRL",'Histórico'!$A$1:$FG$983,MATCH(B296,'Histórico'!A:A),FALSE),
IF(LEFT(C296,3)="MEX",O296*10000*HLOOKUP("PTAX",'Histórico'!$A$1:$FG$983,MATCH(B296,'Histórico'!A:A),FALSE),
IF(LEFT(C296,3)="CHL",O296*10000*HLOOKUP("PTAX",'Histórico'!$A$1:$FG$983,MATCH(B296,'Histórico'!A:A),FALSE)
)))))))))))))))))))))))),""))</f>
        <v/>
      </c>
      <c r="O296" s="49" t="str">
        <f t="shared" si="2"/>
        <v/>
      </c>
      <c r="P296" s="49" t="str">
        <f t="shared" si="5"/>
        <v/>
      </c>
      <c r="Q296" s="51" t="str">
        <f>IF($C296&lt;&gt;"",SUMIFS($O$3:$O$401, $C$3:$C$401 ,$C296,$B$3:$B$401,"&lt;="&amp;Controle!$B$6),"")</f>
        <v/>
      </c>
      <c r="R296" s="51" t="str">
        <f>IF($D296&lt;&gt;"",SUMIFS($O$3:$O$401, $C$3:$C$401 ,$C296,$B$3:$B$401,"&lt;="&amp;Controle!$B$6,$F$3:$F$401,$F296),"")</f>
        <v/>
      </c>
      <c r="S296" s="51" t="str">
        <f>IF($D296&lt;&gt;"",SUMIFS($O$3:$O$401, $C$3:$C$401 ,$C296,$B$3:$B$401,"&lt;="&amp;'Controle D-1'!$B$6,$F$3:$F$401,$F296),"")</f>
        <v/>
      </c>
      <c r="T296" s="40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146"/>
      <c r="B297" s="149"/>
      <c r="C297" s="150"/>
      <c r="D297" s="150" t="str">
        <f>IF(ISTEXT(C297),VLOOKUP(C297,'Cadastro dos Ativos'!$A$2:$C$1000,3,0),"")</f>
        <v/>
      </c>
      <c r="E297" s="150"/>
      <c r="F297" s="150"/>
      <c r="G297" s="151"/>
      <c r="H297" s="101" t="str">
        <f>if($D297="Ações Americanas", HLOOKUP("PTAX",'Histórico'!$A$1:$EL$983,(MATCH(B297,'Histórico'!A:A))-1,""),
if($D297="Ações Europeias", HLOOKUP("EUR/BRL",'Histórico'!$A$1:$EL$983,(MATCH(B297,'Histórico'!A:A))-1,""),""))</f>
        <v/>
      </c>
      <c r="I297" s="150" t="str">
        <f t="array" ref="I297">IF(ISTEXT(C297),xlookup(C297,'Cadastro dos Ativos'!$A$2:$A$1000,'Cadastro dos Ativos'!$D$2:$D$1000),"")</f>
        <v/>
      </c>
      <c r="J297" s="150"/>
      <c r="K297" s="47" t="str">
        <f t="array" ref="K297">if(and(J297&lt;&gt;"",D297&lt;&gt;"Futuros"),
if(F297=Controle!$C$2, M297/xlookup(workday(B297,-1,Feriados!A:A),Controle!$B$10:$B$1000,Controle!$C$10:$C$1000),
if(F297=Controle!$F$2, M297/xlookup(workday(B297,-1,Feriados!A:A),Controle!$B$10:$B$1000,Controle!$F$10:$F$1000),
if(F297=Controle!$I$2, M297/xlookup(workday(B297,-1,Feriados!A:A),Controle!$B$10:$B$1000,Controle!$I$10:$I$1000),
if(F297=Controle!$L$2, M297/xlookup(workday(B297,-1,Feriados!A:A),Controle!$B$10:$B$1000,Controle!$L$10:$L$1000),
)))),
if(and(J297&lt;&gt;"",D297="Futuros"),
if(F297=Controle!$C$2, N297/xlookup(workday(B297,-1,Feriados!A:A),Controle!$B$10:$B$1000,Controle!$C$10:$C$1000),
if(F297=Controle!$F$2, N297/xlookup(workday(B297,-1,Feriados!A:A),Controle!$B$10:$B$1000,Controle!$F$10:$F$1000),
if(F297=Controle!$I$2, N297/xlookup(workday(B297,-1,Feriados!A:A),Controle!$B$10:$B$1000,Controle!$I$10:$I$1000),
if(F297=Controle!$L$2, N297/xlookup(workday(B297,-1,Feriados!A:A),Controle!$B$10:$B$1000,Controle!$L$10:$L$1000),
)))),""))</f>
        <v/>
      </c>
      <c r="L297" s="47" t="str">
        <f t="array" ref="L297">IF($J297&lt;&gt;"", IF($D297 = "Futuros" , $N297/xlookup(WORKDAY(B297,-1,Feriados!A:A),Controle!$B$10:$B$1000,Controle!$T$10:$T$1000) , $M297/xlookup(WORKDAY(B297,-1,Feriados!A:A),Controle!$B$10:$B$1000,Controle!$T$10:$T$1000)),"")</f>
        <v/>
      </c>
      <c r="M297" s="48" t="str">
        <f t="shared" si="4"/>
        <v/>
      </c>
      <c r="N297" s="48" t="str">
        <f>IFERROR(IF(D297="Futuros",
IF(LEFT(C297,3)="DI1",G297*O297,
IF(LEFT(C297,3)="ISP",G297*O297*HLOOKUP("PTAX",'Histórico'!$A$1:$EL$983,MATCH(B297,'Histórico'!A:A),FALSE)*50,
IF(LEFT(C297,3)="WDO",10*G297*O297*HLOOKUP("PTAX",'Histórico'!$A$1:$EL$983,MATCH(B297,'Histórico'!A:A),FALSE),
IF(LEFT(C297,3)="DOL",50*G297*O297,
IF(LEFT(C297,3)="EUR",G297*O297*50,
IF(LEFT(C297,3)="WEU",G297*O297*10,
IF(LEFT(C297,3)="IND",G297*O297,
IF(LEFT(C297,3)="WIN",G297*O297*0.2,
IF(LEFT(C297,3)="T10",G297*O297*1000*HLOOKUP("PTAX",'Histórico'!$A$1:$EL$983,MATCH(B297,'Histórico'!A:A),FALSE),
IF(LEFT(C297,3)="CCM",G297*O297*450,
IF(LEFT(C297,3)="SJC",G297*O297*HLOOKUP("PTAX",'Histórico'!$A$1:$EL$983,MATCH(B297,'Histórico'!A:A),FALSE)*450,
IF(LEFT(C297,3)="BGI",G297*O297*330,
IF(LEFT(C297,3)="OZ1",G297*O297*250,
IF(LEFT(C297,3)="CLP",G297*O297*25,
IF(LEFT(C297,3)="EUP", O297*10000*HLOOKUP("EUR/BRL",'Histórico'!$A$1:$EL$983,MATCH(B297,'Histórico'!A:A),FALSE),
IF(LEFT(C297,3)="JSE", G297*O297*0.4,
IF(LEFT(C297,3)="GBP", O297*10000*HLOOKUP("GBP/BRL",'Histórico'!$A$1:$FG$983,MATCH(B297,'Histórico'!A:A),FALSE),
IF(LEFT(C297,3)="JAP",O297*10000*HLOOKUP("PTAX",'Histórico'!$A$1:$FG$983,MATCH(B297,'Histórico'!A:A),FALSE),
IF(LEFT(C297,3)="CNH",O297*10000*HLOOKUP("PTAX",'Histórico'!$A$1:$FG$983,MATCH(B297,'Histórico'!A:A),FALSE),
IF(LEFT(C297,3)="AUS",O297*10000*HLOOKUP("PTAX",'Histórico'!$A$1:$FG$983,MATCH(B297,'Histórico'!A:A),FALSE),
IF(LEFT(C297,3)="CAN",O297*10000*HLOOKUP("PTAX",'Histórico'!$A$1:$FG$983,MATCH(B297,'Histórico'!A:A),FALSE),
IF(LEFT(C297,3)="GBR",O297*10000*HLOOKUP("GBP/BRL",'Histórico'!$A$1:$FG$983,MATCH(B297,'Histórico'!A:A),FALSE),
IF(LEFT(C297,3)="MEX",O297*10000*HLOOKUP("PTAX",'Histórico'!$A$1:$FG$983,MATCH(B297,'Histórico'!A:A),FALSE),
IF(LEFT(C297,3)="CHL",O297*10000*HLOOKUP("PTAX",'Histórico'!$A$1:$FG$983,MATCH(B297,'Histórico'!A:A),FALSE)
)))))))))))))))))))))))),""))</f>
        <v/>
      </c>
      <c r="O297" s="49" t="str">
        <f t="shared" si="2"/>
        <v/>
      </c>
      <c r="P297" s="49" t="str">
        <f t="shared" si="5"/>
        <v/>
      </c>
      <c r="Q297" s="51" t="str">
        <f>IF($C297&lt;&gt;"",SUMIFS($O$3:$O$401, $C$3:$C$401 ,$C297,$B$3:$B$401,"&lt;="&amp;Controle!$B$6),"")</f>
        <v/>
      </c>
      <c r="R297" s="51" t="str">
        <f>IF($D297&lt;&gt;"",SUMIFS($O$3:$O$401, $C$3:$C$401 ,$C297,$B$3:$B$401,"&lt;="&amp;Controle!$B$6,$F$3:$F$401,$F297),"")</f>
        <v/>
      </c>
      <c r="S297" s="51" t="str">
        <f>IF($D297&lt;&gt;"",SUMIFS($O$3:$O$401, $C$3:$C$401 ,$C297,$B$3:$B$401,"&lt;="&amp;'Controle D-1'!$B$6,$F$3:$F$401,$F297),"")</f>
        <v/>
      </c>
      <c r="T297" s="40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146"/>
      <c r="B298" s="149"/>
      <c r="C298" s="150"/>
      <c r="D298" s="150" t="str">
        <f>IF(ISTEXT(C298),VLOOKUP(C298,'Cadastro dos Ativos'!$A$2:$C$1000,3,0),"")</f>
        <v/>
      </c>
      <c r="E298" s="150"/>
      <c r="F298" s="150"/>
      <c r="G298" s="151"/>
      <c r="H298" s="46" t="str">
        <f>if($D298="Ações Americanas", HLOOKUP("PTAX",'Histórico'!$A$1:$EL$983,(MATCH(B298,'Histórico'!A:A))-1,""),
if($D298="Ações Europeias", HLOOKUP("EUR/BRL",'Histórico'!$A$1:$EL$983,(MATCH(B298,'Histórico'!A:A))-1,""),""))</f>
        <v/>
      </c>
      <c r="I298" s="150" t="str">
        <f t="array" ref="I298">IF(ISTEXT(C298),xlookup(C298,'Cadastro dos Ativos'!$A$2:$A$1000,'Cadastro dos Ativos'!$D$2:$D$1000),"")</f>
        <v/>
      </c>
      <c r="J298" s="150"/>
      <c r="K298" s="47" t="str">
        <f t="array" ref="K298">if(and(J298&lt;&gt;"",D298&lt;&gt;"Futuros"),
if(F298=Controle!$C$2, M298/xlookup(workday(B298,-1,Feriados!A:A),Controle!$B$10:$B$1000,Controle!$C$10:$C$1000),
if(F298=Controle!$F$2, M298/xlookup(workday(B298,-1,Feriados!A:A),Controle!$B$10:$B$1000,Controle!$F$10:$F$1000),
if(F298=Controle!$I$2, M298/xlookup(workday(B298,-1,Feriados!A:A),Controle!$B$10:$B$1000,Controle!$I$10:$I$1000),
if(F298=Controle!$L$2, M298/xlookup(workday(B298,-1,Feriados!A:A),Controle!$B$10:$B$1000,Controle!$L$10:$L$1000),
)))),
if(and(J298&lt;&gt;"",D298="Futuros"),
if(F298=Controle!$C$2, N298/xlookup(workday(B298,-1,Feriados!A:A),Controle!$B$10:$B$1000,Controle!$C$10:$C$1000),
if(F298=Controle!$F$2, N298/xlookup(workday(B298,-1,Feriados!A:A),Controle!$B$10:$B$1000,Controle!$F$10:$F$1000),
if(F298=Controle!$I$2, N298/xlookup(workday(B298,-1,Feriados!A:A),Controle!$B$10:$B$1000,Controle!$I$10:$I$1000),
if(F298=Controle!$L$2, N298/xlookup(workday(B298,-1,Feriados!A:A),Controle!$B$10:$B$1000,Controle!$L$10:$L$1000),
)))),""))</f>
        <v/>
      </c>
      <c r="L298" s="47" t="str">
        <f t="array" ref="L298">IF($J298&lt;&gt;"", IF($D298 = "Futuros" , $N298/xlookup(WORKDAY(B298,-1,Feriados!A:A),Controle!$B$10:$B$1000,Controle!$T$10:$T$1000) , $M298/xlookup(WORKDAY(B298,-1,Feriados!A:A),Controle!$B$10:$B$1000,Controle!$T$10:$T$1000)),"")</f>
        <v/>
      </c>
      <c r="M298" s="48" t="str">
        <f t="shared" si="4"/>
        <v/>
      </c>
      <c r="N298" s="48" t="str">
        <f>IFERROR(IF(D298="Futuros",
IF(LEFT(C298,3)="DI1",G298*O298,
IF(LEFT(C298,3)="ISP",G298*O298*HLOOKUP("PTAX",'Histórico'!$A$1:$EL$983,MATCH(B298,'Histórico'!A:A),FALSE)*50,
IF(LEFT(C298,3)="WDO",10*G298*O298*HLOOKUP("PTAX",'Histórico'!$A$1:$EL$983,MATCH(B298,'Histórico'!A:A),FALSE),
IF(LEFT(C298,3)="DOL",50*G298*O298,
IF(LEFT(C298,3)="EUR",G298*O298*50,
IF(LEFT(C298,3)="WEU",G298*O298*10,
IF(LEFT(C298,3)="IND",G298*O298,
IF(LEFT(C298,3)="WIN",G298*O298*0.2,
IF(LEFT(C298,3)="T10",G298*O298*1000*HLOOKUP("PTAX",'Histórico'!$A$1:$EL$983,MATCH(B298,'Histórico'!A:A),FALSE),
IF(LEFT(C298,3)="CCM",G298*O298*450,
IF(LEFT(C298,3)="SJC",G298*O298*HLOOKUP("PTAX",'Histórico'!$A$1:$EL$983,MATCH(B298,'Histórico'!A:A),FALSE)*450,
IF(LEFT(C298,3)="BGI",G298*O298*330,
IF(LEFT(C298,3)="OZ1",G298*O298*250,
IF(LEFT(C298,3)="CLP",G298*O298*25,
IF(LEFT(C298,3)="EUP", O298*10000*HLOOKUP("EUR/BRL",'Histórico'!$A$1:$EL$983,MATCH(B298,'Histórico'!A:A),FALSE),
IF(LEFT(C298,3)="JSE", G298*O298*0.4,
IF(LEFT(C298,3)="GBP", O298*10000*HLOOKUP("GBP/BRL",'Histórico'!$A$1:$FG$983,MATCH(B298,'Histórico'!A:A),FALSE),
IF(LEFT(C298,3)="JAP",O298*10000*HLOOKUP("PTAX",'Histórico'!$A$1:$FG$983,MATCH(B298,'Histórico'!A:A),FALSE),
IF(LEFT(C298,3)="CNH",O298*10000*HLOOKUP("PTAX",'Histórico'!$A$1:$FG$983,MATCH(B298,'Histórico'!A:A),FALSE),
IF(LEFT(C298,3)="AUS",O298*10000*HLOOKUP("PTAX",'Histórico'!$A$1:$FG$983,MATCH(B298,'Histórico'!A:A),FALSE),
IF(LEFT(C298,3)="CAN",O298*10000*HLOOKUP("PTAX",'Histórico'!$A$1:$FG$983,MATCH(B298,'Histórico'!A:A),FALSE),
IF(LEFT(C298,3)="GBR",O298*10000*HLOOKUP("GBP/BRL",'Histórico'!$A$1:$FG$983,MATCH(B298,'Histórico'!A:A),FALSE),
IF(LEFT(C298,3)="MEX",O298*10000*HLOOKUP("PTAX",'Histórico'!$A$1:$FG$983,MATCH(B298,'Histórico'!A:A),FALSE),
IF(LEFT(C298,3)="CHL",O298*10000*HLOOKUP("PTAX",'Histórico'!$A$1:$FG$983,MATCH(B298,'Histórico'!A:A),FALSE)
)))))))))))))))))))))))),""))</f>
        <v/>
      </c>
      <c r="O298" s="49" t="str">
        <f t="shared" si="2"/>
        <v/>
      </c>
      <c r="P298" s="49" t="str">
        <f t="shared" si="5"/>
        <v/>
      </c>
      <c r="Q298" s="51" t="str">
        <f>IF($C298&lt;&gt;"",SUMIFS($O$3:$O$401, $C$3:$C$401 ,$C298,$B$3:$B$401,"&lt;="&amp;Controle!$B$6),"")</f>
        <v/>
      </c>
      <c r="R298" s="51" t="str">
        <f>IF($D298&lt;&gt;"",SUMIFS($O$3:$O$401, $C$3:$C$401 ,$C298,$B$3:$B$401,"&lt;="&amp;Controle!$B$6,$F$3:$F$401,$F298),"")</f>
        <v/>
      </c>
      <c r="S298" s="51" t="str">
        <f>IF($D298&lt;&gt;"",SUMIFS($O$3:$O$401, $C$3:$C$401 ,$C298,$B$3:$B$401,"&lt;="&amp;'Controle D-1'!$B$6,$F$3:$F$401,$F298),"")</f>
        <v/>
      </c>
      <c r="T298" s="40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146"/>
      <c r="B299" s="149"/>
      <c r="C299" s="150"/>
      <c r="D299" s="150" t="str">
        <f>IF(ISTEXT(C299),VLOOKUP(C299,'Cadastro dos Ativos'!$A$2:$C$1000,3,0),"")</f>
        <v/>
      </c>
      <c r="E299" s="150"/>
      <c r="F299" s="150"/>
      <c r="G299" s="151"/>
      <c r="H299" s="101" t="str">
        <f>if($D299="Ações Americanas", HLOOKUP("PTAX",'Histórico'!$A$1:$EL$983,(MATCH(B299,'Histórico'!A:A))-1,""),
if($D299="Ações Europeias", HLOOKUP("EUR/BRL",'Histórico'!$A$1:$EL$983,(MATCH(B299,'Histórico'!A:A))-1,""),""))</f>
        <v/>
      </c>
      <c r="I299" s="150" t="str">
        <f t="array" ref="I299">IF(ISTEXT(C299),xlookup(C299,'Cadastro dos Ativos'!$A$2:$A$1000,'Cadastro dos Ativos'!$D$2:$D$1000),"")</f>
        <v/>
      </c>
      <c r="J299" s="150"/>
      <c r="K299" s="47" t="str">
        <f t="array" ref="K299">if(and(J299&lt;&gt;"",D299&lt;&gt;"Futuros"),
if(F299=Controle!$C$2, M299/xlookup(workday(B299,-1,Feriados!A:A),Controle!$B$10:$B$1000,Controle!$C$10:$C$1000),
if(F299=Controle!$F$2, M299/xlookup(workday(B299,-1,Feriados!A:A),Controle!$B$10:$B$1000,Controle!$F$10:$F$1000),
if(F299=Controle!$I$2, M299/xlookup(workday(B299,-1,Feriados!A:A),Controle!$B$10:$B$1000,Controle!$I$10:$I$1000),
if(F299=Controle!$L$2, M299/xlookup(workday(B299,-1,Feriados!A:A),Controle!$B$10:$B$1000,Controle!$L$10:$L$1000),
)))),
if(and(J299&lt;&gt;"",D299="Futuros"),
if(F299=Controle!$C$2, N299/xlookup(workday(B299,-1,Feriados!A:A),Controle!$B$10:$B$1000,Controle!$C$10:$C$1000),
if(F299=Controle!$F$2, N299/xlookup(workday(B299,-1,Feriados!A:A),Controle!$B$10:$B$1000,Controle!$F$10:$F$1000),
if(F299=Controle!$I$2, N299/xlookup(workday(B299,-1,Feriados!A:A),Controle!$B$10:$B$1000,Controle!$I$10:$I$1000),
if(F299=Controle!$L$2, N299/xlookup(workday(B299,-1,Feriados!A:A),Controle!$B$10:$B$1000,Controle!$L$10:$L$1000),
)))),""))</f>
        <v/>
      </c>
      <c r="L299" s="47" t="str">
        <f t="array" ref="L299">IF($J299&lt;&gt;"", IF($D299 = "Futuros" , $N299/xlookup(WORKDAY(B299,-1,Feriados!A:A),Controle!$B$10:$B$1000,Controle!$T$10:$T$1000) , $M299/xlookup(WORKDAY(B299,-1,Feriados!A:A),Controle!$B$10:$B$1000,Controle!$T$10:$T$1000)),"")</f>
        <v/>
      </c>
      <c r="M299" s="48" t="str">
        <f t="shared" si="4"/>
        <v/>
      </c>
      <c r="N299" s="48" t="str">
        <f>IFERROR(IF(D299="Futuros",
IF(LEFT(C299,3)="DI1",G299*O299,
IF(LEFT(C299,3)="ISP",G299*O299*HLOOKUP("PTAX",'Histórico'!$A$1:$EL$983,MATCH(B299,'Histórico'!A:A),FALSE)*50,
IF(LEFT(C299,3)="WDO",10*G299*O299*HLOOKUP("PTAX",'Histórico'!$A$1:$EL$983,MATCH(B299,'Histórico'!A:A),FALSE),
IF(LEFT(C299,3)="DOL",50*G299*O299,
IF(LEFT(C299,3)="EUR",G299*O299*50,
IF(LEFT(C299,3)="WEU",G299*O299*10,
IF(LEFT(C299,3)="IND",G299*O299,
IF(LEFT(C299,3)="WIN",G299*O299*0.2,
IF(LEFT(C299,3)="T10",G299*O299*1000*HLOOKUP("PTAX",'Histórico'!$A$1:$EL$983,MATCH(B299,'Histórico'!A:A),FALSE),
IF(LEFT(C299,3)="CCM",G299*O299*450,
IF(LEFT(C299,3)="SJC",G299*O299*HLOOKUP("PTAX",'Histórico'!$A$1:$EL$983,MATCH(B299,'Histórico'!A:A),FALSE)*450,
IF(LEFT(C299,3)="BGI",G299*O299*330,
IF(LEFT(C299,3)="OZ1",G299*O299*250,
IF(LEFT(C299,3)="CLP",G299*O299*25,
IF(LEFT(C299,3)="EUP", O299*10000*HLOOKUP("EUR/BRL",'Histórico'!$A$1:$EL$983,MATCH(B299,'Histórico'!A:A),FALSE),
IF(LEFT(C299,3)="JSE", G299*O299*0.4,
IF(LEFT(C299,3)="GBP", O299*10000*HLOOKUP("GBP/BRL",'Histórico'!$A$1:$FG$983,MATCH(B299,'Histórico'!A:A),FALSE),
IF(LEFT(C299,3)="JAP",O299*10000*HLOOKUP("PTAX",'Histórico'!$A$1:$FG$983,MATCH(B299,'Histórico'!A:A),FALSE),
IF(LEFT(C299,3)="CNH",O299*10000*HLOOKUP("PTAX",'Histórico'!$A$1:$FG$983,MATCH(B299,'Histórico'!A:A),FALSE),
IF(LEFT(C299,3)="AUS",O299*10000*HLOOKUP("PTAX",'Histórico'!$A$1:$FG$983,MATCH(B299,'Histórico'!A:A),FALSE),
IF(LEFT(C299,3)="CAN",O299*10000*HLOOKUP("PTAX",'Histórico'!$A$1:$FG$983,MATCH(B299,'Histórico'!A:A),FALSE),
IF(LEFT(C299,3)="GBR",O299*10000*HLOOKUP("GBP/BRL",'Histórico'!$A$1:$FG$983,MATCH(B299,'Histórico'!A:A),FALSE),
IF(LEFT(C299,3)="MEX",O299*10000*HLOOKUP("PTAX",'Histórico'!$A$1:$FG$983,MATCH(B299,'Histórico'!A:A),FALSE),
IF(LEFT(C299,3)="CHL",O299*10000*HLOOKUP("PTAX",'Histórico'!$A$1:$FG$983,MATCH(B299,'Histórico'!A:A),FALSE)
)))))))))))))))))))))))),""))</f>
        <v/>
      </c>
      <c r="O299" s="49" t="str">
        <f t="shared" si="2"/>
        <v/>
      </c>
      <c r="P299" s="49" t="str">
        <f t="shared" si="5"/>
        <v/>
      </c>
      <c r="Q299" s="51" t="str">
        <f>IF($C299&lt;&gt;"",SUMIFS($O$3:$O$401, $C$3:$C$401 ,$C299,$B$3:$B$401,"&lt;="&amp;Controle!$B$6),"")</f>
        <v/>
      </c>
      <c r="R299" s="51" t="str">
        <f>IF($D299&lt;&gt;"",SUMIFS($O$3:$O$401, $C$3:$C$401 ,$C299,$B$3:$B$401,"&lt;="&amp;Controle!$B$6,$F$3:$F$401,$F299),"")</f>
        <v/>
      </c>
      <c r="S299" s="51" t="str">
        <f>IF($D299&lt;&gt;"",SUMIFS($O$3:$O$401, $C$3:$C$401 ,$C299,$B$3:$B$401,"&lt;="&amp;'Controle D-1'!$B$6,$F$3:$F$401,$F299),"")</f>
        <v/>
      </c>
      <c r="T299" s="40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146"/>
      <c r="B300" s="149"/>
      <c r="C300" s="150"/>
      <c r="D300" s="150" t="str">
        <f>IF(ISTEXT(C300),VLOOKUP(C300,'Cadastro dos Ativos'!$A$2:$C$1000,3,0),"")</f>
        <v/>
      </c>
      <c r="E300" s="150"/>
      <c r="F300" s="150"/>
      <c r="G300" s="151"/>
      <c r="H300" s="46" t="str">
        <f>if($D300="Ações Americanas", HLOOKUP("PTAX",'Histórico'!$A$1:$EL$983,(MATCH(B300,'Histórico'!A:A))-1,""),
if($D300="Ações Europeias", HLOOKUP("EUR/BRL",'Histórico'!$A$1:$EL$983,(MATCH(B300,'Histórico'!A:A))-1,""),""))</f>
        <v/>
      </c>
      <c r="I300" s="150" t="str">
        <f t="array" ref="I300">IF(ISTEXT(C300),xlookup(C300,'Cadastro dos Ativos'!$A$2:$A$1000,'Cadastro dos Ativos'!$D$2:$D$1000),"")</f>
        <v/>
      </c>
      <c r="J300" s="150"/>
      <c r="K300" s="47" t="str">
        <f t="array" ref="K300">if(and(J300&lt;&gt;"",D300&lt;&gt;"Futuros"),
if(F300=Controle!$C$2, M300/xlookup(workday(B300,-1,Feriados!A:A),Controle!$B$10:$B$1000,Controle!$C$10:$C$1000),
if(F300=Controle!$F$2, M300/xlookup(workday(B300,-1,Feriados!A:A),Controle!$B$10:$B$1000,Controle!$F$10:$F$1000),
if(F300=Controle!$I$2, M300/xlookup(workday(B300,-1,Feriados!A:A),Controle!$B$10:$B$1000,Controle!$I$10:$I$1000),
if(F300=Controle!$L$2, M300/xlookup(workday(B300,-1,Feriados!A:A),Controle!$B$10:$B$1000,Controle!$L$10:$L$1000),
)))),
if(and(J300&lt;&gt;"",D300="Futuros"),
if(F300=Controle!$C$2, N300/xlookup(workday(B300,-1,Feriados!A:A),Controle!$B$10:$B$1000,Controle!$C$10:$C$1000),
if(F300=Controle!$F$2, N300/xlookup(workday(B300,-1,Feriados!A:A),Controle!$B$10:$B$1000,Controle!$F$10:$F$1000),
if(F300=Controle!$I$2, N300/xlookup(workday(B300,-1,Feriados!A:A),Controle!$B$10:$B$1000,Controle!$I$10:$I$1000),
if(F300=Controle!$L$2, N300/xlookup(workday(B300,-1,Feriados!A:A),Controle!$B$10:$B$1000,Controle!$L$10:$L$1000),
)))),""))</f>
        <v/>
      </c>
      <c r="L300" s="47" t="str">
        <f t="array" ref="L300">IF($J300&lt;&gt;"", IF($D300 = "Futuros" , $N300/xlookup(WORKDAY(B300,-1,Feriados!A:A),Controle!$B$10:$B$1000,Controle!$T$10:$T$1000) , $M300/xlookup(WORKDAY(B300,-1,Feriados!A:A),Controle!$B$10:$B$1000,Controle!$T$10:$T$1000)),"")</f>
        <v/>
      </c>
      <c r="M300" s="48" t="str">
        <f t="shared" si="4"/>
        <v/>
      </c>
      <c r="N300" s="48" t="str">
        <f>IFERROR(IF(D300="Futuros",
IF(LEFT(C300,3)="DI1",G300*O300,
IF(LEFT(C300,3)="ISP",G300*O300*HLOOKUP("PTAX",'Histórico'!$A$1:$EL$983,MATCH(B300,'Histórico'!A:A),FALSE)*50,
IF(LEFT(C300,3)="WDO",10*G300*O300*HLOOKUP("PTAX",'Histórico'!$A$1:$EL$983,MATCH(B300,'Histórico'!A:A),FALSE),
IF(LEFT(C300,3)="DOL",50*G300*O300,
IF(LEFT(C300,3)="EUR",G300*O300*50,
IF(LEFT(C300,3)="WEU",G300*O300*10,
IF(LEFT(C300,3)="IND",G300*O300,
IF(LEFT(C300,3)="WIN",G300*O300*0.2,
IF(LEFT(C300,3)="T10",G300*O300*1000*HLOOKUP("PTAX",'Histórico'!$A$1:$EL$983,MATCH(B300,'Histórico'!A:A),FALSE),
IF(LEFT(C300,3)="CCM",G300*O300*450,
IF(LEFT(C300,3)="SJC",G300*O300*HLOOKUP("PTAX",'Histórico'!$A$1:$EL$983,MATCH(B300,'Histórico'!A:A),FALSE)*450,
IF(LEFT(C300,3)="BGI",G300*O300*330,
IF(LEFT(C300,3)="OZ1",G300*O300*250,
IF(LEFT(C300,3)="CLP",G300*O300*25,
IF(LEFT(C300,3)="EUP", O300*10000*HLOOKUP("EUR/BRL",'Histórico'!$A$1:$EL$983,MATCH(B300,'Histórico'!A:A),FALSE),
IF(LEFT(C300,3)="JSE", G300*O300*0.4,
IF(LEFT(C300,3)="GBP", O300*10000*HLOOKUP("GBP/BRL",'Histórico'!$A$1:$FG$983,MATCH(B300,'Histórico'!A:A),FALSE),
IF(LEFT(C300,3)="JAP",O300*10000*HLOOKUP("PTAX",'Histórico'!$A$1:$FG$983,MATCH(B300,'Histórico'!A:A),FALSE),
IF(LEFT(C300,3)="CNH",O300*10000*HLOOKUP("PTAX",'Histórico'!$A$1:$FG$983,MATCH(B300,'Histórico'!A:A),FALSE),
IF(LEFT(C300,3)="AUS",O300*10000*HLOOKUP("PTAX",'Histórico'!$A$1:$FG$983,MATCH(B300,'Histórico'!A:A),FALSE),
IF(LEFT(C300,3)="CAN",O300*10000*HLOOKUP("PTAX",'Histórico'!$A$1:$FG$983,MATCH(B300,'Histórico'!A:A),FALSE),
IF(LEFT(C300,3)="GBR",O300*10000*HLOOKUP("GBP/BRL",'Histórico'!$A$1:$FG$983,MATCH(B300,'Histórico'!A:A),FALSE),
IF(LEFT(C300,3)="MEX",O300*10000*HLOOKUP("PTAX",'Histórico'!$A$1:$FG$983,MATCH(B300,'Histórico'!A:A),FALSE),
IF(LEFT(C300,3)="CHL",O300*10000*HLOOKUP("PTAX",'Histórico'!$A$1:$FG$983,MATCH(B300,'Histórico'!A:A),FALSE)
)))))))))))))))))))))))),""))</f>
        <v/>
      </c>
      <c r="O300" s="49" t="str">
        <f t="shared" si="2"/>
        <v/>
      </c>
      <c r="P300" s="49" t="str">
        <f t="shared" si="5"/>
        <v/>
      </c>
      <c r="Q300" s="51" t="str">
        <f>IF($C300&lt;&gt;"",SUMIFS($O$3:$O$401, $C$3:$C$401 ,$C300,$B$3:$B$401,"&lt;="&amp;Controle!$B$6),"")</f>
        <v/>
      </c>
      <c r="R300" s="51" t="str">
        <f>IF($D300&lt;&gt;"",SUMIFS($O$3:$O$401, $C$3:$C$401 ,$C300,$B$3:$B$401,"&lt;="&amp;Controle!$B$6,$F$3:$F$401,$F300),"")</f>
        <v/>
      </c>
      <c r="S300" s="51" t="str">
        <f>IF($D300&lt;&gt;"",SUMIFS($O$3:$O$401, $C$3:$C$401 ,$C300,$B$3:$B$401,"&lt;="&amp;'Controle D-1'!$B$6,$F$3:$F$401,$F300),"")</f>
        <v/>
      </c>
      <c r="T300" s="40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146"/>
      <c r="B301" s="149"/>
      <c r="C301" s="150"/>
      <c r="D301" s="150" t="str">
        <f>IF(ISTEXT(C301),VLOOKUP(C301,'Cadastro dos Ativos'!$A$2:$C$1000,3,0),"")</f>
        <v/>
      </c>
      <c r="E301" s="150"/>
      <c r="F301" s="150"/>
      <c r="G301" s="151"/>
      <c r="H301" s="101" t="str">
        <f>if($D301="Ações Americanas", HLOOKUP("PTAX",'Histórico'!$A$1:$EL$983,(MATCH(B301,'Histórico'!A:A))-1,""),
if($D301="Ações Europeias", HLOOKUP("EUR/BRL",'Histórico'!$A$1:$EL$983,(MATCH(B301,'Histórico'!A:A))-1,""),""))</f>
        <v/>
      </c>
      <c r="I301" s="150" t="str">
        <f t="array" ref="I301">IF(ISTEXT(C301),xlookup(C301,'Cadastro dos Ativos'!$A$2:$A$1000,'Cadastro dos Ativos'!$D$2:$D$1000),"")</f>
        <v/>
      </c>
      <c r="J301" s="150"/>
      <c r="K301" s="47" t="str">
        <f t="array" ref="K301">if(and(J301&lt;&gt;"",D301&lt;&gt;"Futuros"),
if(F301=Controle!$C$2, M301/xlookup(workday(B301,-1,Feriados!A:A),Controle!$B$10:$B$1000,Controle!$C$10:$C$1000),
if(F301=Controle!$F$2, M301/xlookup(workday(B301,-1,Feriados!A:A),Controle!$B$10:$B$1000,Controle!$F$10:$F$1000),
if(F301=Controle!$I$2, M301/xlookup(workday(B301,-1,Feriados!A:A),Controle!$B$10:$B$1000,Controle!$I$10:$I$1000),
if(F301=Controle!$L$2, M301/xlookup(workday(B301,-1,Feriados!A:A),Controle!$B$10:$B$1000,Controle!$L$10:$L$1000),
)))),
if(and(J301&lt;&gt;"",D301="Futuros"),
if(F301=Controle!$C$2, N301/xlookup(workday(B301,-1,Feriados!A:A),Controle!$B$10:$B$1000,Controle!$C$10:$C$1000),
if(F301=Controle!$F$2, N301/xlookup(workday(B301,-1,Feriados!A:A),Controle!$B$10:$B$1000,Controle!$F$10:$F$1000),
if(F301=Controle!$I$2, N301/xlookup(workday(B301,-1,Feriados!A:A),Controle!$B$10:$B$1000,Controle!$I$10:$I$1000),
if(F301=Controle!$L$2, N301/xlookup(workday(B301,-1,Feriados!A:A),Controle!$B$10:$B$1000,Controle!$L$10:$L$1000),
)))),""))</f>
        <v/>
      </c>
      <c r="L301" s="47" t="str">
        <f t="array" ref="L301">IF($J301&lt;&gt;"", IF($D301 = "Futuros" , $N301/xlookup(WORKDAY(B301,-1,Feriados!A:A),Controle!$B$10:$B$1000,Controle!$T$10:$T$1000) , $M301/xlookup(WORKDAY(B301,-1,Feriados!A:A),Controle!$B$10:$B$1000,Controle!$T$10:$T$1000)),"")</f>
        <v/>
      </c>
      <c r="M301" s="48" t="str">
        <f t="shared" si="4"/>
        <v/>
      </c>
      <c r="N301" s="48" t="str">
        <f>IFERROR(IF(D301="Futuros",
IF(LEFT(C301,3)="DI1",G301*O301,
IF(LEFT(C301,3)="ISP",G301*O301*HLOOKUP("PTAX",'Histórico'!$A$1:$EL$983,MATCH(B301,'Histórico'!A:A),FALSE)*50,
IF(LEFT(C301,3)="WDO",10*G301*O301*HLOOKUP("PTAX",'Histórico'!$A$1:$EL$983,MATCH(B301,'Histórico'!A:A),FALSE),
IF(LEFT(C301,3)="DOL",50*G301*O301,
IF(LEFT(C301,3)="EUR",G301*O301*50,
IF(LEFT(C301,3)="WEU",G301*O301*10,
IF(LEFT(C301,3)="IND",G301*O301,
IF(LEFT(C301,3)="WIN",G301*O301*0.2,
IF(LEFT(C301,3)="T10",G301*O301*1000*HLOOKUP("PTAX",'Histórico'!$A$1:$EL$983,MATCH(B301,'Histórico'!A:A),FALSE),
IF(LEFT(C301,3)="CCM",G301*O301*450,
IF(LEFT(C301,3)="SJC",G301*O301*HLOOKUP("PTAX",'Histórico'!$A$1:$EL$983,MATCH(B301,'Histórico'!A:A),FALSE)*450,
IF(LEFT(C301,3)="BGI",G301*O301*330,
IF(LEFT(C301,3)="OZ1",G301*O301*250,
IF(LEFT(C301,3)="CLP",G301*O301*25,
IF(LEFT(C301,3)="EUP", O301*10000*HLOOKUP("EUR/BRL",'Histórico'!$A$1:$EL$983,MATCH(B301,'Histórico'!A:A),FALSE),
IF(LEFT(C301,3)="JSE", G301*O301*0.4,
IF(LEFT(C301,3)="GBP", O301*10000*HLOOKUP("GBP/BRL",'Histórico'!$A$1:$FG$983,MATCH(B301,'Histórico'!A:A),FALSE),
IF(LEFT(C301,3)="JAP",O301*10000*HLOOKUP("PTAX",'Histórico'!$A$1:$FG$983,MATCH(B301,'Histórico'!A:A),FALSE),
IF(LEFT(C301,3)="CNH",O301*10000*HLOOKUP("PTAX",'Histórico'!$A$1:$FG$983,MATCH(B301,'Histórico'!A:A),FALSE),
IF(LEFT(C301,3)="AUS",O301*10000*HLOOKUP("PTAX",'Histórico'!$A$1:$FG$983,MATCH(B301,'Histórico'!A:A),FALSE),
IF(LEFT(C301,3)="CAN",O301*10000*HLOOKUP("PTAX",'Histórico'!$A$1:$FG$983,MATCH(B301,'Histórico'!A:A),FALSE),
IF(LEFT(C301,3)="GBR",O301*10000*HLOOKUP("GBP/BRL",'Histórico'!$A$1:$FG$983,MATCH(B301,'Histórico'!A:A),FALSE),
IF(LEFT(C301,3)="MEX",O301*10000*HLOOKUP("PTAX",'Histórico'!$A$1:$FG$983,MATCH(B301,'Histórico'!A:A),FALSE),
IF(LEFT(C301,3)="CHL",O301*10000*HLOOKUP("PTAX",'Histórico'!$A$1:$FG$983,MATCH(B301,'Histórico'!A:A),FALSE)
)))))))))))))))))))))))),""))</f>
        <v/>
      </c>
      <c r="O301" s="49" t="str">
        <f t="shared" si="2"/>
        <v/>
      </c>
      <c r="P301" s="49" t="str">
        <f t="shared" si="5"/>
        <v/>
      </c>
      <c r="Q301" s="51" t="str">
        <f>IF($C301&lt;&gt;"",SUMIFS($O$3:$O$401, $C$3:$C$401 ,$C301,$B$3:$B$401,"&lt;="&amp;Controle!$B$6),"")</f>
        <v/>
      </c>
      <c r="R301" s="51" t="str">
        <f>IF($D301&lt;&gt;"",SUMIFS($O$3:$O$401, $C$3:$C$401 ,$C301,$B$3:$B$401,"&lt;="&amp;Controle!$B$6,$F$3:$F$401,$F301),"")</f>
        <v/>
      </c>
      <c r="S301" s="51" t="str">
        <f>IF($D301&lt;&gt;"",SUMIFS($O$3:$O$401, $C$3:$C$401 ,$C301,$B$3:$B$401,"&lt;="&amp;'Controle D-1'!$B$6,$F$3:$F$401,$F301),"")</f>
        <v/>
      </c>
      <c r="T301" s="40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146"/>
      <c r="B302" s="149"/>
      <c r="C302" s="150"/>
      <c r="D302" s="150" t="str">
        <f>IF(ISTEXT(C302),VLOOKUP(C302,'Cadastro dos Ativos'!$A$2:$C$1000,3,0),"")</f>
        <v/>
      </c>
      <c r="E302" s="150"/>
      <c r="F302" s="150"/>
      <c r="G302" s="151"/>
      <c r="H302" s="46" t="str">
        <f>if($D302="Ações Americanas", HLOOKUP("PTAX",'Histórico'!$A$1:$EL$983,(MATCH(B302,'Histórico'!A:A))-1,""),
if($D302="Ações Europeias", HLOOKUP("EUR/BRL",'Histórico'!$A$1:$EL$983,(MATCH(B302,'Histórico'!A:A))-1,""),""))</f>
        <v/>
      </c>
      <c r="I302" s="150" t="str">
        <f t="array" ref="I302">IF(ISTEXT(C302),xlookup(C302,'Cadastro dos Ativos'!$A$2:$A$1000,'Cadastro dos Ativos'!$D$2:$D$1000),"")</f>
        <v/>
      </c>
      <c r="J302" s="150"/>
      <c r="K302" s="47" t="str">
        <f t="array" ref="K302">if(and(J302&lt;&gt;"",D302&lt;&gt;"Futuros"),
if(F302=Controle!$C$2, M302/xlookup(workday(B302,-1,Feriados!A:A),Controle!$B$10:$B$1000,Controle!$C$10:$C$1000),
if(F302=Controle!$F$2, M302/xlookup(workday(B302,-1,Feriados!A:A),Controle!$B$10:$B$1000,Controle!$F$10:$F$1000),
if(F302=Controle!$I$2, M302/xlookup(workday(B302,-1,Feriados!A:A),Controle!$B$10:$B$1000,Controle!$I$10:$I$1000),
if(F302=Controle!$L$2, M302/xlookup(workday(B302,-1,Feriados!A:A),Controle!$B$10:$B$1000,Controle!$L$10:$L$1000),
)))),
if(and(J302&lt;&gt;"",D302="Futuros"),
if(F302=Controle!$C$2, N302/xlookup(workday(B302,-1,Feriados!A:A),Controle!$B$10:$B$1000,Controle!$C$10:$C$1000),
if(F302=Controle!$F$2, N302/xlookup(workday(B302,-1,Feriados!A:A),Controle!$B$10:$B$1000,Controle!$F$10:$F$1000),
if(F302=Controle!$I$2, N302/xlookup(workday(B302,-1,Feriados!A:A),Controle!$B$10:$B$1000,Controle!$I$10:$I$1000),
if(F302=Controle!$L$2, N302/xlookup(workday(B302,-1,Feriados!A:A),Controle!$B$10:$B$1000,Controle!$L$10:$L$1000),
)))),""))</f>
        <v/>
      </c>
      <c r="L302" s="47" t="str">
        <f t="array" ref="L302">IF($J302&lt;&gt;"", IF($D302 = "Futuros" , $N302/xlookup(WORKDAY(B302,-1,Feriados!A:A),Controle!$B$10:$B$1000,Controle!$T$10:$T$1000) , $M302/xlookup(WORKDAY(B302,-1,Feriados!A:A),Controle!$B$10:$B$1000,Controle!$T$10:$T$1000)),"")</f>
        <v/>
      </c>
      <c r="M302" s="48" t="str">
        <f t="shared" si="4"/>
        <v/>
      </c>
      <c r="N302" s="48" t="str">
        <f>IFERROR(IF(D302="Futuros",
IF(LEFT(C302,3)="DI1",G302*O302,
IF(LEFT(C302,3)="ISP",G302*O302*HLOOKUP("PTAX",'Histórico'!$A$1:$EL$983,MATCH(B302,'Histórico'!A:A),FALSE)*50,
IF(LEFT(C302,3)="WDO",10*G302*O302*HLOOKUP("PTAX",'Histórico'!$A$1:$EL$983,MATCH(B302,'Histórico'!A:A),FALSE),
IF(LEFT(C302,3)="DOL",50*G302*O302,
IF(LEFT(C302,3)="EUR",G302*O302*50,
IF(LEFT(C302,3)="WEU",G302*O302*10,
IF(LEFT(C302,3)="IND",G302*O302,
IF(LEFT(C302,3)="WIN",G302*O302*0.2,
IF(LEFT(C302,3)="T10",G302*O302*1000*HLOOKUP("PTAX",'Histórico'!$A$1:$EL$983,MATCH(B302,'Histórico'!A:A),FALSE),
IF(LEFT(C302,3)="CCM",G302*O302*450,
IF(LEFT(C302,3)="SJC",G302*O302*HLOOKUP("PTAX",'Histórico'!$A$1:$EL$983,MATCH(B302,'Histórico'!A:A),FALSE)*450,
IF(LEFT(C302,3)="BGI",G302*O302*330,
IF(LEFT(C302,3)="OZ1",G302*O302*250,
IF(LEFT(C302,3)="CLP",G302*O302*25,
IF(LEFT(C302,3)="EUP", O302*10000*HLOOKUP("EUR/BRL",'Histórico'!$A$1:$EL$983,MATCH(B302,'Histórico'!A:A),FALSE),
IF(LEFT(C302,3)="JSE", G302*O302*0.4,
IF(LEFT(C302,3)="GBP", O302*10000*HLOOKUP("GBP/BRL",'Histórico'!$A$1:$FG$983,MATCH(B302,'Histórico'!A:A),FALSE),
IF(LEFT(C302,3)="JAP",O302*10000*HLOOKUP("PTAX",'Histórico'!$A$1:$FG$983,MATCH(B302,'Histórico'!A:A),FALSE),
IF(LEFT(C302,3)="CNH",O302*10000*HLOOKUP("PTAX",'Histórico'!$A$1:$FG$983,MATCH(B302,'Histórico'!A:A),FALSE),
IF(LEFT(C302,3)="AUS",O302*10000*HLOOKUP("PTAX",'Histórico'!$A$1:$FG$983,MATCH(B302,'Histórico'!A:A),FALSE),
IF(LEFT(C302,3)="CAN",O302*10000*HLOOKUP("PTAX",'Histórico'!$A$1:$FG$983,MATCH(B302,'Histórico'!A:A),FALSE),
IF(LEFT(C302,3)="GBR",O302*10000*HLOOKUP("GBP/BRL",'Histórico'!$A$1:$FG$983,MATCH(B302,'Histórico'!A:A),FALSE),
IF(LEFT(C302,3)="MEX",O302*10000*HLOOKUP("PTAX",'Histórico'!$A$1:$FG$983,MATCH(B302,'Histórico'!A:A),FALSE),
IF(LEFT(C302,3)="CHL",O302*10000*HLOOKUP("PTAX",'Histórico'!$A$1:$FG$983,MATCH(B302,'Histórico'!A:A),FALSE)
)))))))))))))))))))))))),""))</f>
        <v/>
      </c>
      <c r="O302" s="49" t="str">
        <f t="shared" si="2"/>
        <v/>
      </c>
      <c r="P302" s="49" t="str">
        <f t="shared" si="5"/>
        <v/>
      </c>
      <c r="Q302" s="51" t="str">
        <f>IF($C302&lt;&gt;"",SUMIFS($O$3:$O$401, $C$3:$C$401 ,$C302,$B$3:$B$401,"&lt;="&amp;Controle!$B$6),"")</f>
        <v/>
      </c>
      <c r="R302" s="51" t="str">
        <f>IF($D302&lt;&gt;"",SUMIFS($O$3:$O$401, $C$3:$C$401 ,$C302,$B$3:$B$401,"&lt;="&amp;Controle!$B$6,$F$3:$F$401,$F302),"")</f>
        <v/>
      </c>
      <c r="S302" s="51" t="str">
        <f>IF($D302&lt;&gt;"",SUMIFS($O$3:$O$401, $C$3:$C$401 ,$C302,$B$3:$B$401,"&lt;="&amp;'Controle D-1'!$B$6,$F$3:$F$401,$F302),"")</f>
        <v/>
      </c>
      <c r="T302" s="40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146"/>
      <c r="B303" s="149"/>
      <c r="C303" s="150"/>
      <c r="D303" s="150" t="str">
        <f>IF(ISTEXT(C303),VLOOKUP(C303,'Cadastro dos Ativos'!$A$2:$C$1000,3,0),"")</f>
        <v/>
      </c>
      <c r="E303" s="150"/>
      <c r="F303" s="150"/>
      <c r="G303" s="151"/>
      <c r="H303" s="101" t="str">
        <f>if($D303="Ações Americanas", HLOOKUP("PTAX",'Histórico'!$A$1:$EL$983,(MATCH(B303,'Histórico'!A:A))-1,""),
if($D303="Ações Europeias", HLOOKUP("EUR/BRL",'Histórico'!$A$1:$EL$983,(MATCH(B303,'Histórico'!A:A))-1,""),""))</f>
        <v/>
      </c>
      <c r="I303" s="150" t="str">
        <f t="array" ref="I303">IF(ISTEXT(C303),xlookup(C303,'Cadastro dos Ativos'!$A$2:$A$1000,'Cadastro dos Ativos'!$D$2:$D$1000),"")</f>
        <v/>
      </c>
      <c r="J303" s="150"/>
      <c r="K303" s="47" t="str">
        <f t="array" ref="K303">if(and(J303&lt;&gt;"",D303&lt;&gt;"Futuros"),
if(F303=Controle!$C$2, M303/xlookup(workday(B303,-1,Feriados!A:A),Controle!$B$10:$B$1000,Controle!$C$10:$C$1000),
if(F303=Controle!$F$2, M303/xlookup(workday(B303,-1,Feriados!A:A),Controle!$B$10:$B$1000,Controle!$F$10:$F$1000),
if(F303=Controle!$I$2, M303/xlookup(workday(B303,-1,Feriados!A:A),Controle!$B$10:$B$1000,Controle!$I$10:$I$1000),
if(F303=Controle!$L$2, M303/xlookup(workday(B303,-1,Feriados!A:A),Controle!$B$10:$B$1000,Controle!$L$10:$L$1000),
)))),
if(and(J303&lt;&gt;"",D303="Futuros"),
if(F303=Controle!$C$2, N303/xlookup(workday(B303,-1,Feriados!A:A),Controle!$B$10:$B$1000,Controle!$C$10:$C$1000),
if(F303=Controle!$F$2, N303/xlookup(workday(B303,-1,Feriados!A:A),Controle!$B$10:$B$1000,Controle!$F$10:$F$1000),
if(F303=Controle!$I$2, N303/xlookup(workday(B303,-1,Feriados!A:A),Controle!$B$10:$B$1000,Controle!$I$10:$I$1000),
if(F303=Controle!$L$2, N303/xlookup(workday(B303,-1,Feriados!A:A),Controle!$B$10:$B$1000,Controle!$L$10:$L$1000),
)))),""))</f>
        <v/>
      </c>
      <c r="L303" s="47" t="str">
        <f t="array" ref="L303">IF($J303&lt;&gt;"", IF($D303 = "Futuros" , $N303/xlookup(WORKDAY(B303,-1,Feriados!A:A),Controle!$B$10:$B$1000,Controle!$T$10:$T$1000) , $M303/xlookup(WORKDAY(B303,-1,Feriados!A:A),Controle!$B$10:$B$1000,Controle!$T$10:$T$1000)),"")</f>
        <v/>
      </c>
      <c r="M303" s="48" t="str">
        <f t="shared" si="4"/>
        <v/>
      </c>
      <c r="N303" s="48" t="str">
        <f>IFERROR(IF(D303="Futuros",
IF(LEFT(C303,3)="DI1",G303*O303,
IF(LEFT(C303,3)="ISP",G303*O303*HLOOKUP("PTAX",'Histórico'!$A$1:$EL$983,MATCH(B303,'Histórico'!A:A),FALSE)*50,
IF(LEFT(C303,3)="WDO",10*G303*O303*HLOOKUP("PTAX",'Histórico'!$A$1:$EL$983,MATCH(B303,'Histórico'!A:A),FALSE),
IF(LEFT(C303,3)="DOL",50*G303*O303,
IF(LEFT(C303,3)="EUR",G303*O303*50,
IF(LEFT(C303,3)="WEU",G303*O303*10,
IF(LEFT(C303,3)="IND",G303*O303,
IF(LEFT(C303,3)="WIN",G303*O303*0.2,
IF(LEFT(C303,3)="T10",G303*O303*1000*HLOOKUP("PTAX",'Histórico'!$A$1:$EL$983,MATCH(B303,'Histórico'!A:A),FALSE),
IF(LEFT(C303,3)="CCM",G303*O303*450,
IF(LEFT(C303,3)="SJC",G303*O303*HLOOKUP("PTAX",'Histórico'!$A$1:$EL$983,MATCH(B303,'Histórico'!A:A),FALSE)*450,
IF(LEFT(C303,3)="BGI",G303*O303*330,
IF(LEFT(C303,3)="OZ1",G303*O303*250,
IF(LEFT(C303,3)="CLP",G303*O303*25,
IF(LEFT(C303,3)="EUP", O303*10000*HLOOKUP("EUR/BRL",'Histórico'!$A$1:$EL$983,MATCH(B303,'Histórico'!A:A),FALSE),
IF(LEFT(C303,3)="JSE", G303*O303*0.4,
IF(LEFT(C303,3)="GBP", O303*10000*HLOOKUP("GBP/BRL",'Histórico'!$A$1:$FG$983,MATCH(B303,'Histórico'!A:A),FALSE),
IF(LEFT(C303,3)="JAP",O303*10000*HLOOKUP("PTAX",'Histórico'!$A$1:$FG$983,MATCH(B303,'Histórico'!A:A),FALSE),
IF(LEFT(C303,3)="CNH",O303*10000*HLOOKUP("PTAX",'Histórico'!$A$1:$FG$983,MATCH(B303,'Histórico'!A:A),FALSE),
IF(LEFT(C303,3)="AUS",O303*10000*HLOOKUP("PTAX",'Histórico'!$A$1:$FG$983,MATCH(B303,'Histórico'!A:A),FALSE),
IF(LEFT(C303,3)="CAN",O303*10000*HLOOKUP("PTAX",'Histórico'!$A$1:$FG$983,MATCH(B303,'Histórico'!A:A),FALSE),
IF(LEFT(C303,3)="GBR",O303*10000*HLOOKUP("GBP/BRL",'Histórico'!$A$1:$FG$983,MATCH(B303,'Histórico'!A:A),FALSE),
IF(LEFT(C303,3)="MEX",O303*10000*HLOOKUP("PTAX",'Histórico'!$A$1:$FG$983,MATCH(B303,'Histórico'!A:A),FALSE),
IF(LEFT(C303,3)="CHL",O303*10000*HLOOKUP("PTAX",'Histórico'!$A$1:$FG$983,MATCH(B303,'Histórico'!A:A),FALSE)
)))))))))))))))))))))))),""))</f>
        <v/>
      </c>
      <c r="O303" s="49" t="str">
        <f t="shared" si="2"/>
        <v/>
      </c>
      <c r="P303" s="49" t="str">
        <f t="shared" si="5"/>
        <v/>
      </c>
      <c r="Q303" s="51" t="str">
        <f>IF($C303&lt;&gt;"",SUMIFS($O$3:$O$401, $C$3:$C$401 ,$C303,$B$3:$B$401,"&lt;="&amp;Controle!$B$6),"")</f>
        <v/>
      </c>
      <c r="R303" s="51" t="str">
        <f>IF($D303&lt;&gt;"",SUMIFS($O$3:$O$401, $C$3:$C$401 ,$C303,$B$3:$B$401,"&lt;="&amp;Controle!$B$6,$F$3:$F$401,$F303),"")</f>
        <v/>
      </c>
      <c r="S303" s="51" t="str">
        <f>IF($D303&lt;&gt;"",SUMIFS($O$3:$O$401, $C$3:$C$401 ,$C303,$B$3:$B$401,"&lt;="&amp;'Controle D-1'!$B$6,$F$3:$F$401,$F303),"")</f>
        <v/>
      </c>
      <c r="T303" s="40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146"/>
      <c r="B304" s="149"/>
      <c r="C304" s="150"/>
      <c r="D304" s="150" t="str">
        <f>IF(ISTEXT(C304),VLOOKUP(C304,'Cadastro dos Ativos'!$A$2:$C$1000,3,0),"")</f>
        <v/>
      </c>
      <c r="E304" s="150"/>
      <c r="F304" s="150"/>
      <c r="G304" s="151"/>
      <c r="H304" s="46" t="str">
        <f>if($D304="Ações Americanas", HLOOKUP("PTAX",'Histórico'!$A$1:$EL$983,(MATCH(B304,'Histórico'!A:A))-1,""),
if($D304="Ações Europeias", HLOOKUP("EUR/BRL",'Histórico'!$A$1:$EL$983,(MATCH(B304,'Histórico'!A:A))-1,""),""))</f>
        <v/>
      </c>
      <c r="I304" s="150" t="str">
        <f t="array" ref="I304">IF(ISTEXT(C304),xlookup(C304,'Cadastro dos Ativos'!$A$2:$A$1000,'Cadastro dos Ativos'!$D$2:$D$1000),"")</f>
        <v/>
      </c>
      <c r="J304" s="150"/>
      <c r="K304" s="47" t="str">
        <f t="array" ref="K304">if(and(J304&lt;&gt;"",D304&lt;&gt;"Futuros"),
if(F304=Controle!$C$2, M304/xlookup(workday(B304,-1,Feriados!A:A),Controle!$B$10:$B$1000,Controle!$C$10:$C$1000),
if(F304=Controle!$F$2, M304/xlookup(workday(B304,-1,Feriados!A:A),Controle!$B$10:$B$1000,Controle!$F$10:$F$1000),
if(F304=Controle!$I$2, M304/xlookup(workday(B304,-1,Feriados!A:A),Controle!$B$10:$B$1000,Controle!$I$10:$I$1000),
if(F304=Controle!$L$2, M304/xlookup(workday(B304,-1,Feriados!A:A),Controle!$B$10:$B$1000,Controle!$L$10:$L$1000),
)))),
if(and(J304&lt;&gt;"",D304="Futuros"),
if(F304=Controle!$C$2, N304/xlookup(workday(B304,-1,Feriados!A:A),Controle!$B$10:$B$1000,Controle!$C$10:$C$1000),
if(F304=Controle!$F$2, N304/xlookup(workday(B304,-1,Feriados!A:A),Controle!$B$10:$B$1000,Controle!$F$10:$F$1000),
if(F304=Controle!$I$2, N304/xlookup(workday(B304,-1,Feriados!A:A),Controle!$B$10:$B$1000,Controle!$I$10:$I$1000),
if(F304=Controle!$L$2, N304/xlookup(workday(B304,-1,Feriados!A:A),Controle!$B$10:$B$1000,Controle!$L$10:$L$1000),
)))),""))</f>
        <v/>
      </c>
      <c r="L304" s="47" t="str">
        <f t="array" ref="L304">IF($J304&lt;&gt;"", IF($D304 = "Futuros" , $N304/xlookup(WORKDAY(B304,-1,Feriados!A:A),Controle!$B$10:$B$1000,Controle!$T$10:$T$1000) , $M304/xlookup(WORKDAY(B304,-1,Feriados!A:A),Controle!$B$10:$B$1000,Controle!$T$10:$T$1000)),"")</f>
        <v/>
      </c>
      <c r="M304" s="48" t="str">
        <f t="shared" si="4"/>
        <v/>
      </c>
      <c r="N304" s="48" t="str">
        <f>IFERROR(IF(D304="Futuros",
IF(LEFT(C304,3)="DI1",G304*O304,
IF(LEFT(C304,3)="ISP",G304*O304*HLOOKUP("PTAX",'Histórico'!$A$1:$EL$983,MATCH(B304,'Histórico'!A:A),FALSE)*50,
IF(LEFT(C304,3)="WDO",10*G304*O304*HLOOKUP("PTAX",'Histórico'!$A$1:$EL$983,MATCH(B304,'Histórico'!A:A),FALSE),
IF(LEFT(C304,3)="DOL",50*G304*O304,
IF(LEFT(C304,3)="EUR",G304*O304*50,
IF(LEFT(C304,3)="WEU",G304*O304*10,
IF(LEFT(C304,3)="IND",G304*O304,
IF(LEFT(C304,3)="WIN",G304*O304*0.2,
IF(LEFT(C304,3)="T10",G304*O304*1000*HLOOKUP("PTAX",'Histórico'!$A$1:$EL$983,MATCH(B304,'Histórico'!A:A),FALSE),
IF(LEFT(C304,3)="CCM",G304*O304*450,
IF(LEFT(C304,3)="SJC",G304*O304*HLOOKUP("PTAX",'Histórico'!$A$1:$EL$983,MATCH(B304,'Histórico'!A:A),FALSE)*450,
IF(LEFT(C304,3)="BGI",G304*O304*330,
IF(LEFT(C304,3)="OZ1",G304*O304*250,
IF(LEFT(C304,3)="CLP",G304*O304*25,
IF(LEFT(C304,3)="EUP", O304*10000*HLOOKUP("EUR/BRL",'Histórico'!$A$1:$EL$983,MATCH(B304,'Histórico'!A:A),FALSE),
IF(LEFT(C304,3)="JSE", G304*O304*0.4,
IF(LEFT(C304,3)="GBP", O304*10000*HLOOKUP("GBP/BRL",'Histórico'!$A$1:$FG$983,MATCH(B304,'Histórico'!A:A),FALSE),
IF(LEFT(C304,3)="JAP",O304*10000*HLOOKUP("PTAX",'Histórico'!$A$1:$FG$983,MATCH(B304,'Histórico'!A:A),FALSE),
IF(LEFT(C304,3)="CNH",O304*10000*HLOOKUP("PTAX",'Histórico'!$A$1:$FG$983,MATCH(B304,'Histórico'!A:A),FALSE),
IF(LEFT(C304,3)="AUS",O304*10000*HLOOKUP("PTAX",'Histórico'!$A$1:$FG$983,MATCH(B304,'Histórico'!A:A),FALSE),
IF(LEFT(C304,3)="CAN",O304*10000*HLOOKUP("PTAX",'Histórico'!$A$1:$FG$983,MATCH(B304,'Histórico'!A:A),FALSE),
IF(LEFT(C304,3)="GBR",O304*10000*HLOOKUP("GBP/BRL",'Histórico'!$A$1:$FG$983,MATCH(B304,'Histórico'!A:A),FALSE),
IF(LEFT(C304,3)="MEX",O304*10000*HLOOKUP("PTAX",'Histórico'!$A$1:$FG$983,MATCH(B304,'Histórico'!A:A),FALSE),
IF(LEFT(C304,3)="CHL",O304*10000*HLOOKUP("PTAX",'Histórico'!$A$1:$FG$983,MATCH(B304,'Histórico'!A:A),FALSE)
)))))))))))))))))))))))),""))</f>
        <v/>
      </c>
      <c r="O304" s="49" t="str">
        <f t="shared" si="2"/>
        <v/>
      </c>
      <c r="P304" s="49" t="str">
        <f t="shared" si="5"/>
        <v/>
      </c>
      <c r="Q304" s="51" t="str">
        <f>IF($C304&lt;&gt;"",SUMIFS($O$3:$O$401, $C$3:$C$401 ,$C304,$B$3:$B$401,"&lt;="&amp;Controle!$B$6),"")</f>
        <v/>
      </c>
      <c r="R304" s="51" t="str">
        <f>IF($D304&lt;&gt;"",SUMIFS($O$3:$O$401, $C$3:$C$401 ,$C304,$B$3:$B$401,"&lt;="&amp;Controle!$B$6,$F$3:$F$401,$F304),"")</f>
        <v/>
      </c>
      <c r="S304" s="51" t="str">
        <f>IF($D304&lt;&gt;"",SUMIFS($O$3:$O$401, $C$3:$C$401 ,$C304,$B$3:$B$401,"&lt;="&amp;'Controle D-1'!$B$6,$F$3:$F$401,$F304),"")</f>
        <v/>
      </c>
      <c r="T304" s="40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146"/>
      <c r="B305" s="149"/>
      <c r="C305" s="150"/>
      <c r="D305" s="150" t="str">
        <f>IF(ISTEXT(C305),VLOOKUP(C305,'Cadastro dos Ativos'!$A$2:$C$1000,3,0),"")</f>
        <v/>
      </c>
      <c r="E305" s="150"/>
      <c r="F305" s="150"/>
      <c r="G305" s="151"/>
      <c r="H305" s="101" t="str">
        <f>if($D305="Ações Americanas", HLOOKUP("PTAX",'Histórico'!$A$1:$EL$983,(MATCH(B305,'Histórico'!A:A))-1,""),
if($D305="Ações Europeias", HLOOKUP("EUR/BRL",'Histórico'!$A$1:$EL$983,(MATCH(B305,'Histórico'!A:A))-1,""),""))</f>
        <v/>
      </c>
      <c r="I305" s="150" t="str">
        <f t="array" ref="I305">IF(ISTEXT(C305),xlookup(C305,'Cadastro dos Ativos'!$A$2:$A$1000,'Cadastro dos Ativos'!$D$2:$D$1000),"")</f>
        <v/>
      </c>
      <c r="J305" s="150"/>
      <c r="K305" s="47" t="str">
        <f t="array" ref="K305">if(and(J305&lt;&gt;"",D305&lt;&gt;"Futuros"),
if(F305=Controle!$C$2, M305/xlookup(workday(B305,-1,Feriados!A:A),Controle!$B$10:$B$1000,Controle!$C$10:$C$1000),
if(F305=Controle!$F$2, M305/xlookup(workday(B305,-1,Feriados!A:A),Controle!$B$10:$B$1000,Controle!$F$10:$F$1000),
if(F305=Controle!$I$2, M305/xlookup(workday(B305,-1,Feriados!A:A),Controle!$B$10:$B$1000,Controle!$I$10:$I$1000),
if(F305=Controle!$L$2, M305/xlookup(workday(B305,-1,Feriados!A:A),Controle!$B$10:$B$1000,Controle!$L$10:$L$1000),
)))),
if(and(J305&lt;&gt;"",D305="Futuros"),
if(F305=Controle!$C$2, N305/xlookup(workday(B305,-1,Feriados!A:A),Controle!$B$10:$B$1000,Controle!$C$10:$C$1000),
if(F305=Controle!$F$2, N305/xlookup(workday(B305,-1,Feriados!A:A),Controle!$B$10:$B$1000,Controle!$F$10:$F$1000),
if(F305=Controle!$I$2, N305/xlookup(workday(B305,-1,Feriados!A:A),Controle!$B$10:$B$1000,Controle!$I$10:$I$1000),
if(F305=Controle!$L$2, N305/xlookup(workday(B305,-1,Feriados!A:A),Controle!$B$10:$B$1000,Controle!$L$10:$L$1000),
)))),""))</f>
        <v/>
      </c>
      <c r="L305" s="47" t="str">
        <f t="array" ref="L305">IF($J305&lt;&gt;"", IF($D305 = "Futuros" , $N305/xlookup(WORKDAY(B305,-1,Feriados!A:A),Controle!$B$10:$B$1000,Controle!$T$10:$T$1000) , $M305/xlookup(WORKDAY(B305,-1,Feriados!A:A),Controle!$B$10:$B$1000,Controle!$T$10:$T$1000)),"")</f>
        <v/>
      </c>
      <c r="M305" s="48" t="str">
        <f t="shared" si="4"/>
        <v/>
      </c>
      <c r="N305" s="48" t="str">
        <f>IFERROR(IF(D305="Futuros",
IF(LEFT(C305,3)="DI1",G305*O305,
IF(LEFT(C305,3)="ISP",G305*O305*HLOOKUP("PTAX",'Histórico'!$A$1:$EL$983,MATCH(B305,'Histórico'!A:A),FALSE)*50,
IF(LEFT(C305,3)="WDO",10*G305*O305*HLOOKUP("PTAX",'Histórico'!$A$1:$EL$983,MATCH(B305,'Histórico'!A:A),FALSE),
IF(LEFT(C305,3)="DOL",50*G305*O305,
IF(LEFT(C305,3)="EUR",G305*O305*50,
IF(LEFT(C305,3)="WEU",G305*O305*10,
IF(LEFT(C305,3)="IND",G305*O305,
IF(LEFT(C305,3)="WIN",G305*O305*0.2,
IF(LEFT(C305,3)="T10",G305*O305*1000*HLOOKUP("PTAX",'Histórico'!$A$1:$EL$983,MATCH(B305,'Histórico'!A:A),FALSE),
IF(LEFT(C305,3)="CCM",G305*O305*450,
IF(LEFT(C305,3)="SJC",G305*O305*HLOOKUP("PTAX",'Histórico'!$A$1:$EL$983,MATCH(B305,'Histórico'!A:A),FALSE)*450,
IF(LEFT(C305,3)="BGI",G305*O305*330,
IF(LEFT(C305,3)="OZ1",G305*O305*250,
IF(LEFT(C305,3)="CLP",G305*O305*25,
IF(LEFT(C305,3)="EUP", O305*10000*HLOOKUP("EUR/BRL",'Histórico'!$A$1:$EL$983,MATCH(B305,'Histórico'!A:A),FALSE),
IF(LEFT(C305,3)="JSE", G305*O305*0.4,
IF(LEFT(C305,3)="GBP", O305*10000*HLOOKUP("GBP/BRL",'Histórico'!$A$1:$FG$983,MATCH(B305,'Histórico'!A:A),FALSE),
IF(LEFT(C305,3)="JAP",O305*10000*HLOOKUP("PTAX",'Histórico'!$A$1:$FG$983,MATCH(B305,'Histórico'!A:A),FALSE),
IF(LEFT(C305,3)="CNH",O305*10000*HLOOKUP("PTAX",'Histórico'!$A$1:$FG$983,MATCH(B305,'Histórico'!A:A),FALSE),
IF(LEFT(C305,3)="AUS",O305*10000*HLOOKUP("PTAX",'Histórico'!$A$1:$FG$983,MATCH(B305,'Histórico'!A:A),FALSE),
IF(LEFT(C305,3)="CAN",O305*10000*HLOOKUP("PTAX",'Histórico'!$A$1:$FG$983,MATCH(B305,'Histórico'!A:A),FALSE),
IF(LEFT(C305,3)="GBR",O305*10000*HLOOKUP("GBP/BRL",'Histórico'!$A$1:$FG$983,MATCH(B305,'Histórico'!A:A),FALSE),
IF(LEFT(C305,3)="MEX",O305*10000*HLOOKUP("PTAX",'Histórico'!$A$1:$FG$983,MATCH(B305,'Histórico'!A:A),FALSE),
IF(LEFT(C305,3)="CHL",O305*10000*HLOOKUP("PTAX",'Histórico'!$A$1:$FG$983,MATCH(B305,'Histórico'!A:A),FALSE)
)))))))))))))))))))))))),""))</f>
        <v/>
      </c>
      <c r="O305" s="49" t="str">
        <f t="shared" si="2"/>
        <v/>
      </c>
      <c r="P305" s="49" t="str">
        <f t="shared" si="5"/>
        <v/>
      </c>
      <c r="Q305" s="51" t="str">
        <f>IF($C305&lt;&gt;"",SUMIFS($O$3:$O$401, $C$3:$C$401 ,$C305,$B$3:$B$401,"&lt;="&amp;Controle!$B$6),"")</f>
        <v/>
      </c>
      <c r="R305" s="51" t="str">
        <f>IF($D305&lt;&gt;"",SUMIFS($O$3:$O$401, $C$3:$C$401 ,$C305,$B$3:$B$401,"&lt;="&amp;Controle!$B$6,$F$3:$F$401,$F305),"")</f>
        <v/>
      </c>
      <c r="S305" s="51" t="str">
        <f>IF($D305&lt;&gt;"",SUMIFS($O$3:$O$401, $C$3:$C$401 ,$C305,$B$3:$B$401,"&lt;="&amp;'Controle D-1'!$B$6,$F$3:$F$401,$F305),"")</f>
        <v/>
      </c>
      <c r="T305" s="40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146"/>
      <c r="B306" s="149"/>
      <c r="C306" s="150"/>
      <c r="D306" s="150" t="str">
        <f>IF(ISTEXT(C306),VLOOKUP(C306,'Cadastro dos Ativos'!$A$2:$C$1000,3,0),"")</f>
        <v/>
      </c>
      <c r="E306" s="150"/>
      <c r="F306" s="150"/>
      <c r="G306" s="151"/>
      <c r="H306" s="46" t="str">
        <f>if($D306="Ações Americanas", HLOOKUP("PTAX",'Histórico'!$A$1:$EL$983,(MATCH(B306,'Histórico'!A:A))-1,""),
if($D306="Ações Europeias", HLOOKUP("EUR/BRL",'Histórico'!$A$1:$EL$983,(MATCH(B306,'Histórico'!A:A))-1,""),""))</f>
        <v/>
      </c>
      <c r="I306" s="150" t="str">
        <f t="array" ref="I306">IF(ISTEXT(C306),xlookup(C306,'Cadastro dos Ativos'!$A$2:$A$1000,'Cadastro dos Ativos'!$D$2:$D$1000),"")</f>
        <v/>
      </c>
      <c r="J306" s="150"/>
      <c r="K306" s="47" t="str">
        <f t="array" ref="K306">if(and(J306&lt;&gt;"",D306&lt;&gt;"Futuros"),
if(F306=Controle!$C$2, M306/xlookup(workday(B306,-1,Feriados!A:A),Controle!$B$10:$B$1000,Controle!$C$10:$C$1000),
if(F306=Controle!$F$2, M306/xlookup(workday(B306,-1,Feriados!A:A),Controle!$B$10:$B$1000,Controle!$F$10:$F$1000),
if(F306=Controle!$I$2, M306/xlookup(workday(B306,-1,Feriados!A:A),Controle!$B$10:$B$1000,Controle!$I$10:$I$1000),
if(F306=Controle!$L$2, M306/xlookup(workday(B306,-1,Feriados!A:A),Controle!$B$10:$B$1000,Controle!$L$10:$L$1000),
)))),
if(and(J306&lt;&gt;"",D306="Futuros"),
if(F306=Controle!$C$2, N306/xlookup(workday(B306,-1,Feriados!A:A),Controle!$B$10:$B$1000,Controle!$C$10:$C$1000),
if(F306=Controle!$F$2, N306/xlookup(workday(B306,-1,Feriados!A:A),Controle!$B$10:$B$1000,Controle!$F$10:$F$1000),
if(F306=Controle!$I$2, N306/xlookup(workday(B306,-1,Feriados!A:A),Controle!$B$10:$B$1000,Controle!$I$10:$I$1000),
if(F306=Controle!$L$2, N306/xlookup(workday(B306,-1,Feriados!A:A),Controle!$B$10:$B$1000,Controle!$L$10:$L$1000),
)))),""))</f>
        <v/>
      </c>
      <c r="L306" s="47" t="str">
        <f t="array" ref="L306">IF($J306&lt;&gt;"", IF($D306 = "Futuros" , $N306/xlookup(WORKDAY(B306,-1,Feriados!A:A),Controle!$B$10:$B$1000,Controle!$T$10:$T$1000) , $M306/xlookup(WORKDAY(B306,-1,Feriados!A:A),Controle!$B$10:$B$1000,Controle!$T$10:$T$1000)),"")</f>
        <v/>
      </c>
      <c r="M306" s="48" t="str">
        <f t="shared" si="4"/>
        <v/>
      </c>
      <c r="N306" s="48" t="str">
        <f>IFERROR(IF(D306="Futuros",
IF(LEFT(C306,3)="DI1",G306*O306,
IF(LEFT(C306,3)="ISP",G306*O306*HLOOKUP("PTAX",'Histórico'!$A$1:$EL$983,MATCH(B306,'Histórico'!A:A),FALSE)*50,
IF(LEFT(C306,3)="WDO",10*G306*O306*HLOOKUP("PTAX",'Histórico'!$A$1:$EL$983,MATCH(B306,'Histórico'!A:A),FALSE),
IF(LEFT(C306,3)="DOL",50*G306*O306,
IF(LEFT(C306,3)="EUR",G306*O306*50,
IF(LEFT(C306,3)="WEU",G306*O306*10,
IF(LEFT(C306,3)="IND",G306*O306,
IF(LEFT(C306,3)="WIN",G306*O306*0.2,
IF(LEFT(C306,3)="T10",G306*O306*1000*HLOOKUP("PTAX",'Histórico'!$A$1:$EL$983,MATCH(B306,'Histórico'!A:A),FALSE),
IF(LEFT(C306,3)="CCM",G306*O306*450,
IF(LEFT(C306,3)="SJC",G306*O306*HLOOKUP("PTAX",'Histórico'!$A$1:$EL$983,MATCH(B306,'Histórico'!A:A),FALSE)*450,
IF(LEFT(C306,3)="BGI",G306*O306*330,
IF(LEFT(C306,3)="OZ1",G306*O306*250,
IF(LEFT(C306,3)="CLP",G306*O306*25,
IF(LEFT(C306,3)="EUP", O306*10000*HLOOKUP("EUR/BRL",'Histórico'!$A$1:$EL$983,MATCH(B306,'Histórico'!A:A),FALSE),
IF(LEFT(C306,3)="JSE", G306*O306*0.4,
IF(LEFT(C306,3)="GBP", O306*10000*HLOOKUP("GBP/BRL",'Histórico'!$A$1:$FG$983,MATCH(B306,'Histórico'!A:A),FALSE),
IF(LEFT(C306,3)="JAP",O306*10000*HLOOKUP("PTAX",'Histórico'!$A$1:$FG$983,MATCH(B306,'Histórico'!A:A),FALSE),
IF(LEFT(C306,3)="CNH",O306*10000*HLOOKUP("PTAX",'Histórico'!$A$1:$FG$983,MATCH(B306,'Histórico'!A:A),FALSE),
IF(LEFT(C306,3)="AUS",O306*10000*HLOOKUP("PTAX",'Histórico'!$A$1:$FG$983,MATCH(B306,'Histórico'!A:A),FALSE),
IF(LEFT(C306,3)="CAN",O306*10000*HLOOKUP("PTAX",'Histórico'!$A$1:$FG$983,MATCH(B306,'Histórico'!A:A),FALSE),
IF(LEFT(C306,3)="GBR",O306*10000*HLOOKUP("GBP/BRL",'Histórico'!$A$1:$FG$983,MATCH(B306,'Histórico'!A:A),FALSE),
IF(LEFT(C306,3)="MEX",O306*10000*HLOOKUP("PTAX",'Histórico'!$A$1:$FG$983,MATCH(B306,'Histórico'!A:A),FALSE),
IF(LEFT(C306,3)="CHL",O306*10000*HLOOKUP("PTAX",'Histórico'!$A$1:$FG$983,MATCH(B306,'Histórico'!A:A),FALSE)
)))))))))))))))))))))))),""))</f>
        <v/>
      </c>
      <c r="O306" s="49" t="str">
        <f t="shared" si="2"/>
        <v/>
      </c>
      <c r="P306" s="49" t="str">
        <f t="shared" si="5"/>
        <v/>
      </c>
      <c r="Q306" s="51" t="str">
        <f>IF($C306&lt;&gt;"",SUMIFS($O$3:$O$401, $C$3:$C$401 ,$C306,$B$3:$B$401,"&lt;="&amp;Controle!$B$6),"")</f>
        <v/>
      </c>
      <c r="R306" s="51" t="str">
        <f>IF($D306&lt;&gt;"",SUMIFS($O$3:$O$401, $C$3:$C$401 ,$C306,$B$3:$B$401,"&lt;="&amp;Controle!$B$6,$F$3:$F$401,$F306),"")</f>
        <v/>
      </c>
      <c r="S306" s="51" t="str">
        <f>IF($D306&lt;&gt;"",SUMIFS($O$3:$O$401, $C$3:$C$401 ,$C306,$B$3:$B$401,"&lt;="&amp;'Controle D-1'!$B$6,$F$3:$F$401,$F306),"")</f>
        <v/>
      </c>
      <c r="T306" s="40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146"/>
      <c r="B307" s="149"/>
      <c r="C307" s="150"/>
      <c r="D307" s="150" t="str">
        <f>IF(ISTEXT(C307),VLOOKUP(C307,'Cadastro dos Ativos'!$A$2:$C$1000,3,0),"")</f>
        <v/>
      </c>
      <c r="E307" s="150"/>
      <c r="F307" s="150"/>
      <c r="G307" s="151"/>
      <c r="H307" s="101" t="str">
        <f>if($D307="Ações Americanas", HLOOKUP("PTAX",'Histórico'!$A$1:$EL$983,(MATCH(B307,'Histórico'!A:A))-1,""),
if($D307="Ações Europeias", HLOOKUP("EUR/BRL",'Histórico'!$A$1:$EL$983,(MATCH(B307,'Histórico'!A:A))-1,""),""))</f>
        <v/>
      </c>
      <c r="I307" s="150" t="str">
        <f t="array" ref="I307">IF(ISTEXT(C307),xlookup(C307,'Cadastro dos Ativos'!$A$2:$A$1000,'Cadastro dos Ativos'!$D$2:$D$1000),"")</f>
        <v/>
      </c>
      <c r="J307" s="150"/>
      <c r="K307" s="47" t="str">
        <f t="array" ref="K307">if(and(J307&lt;&gt;"",D307&lt;&gt;"Futuros"),
if(F307=Controle!$C$2, M307/xlookup(workday(B307,-1,Feriados!A:A),Controle!$B$10:$B$1000,Controle!$C$10:$C$1000),
if(F307=Controle!$F$2, M307/xlookup(workday(B307,-1,Feriados!A:A),Controle!$B$10:$B$1000,Controle!$F$10:$F$1000),
if(F307=Controle!$I$2, M307/xlookup(workday(B307,-1,Feriados!A:A),Controle!$B$10:$B$1000,Controle!$I$10:$I$1000),
if(F307=Controle!$L$2, M307/xlookup(workday(B307,-1,Feriados!A:A),Controle!$B$10:$B$1000,Controle!$L$10:$L$1000),
)))),
if(and(J307&lt;&gt;"",D307="Futuros"),
if(F307=Controle!$C$2, N307/xlookup(workday(B307,-1,Feriados!A:A),Controle!$B$10:$B$1000,Controle!$C$10:$C$1000),
if(F307=Controle!$F$2, N307/xlookup(workday(B307,-1,Feriados!A:A),Controle!$B$10:$B$1000,Controle!$F$10:$F$1000),
if(F307=Controle!$I$2, N307/xlookup(workday(B307,-1,Feriados!A:A),Controle!$B$10:$B$1000,Controle!$I$10:$I$1000),
if(F307=Controle!$L$2, N307/xlookup(workday(B307,-1,Feriados!A:A),Controle!$B$10:$B$1000,Controle!$L$10:$L$1000),
)))),""))</f>
        <v/>
      </c>
      <c r="L307" s="47" t="str">
        <f t="array" ref="L307">IF($J307&lt;&gt;"", IF($D307 = "Futuros" , $N307/xlookup(WORKDAY(B307,-1,Feriados!A:A),Controle!$B$10:$B$1000,Controle!$T$10:$T$1000) , $M307/xlookup(WORKDAY(B307,-1,Feriados!A:A),Controle!$B$10:$B$1000,Controle!$T$10:$T$1000)),"")</f>
        <v/>
      </c>
      <c r="M307" s="48" t="str">
        <f t="shared" si="4"/>
        <v/>
      </c>
      <c r="N307" s="48" t="str">
        <f>IFERROR(IF(D307="Futuros",
IF(LEFT(C307,3)="DI1",G307*O307,
IF(LEFT(C307,3)="ISP",G307*O307*HLOOKUP("PTAX",'Histórico'!$A$1:$EL$983,MATCH(B307,'Histórico'!A:A),FALSE)*50,
IF(LEFT(C307,3)="WDO",10*G307*O307*HLOOKUP("PTAX",'Histórico'!$A$1:$EL$983,MATCH(B307,'Histórico'!A:A),FALSE),
IF(LEFT(C307,3)="DOL",50*G307*O307,
IF(LEFT(C307,3)="EUR",G307*O307*50,
IF(LEFT(C307,3)="WEU",G307*O307*10,
IF(LEFT(C307,3)="IND",G307*O307,
IF(LEFT(C307,3)="WIN",G307*O307*0.2,
IF(LEFT(C307,3)="T10",G307*O307*1000*HLOOKUP("PTAX",'Histórico'!$A$1:$EL$983,MATCH(B307,'Histórico'!A:A),FALSE),
IF(LEFT(C307,3)="CCM",G307*O307*450,
IF(LEFT(C307,3)="SJC",G307*O307*HLOOKUP("PTAX",'Histórico'!$A$1:$EL$983,MATCH(B307,'Histórico'!A:A),FALSE)*450,
IF(LEFT(C307,3)="BGI",G307*O307*330,
IF(LEFT(C307,3)="OZ1",G307*O307*250,
IF(LEFT(C307,3)="CLP",G307*O307*25,
IF(LEFT(C307,3)="EUP", O307*10000*HLOOKUP("EUR/BRL",'Histórico'!$A$1:$EL$983,MATCH(B307,'Histórico'!A:A),FALSE),
IF(LEFT(C307,3)="JSE", G307*O307*0.4,
IF(LEFT(C307,3)="GBP", O307*10000*HLOOKUP("GBP/BRL",'Histórico'!$A$1:$FG$983,MATCH(B307,'Histórico'!A:A),FALSE),
IF(LEFT(C307,3)="JAP",O307*10000*HLOOKUP("PTAX",'Histórico'!$A$1:$FG$983,MATCH(B307,'Histórico'!A:A),FALSE),
IF(LEFT(C307,3)="CNH",O307*10000*HLOOKUP("PTAX",'Histórico'!$A$1:$FG$983,MATCH(B307,'Histórico'!A:A),FALSE),
IF(LEFT(C307,3)="AUS",O307*10000*HLOOKUP("PTAX",'Histórico'!$A$1:$FG$983,MATCH(B307,'Histórico'!A:A),FALSE),
IF(LEFT(C307,3)="CAN",O307*10000*HLOOKUP("PTAX",'Histórico'!$A$1:$FG$983,MATCH(B307,'Histórico'!A:A),FALSE),
IF(LEFT(C307,3)="GBR",O307*10000*HLOOKUP("GBP/BRL",'Histórico'!$A$1:$FG$983,MATCH(B307,'Histórico'!A:A),FALSE),
IF(LEFT(C307,3)="MEX",O307*10000*HLOOKUP("PTAX",'Histórico'!$A$1:$FG$983,MATCH(B307,'Histórico'!A:A),FALSE),
IF(LEFT(C307,3)="CHL",O307*10000*HLOOKUP("PTAX",'Histórico'!$A$1:$FG$983,MATCH(B307,'Histórico'!A:A),FALSE)
)))))))))))))))))))))))),""))</f>
        <v/>
      </c>
      <c r="O307" s="49" t="str">
        <f t="shared" si="2"/>
        <v/>
      </c>
      <c r="P307" s="49" t="str">
        <f t="shared" si="5"/>
        <v/>
      </c>
      <c r="Q307" s="51" t="str">
        <f>IF($C307&lt;&gt;"",SUMIFS($O$3:$O$401, $C$3:$C$401 ,$C307,$B$3:$B$401,"&lt;="&amp;Controle!$B$6),"")</f>
        <v/>
      </c>
      <c r="R307" s="51" t="str">
        <f>IF($D307&lt;&gt;"",SUMIFS($O$3:$O$401, $C$3:$C$401 ,$C307,$B$3:$B$401,"&lt;="&amp;Controle!$B$6,$F$3:$F$401,$F307),"")</f>
        <v/>
      </c>
      <c r="S307" s="51" t="str">
        <f>IF($D307&lt;&gt;"",SUMIFS($O$3:$O$401, $C$3:$C$401 ,$C307,$B$3:$B$401,"&lt;="&amp;'Controle D-1'!$B$6,$F$3:$F$401,$F307),"")</f>
        <v/>
      </c>
      <c r="T307" s="40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146"/>
      <c r="B308" s="149"/>
      <c r="C308" s="150"/>
      <c r="D308" s="150" t="str">
        <f>IF(ISTEXT(C308),VLOOKUP(C308,'Cadastro dos Ativos'!$A$2:$C$1000,3,0),"")</f>
        <v/>
      </c>
      <c r="E308" s="150"/>
      <c r="F308" s="150"/>
      <c r="G308" s="151"/>
      <c r="H308" s="46" t="str">
        <f>if($D308="Ações Americanas", HLOOKUP("PTAX",'Histórico'!$A$1:$EL$983,(MATCH(B308,'Histórico'!A:A))-1,""),
if($D308="Ações Europeias", HLOOKUP("EUR/BRL",'Histórico'!$A$1:$EL$983,(MATCH(B308,'Histórico'!A:A))-1,""),""))</f>
        <v/>
      </c>
      <c r="I308" s="150" t="str">
        <f t="array" ref="I308">IF(ISTEXT(C308),xlookup(C308,'Cadastro dos Ativos'!$A$2:$A$1000,'Cadastro dos Ativos'!$D$2:$D$1000),"")</f>
        <v/>
      </c>
      <c r="J308" s="150"/>
      <c r="K308" s="47" t="str">
        <f t="array" ref="K308">if(and(J308&lt;&gt;"",D308&lt;&gt;"Futuros"),
if(F308=Controle!$C$2, M308/xlookup(workday(B308,-1,Feriados!A:A),Controle!$B$10:$B$1000,Controle!$C$10:$C$1000),
if(F308=Controle!$F$2, M308/xlookup(workday(B308,-1,Feriados!A:A),Controle!$B$10:$B$1000,Controle!$F$10:$F$1000),
if(F308=Controle!$I$2, M308/xlookup(workday(B308,-1,Feriados!A:A),Controle!$B$10:$B$1000,Controle!$I$10:$I$1000),
if(F308=Controle!$L$2, M308/xlookup(workday(B308,-1,Feriados!A:A),Controle!$B$10:$B$1000,Controle!$L$10:$L$1000),
)))),
if(and(J308&lt;&gt;"",D308="Futuros"),
if(F308=Controle!$C$2, N308/xlookup(workday(B308,-1,Feriados!A:A),Controle!$B$10:$B$1000,Controle!$C$10:$C$1000),
if(F308=Controle!$F$2, N308/xlookup(workday(B308,-1,Feriados!A:A),Controle!$B$10:$B$1000,Controle!$F$10:$F$1000),
if(F308=Controle!$I$2, N308/xlookup(workday(B308,-1,Feriados!A:A),Controle!$B$10:$B$1000,Controle!$I$10:$I$1000),
if(F308=Controle!$L$2, N308/xlookup(workday(B308,-1,Feriados!A:A),Controle!$B$10:$B$1000,Controle!$L$10:$L$1000),
)))),""))</f>
        <v/>
      </c>
      <c r="L308" s="47" t="str">
        <f t="array" ref="L308">IF($J308&lt;&gt;"", IF($D308 = "Futuros" , $N308/xlookup(WORKDAY(B308,-1,Feriados!A:A),Controle!$B$10:$B$1000,Controle!$T$10:$T$1000) , $M308/xlookup(WORKDAY(B308,-1,Feriados!A:A),Controle!$B$10:$B$1000,Controle!$T$10:$T$1000)),"")</f>
        <v/>
      </c>
      <c r="M308" s="48" t="str">
        <f t="shared" si="4"/>
        <v/>
      </c>
      <c r="N308" s="48" t="str">
        <f>IFERROR(IF(D308="Futuros",
IF(LEFT(C308,3)="DI1",G308*O308,
IF(LEFT(C308,3)="ISP",G308*O308*HLOOKUP("PTAX",'Histórico'!$A$1:$EL$983,MATCH(B308,'Histórico'!A:A),FALSE)*50,
IF(LEFT(C308,3)="WDO",10*G308*O308*HLOOKUP("PTAX",'Histórico'!$A$1:$EL$983,MATCH(B308,'Histórico'!A:A),FALSE),
IF(LEFT(C308,3)="DOL",50*G308*O308,
IF(LEFT(C308,3)="EUR",G308*O308*50,
IF(LEFT(C308,3)="WEU",G308*O308*10,
IF(LEFT(C308,3)="IND",G308*O308,
IF(LEFT(C308,3)="WIN",G308*O308*0.2,
IF(LEFT(C308,3)="T10",G308*O308*1000*HLOOKUP("PTAX",'Histórico'!$A$1:$EL$983,MATCH(B308,'Histórico'!A:A),FALSE),
IF(LEFT(C308,3)="CCM",G308*O308*450,
IF(LEFT(C308,3)="SJC",G308*O308*HLOOKUP("PTAX",'Histórico'!$A$1:$EL$983,MATCH(B308,'Histórico'!A:A),FALSE)*450,
IF(LEFT(C308,3)="BGI",G308*O308*330,
IF(LEFT(C308,3)="OZ1",G308*O308*250,
IF(LEFT(C308,3)="CLP",G308*O308*25,
IF(LEFT(C308,3)="EUP", O308*10000*HLOOKUP("EUR/BRL",'Histórico'!$A$1:$EL$983,MATCH(B308,'Histórico'!A:A),FALSE),
IF(LEFT(C308,3)="JSE", G308*O308*0.4,
IF(LEFT(C308,3)="GBP", O308*10000*HLOOKUP("GBP/BRL",'Histórico'!$A$1:$FG$983,MATCH(B308,'Histórico'!A:A),FALSE),
IF(LEFT(C308,3)="JAP",O308*10000*HLOOKUP("PTAX",'Histórico'!$A$1:$FG$983,MATCH(B308,'Histórico'!A:A),FALSE),
IF(LEFT(C308,3)="CNH",O308*10000*HLOOKUP("PTAX",'Histórico'!$A$1:$FG$983,MATCH(B308,'Histórico'!A:A),FALSE),
IF(LEFT(C308,3)="AUS",O308*10000*HLOOKUP("PTAX",'Histórico'!$A$1:$FG$983,MATCH(B308,'Histórico'!A:A),FALSE),
IF(LEFT(C308,3)="CAN",O308*10000*HLOOKUP("PTAX",'Histórico'!$A$1:$FG$983,MATCH(B308,'Histórico'!A:A),FALSE),
IF(LEFT(C308,3)="GBR",O308*10000*HLOOKUP("GBP/BRL",'Histórico'!$A$1:$FG$983,MATCH(B308,'Histórico'!A:A),FALSE),
IF(LEFT(C308,3)="MEX",O308*10000*HLOOKUP("PTAX",'Histórico'!$A$1:$FG$983,MATCH(B308,'Histórico'!A:A),FALSE),
IF(LEFT(C308,3)="CHL",O308*10000*HLOOKUP("PTAX",'Histórico'!$A$1:$FG$983,MATCH(B308,'Histórico'!A:A),FALSE)
)))))))))))))))))))))))),""))</f>
        <v/>
      </c>
      <c r="O308" s="49" t="str">
        <f t="shared" si="2"/>
        <v/>
      </c>
      <c r="P308" s="49" t="str">
        <f t="shared" si="5"/>
        <v/>
      </c>
      <c r="Q308" s="51" t="str">
        <f>IF($C308&lt;&gt;"",SUMIFS($O$3:$O$401, $C$3:$C$401 ,$C308,$B$3:$B$401,"&lt;="&amp;Controle!$B$6),"")</f>
        <v/>
      </c>
      <c r="R308" s="51" t="str">
        <f>IF($D308&lt;&gt;"",SUMIFS($O$3:$O$401, $C$3:$C$401 ,$C308,$B$3:$B$401,"&lt;="&amp;Controle!$B$6,$F$3:$F$401,$F308),"")</f>
        <v/>
      </c>
      <c r="S308" s="51" t="str">
        <f>IF($D308&lt;&gt;"",SUMIFS($O$3:$O$401, $C$3:$C$401 ,$C308,$B$3:$B$401,"&lt;="&amp;'Controle D-1'!$B$6,$F$3:$F$401,$F308),"")</f>
        <v/>
      </c>
      <c r="T308" s="40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146"/>
      <c r="B309" s="149"/>
      <c r="C309" s="150"/>
      <c r="D309" s="150" t="str">
        <f>IF(ISTEXT(C309),VLOOKUP(C309,'Cadastro dos Ativos'!$A$2:$C$1000,3,0),"")</f>
        <v/>
      </c>
      <c r="E309" s="150"/>
      <c r="F309" s="150"/>
      <c r="G309" s="151"/>
      <c r="H309" s="101" t="str">
        <f>if($D309="Ações Americanas", HLOOKUP("PTAX",'Histórico'!$A$1:$EL$983,(MATCH(B309,'Histórico'!A:A))-1,""),
if($D309="Ações Europeias", HLOOKUP("EUR/BRL",'Histórico'!$A$1:$EL$983,(MATCH(B309,'Histórico'!A:A))-1,""),""))</f>
        <v/>
      </c>
      <c r="I309" s="150" t="str">
        <f t="array" ref="I309">IF(ISTEXT(C309),xlookup(C309,'Cadastro dos Ativos'!$A$2:$A$1000,'Cadastro dos Ativos'!$D$2:$D$1000),"")</f>
        <v/>
      </c>
      <c r="J309" s="150"/>
      <c r="K309" s="47" t="str">
        <f t="array" ref="K309">if(and(J309&lt;&gt;"",D309&lt;&gt;"Futuros"),
if(F309=Controle!$C$2, M309/xlookup(workday(B309,-1,Feriados!A:A),Controle!$B$10:$B$1000,Controle!$C$10:$C$1000),
if(F309=Controle!$F$2, M309/xlookup(workday(B309,-1,Feriados!A:A),Controle!$B$10:$B$1000,Controle!$F$10:$F$1000),
if(F309=Controle!$I$2, M309/xlookup(workday(B309,-1,Feriados!A:A),Controle!$B$10:$B$1000,Controle!$I$10:$I$1000),
if(F309=Controle!$L$2, M309/xlookup(workday(B309,-1,Feriados!A:A),Controle!$B$10:$B$1000,Controle!$L$10:$L$1000),
)))),
if(and(J309&lt;&gt;"",D309="Futuros"),
if(F309=Controle!$C$2, N309/xlookup(workday(B309,-1,Feriados!A:A),Controle!$B$10:$B$1000,Controle!$C$10:$C$1000),
if(F309=Controle!$F$2, N309/xlookup(workday(B309,-1,Feriados!A:A),Controle!$B$10:$B$1000,Controle!$F$10:$F$1000),
if(F309=Controle!$I$2, N309/xlookup(workday(B309,-1,Feriados!A:A),Controle!$B$10:$B$1000,Controle!$I$10:$I$1000),
if(F309=Controle!$L$2, N309/xlookup(workday(B309,-1,Feriados!A:A),Controle!$B$10:$B$1000,Controle!$L$10:$L$1000),
)))),""))</f>
        <v/>
      </c>
      <c r="L309" s="47" t="str">
        <f t="array" ref="L309">IF($J309&lt;&gt;"", IF($D309 = "Futuros" , $N309/xlookup(WORKDAY(B309,-1,Feriados!A:A),Controle!$B$10:$B$1000,Controle!$T$10:$T$1000) , $M309/xlookup(WORKDAY(B309,-1,Feriados!A:A),Controle!$B$10:$B$1000,Controle!$T$10:$T$1000)),"")</f>
        <v/>
      </c>
      <c r="M309" s="48" t="str">
        <f t="shared" si="4"/>
        <v/>
      </c>
      <c r="N309" s="48" t="str">
        <f>IFERROR(IF(D309="Futuros",
IF(LEFT(C309,3)="DI1",G309*O309,
IF(LEFT(C309,3)="ISP",G309*O309*HLOOKUP("PTAX",'Histórico'!$A$1:$EL$983,MATCH(B309,'Histórico'!A:A),FALSE)*50,
IF(LEFT(C309,3)="WDO",10*G309*O309*HLOOKUP("PTAX",'Histórico'!$A$1:$EL$983,MATCH(B309,'Histórico'!A:A),FALSE),
IF(LEFT(C309,3)="DOL",50*G309*O309,
IF(LEFT(C309,3)="EUR",G309*O309*50,
IF(LEFT(C309,3)="WEU",G309*O309*10,
IF(LEFT(C309,3)="IND",G309*O309,
IF(LEFT(C309,3)="WIN",G309*O309*0.2,
IF(LEFT(C309,3)="T10",G309*O309*1000*HLOOKUP("PTAX",'Histórico'!$A$1:$EL$983,MATCH(B309,'Histórico'!A:A),FALSE),
IF(LEFT(C309,3)="CCM",G309*O309*450,
IF(LEFT(C309,3)="SJC",G309*O309*HLOOKUP("PTAX",'Histórico'!$A$1:$EL$983,MATCH(B309,'Histórico'!A:A),FALSE)*450,
IF(LEFT(C309,3)="BGI",G309*O309*330,
IF(LEFT(C309,3)="OZ1",G309*O309*250,
IF(LEFT(C309,3)="CLP",G309*O309*25,
IF(LEFT(C309,3)="EUP", O309*10000*HLOOKUP("EUR/BRL",'Histórico'!$A$1:$EL$983,MATCH(B309,'Histórico'!A:A),FALSE),
IF(LEFT(C309,3)="JSE", G309*O309*0.4,
IF(LEFT(C309,3)="GBP", O309*10000*HLOOKUP("GBP/BRL",'Histórico'!$A$1:$FG$983,MATCH(B309,'Histórico'!A:A),FALSE),
IF(LEFT(C309,3)="JAP",O309*10000*HLOOKUP("PTAX",'Histórico'!$A$1:$FG$983,MATCH(B309,'Histórico'!A:A),FALSE),
IF(LEFT(C309,3)="CNH",O309*10000*HLOOKUP("PTAX",'Histórico'!$A$1:$FG$983,MATCH(B309,'Histórico'!A:A),FALSE),
IF(LEFT(C309,3)="AUS",O309*10000*HLOOKUP("PTAX",'Histórico'!$A$1:$FG$983,MATCH(B309,'Histórico'!A:A),FALSE),
IF(LEFT(C309,3)="CAN",O309*10000*HLOOKUP("PTAX",'Histórico'!$A$1:$FG$983,MATCH(B309,'Histórico'!A:A),FALSE),
IF(LEFT(C309,3)="GBR",O309*10000*HLOOKUP("GBP/BRL",'Histórico'!$A$1:$FG$983,MATCH(B309,'Histórico'!A:A),FALSE),
IF(LEFT(C309,3)="MEX",O309*10000*HLOOKUP("PTAX",'Histórico'!$A$1:$FG$983,MATCH(B309,'Histórico'!A:A),FALSE),
IF(LEFT(C309,3)="CHL",O309*10000*HLOOKUP("PTAX",'Histórico'!$A$1:$FG$983,MATCH(B309,'Histórico'!A:A),FALSE)
)))))))))))))))))))))))),""))</f>
        <v/>
      </c>
      <c r="O309" s="49" t="str">
        <f t="shared" si="2"/>
        <v/>
      </c>
      <c r="P309" s="49" t="str">
        <f t="shared" si="5"/>
        <v/>
      </c>
      <c r="Q309" s="51" t="str">
        <f>IF($C309&lt;&gt;"",SUMIFS($O$3:$O$401, $C$3:$C$401 ,$C309,$B$3:$B$401,"&lt;="&amp;Controle!$B$6),"")</f>
        <v/>
      </c>
      <c r="R309" s="51" t="str">
        <f>IF($D309&lt;&gt;"",SUMIFS($O$3:$O$401, $C$3:$C$401 ,$C309,$B$3:$B$401,"&lt;="&amp;Controle!$B$6,$F$3:$F$401,$F309),"")</f>
        <v/>
      </c>
      <c r="S309" s="51" t="str">
        <f>IF($D309&lt;&gt;"",SUMIFS($O$3:$O$401, $C$3:$C$401 ,$C309,$B$3:$B$401,"&lt;="&amp;'Controle D-1'!$B$6,$F$3:$F$401,$F309),"")</f>
        <v/>
      </c>
      <c r="T309" s="40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146"/>
      <c r="B310" s="149"/>
      <c r="C310" s="150"/>
      <c r="D310" s="150" t="str">
        <f>IF(ISTEXT(C310),VLOOKUP(C310,'Cadastro dos Ativos'!$A$2:$C$1000,3,0),"")</f>
        <v/>
      </c>
      <c r="E310" s="150"/>
      <c r="F310" s="150"/>
      <c r="G310" s="151"/>
      <c r="H310" s="46" t="str">
        <f>if($D310="Ações Americanas", HLOOKUP("PTAX",'Histórico'!$A$1:$EL$983,(MATCH(B310,'Histórico'!A:A))-1,""),
if($D310="Ações Europeias", HLOOKUP("EUR/BRL",'Histórico'!$A$1:$EL$983,(MATCH(B310,'Histórico'!A:A))-1,""),""))</f>
        <v/>
      </c>
      <c r="I310" s="150" t="str">
        <f t="array" ref="I310">IF(ISTEXT(C310),xlookup(C310,'Cadastro dos Ativos'!$A$2:$A$1000,'Cadastro dos Ativos'!$D$2:$D$1000),"")</f>
        <v/>
      </c>
      <c r="J310" s="150"/>
      <c r="K310" s="47" t="str">
        <f t="array" ref="K310">if(and(J310&lt;&gt;"",D310&lt;&gt;"Futuros"),
if(F310=Controle!$C$2, M310/xlookup(workday(B310,-1,Feriados!A:A),Controle!$B$10:$B$1000,Controle!$C$10:$C$1000),
if(F310=Controle!$F$2, M310/xlookup(workday(B310,-1,Feriados!A:A),Controle!$B$10:$B$1000,Controle!$F$10:$F$1000),
if(F310=Controle!$I$2, M310/xlookup(workday(B310,-1,Feriados!A:A),Controle!$B$10:$B$1000,Controle!$I$10:$I$1000),
if(F310=Controle!$L$2, M310/xlookup(workday(B310,-1,Feriados!A:A),Controle!$B$10:$B$1000,Controle!$L$10:$L$1000),
)))),
if(and(J310&lt;&gt;"",D310="Futuros"),
if(F310=Controle!$C$2, N310/xlookup(workday(B310,-1,Feriados!A:A),Controle!$B$10:$B$1000,Controle!$C$10:$C$1000),
if(F310=Controle!$F$2, N310/xlookup(workday(B310,-1,Feriados!A:A),Controle!$B$10:$B$1000,Controle!$F$10:$F$1000),
if(F310=Controle!$I$2, N310/xlookup(workday(B310,-1,Feriados!A:A),Controle!$B$10:$B$1000,Controle!$I$10:$I$1000),
if(F310=Controle!$L$2, N310/xlookup(workday(B310,-1,Feriados!A:A),Controle!$B$10:$B$1000,Controle!$L$10:$L$1000),
)))),""))</f>
        <v/>
      </c>
      <c r="L310" s="47" t="str">
        <f t="array" ref="L310">IF($J310&lt;&gt;"", IF($D310 = "Futuros" , $N310/xlookup(WORKDAY(B310,-1,Feriados!A:A),Controle!$B$10:$B$1000,Controle!$T$10:$T$1000) , $M310/xlookup(WORKDAY(B310,-1,Feriados!A:A),Controle!$B$10:$B$1000,Controle!$T$10:$T$1000)),"")</f>
        <v/>
      </c>
      <c r="M310" s="48" t="str">
        <f t="shared" si="4"/>
        <v/>
      </c>
      <c r="N310" s="48" t="str">
        <f>IFERROR(IF(D310="Futuros",
IF(LEFT(C310,3)="DI1",G310*O310,
IF(LEFT(C310,3)="ISP",G310*O310*HLOOKUP("PTAX",'Histórico'!$A$1:$EL$983,MATCH(B310,'Histórico'!A:A),FALSE)*50,
IF(LEFT(C310,3)="WDO",10*G310*O310*HLOOKUP("PTAX",'Histórico'!$A$1:$EL$983,MATCH(B310,'Histórico'!A:A),FALSE),
IF(LEFT(C310,3)="DOL",50*G310*O310,
IF(LEFT(C310,3)="EUR",G310*O310*50,
IF(LEFT(C310,3)="WEU",G310*O310*10,
IF(LEFT(C310,3)="IND",G310*O310,
IF(LEFT(C310,3)="WIN",G310*O310*0.2,
IF(LEFT(C310,3)="T10",G310*O310*1000*HLOOKUP("PTAX",'Histórico'!$A$1:$EL$983,MATCH(B310,'Histórico'!A:A),FALSE),
IF(LEFT(C310,3)="CCM",G310*O310*450,
IF(LEFT(C310,3)="SJC",G310*O310*HLOOKUP("PTAX",'Histórico'!$A$1:$EL$983,MATCH(B310,'Histórico'!A:A),FALSE)*450,
IF(LEFT(C310,3)="BGI",G310*O310*330,
IF(LEFT(C310,3)="OZ1",G310*O310*250,
IF(LEFT(C310,3)="CLP",G310*O310*25,
IF(LEFT(C310,3)="EUP", O310*10000*HLOOKUP("EUR/BRL",'Histórico'!$A$1:$EL$983,MATCH(B310,'Histórico'!A:A),FALSE),
IF(LEFT(C310,3)="JSE", G310*O310*0.4,
IF(LEFT(C310,3)="GBP", O310*10000*HLOOKUP("GBP/BRL",'Histórico'!$A$1:$FG$983,MATCH(B310,'Histórico'!A:A),FALSE),
IF(LEFT(C310,3)="JAP",O310*10000*HLOOKUP("PTAX",'Histórico'!$A$1:$FG$983,MATCH(B310,'Histórico'!A:A),FALSE),
IF(LEFT(C310,3)="CNH",O310*10000*HLOOKUP("PTAX",'Histórico'!$A$1:$FG$983,MATCH(B310,'Histórico'!A:A),FALSE),
IF(LEFT(C310,3)="AUS",O310*10000*HLOOKUP("PTAX",'Histórico'!$A$1:$FG$983,MATCH(B310,'Histórico'!A:A),FALSE),
IF(LEFT(C310,3)="CAN",O310*10000*HLOOKUP("PTAX",'Histórico'!$A$1:$FG$983,MATCH(B310,'Histórico'!A:A),FALSE),
IF(LEFT(C310,3)="GBR",O310*10000*HLOOKUP("GBP/BRL",'Histórico'!$A$1:$FG$983,MATCH(B310,'Histórico'!A:A),FALSE),
IF(LEFT(C310,3)="MEX",O310*10000*HLOOKUP("PTAX",'Histórico'!$A$1:$FG$983,MATCH(B310,'Histórico'!A:A),FALSE),
IF(LEFT(C310,3)="CHL",O310*10000*HLOOKUP("PTAX",'Histórico'!$A$1:$FG$983,MATCH(B310,'Histórico'!A:A),FALSE)
)))))))))))))))))))))))),""))</f>
        <v/>
      </c>
      <c r="O310" s="49" t="str">
        <f t="shared" si="2"/>
        <v/>
      </c>
      <c r="P310" s="49" t="str">
        <f t="shared" si="5"/>
        <v/>
      </c>
      <c r="Q310" s="51" t="str">
        <f>IF($C310&lt;&gt;"",SUMIFS($O$3:$O$401, $C$3:$C$401 ,$C310,$B$3:$B$401,"&lt;="&amp;Controle!$B$6),"")</f>
        <v/>
      </c>
      <c r="R310" s="51" t="str">
        <f>IF($D310&lt;&gt;"",SUMIFS($O$3:$O$401, $C$3:$C$401 ,$C310,$B$3:$B$401,"&lt;="&amp;Controle!$B$6,$F$3:$F$401,$F310),"")</f>
        <v/>
      </c>
      <c r="S310" s="51" t="str">
        <f>IF($D310&lt;&gt;"",SUMIFS($O$3:$O$401, $C$3:$C$401 ,$C310,$B$3:$B$401,"&lt;="&amp;'Controle D-1'!$B$6,$F$3:$F$401,$F310),"")</f>
        <v/>
      </c>
      <c r="T310" s="40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146"/>
      <c r="B311" s="149"/>
      <c r="C311" s="150"/>
      <c r="D311" s="150" t="str">
        <f>IF(ISTEXT(C311),VLOOKUP(C311,'Cadastro dos Ativos'!$A$2:$C$1000,3,0),"")</f>
        <v/>
      </c>
      <c r="E311" s="150"/>
      <c r="F311" s="150"/>
      <c r="G311" s="151"/>
      <c r="H311" s="101" t="str">
        <f>if($D311="Ações Americanas", HLOOKUP("PTAX",'Histórico'!$A$1:$EL$983,(MATCH(B311,'Histórico'!A:A))-1,""),
if($D311="Ações Europeias", HLOOKUP("EUR/BRL",'Histórico'!$A$1:$EL$983,(MATCH(B311,'Histórico'!A:A))-1,""),""))</f>
        <v/>
      </c>
      <c r="I311" s="150" t="str">
        <f t="array" ref="I311">IF(ISTEXT(C311),xlookup(C311,'Cadastro dos Ativos'!$A$2:$A$1000,'Cadastro dos Ativos'!$D$2:$D$1000),"")</f>
        <v/>
      </c>
      <c r="J311" s="150"/>
      <c r="K311" s="47" t="str">
        <f t="array" ref="K311">if(and(J311&lt;&gt;"",D311&lt;&gt;"Futuros"),
if(F311=Controle!$C$2, M311/xlookup(workday(B311,-1,Feriados!A:A),Controle!$B$10:$B$1000,Controle!$C$10:$C$1000),
if(F311=Controle!$F$2, M311/xlookup(workday(B311,-1,Feriados!A:A),Controle!$B$10:$B$1000,Controle!$F$10:$F$1000),
if(F311=Controle!$I$2, M311/xlookup(workday(B311,-1,Feriados!A:A),Controle!$B$10:$B$1000,Controle!$I$10:$I$1000),
if(F311=Controle!$L$2, M311/xlookup(workday(B311,-1,Feriados!A:A),Controle!$B$10:$B$1000,Controle!$L$10:$L$1000),
)))),
if(and(J311&lt;&gt;"",D311="Futuros"),
if(F311=Controle!$C$2, N311/xlookup(workday(B311,-1,Feriados!A:A),Controle!$B$10:$B$1000,Controle!$C$10:$C$1000),
if(F311=Controle!$F$2, N311/xlookup(workday(B311,-1,Feriados!A:A),Controle!$B$10:$B$1000,Controle!$F$10:$F$1000),
if(F311=Controle!$I$2, N311/xlookup(workday(B311,-1,Feriados!A:A),Controle!$B$10:$B$1000,Controle!$I$10:$I$1000),
if(F311=Controle!$L$2, N311/xlookup(workday(B311,-1,Feriados!A:A),Controle!$B$10:$B$1000,Controle!$L$10:$L$1000),
)))),""))</f>
        <v/>
      </c>
      <c r="L311" s="47" t="str">
        <f t="array" ref="L311">IF($J311&lt;&gt;"", IF($D311 = "Futuros" , $N311/xlookup(WORKDAY(B311,-1,Feriados!A:A),Controle!$B$10:$B$1000,Controle!$T$10:$T$1000) , $M311/xlookup(WORKDAY(B311,-1,Feriados!A:A),Controle!$B$10:$B$1000,Controle!$T$10:$T$1000)),"")</f>
        <v/>
      </c>
      <c r="M311" s="48" t="str">
        <f t="shared" si="4"/>
        <v/>
      </c>
      <c r="N311" s="48" t="str">
        <f>IFERROR(IF(D311="Futuros",
IF(LEFT(C311,3)="DI1",G311*O311,
IF(LEFT(C311,3)="ISP",G311*O311*HLOOKUP("PTAX",'Histórico'!$A$1:$EL$983,MATCH(B311,'Histórico'!A:A),FALSE)*50,
IF(LEFT(C311,3)="WDO",10*G311*O311*HLOOKUP("PTAX",'Histórico'!$A$1:$EL$983,MATCH(B311,'Histórico'!A:A),FALSE),
IF(LEFT(C311,3)="DOL",50*G311*O311,
IF(LEFT(C311,3)="EUR",G311*O311*50,
IF(LEFT(C311,3)="WEU",G311*O311*10,
IF(LEFT(C311,3)="IND",G311*O311,
IF(LEFT(C311,3)="WIN",G311*O311*0.2,
IF(LEFT(C311,3)="T10",G311*O311*1000*HLOOKUP("PTAX",'Histórico'!$A$1:$EL$983,MATCH(B311,'Histórico'!A:A),FALSE),
IF(LEFT(C311,3)="CCM",G311*O311*450,
IF(LEFT(C311,3)="SJC",G311*O311*HLOOKUP("PTAX",'Histórico'!$A$1:$EL$983,MATCH(B311,'Histórico'!A:A),FALSE)*450,
IF(LEFT(C311,3)="BGI",G311*O311*330,
IF(LEFT(C311,3)="OZ1",G311*O311*250,
IF(LEFT(C311,3)="CLP",G311*O311*25,
IF(LEFT(C311,3)="EUP", O311*10000*HLOOKUP("EUR/BRL",'Histórico'!$A$1:$EL$983,MATCH(B311,'Histórico'!A:A),FALSE),
IF(LEFT(C311,3)="JSE", G311*O311*0.4,
IF(LEFT(C311,3)="GBP", O311*10000*HLOOKUP("GBP/BRL",'Histórico'!$A$1:$FG$983,MATCH(B311,'Histórico'!A:A),FALSE),
IF(LEFT(C311,3)="JAP",O311*10000*HLOOKUP("PTAX",'Histórico'!$A$1:$FG$983,MATCH(B311,'Histórico'!A:A),FALSE),
IF(LEFT(C311,3)="CNH",O311*10000*HLOOKUP("PTAX",'Histórico'!$A$1:$FG$983,MATCH(B311,'Histórico'!A:A),FALSE),
IF(LEFT(C311,3)="AUS",O311*10000*HLOOKUP("PTAX",'Histórico'!$A$1:$FG$983,MATCH(B311,'Histórico'!A:A),FALSE),
IF(LEFT(C311,3)="CAN",O311*10000*HLOOKUP("PTAX",'Histórico'!$A$1:$FG$983,MATCH(B311,'Histórico'!A:A),FALSE),
IF(LEFT(C311,3)="GBR",O311*10000*HLOOKUP("GBP/BRL",'Histórico'!$A$1:$FG$983,MATCH(B311,'Histórico'!A:A),FALSE),
IF(LEFT(C311,3)="MEX",O311*10000*HLOOKUP("PTAX",'Histórico'!$A$1:$FG$983,MATCH(B311,'Histórico'!A:A),FALSE),
IF(LEFT(C311,3)="CHL",O311*10000*HLOOKUP("PTAX",'Histórico'!$A$1:$FG$983,MATCH(B311,'Histórico'!A:A),FALSE)
)))))))))))))))))))))))),""))</f>
        <v/>
      </c>
      <c r="O311" s="49" t="str">
        <f t="shared" si="2"/>
        <v/>
      </c>
      <c r="P311" s="49" t="str">
        <f t="shared" si="5"/>
        <v/>
      </c>
      <c r="Q311" s="51" t="str">
        <f>IF($C311&lt;&gt;"",SUMIFS($O$3:$O$401, $C$3:$C$401 ,$C311,$B$3:$B$401,"&lt;="&amp;Controle!$B$6),"")</f>
        <v/>
      </c>
      <c r="R311" s="51" t="str">
        <f>IF($D311&lt;&gt;"",SUMIFS($O$3:$O$401, $C$3:$C$401 ,$C311,$B$3:$B$401,"&lt;="&amp;Controle!$B$6,$F$3:$F$401,$F311),"")</f>
        <v/>
      </c>
      <c r="S311" s="51" t="str">
        <f>IF($D311&lt;&gt;"",SUMIFS($O$3:$O$401, $C$3:$C$401 ,$C311,$B$3:$B$401,"&lt;="&amp;'Controle D-1'!$B$6,$F$3:$F$401,$F311),"")</f>
        <v/>
      </c>
      <c r="T311" s="40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146"/>
      <c r="B312" s="149"/>
      <c r="C312" s="150"/>
      <c r="D312" s="150" t="str">
        <f>IF(ISTEXT(C312),VLOOKUP(C312,'Cadastro dos Ativos'!$A$2:$C$1000,3,0),"")</f>
        <v/>
      </c>
      <c r="E312" s="150"/>
      <c r="F312" s="150"/>
      <c r="G312" s="151"/>
      <c r="H312" s="46" t="str">
        <f>if($D312="Ações Americanas", HLOOKUP("PTAX",'Histórico'!$A$1:$EL$983,(MATCH(B312,'Histórico'!A:A))-1,""),
if($D312="Ações Europeias", HLOOKUP("EUR/BRL",'Histórico'!$A$1:$EL$983,(MATCH(B312,'Histórico'!A:A))-1,""),""))</f>
        <v/>
      </c>
      <c r="I312" s="150" t="str">
        <f t="array" ref="I312">IF(ISTEXT(C312),xlookup(C312,'Cadastro dos Ativos'!$A$2:$A$1000,'Cadastro dos Ativos'!$D$2:$D$1000),"")</f>
        <v/>
      </c>
      <c r="J312" s="150"/>
      <c r="K312" s="47" t="str">
        <f t="array" ref="K312">if(and(J312&lt;&gt;"",D312&lt;&gt;"Futuros"),
if(F312=Controle!$C$2, M312/xlookup(workday(B312,-1,Feriados!A:A),Controle!$B$10:$B$1000,Controle!$C$10:$C$1000),
if(F312=Controle!$F$2, M312/xlookup(workday(B312,-1,Feriados!A:A),Controle!$B$10:$B$1000,Controle!$F$10:$F$1000),
if(F312=Controle!$I$2, M312/xlookup(workday(B312,-1,Feriados!A:A),Controle!$B$10:$B$1000,Controle!$I$10:$I$1000),
if(F312=Controle!$L$2, M312/xlookup(workday(B312,-1,Feriados!A:A),Controle!$B$10:$B$1000,Controle!$L$10:$L$1000),
)))),
if(and(J312&lt;&gt;"",D312="Futuros"),
if(F312=Controle!$C$2, N312/xlookup(workday(B312,-1,Feriados!A:A),Controle!$B$10:$B$1000,Controle!$C$10:$C$1000),
if(F312=Controle!$F$2, N312/xlookup(workday(B312,-1,Feriados!A:A),Controle!$B$10:$B$1000,Controle!$F$10:$F$1000),
if(F312=Controle!$I$2, N312/xlookup(workday(B312,-1,Feriados!A:A),Controle!$B$10:$B$1000,Controle!$I$10:$I$1000),
if(F312=Controle!$L$2, N312/xlookup(workday(B312,-1,Feriados!A:A),Controle!$B$10:$B$1000,Controle!$L$10:$L$1000),
)))),""))</f>
        <v/>
      </c>
      <c r="L312" s="47" t="str">
        <f t="array" ref="L312">IF($J312&lt;&gt;"", IF($D312 = "Futuros" , $N312/xlookup(WORKDAY(B312,-1,Feriados!A:A),Controle!$B$10:$B$1000,Controle!$T$10:$T$1000) , $M312/xlookup(WORKDAY(B312,-1,Feriados!A:A),Controle!$B$10:$B$1000,Controle!$T$10:$T$1000)),"")</f>
        <v/>
      </c>
      <c r="M312" s="48" t="str">
        <f t="shared" si="4"/>
        <v/>
      </c>
      <c r="N312" s="48" t="str">
        <f>IFERROR(IF(D312="Futuros",
IF(LEFT(C312,3)="DI1",G312*O312,
IF(LEFT(C312,3)="ISP",G312*O312*HLOOKUP("PTAX",'Histórico'!$A$1:$EL$983,MATCH(B312,'Histórico'!A:A),FALSE)*50,
IF(LEFT(C312,3)="WDO",10*G312*O312*HLOOKUP("PTAX",'Histórico'!$A$1:$EL$983,MATCH(B312,'Histórico'!A:A),FALSE),
IF(LEFT(C312,3)="DOL",50*G312*O312,
IF(LEFT(C312,3)="EUR",G312*O312*50,
IF(LEFT(C312,3)="WEU",G312*O312*10,
IF(LEFT(C312,3)="IND",G312*O312,
IF(LEFT(C312,3)="WIN",G312*O312*0.2,
IF(LEFT(C312,3)="T10",G312*O312*1000*HLOOKUP("PTAX",'Histórico'!$A$1:$EL$983,MATCH(B312,'Histórico'!A:A),FALSE),
IF(LEFT(C312,3)="CCM",G312*O312*450,
IF(LEFT(C312,3)="SJC",G312*O312*HLOOKUP("PTAX",'Histórico'!$A$1:$EL$983,MATCH(B312,'Histórico'!A:A),FALSE)*450,
IF(LEFT(C312,3)="BGI",G312*O312*330,
IF(LEFT(C312,3)="OZ1",G312*O312*250,
IF(LEFT(C312,3)="CLP",G312*O312*25,
IF(LEFT(C312,3)="EUP", O312*10000*HLOOKUP("EUR/BRL",'Histórico'!$A$1:$EL$983,MATCH(B312,'Histórico'!A:A),FALSE),
IF(LEFT(C312,3)="JSE", G312*O312*0.4,
IF(LEFT(C312,3)="GBP", O312*10000*HLOOKUP("GBP/BRL",'Histórico'!$A$1:$FG$983,MATCH(B312,'Histórico'!A:A),FALSE),
IF(LEFT(C312,3)="JAP",O312*10000*HLOOKUP("PTAX",'Histórico'!$A$1:$FG$983,MATCH(B312,'Histórico'!A:A),FALSE),
IF(LEFT(C312,3)="CNH",O312*10000*HLOOKUP("PTAX",'Histórico'!$A$1:$FG$983,MATCH(B312,'Histórico'!A:A),FALSE),
IF(LEFT(C312,3)="AUS",O312*10000*HLOOKUP("PTAX",'Histórico'!$A$1:$FG$983,MATCH(B312,'Histórico'!A:A),FALSE),
IF(LEFT(C312,3)="CAN",O312*10000*HLOOKUP("PTAX",'Histórico'!$A$1:$FG$983,MATCH(B312,'Histórico'!A:A),FALSE),
IF(LEFT(C312,3)="GBR",O312*10000*HLOOKUP("GBP/BRL",'Histórico'!$A$1:$FG$983,MATCH(B312,'Histórico'!A:A),FALSE),
IF(LEFT(C312,3)="MEX",O312*10000*HLOOKUP("PTAX",'Histórico'!$A$1:$FG$983,MATCH(B312,'Histórico'!A:A),FALSE),
IF(LEFT(C312,3)="CHL",O312*10000*HLOOKUP("PTAX",'Histórico'!$A$1:$FG$983,MATCH(B312,'Histórico'!A:A),FALSE)
)))))))))))))))))))))))),""))</f>
        <v/>
      </c>
      <c r="O312" s="49" t="str">
        <f t="shared" si="2"/>
        <v/>
      </c>
      <c r="P312" s="49" t="str">
        <f t="shared" si="5"/>
        <v/>
      </c>
      <c r="Q312" s="51" t="str">
        <f>IF($C312&lt;&gt;"",SUMIFS($O$3:$O$401, $C$3:$C$401 ,$C312,$B$3:$B$401,"&lt;="&amp;Controle!$B$6),"")</f>
        <v/>
      </c>
      <c r="R312" s="51" t="str">
        <f>IF($D312&lt;&gt;"",SUMIFS($O$3:$O$401, $C$3:$C$401 ,$C312,$B$3:$B$401,"&lt;="&amp;Controle!$B$6,$F$3:$F$401,$F312),"")</f>
        <v/>
      </c>
      <c r="S312" s="51" t="str">
        <f>IF($D312&lt;&gt;"",SUMIFS($O$3:$O$401, $C$3:$C$401 ,$C312,$B$3:$B$401,"&lt;="&amp;'Controle D-1'!$B$6,$F$3:$F$401,$F312),"")</f>
        <v/>
      </c>
      <c r="T312" s="40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146"/>
      <c r="B313" s="149"/>
      <c r="C313" s="150"/>
      <c r="D313" s="150" t="str">
        <f>IF(ISTEXT(C313),VLOOKUP(C313,'Cadastro dos Ativos'!$A$2:$C$1000,3,0),"")</f>
        <v/>
      </c>
      <c r="E313" s="150"/>
      <c r="F313" s="150"/>
      <c r="G313" s="151"/>
      <c r="H313" s="101" t="str">
        <f>if($D313="Ações Americanas", HLOOKUP("PTAX",'Histórico'!$A$1:$EL$983,(MATCH(B313,'Histórico'!A:A))-1,""),
if($D313="Ações Europeias", HLOOKUP("EUR/BRL",'Histórico'!$A$1:$EL$983,(MATCH(B313,'Histórico'!A:A))-1,""),""))</f>
        <v/>
      </c>
      <c r="I313" s="150" t="str">
        <f t="array" ref="I313">IF(ISTEXT(C313),xlookup(C313,'Cadastro dos Ativos'!$A$2:$A$1000,'Cadastro dos Ativos'!$D$2:$D$1000),"")</f>
        <v/>
      </c>
      <c r="J313" s="150"/>
      <c r="K313" s="47" t="str">
        <f t="array" ref="K313">if(and(J313&lt;&gt;"",D313&lt;&gt;"Futuros"),
if(F313=Controle!$C$2, M313/xlookup(workday(B313,-1,Feriados!A:A),Controle!$B$10:$B$1000,Controle!$C$10:$C$1000),
if(F313=Controle!$F$2, M313/xlookup(workday(B313,-1,Feriados!A:A),Controle!$B$10:$B$1000,Controle!$F$10:$F$1000),
if(F313=Controle!$I$2, M313/xlookup(workday(B313,-1,Feriados!A:A),Controle!$B$10:$B$1000,Controle!$I$10:$I$1000),
if(F313=Controle!$L$2, M313/xlookup(workday(B313,-1,Feriados!A:A),Controle!$B$10:$B$1000,Controle!$L$10:$L$1000),
)))),
if(and(J313&lt;&gt;"",D313="Futuros"),
if(F313=Controle!$C$2, N313/xlookup(workday(B313,-1,Feriados!A:A),Controle!$B$10:$B$1000,Controle!$C$10:$C$1000),
if(F313=Controle!$F$2, N313/xlookup(workday(B313,-1,Feriados!A:A),Controle!$B$10:$B$1000,Controle!$F$10:$F$1000),
if(F313=Controle!$I$2, N313/xlookup(workday(B313,-1,Feriados!A:A),Controle!$B$10:$B$1000,Controle!$I$10:$I$1000),
if(F313=Controle!$L$2, N313/xlookup(workday(B313,-1,Feriados!A:A),Controle!$B$10:$B$1000,Controle!$L$10:$L$1000),
)))),""))</f>
        <v/>
      </c>
      <c r="L313" s="47" t="str">
        <f t="array" ref="L313">IF($J313&lt;&gt;"", IF($D313 = "Futuros" , $N313/xlookup(WORKDAY(B313,-1,Feriados!A:A),Controle!$B$10:$B$1000,Controle!$T$10:$T$1000) , $M313/xlookup(WORKDAY(B313,-1,Feriados!A:A),Controle!$B$10:$B$1000,Controle!$T$10:$T$1000)),"")</f>
        <v/>
      </c>
      <c r="M313" s="48" t="str">
        <f t="shared" si="4"/>
        <v/>
      </c>
      <c r="N313" s="48" t="str">
        <f>IFERROR(IF(D313="Futuros",
IF(LEFT(C313,3)="DI1",G313*O313,
IF(LEFT(C313,3)="ISP",G313*O313*HLOOKUP("PTAX",'Histórico'!$A$1:$EL$983,MATCH(B313,'Histórico'!A:A),FALSE)*50,
IF(LEFT(C313,3)="WDO",10*G313*O313*HLOOKUP("PTAX",'Histórico'!$A$1:$EL$983,MATCH(B313,'Histórico'!A:A),FALSE),
IF(LEFT(C313,3)="DOL",50*G313*O313,
IF(LEFT(C313,3)="EUR",G313*O313*50,
IF(LEFT(C313,3)="WEU",G313*O313*10,
IF(LEFT(C313,3)="IND",G313*O313,
IF(LEFT(C313,3)="WIN",G313*O313*0.2,
IF(LEFT(C313,3)="T10",G313*O313*1000*HLOOKUP("PTAX",'Histórico'!$A$1:$EL$983,MATCH(B313,'Histórico'!A:A),FALSE),
IF(LEFT(C313,3)="CCM",G313*O313*450,
IF(LEFT(C313,3)="SJC",G313*O313*HLOOKUP("PTAX",'Histórico'!$A$1:$EL$983,MATCH(B313,'Histórico'!A:A),FALSE)*450,
IF(LEFT(C313,3)="BGI",G313*O313*330,
IF(LEFT(C313,3)="OZ1",G313*O313*250,
IF(LEFT(C313,3)="CLP",G313*O313*25,
IF(LEFT(C313,3)="EUP", O313*10000*HLOOKUP("EUR/BRL",'Histórico'!$A$1:$EL$983,MATCH(B313,'Histórico'!A:A),FALSE),
IF(LEFT(C313,3)="JSE", G313*O313*0.4,
IF(LEFT(C313,3)="GBP", O313*10000*HLOOKUP("GBP/BRL",'Histórico'!$A$1:$FG$983,MATCH(B313,'Histórico'!A:A),FALSE),
IF(LEFT(C313,3)="JAP",O313*10000*HLOOKUP("PTAX",'Histórico'!$A$1:$FG$983,MATCH(B313,'Histórico'!A:A),FALSE),
IF(LEFT(C313,3)="CNH",O313*10000*HLOOKUP("PTAX",'Histórico'!$A$1:$FG$983,MATCH(B313,'Histórico'!A:A),FALSE),
IF(LEFT(C313,3)="AUS",O313*10000*HLOOKUP("PTAX",'Histórico'!$A$1:$FG$983,MATCH(B313,'Histórico'!A:A),FALSE),
IF(LEFT(C313,3)="CAN",O313*10000*HLOOKUP("PTAX",'Histórico'!$A$1:$FG$983,MATCH(B313,'Histórico'!A:A),FALSE),
IF(LEFT(C313,3)="GBR",O313*10000*HLOOKUP("GBP/BRL",'Histórico'!$A$1:$FG$983,MATCH(B313,'Histórico'!A:A),FALSE),
IF(LEFT(C313,3)="MEX",O313*10000*HLOOKUP("PTAX",'Histórico'!$A$1:$FG$983,MATCH(B313,'Histórico'!A:A),FALSE),
IF(LEFT(C313,3)="CHL",O313*10000*HLOOKUP("PTAX",'Histórico'!$A$1:$FG$983,MATCH(B313,'Histórico'!A:A),FALSE)
)))))))))))))))))))))))),""))</f>
        <v/>
      </c>
      <c r="O313" s="49" t="str">
        <f t="shared" si="2"/>
        <v/>
      </c>
      <c r="P313" s="49" t="str">
        <f t="shared" si="5"/>
        <v/>
      </c>
      <c r="Q313" s="51" t="str">
        <f>IF($C313&lt;&gt;"",SUMIFS($O$3:$O$401, $C$3:$C$401 ,$C313,$B$3:$B$401,"&lt;="&amp;Controle!$B$6),"")</f>
        <v/>
      </c>
      <c r="R313" s="51" t="str">
        <f>IF($D313&lt;&gt;"",SUMIFS($O$3:$O$401, $C$3:$C$401 ,$C313,$B$3:$B$401,"&lt;="&amp;Controle!$B$6,$F$3:$F$401,$F313),"")</f>
        <v/>
      </c>
      <c r="S313" s="51" t="str">
        <f>IF($D313&lt;&gt;"",SUMIFS($O$3:$O$401, $C$3:$C$401 ,$C313,$B$3:$B$401,"&lt;="&amp;'Controle D-1'!$B$6,$F$3:$F$401,$F313),"")</f>
        <v/>
      </c>
      <c r="T313" s="40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146"/>
      <c r="B314" s="149"/>
      <c r="C314" s="150"/>
      <c r="D314" s="150" t="str">
        <f>IF(ISTEXT(C314),VLOOKUP(C314,'Cadastro dos Ativos'!$A$2:$C$1000,3,0),"")</f>
        <v/>
      </c>
      <c r="E314" s="150"/>
      <c r="F314" s="150"/>
      <c r="G314" s="151"/>
      <c r="H314" s="46" t="str">
        <f>if($D314="Ações Americanas", HLOOKUP("PTAX",'Histórico'!$A$1:$EL$983,(MATCH(B314,'Histórico'!A:A))-1,""),
if($D314="Ações Europeias", HLOOKUP("EUR/BRL",'Histórico'!$A$1:$EL$983,(MATCH(B314,'Histórico'!A:A))-1,""),""))</f>
        <v/>
      </c>
      <c r="I314" s="150" t="str">
        <f t="array" ref="I314">IF(ISTEXT(C314),xlookup(C314,'Cadastro dos Ativos'!$A$2:$A$1000,'Cadastro dos Ativos'!$D$2:$D$1000),"")</f>
        <v/>
      </c>
      <c r="J314" s="150"/>
      <c r="K314" s="47" t="str">
        <f t="array" ref="K314">if(and(J314&lt;&gt;"",D314&lt;&gt;"Futuros"),
if(F314=Controle!$C$2, M314/xlookup(workday(B314,-1,Feriados!A:A),Controle!$B$10:$B$1000,Controle!$C$10:$C$1000),
if(F314=Controle!$F$2, M314/xlookup(workday(B314,-1,Feriados!A:A),Controle!$B$10:$B$1000,Controle!$F$10:$F$1000),
if(F314=Controle!$I$2, M314/xlookup(workday(B314,-1,Feriados!A:A),Controle!$B$10:$B$1000,Controle!$I$10:$I$1000),
if(F314=Controle!$L$2, M314/xlookup(workday(B314,-1,Feriados!A:A),Controle!$B$10:$B$1000,Controle!$L$10:$L$1000),
)))),
if(and(J314&lt;&gt;"",D314="Futuros"),
if(F314=Controle!$C$2, N314/xlookup(workday(B314,-1,Feriados!A:A),Controle!$B$10:$B$1000,Controle!$C$10:$C$1000),
if(F314=Controle!$F$2, N314/xlookup(workday(B314,-1,Feriados!A:A),Controle!$B$10:$B$1000,Controle!$F$10:$F$1000),
if(F314=Controle!$I$2, N314/xlookup(workday(B314,-1,Feriados!A:A),Controle!$B$10:$B$1000,Controle!$I$10:$I$1000),
if(F314=Controle!$L$2, N314/xlookup(workday(B314,-1,Feriados!A:A),Controle!$B$10:$B$1000,Controle!$L$10:$L$1000),
)))),""))</f>
        <v/>
      </c>
      <c r="L314" s="47" t="str">
        <f t="array" ref="L314">IF($J314&lt;&gt;"", IF($D314 = "Futuros" , $N314/xlookup(WORKDAY(B314,-1,Feriados!A:A),Controle!$B$10:$B$1000,Controle!$T$10:$T$1000) , $M314/xlookup(WORKDAY(B314,-1,Feriados!A:A),Controle!$B$10:$B$1000,Controle!$T$10:$T$1000)),"")</f>
        <v/>
      </c>
      <c r="M314" s="48" t="str">
        <f t="shared" si="4"/>
        <v/>
      </c>
      <c r="N314" s="48" t="str">
        <f>IFERROR(IF(D314="Futuros",
IF(LEFT(C314,3)="DI1",G314*O314,
IF(LEFT(C314,3)="ISP",G314*O314*HLOOKUP("PTAX",'Histórico'!$A$1:$EL$983,MATCH(B314,'Histórico'!A:A),FALSE)*50,
IF(LEFT(C314,3)="WDO",10*G314*O314*HLOOKUP("PTAX",'Histórico'!$A$1:$EL$983,MATCH(B314,'Histórico'!A:A),FALSE),
IF(LEFT(C314,3)="DOL",50*G314*O314,
IF(LEFT(C314,3)="EUR",G314*O314*50,
IF(LEFT(C314,3)="WEU",G314*O314*10,
IF(LEFT(C314,3)="IND",G314*O314,
IF(LEFT(C314,3)="WIN",G314*O314*0.2,
IF(LEFT(C314,3)="T10",G314*O314*1000*HLOOKUP("PTAX",'Histórico'!$A$1:$EL$983,MATCH(B314,'Histórico'!A:A),FALSE),
IF(LEFT(C314,3)="CCM",G314*O314*450,
IF(LEFT(C314,3)="SJC",G314*O314*HLOOKUP("PTAX",'Histórico'!$A$1:$EL$983,MATCH(B314,'Histórico'!A:A),FALSE)*450,
IF(LEFT(C314,3)="BGI",G314*O314*330,
IF(LEFT(C314,3)="OZ1",G314*O314*250,
IF(LEFT(C314,3)="CLP",G314*O314*25,
IF(LEFT(C314,3)="EUP", O314*10000*HLOOKUP("EUR/BRL",'Histórico'!$A$1:$EL$983,MATCH(B314,'Histórico'!A:A),FALSE),
IF(LEFT(C314,3)="JSE", G314*O314*0.4,
IF(LEFT(C314,3)="GBP", O314*10000*HLOOKUP("GBP/BRL",'Histórico'!$A$1:$FG$983,MATCH(B314,'Histórico'!A:A),FALSE),
IF(LEFT(C314,3)="JAP",O314*10000*HLOOKUP("PTAX",'Histórico'!$A$1:$FG$983,MATCH(B314,'Histórico'!A:A),FALSE),
IF(LEFT(C314,3)="CNH",O314*10000*HLOOKUP("PTAX",'Histórico'!$A$1:$FG$983,MATCH(B314,'Histórico'!A:A),FALSE),
IF(LEFT(C314,3)="AUS",O314*10000*HLOOKUP("PTAX",'Histórico'!$A$1:$FG$983,MATCH(B314,'Histórico'!A:A),FALSE),
IF(LEFT(C314,3)="CAN",O314*10000*HLOOKUP("PTAX",'Histórico'!$A$1:$FG$983,MATCH(B314,'Histórico'!A:A),FALSE),
IF(LEFT(C314,3)="GBR",O314*10000*HLOOKUP("GBP/BRL",'Histórico'!$A$1:$FG$983,MATCH(B314,'Histórico'!A:A),FALSE),
IF(LEFT(C314,3)="MEX",O314*10000*HLOOKUP("PTAX",'Histórico'!$A$1:$FG$983,MATCH(B314,'Histórico'!A:A),FALSE),
IF(LEFT(C314,3)="CHL",O314*10000*HLOOKUP("PTAX",'Histórico'!$A$1:$FG$983,MATCH(B314,'Histórico'!A:A),FALSE)
)))))))))))))))))))))))),""))</f>
        <v/>
      </c>
      <c r="O314" s="49" t="str">
        <f t="shared" si="2"/>
        <v/>
      </c>
      <c r="P314" s="49" t="str">
        <f t="shared" si="5"/>
        <v/>
      </c>
      <c r="Q314" s="51" t="str">
        <f>IF($C314&lt;&gt;"",SUMIFS($O$3:$O$401, $C$3:$C$401 ,$C314,$B$3:$B$401,"&lt;="&amp;Controle!$B$6),"")</f>
        <v/>
      </c>
      <c r="R314" s="51" t="str">
        <f>IF($D314&lt;&gt;"",SUMIFS($O$3:$O$401, $C$3:$C$401 ,$C314,$B$3:$B$401,"&lt;="&amp;Controle!$B$6,$F$3:$F$401,$F314),"")</f>
        <v/>
      </c>
      <c r="S314" s="51" t="str">
        <f>IF($D314&lt;&gt;"",SUMIFS($O$3:$O$401, $C$3:$C$401 ,$C314,$B$3:$B$401,"&lt;="&amp;'Controle D-1'!$B$6,$F$3:$F$401,$F314),"")</f>
        <v/>
      </c>
      <c r="T314" s="40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146"/>
      <c r="B315" s="149"/>
      <c r="C315" s="150"/>
      <c r="D315" s="150" t="str">
        <f>IF(ISTEXT(C315),VLOOKUP(C315,'Cadastro dos Ativos'!$A$2:$C$1000,3,0),"")</f>
        <v/>
      </c>
      <c r="E315" s="150"/>
      <c r="F315" s="150"/>
      <c r="G315" s="151"/>
      <c r="H315" s="101" t="str">
        <f>if($D315="Ações Americanas", HLOOKUP("PTAX",'Histórico'!$A$1:$EL$983,(MATCH(B315,'Histórico'!A:A))-1,""),
if($D315="Ações Europeias", HLOOKUP("EUR/BRL",'Histórico'!$A$1:$EL$983,(MATCH(B315,'Histórico'!A:A))-1,""),""))</f>
        <v/>
      </c>
      <c r="I315" s="150" t="str">
        <f t="array" ref="I315">IF(ISTEXT(C315),xlookup(C315,'Cadastro dos Ativos'!$A$2:$A$1000,'Cadastro dos Ativos'!$D$2:$D$1000),"")</f>
        <v/>
      </c>
      <c r="J315" s="150"/>
      <c r="K315" s="47" t="str">
        <f t="array" ref="K315">if(and(J315&lt;&gt;"",D315&lt;&gt;"Futuros"),
if(F315=Controle!$C$2, M315/xlookup(workday(B315,-1,Feriados!A:A),Controle!$B$10:$B$1000,Controle!$C$10:$C$1000),
if(F315=Controle!$F$2, M315/xlookup(workday(B315,-1,Feriados!A:A),Controle!$B$10:$B$1000,Controle!$F$10:$F$1000),
if(F315=Controle!$I$2, M315/xlookup(workday(B315,-1,Feriados!A:A),Controle!$B$10:$B$1000,Controle!$I$10:$I$1000),
if(F315=Controle!$L$2, M315/xlookup(workday(B315,-1,Feriados!A:A),Controle!$B$10:$B$1000,Controle!$L$10:$L$1000),
)))),
if(and(J315&lt;&gt;"",D315="Futuros"),
if(F315=Controle!$C$2, N315/xlookup(workday(B315,-1,Feriados!A:A),Controle!$B$10:$B$1000,Controle!$C$10:$C$1000),
if(F315=Controle!$F$2, N315/xlookup(workday(B315,-1,Feriados!A:A),Controle!$B$10:$B$1000,Controle!$F$10:$F$1000),
if(F315=Controle!$I$2, N315/xlookup(workday(B315,-1,Feriados!A:A),Controle!$B$10:$B$1000,Controle!$I$10:$I$1000),
if(F315=Controle!$L$2, N315/xlookup(workday(B315,-1,Feriados!A:A),Controle!$B$10:$B$1000,Controle!$L$10:$L$1000),
)))),""))</f>
        <v/>
      </c>
      <c r="L315" s="47" t="str">
        <f t="array" ref="L315">IF($J315&lt;&gt;"", IF($D315 = "Futuros" , $N315/xlookup(WORKDAY(B315,-1,Feriados!A:A),Controle!$B$10:$B$1000,Controle!$T$10:$T$1000) , $M315/xlookup(WORKDAY(B315,-1,Feriados!A:A),Controle!$B$10:$B$1000,Controle!$T$10:$T$1000)),"")</f>
        <v/>
      </c>
      <c r="M315" s="48" t="str">
        <f t="shared" si="4"/>
        <v/>
      </c>
      <c r="N315" s="48" t="str">
        <f>IFERROR(IF(D315="Futuros",
IF(LEFT(C315,3)="DI1",G315*O315,
IF(LEFT(C315,3)="ISP",G315*O315*HLOOKUP("PTAX",'Histórico'!$A$1:$EL$983,MATCH(B315,'Histórico'!A:A),FALSE)*50,
IF(LEFT(C315,3)="WDO",10*G315*O315*HLOOKUP("PTAX",'Histórico'!$A$1:$EL$983,MATCH(B315,'Histórico'!A:A),FALSE),
IF(LEFT(C315,3)="DOL",50*G315*O315,
IF(LEFT(C315,3)="EUR",G315*O315*50,
IF(LEFT(C315,3)="WEU",G315*O315*10,
IF(LEFT(C315,3)="IND",G315*O315,
IF(LEFT(C315,3)="WIN",G315*O315*0.2,
IF(LEFT(C315,3)="T10",G315*O315*1000*HLOOKUP("PTAX",'Histórico'!$A$1:$EL$983,MATCH(B315,'Histórico'!A:A),FALSE),
IF(LEFT(C315,3)="CCM",G315*O315*450,
IF(LEFT(C315,3)="SJC",G315*O315*HLOOKUP("PTAX",'Histórico'!$A$1:$EL$983,MATCH(B315,'Histórico'!A:A),FALSE)*450,
IF(LEFT(C315,3)="BGI",G315*O315*330,
IF(LEFT(C315,3)="OZ1",G315*O315*250,
IF(LEFT(C315,3)="CLP",G315*O315*25,
IF(LEFT(C315,3)="EUP", O315*10000*HLOOKUP("EUR/BRL",'Histórico'!$A$1:$EL$983,MATCH(B315,'Histórico'!A:A),FALSE),
IF(LEFT(C315,3)="JSE", G315*O315*0.4,
IF(LEFT(C315,3)="GBP", O315*10000*HLOOKUP("GBP/BRL",'Histórico'!$A$1:$FG$983,MATCH(B315,'Histórico'!A:A),FALSE),
IF(LEFT(C315,3)="JAP",O315*10000*HLOOKUP("PTAX",'Histórico'!$A$1:$FG$983,MATCH(B315,'Histórico'!A:A),FALSE),
IF(LEFT(C315,3)="CNH",O315*10000*HLOOKUP("PTAX",'Histórico'!$A$1:$FG$983,MATCH(B315,'Histórico'!A:A),FALSE),
IF(LEFT(C315,3)="AUS",O315*10000*HLOOKUP("PTAX",'Histórico'!$A$1:$FG$983,MATCH(B315,'Histórico'!A:A),FALSE),
IF(LEFT(C315,3)="CAN",O315*10000*HLOOKUP("PTAX",'Histórico'!$A$1:$FG$983,MATCH(B315,'Histórico'!A:A),FALSE),
IF(LEFT(C315,3)="GBR",O315*10000*HLOOKUP("GBP/BRL",'Histórico'!$A$1:$FG$983,MATCH(B315,'Histórico'!A:A),FALSE),
IF(LEFT(C315,3)="MEX",O315*10000*HLOOKUP("PTAX",'Histórico'!$A$1:$FG$983,MATCH(B315,'Histórico'!A:A),FALSE),
IF(LEFT(C315,3)="CHL",O315*10000*HLOOKUP("PTAX",'Histórico'!$A$1:$FG$983,MATCH(B315,'Histórico'!A:A),FALSE)
)))))))))))))))))))))))),""))</f>
        <v/>
      </c>
      <c r="O315" s="49" t="str">
        <f t="shared" si="2"/>
        <v/>
      </c>
      <c r="P315" s="49" t="str">
        <f t="shared" si="5"/>
        <v/>
      </c>
      <c r="Q315" s="51" t="str">
        <f>IF($C315&lt;&gt;"",SUMIFS($O$3:$O$401, $C$3:$C$401 ,$C315,$B$3:$B$401,"&lt;="&amp;Controle!$B$6),"")</f>
        <v/>
      </c>
      <c r="R315" s="51" t="str">
        <f>IF($D315&lt;&gt;"",SUMIFS($O$3:$O$401, $C$3:$C$401 ,$C315,$B$3:$B$401,"&lt;="&amp;Controle!$B$6,$F$3:$F$401,$F315),"")</f>
        <v/>
      </c>
      <c r="S315" s="51" t="str">
        <f>IF($D315&lt;&gt;"",SUMIFS($O$3:$O$401, $C$3:$C$401 ,$C315,$B$3:$B$401,"&lt;="&amp;'Controle D-1'!$B$6,$F$3:$F$401,$F315),"")</f>
        <v/>
      </c>
      <c r="T315" s="40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146"/>
      <c r="B316" s="149"/>
      <c r="C316" s="150"/>
      <c r="D316" s="150" t="str">
        <f>IF(ISTEXT(C316),VLOOKUP(C316,'Cadastro dos Ativos'!$A$2:$C$1000,3,0),"")</f>
        <v/>
      </c>
      <c r="E316" s="150"/>
      <c r="F316" s="150"/>
      <c r="G316" s="151"/>
      <c r="H316" s="46" t="str">
        <f>if($D316="Ações Americanas", HLOOKUP("PTAX",'Histórico'!$A$1:$EL$983,(MATCH(B316,'Histórico'!A:A))-1,""),
if($D316="Ações Europeias", HLOOKUP("EUR/BRL",'Histórico'!$A$1:$EL$983,(MATCH(B316,'Histórico'!A:A))-1,""),""))</f>
        <v/>
      </c>
      <c r="I316" s="150" t="str">
        <f t="array" ref="I316">IF(ISTEXT(C316),xlookup(C316,'Cadastro dos Ativos'!$A$2:$A$1000,'Cadastro dos Ativos'!$D$2:$D$1000),"")</f>
        <v/>
      </c>
      <c r="J316" s="150"/>
      <c r="K316" s="47" t="str">
        <f t="array" ref="K316">if(and(J316&lt;&gt;"",D316&lt;&gt;"Futuros"),
if(F316=Controle!$C$2, M316/xlookup(workday(B316,-1,Feriados!A:A),Controle!$B$10:$B$1000,Controle!$C$10:$C$1000),
if(F316=Controle!$F$2, M316/xlookup(workday(B316,-1,Feriados!A:A),Controle!$B$10:$B$1000,Controle!$F$10:$F$1000),
if(F316=Controle!$I$2, M316/xlookup(workday(B316,-1,Feriados!A:A),Controle!$B$10:$B$1000,Controle!$I$10:$I$1000),
if(F316=Controle!$L$2, M316/xlookup(workday(B316,-1,Feriados!A:A),Controle!$B$10:$B$1000,Controle!$L$10:$L$1000),
)))),
if(and(J316&lt;&gt;"",D316="Futuros"),
if(F316=Controle!$C$2, N316/xlookup(workday(B316,-1,Feriados!A:A),Controle!$B$10:$B$1000,Controle!$C$10:$C$1000),
if(F316=Controle!$F$2, N316/xlookup(workday(B316,-1,Feriados!A:A),Controle!$B$10:$B$1000,Controle!$F$10:$F$1000),
if(F316=Controle!$I$2, N316/xlookup(workday(B316,-1,Feriados!A:A),Controle!$B$10:$B$1000,Controle!$I$10:$I$1000),
if(F316=Controle!$L$2, N316/xlookup(workday(B316,-1,Feriados!A:A),Controle!$B$10:$B$1000,Controle!$L$10:$L$1000),
)))),""))</f>
        <v/>
      </c>
      <c r="L316" s="47" t="str">
        <f t="array" ref="L316">IF($J316&lt;&gt;"", IF($D316 = "Futuros" , $N316/xlookup(WORKDAY(B316,-1,Feriados!A:A),Controle!$B$10:$B$1000,Controle!$T$10:$T$1000) , $M316/xlookup(WORKDAY(B316,-1,Feriados!A:A),Controle!$B$10:$B$1000,Controle!$T$10:$T$1000)),"")</f>
        <v/>
      </c>
      <c r="M316" s="48" t="str">
        <f t="shared" si="4"/>
        <v/>
      </c>
      <c r="N316" s="48" t="str">
        <f>IFERROR(IF(D316="Futuros",
IF(LEFT(C316,3)="DI1",G316*O316,
IF(LEFT(C316,3)="ISP",G316*O316*HLOOKUP("PTAX",'Histórico'!$A$1:$EL$983,MATCH(B316,'Histórico'!A:A),FALSE)*50,
IF(LEFT(C316,3)="WDO",10*G316*O316*HLOOKUP("PTAX",'Histórico'!$A$1:$EL$983,MATCH(B316,'Histórico'!A:A),FALSE),
IF(LEFT(C316,3)="DOL",50*G316*O316,
IF(LEFT(C316,3)="EUR",G316*O316*50,
IF(LEFT(C316,3)="WEU",G316*O316*10,
IF(LEFT(C316,3)="IND",G316*O316,
IF(LEFT(C316,3)="WIN",G316*O316*0.2,
IF(LEFT(C316,3)="T10",G316*O316*1000*HLOOKUP("PTAX",'Histórico'!$A$1:$EL$983,MATCH(B316,'Histórico'!A:A),FALSE),
IF(LEFT(C316,3)="CCM",G316*O316*450,
IF(LEFT(C316,3)="SJC",G316*O316*HLOOKUP("PTAX",'Histórico'!$A$1:$EL$983,MATCH(B316,'Histórico'!A:A),FALSE)*450,
IF(LEFT(C316,3)="BGI",G316*O316*330,
IF(LEFT(C316,3)="OZ1",G316*O316*250,
IF(LEFT(C316,3)="CLP",G316*O316*25,
IF(LEFT(C316,3)="EUP", O316*10000*HLOOKUP("EUR/BRL",'Histórico'!$A$1:$EL$983,MATCH(B316,'Histórico'!A:A),FALSE),
IF(LEFT(C316,3)="JSE", G316*O316*0.4,
IF(LEFT(C316,3)="GBP", O316*10000*HLOOKUP("GBP/BRL",'Histórico'!$A$1:$FG$983,MATCH(B316,'Histórico'!A:A),FALSE),
IF(LEFT(C316,3)="JAP",O316*10000*HLOOKUP("PTAX",'Histórico'!$A$1:$FG$983,MATCH(B316,'Histórico'!A:A),FALSE),
IF(LEFT(C316,3)="CNH",O316*10000*HLOOKUP("PTAX",'Histórico'!$A$1:$FG$983,MATCH(B316,'Histórico'!A:A),FALSE),
IF(LEFT(C316,3)="AUS",O316*10000*HLOOKUP("PTAX",'Histórico'!$A$1:$FG$983,MATCH(B316,'Histórico'!A:A),FALSE),
IF(LEFT(C316,3)="CAN",O316*10000*HLOOKUP("PTAX",'Histórico'!$A$1:$FG$983,MATCH(B316,'Histórico'!A:A),FALSE),
IF(LEFT(C316,3)="GBR",O316*10000*HLOOKUP("GBP/BRL",'Histórico'!$A$1:$FG$983,MATCH(B316,'Histórico'!A:A),FALSE),
IF(LEFT(C316,3)="MEX",O316*10000*HLOOKUP("PTAX",'Histórico'!$A$1:$FG$983,MATCH(B316,'Histórico'!A:A),FALSE),
IF(LEFT(C316,3)="CHL",O316*10000*HLOOKUP("PTAX",'Histórico'!$A$1:$FG$983,MATCH(B316,'Histórico'!A:A),FALSE)
)))))))))))))))))))))))),""))</f>
        <v/>
      </c>
      <c r="O316" s="49" t="str">
        <f t="shared" si="2"/>
        <v/>
      </c>
      <c r="P316" s="49" t="str">
        <f t="shared" si="5"/>
        <v/>
      </c>
      <c r="Q316" s="51" t="str">
        <f>IF($C316&lt;&gt;"",SUMIFS($O$3:$O$401, $C$3:$C$401 ,$C316,$B$3:$B$401,"&lt;="&amp;Controle!$B$6),"")</f>
        <v/>
      </c>
      <c r="R316" s="51" t="str">
        <f>IF($D316&lt;&gt;"",SUMIFS($O$3:$O$401, $C$3:$C$401 ,$C316,$B$3:$B$401,"&lt;="&amp;Controle!$B$6,$F$3:$F$401,$F316),"")</f>
        <v/>
      </c>
      <c r="S316" s="51" t="str">
        <f>IF($D316&lt;&gt;"",SUMIFS($O$3:$O$401, $C$3:$C$401 ,$C316,$B$3:$B$401,"&lt;="&amp;'Controle D-1'!$B$6,$F$3:$F$401,$F316),"")</f>
        <v/>
      </c>
      <c r="T316" s="40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146"/>
      <c r="B317" s="149"/>
      <c r="C317" s="150"/>
      <c r="D317" s="150" t="str">
        <f>IF(ISTEXT(C317),VLOOKUP(C317,'Cadastro dos Ativos'!$A$2:$C$1000,3,0),"")</f>
        <v/>
      </c>
      <c r="E317" s="150"/>
      <c r="F317" s="150"/>
      <c r="G317" s="151"/>
      <c r="H317" s="101" t="str">
        <f>if($D317="Ações Americanas", HLOOKUP("PTAX",'Histórico'!$A$1:$EL$983,(MATCH(B317,'Histórico'!A:A))-1,""),
if($D317="Ações Europeias", HLOOKUP("EUR/BRL",'Histórico'!$A$1:$EL$983,(MATCH(B317,'Histórico'!A:A))-1,""),""))</f>
        <v/>
      </c>
      <c r="I317" s="150" t="str">
        <f t="array" ref="I317">IF(ISTEXT(C317),xlookup(C317,'Cadastro dos Ativos'!$A$2:$A$1000,'Cadastro dos Ativos'!$D$2:$D$1000),"")</f>
        <v/>
      </c>
      <c r="J317" s="150"/>
      <c r="K317" s="47" t="str">
        <f t="array" ref="K317">if(and(J317&lt;&gt;"",D317&lt;&gt;"Futuros"),
if(F317=Controle!$C$2, M317/xlookup(workday(B317,-1,Feriados!A:A),Controle!$B$10:$B$1000,Controle!$C$10:$C$1000),
if(F317=Controle!$F$2, M317/xlookup(workday(B317,-1,Feriados!A:A),Controle!$B$10:$B$1000,Controle!$F$10:$F$1000),
if(F317=Controle!$I$2, M317/xlookup(workday(B317,-1,Feriados!A:A),Controle!$B$10:$B$1000,Controle!$I$10:$I$1000),
if(F317=Controle!$L$2, M317/xlookup(workday(B317,-1,Feriados!A:A),Controle!$B$10:$B$1000,Controle!$L$10:$L$1000),
)))),
if(and(J317&lt;&gt;"",D317="Futuros"),
if(F317=Controle!$C$2, N317/xlookup(workday(B317,-1,Feriados!A:A),Controle!$B$10:$B$1000,Controle!$C$10:$C$1000),
if(F317=Controle!$F$2, N317/xlookup(workday(B317,-1,Feriados!A:A),Controle!$B$10:$B$1000,Controle!$F$10:$F$1000),
if(F317=Controle!$I$2, N317/xlookup(workday(B317,-1,Feriados!A:A),Controle!$B$10:$B$1000,Controle!$I$10:$I$1000),
if(F317=Controle!$L$2, N317/xlookup(workday(B317,-1,Feriados!A:A),Controle!$B$10:$B$1000,Controle!$L$10:$L$1000),
)))),""))</f>
        <v/>
      </c>
      <c r="L317" s="47" t="str">
        <f t="array" ref="L317">IF($J317&lt;&gt;"", IF($D317 = "Futuros" , $N317/xlookup(WORKDAY(B317,-1,Feriados!A:A),Controle!$B$10:$B$1000,Controle!$T$10:$T$1000) , $M317/xlookup(WORKDAY(B317,-1,Feriados!A:A),Controle!$B$10:$B$1000,Controle!$T$10:$T$1000)),"")</f>
        <v/>
      </c>
      <c r="M317" s="48" t="str">
        <f t="shared" si="4"/>
        <v/>
      </c>
      <c r="N317" s="48" t="str">
        <f>IFERROR(IF(D317="Futuros",
IF(LEFT(C317,3)="DI1",G317*O317,
IF(LEFT(C317,3)="ISP",G317*O317*HLOOKUP("PTAX",'Histórico'!$A$1:$EL$983,MATCH(B317,'Histórico'!A:A),FALSE)*50,
IF(LEFT(C317,3)="WDO",10*G317*O317*HLOOKUP("PTAX",'Histórico'!$A$1:$EL$983,MATCH(B317,'Histórico'!A:A),FALSE),
IF(LEFT(C317,3)="DOL",50*G317*O317,
IF(LEFT(C317,3)="EUR",G317*O317*50,
IF(LEFT(C317,3)="WEU",G317*O317*10,
IF(LEFT(C317,3)="IND",G317*O317,
IF(LEFT(C317,3)="WIN",G317*O317*0.2,
IF(LEFT(C317,3)="T10",G317*O317*1000*HLOOKUP("PTAX",'Histórico'!$A$1:$EL$983,MATCH(B317,'Histórico'!A:A),FALSE),
IF(LEFT(C317,3)="CCM",G317*O317*450,
IF(LEFT(C317,3)="SJC",G317*O317*HLOOKUP("PTAX",'Histórico'!$A$1:$EL$983,MATCH(B317,'Histórico'!A:A),FALSE)*450,
IF(LEFT(C317,3)="BGI",G317*O317*330,
IF(LEFT(C317,3)="OZ1",G317*O317*250,
IF(LEFT(C317,3)="CLP",G317*O317*25,
IF(LEFT(C317,3)="EUP", O317*10000*HLOOKUP("EUR/BRL",'Histórico'!$A$1:$EL$983,MATCH(B317,'Histórico'!A:A),FALSE),
IF(LEFT(C317,3)="JSE", G317*O317*0.4,
IF(LEFT(C317,3)="GBP", O317*10000*HLOOKUP("GBP/BRL",'Histórico'!$A$1:$FG$983,MATCH(B317,'Histórico'!A:A),FALSE),
IF(LEFT(C317,3)="JAP",O317*10000*HLOOKUP("PTAX",'Histórico'!$A$1:$FG$983,MATCH(B317,'Histórico'!A:A),FALSE),
IF(LEFT(C317,3)="CNH",O317*10000*HLOOKUP("PTAX",'Histórico'!$A$1:$FG$983,MATCH(B317,'Histórico'!A:A),FALSE),
IF(LEFT(C317,3)="AUS",O317*10000*HLOOKUP("PTAX",'Histórico'!$A$1:$FG$983,MATCH(B317,'Histórico'!A:A),FALSE),
IF(LEFT(C317,3)="CAN",O317*10000*HLOOKUP("PTAX",'Histórico'!$A$1:$FG$983,MATCH(B317,'Histórico'!A:A),FALSE),
IF(LEFT(C317,3)="GBR",O317*10000*HLOOKUP("GBP/BRL",'Histórico'!$A$1:$FG$983,MATCH(B317,'Histórico'!A:A),FALSE),
IF(LEFT(C317,3)="MEX",O317*10000*HLOOKUP("PTAX",'Histórico'!$A$1:$FG$983,MATCH(B317,'Histórico'!A:A),FALSE),
IF(LEFT(C317,3)="CHL",O317*10000*HLOOKUP("PTAX",'Histórico'!$A$1:$FG$983,MATCH(B317,'Histórico'!A:A),FALSE)
)))))))))))))))))))))))),""))</f>
        <v/>
      </c>
      <c r="O317" s="49" t="str">
        <f t="shared" si="2"/>
        <v/>
      </c>
      <c r="P317" s="49" t="str">
        <f t="shared" si="5"/>
        <v/>
      </c>
      <c r="Q317" s="51" t="str">
        <f>IF($C317&lt;&gt;"",SUMIFS($O$3:$O$401, $C$3:$C$401 ,$C317,$B$3:$B$401,"&lt;="&amp;Controle!$B$6),"")</f>
        <v/>
      </c>
      <c r="R317" s="51" t="str">
        <f>IF($D317&lt;&gt;"",SUMIFS($O$3:$O$401, $C$3:$C$401 ,$C317,$B$3:$B$401,"&lt;="&amp;Controle!$B$6,$F$3:$F$401,$F317),"")</f>
        <v/>
      </c>
      <c r="S317" s="51" t="str">
        <f>IF($D317&lt;&gt;"",SUMIFS($O$3:$O$401, $C$3:$C$401 ,$C317,$B$3:$B$401,"&lt;="&amp;'Controle D-1'!$B$6,$F$3:$F$401,$F317),"")</f>
        <v/>
      </c>
      <c r="T317" s="40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146"/>
      <c r="B318" s="149"/>
      <c r="C318" s="150"/>
      <c r="D318" s="150" t="str">
        <f>IF(ISTEXT(C318),VLOOKUP(C318,'Cadastro dos Ativos'!$A$2:$C$1000,3,0),"")</f>
        <v/>
      </c>
      <c r="E318" s="150"/>
      <c r="F318" s="150"/>
      <c r="G318" s="151"/>
      <c r="H318" s="46" t="str">
        <f>if($D318="Ações Americanas", HLOOKUP("PTAX",'Histórico'!$A$1:$EL$983,(MATCH(B318,'Histórico'!A:A))-1,""),
if($D318="Ações Europeias", HLOOKUP("EUR/BRL",'Histórico'!$A$1:$EL$983,(MATCH(B318,'Histórico'!A:A))-1,""),""))</f>
        <v/>
      </c>
      <c r="I318" s="150" t="str">
        <f t="array" ref="I318">IF(ISTEXT(C318),xlookup(C318,'Cadastro dos Ativos'!$A$2:$A$1000,'Cadastro dos Ativos'!$D$2:$D$1000),"")</f>
        <v/>
      </c>
      <c r="J318" s="150"/>
      <c r="K318" s="47" t="str">
        <f t="array" ref="K318">if(and(J318&lt;&gt;"",D318&lt;&gt;"Futuros"),
if(F318=Controle!$C$2, M318/xlookup(workday(B318,-1,Feriados!A:A),Controle!$B$10:$B$1000,Controle!$C$10:$C$1000),
if(F318=Controle!$F$2, M318/xlookup(workday(B318,-1,Feriados!A:A),Controle!$B$10:$B$1000,Controle!$F$10:$F$1000),
if(F318=Controle!$I$2, M318/xlookup(workday(B318,-1,Feriados!A:A),Controle!$B$10:$B$1000,Controle!$I$10:$I$1000),
if(F318=Controle!$L$2, M318/xlookup(workday(B318,-1,Feriados!A:A),Controle!$B$10:$B$1000,Controle!$L$10:$L$1000),
)))),
if(and(J318&lt;&gt;"",D318="Futuros"),
if(F318=Controle!$C$2, N318/xlookup(workday(B318,-1,Feriados!A:A),Controle!$B$10:$B$1000,Controle!$C$10:$C$1000),
if(F318=Controle!$F$2, N318/xlookup(workday(B318,-1,Feriados!A:A),Controle!$B$10:$B$1000,Controle!$F$10:$F$1000),
if(F318=Controle!$I$2, N318/xlookup(workday(B318,-1,Feriados!A:A),Controle!$B$10:$B$1000,Controle!$I$10:$I$1000),
if(F318=Controle!$L$2, N318/xlookup(workday(B318,-1,Feriados!A:A),Controle!$B$10:$B$1000,Controle!$L$10:$L$1000),
)))),""))</f>
        <v/>
      </c>
      <c r="L318" s="47" t="str">
        <f t="array" ref="L318">IF($J318&lt;&gt;"", IF($D318 = "Futuros" , $N318/xlookup(WORKDAY(B318,-1,Feriados!A:A),Controle!$B$10:$B$1000,Controle!$T$10:$T$1000) , $M318/xlookup(WORKDAY(B318,-1,Feriados!A:A),Controle!$B$10:$B$1000,Controle!$T$10:$T$1000)),"")</f>
        <v/>
      </c>
      <c r="M318" s="48" t="str">
        <f t="shared" si="4"/>
        <v/>
      </c>
      <c r="N318" s="48" t="str">
        <f>IFERROR(IF(D318="Futuros",
IF(LEFT(C318,3)="DI1",G318*O318,
IF(LEFT(C318,3)="ISP",G318*O318*HLOOKUP("PTAX",'Histórico'!$A$1:$EL$983,MATCH(B318,'Histórico'!A:A),FALSE)*50,
IF(LEFT(C318,3)="WDO",10*G318*O318*HLOOKUP("PTAX",'Histórico'!$A$1:$EL$983,MATCH(B318,'Histórico'!A:A),FALSE),
IF(LEFT(C318,3)="DOL",50*G318*O318,
IF(LEFT(C318,3)="EUR",G318*O318*50,
IF(LEFT(C318,3)="WEU",G318*O318*10,
IF(LEFT(C318,3)="IND",G318*O318,
IF(LEFT(C318,3)="WIN",G318*O318*0.2,
IF(LEFT(C318,3)="T10",G318*O318*1000*HLOOKUP("PTAX",'Histórico'!$A$1:$EL$983,MATCH(B318,'Histórico'!A:A),FALSE),
IF(LEFT(C318,3)="CCM",G318*O318*450,
IF(LEFT(C318,3)="SJC",G318*O318*HLOOKUP("PTAX",'Histórico'!$A$1:$EL$983,MATCH(B318,'Histórico'!A:A),FALSE)*450,
IF(LEFT(C318,3)="BGI",G318*O318*330,
IF(LEFT(C318,3)="OZ1",G318*O318*250,
IF(LEFT(C318,3)="CLP",G318*O318*25,
IF(LEFT(C318,3)="EUP", O318*10000*HLOOKUP("EUR/BRL",'Histórico'!$A$1:$EL$983,MATCH(B318,'Histórico'!A:A),FALSE),
IF(LEFT(C318,3)="JSE", G318*O318*0.4,
IF(LEFT(C318,3)="GBP", O318*10000*HLOOKUP("GBP/BRL",'Histórico'!$A$1:$FG$983,MATCH(B318,'Histórico'!A:A),FALSE),
IF(LEFT(C318,3)="JAP",O318*10000*HLOOKUP("PTAX",'Histórico'!$A$1:$FG$983,MATCH(B318,'Histórico'!A:A),FALSE),
IF(LEFT(C318,3)="CNH",O318*10000*HLOOKUP("PTAX",'Histórico'!$A$1:$FG$983,MATCH(B318,'Histórico'!A:A),FALSE),
IF(LEFT(C318,3)="AUS",O318*10000*HLOOKUP("PTAX",'Histórico'!$A$1:$FG$983,MATCH(B318,'Histórico'!A:A),FALSE),
IF(LEFT(C318,3)="CAN",O318*10000*HLOOKUP("PTAX",'Histórico'!$A$1:$FG$983,MATCH(B318,'Histórico'!A:A),FALSE),
IF(LEFT(C318,3)="GBR",O318*10000*HLOOKUP("GBP/BRL",'Histórico'!$A$1:$FG$983,MATCH(B318,'Histórico'!A:A),FALSE),
IF(LEFT(C318,3)="MEX",O318*10000*HLOOKUP("PTAX",'Histórico'!$A$1:$FG$983,MATCH(B318,'Histórico'!A:A),FALSE),
IF(LEFT(C318,3)="CHL",O318*10000*HLOOKUP("PTAX",'Histórico'!$A$1:$FG$983,MATCH(B318,'Histórico'!A:A),FALSE)
)))))))))))))))))))))))),""))</f>
        <v/>
      </c>
      <c r="O318" s="49" t="str">
        <f t="shared" si="2"/>
        <v/>
      </c>
      <c r="P318" s="49" t="str">
        <f t="shared" si="5"/>
        <v/>
      </c>
      <c r="Q318" s="51" t="str">
        <f>IF($C318&lt;&gt;"",SUMIFS($O$3:$O$401, $C$3:$C$401 ,$C318,$B$3:$B$401,"&lt;="&amp;Controle!$B$6),"")</f>
        <v/>
      </c>
      <c r="R318" s="51" t="str">
        <f>IF($D318&lt;&gt;"",SUMIFS($O$3:$O$401, $C$3:$C$401 ,$C318,$B$3:$B$401,"&lt;="&amp;Controle!$B$6,$F$3:$F$401,$F318),"")</f>
        <v/>
      </c>
      <c r="S318" s="51" t="str">
        <f>IF($D318&lt;&gt;"",SUMIFS($O$3:$O$401, $C$3:$C$401 ,$C318,$B$3:$B$401,"&lt;="&amp;'Controle D-1'!$B$6,$F$3:$F$401,$F318),"")</f>
        <v/>
      </c>
      <c r="T318" s="40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146"/>
      <c r="B319" s="149"/>
      <c r="C319" s="150"/>
      <c r="D319" s="150" t="str">
        <f>IF(ISTEXT(C319),VLOOKUP(C319,'Cadastro dos Ativos'!$A$2:$C$1000,3,0),"")</f>
        <v/>
      </c>
      <c r="E319" s="150"/>
      <c r="F319" s="150"/>
      <c r="G319" s="151"/>
      <c r="H319" s="101" t="str">
        <f>if($D319="Ações Americanas", HLOOKUP("PTAX",'Histórico'!$A$1:$EL$983,(MATCH(B319,'Histórico'!A:A))-1,""),
if($D319="Ações Europeias", HLOOKUP("EUR/BRL",'Histórico'!$A$1:$EL$983,(MATCH(B319,'Histórico'!A:A))-1,""),""))</f>
        <v/>
      </c>
      <c r="I319" s="150" t="str">
        <f t="array" ref="I319">IF(ISTEXT(C319),xlookup(C319,'Cadastro dos Ativos'!$A$2:$A$1000,'Cadastro dos Ativos'!$D$2:$D$1000),"")</f>
        <v/>
      </c>
      <c r="J319" s="150"/>
      <c r="K319" s="47" t="str">
        <f t="array" ref="K319">if(and(J319&lt;&gt;"",D319&lt;&gt;"Futuros"),
if(F319=Controle!$C$2, M319/xlookup(workday(B319,-1,Feriados!A:A),Controle!$B$10:$B$1000,Controle!$C$10:$C$1000),
if(F319=Controle!$F$2, M319/xlookup(workday(B319,-1,Feriados!A:A),Controle!$B$10:$B$1000,Controle!$F$10:$F$1000),
if(F319=Controle!$I$2, M319/xlookup(workday(B319,-1,Feriados!A:A),Controle!$B$10:$B$1000,Controle!$I$10:$I$1000),
if(F319=Controle!$L$2, M319/xlookup(workday(B319,-1,Feriados!A:A),Controle!$B$10:$B$1000,Controle!$L$10:$L$1000),
)))),
if(and(J319&lt;&gt;"",D319="Futuros"),
if(F319=Controle!$C$2, N319/xlookup(workday(B319,-1,Feriados!A:A),Controle!$B$10:$B$1000,Controle!$C$10:$C$1000),
if(F319=Controle!$F$2, N319/xlookup(workday(B319,-1,Feriados!A:A),Controle!$B$10:$B$1000,Controle!$F$10:$F$1000),
if(F319=Controle!$I$2, N319/xlookup(workday(B319,-1,Feriados!A:A),Controle!$B$10:$B$1000,Controle!$I$10:$I$1000),
if(F319=Controle!$L$2, N319/xlookup(workday(B319,-1,Feriados!A:A),Controle!$B$10:$B$1000,Controle!$L$10:$L$1000),
)))),""))</f>
        <v/>
      </c>
      <c r="L319" s="47" t="str">
        <f t="array" ref="L319">IF($J319&lt;&gt;"", IF($D319 = "Futuros" , $N319/xlookup(WORKDAY(B319,-1,Feriados!A:A),Controle!$B$10:$B$1000,Controle!$T$10:$T$1000) , $M319/xlookup(WORKDAY(B319,-1,Feriados!A:A),Controle!$B$10:$B$1000,Controle!$T$10:$T$1000)),"")</f>
        <v/>
      </c>
      <c r="M319" s="48" t="str">
        <f t="shared" si="4"/>
        <v/>
      </c>
      <c r="N319" s="48" t="str">
        <f>IFERROR(IF(D319="Futuros",
IF(LEFT(C319,3)="DI1",G319*O319,
IF(LEFT(C319,3)="ISP",G319*O319*HLOOKUP("PTAX",'Histórico'!$A$1:$EL$983,MATCH(B319,'Histórico'!A:A),FALSE)*50,
IF(LEFT(C319,3)="WDO",10*G319*O319*HLOOKUP("PTAX",'Histórico'!$A$1:$EL$983,MATCH(B319,'Histórico'!A:A),FALSE),
IF(LEFT(C319,3)="DOL",50*G319*O319,
IF(LEFT(C319,3)="EUR",G319*O319*50,
IF(LEFT(C319,3)="WEU",G319*O319*10,
IF(LEFT(C319,3)="IND",G319*O319,
IF(LEFT(C319,3)="WIN",G319*O319*0.2,
IF(LEFT(C319,3)="T10",G319*O319*1000*HLOOKUP("PTAX",'Histórico'!$A$1:$EL$983,MATCH(B319,'Histórico'!A:A),FALSE),
IF(LEFT(C319,3)="CCM",G319*O319*450,
IF(LEFT(C319,3)="SJC",G319*O319*HLOOKUP("PTAX",'Histórico'!$A$1:$EL$983,MATCH(B319,'Histórico'!A:A),FALSE)*450,
IF(LEFT(C319,3)="BGI",G319*O319*330,
IF(LEFT(C319,3)="OZ1",G319*O319*250,
IF(LEFT(C319,3)="CLP",G319*O319*25,
IF(LEFT(C319,3)="EUP", O319*10000*HLOOKUP("EUR/BRL",'Histórico'!$A$1:$EL$983,MATCH(B319,'Histórico'!A:A),FALSE),
IF(LEFT(C319,3)="JSE", G319*O319*0.4,
IF(LEFT(C319,3)="GBP", O319*10000*HLOOKUP("GBP/BRL",'Histórico'!$A$1:$FG$983,MATCH(B319,'Histórico'!A:A),FALSE),
IF(LEFT(C319,3)="JAP",O319*10000*HLOOKUP("PTAX",'Histórico'!$A$1:$FG$983,MATCH(B319,'Histórico'!A:A),FALSE),
IF(LEFT(C319,3)="CNH",O319*10000*HLOOKUP("PTAX",'Histórico'!$A$1:$FG$983,MATCH(B319,'Histórico'!A:A),FALSE),
IF(LEFT(C319,3)="AUS",O319*10000*HLOOKUP("PTAX",'Histórico'!$A$1:$FG$983,MATCH(B319,'Histórico'!A:A),FALSE),
IF(LEFT(C319,3)="CAN",O319*10000*HLOOKUP("PTAX",'Histórico'!$A$1:$FG$983,MATCH(B319,'Histórico'!A:A),FALSE),
IF(LEFT(C319,3)="GBR",O319*10000*HLOOKUP("GBP/BRL",'Histórico'!$A$1:$FG$983,MATCH(B319,'Histórico'!A:A),FALSE),
IF(LEFT(C319,3)="MEX",O319*10000*HLOOKUP("PTAX",'Histórico'!$A$1:$FG$983,MATCH(B319,'Histórico'!A:A),FALSE),
IF(LEFT(C319,3)="CHL",O319*10000*HLOOKUP("PTAX",'Histórico'!$A$1:$FG$983,MATCH(B319,'Histórico'!A:A),FALSE)
)))))))))))))))))))))))),""))</f>
        <v/>
      </c>
      <c r="O319" s="49" t="str">
        <f t="shared" si="2"/>
        <v/>
      </c>
      <c r="P319" s="49" t="str">
        <f t="shared" si="5"/>
        <v/>
      </c>
      <c r="Q319" s="51" t="str">
        <f>IF($C319&lt;&gt;"",SUMIFS($O$3:$O$401, $C$3:$C$401 ,$C319,$B$3:$B$401,"&lt;="&amp;Controle!$B$6),"")</f>
        <v/>
      </c>
      <c r="R319" s="51" t="str">
        <f>IF($D319&lt;&gt;"",SUMIFS($O$3:$O$401, $C$3:$C$401 ,$C319,$B$3:$B$401,"&lt;="&amp;Controle!$B$6,$F$3:$F$401,$F319),"")</f>
        <v/>
      </c>
      <c r="S319" s="51" t="str">
        <f>IF($D319&lt;&gt;"",SUMIFS($O$3:$O$401, $C$3:$C$401 ,$C319,$B$3:$B$401,"&lt;="&amp;'Controle D-1'!$B$6,$F$3:$F$401,$F319),"")</f>
        <v/>
      </c>
      <c r="T319" s="40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146"/>
      <c r="B320" s="149"/>
      <c r="C320" s="150"/>
      <c r="D320" s="150" t="str">
        <f>IF(ISTEXT(C320),VLOOKUP(C320,'Cadastro dos Ativos'!$A$2:$C$1000,3,0),"")</f>
        <v/>
      </c>
      <c r="E320" s="150"/>
      <c r="F320" s="150"/>
      <c r="G320" s="151"/>
      <c r="H320" s="46" t="str">
        <f>if($D320="Ações Americanas", HLOOKUP("PTAX",'Histórico'!$A$1:$EL$983,(MATCH(B320,'Histórico'!A:A))-1,""),
if($D320="Ações Europeias", HLOOKUP("EUR/BRL",'Histórico'!$A$1:$EL$983,(MATCH(B320,'Histórico'!A:A))-1,""),""))</f>
        <v/>
      </c>
      <c r="I320" s="150" t="str">
        <f t="array" ref="I320">IF(ISTEXT(C320),xlookup(C320,'Cadastro dos Ativos'!$A$2:$A$1000,'Cadastro dos Ativos'!$D$2:$D$1000),"")</f>
        <v/>
      </c>
      <c r="J320" s="150"/>
      <c r="K320" s="47" t="str">
        <f t="array" ref="K320">if(and(J320&lt;&gt;"",D320&lt;&gt;"Futuros"),
if(F320=Controle!$C$2, M320/xlookup(workday(B320,-1,Feriados!A:A),Controle!$B$10:$B$1000,Controle!$C$10:$C$1000),
if(F320=Controle!$F$2, M320/xlookup(workday(B320,-1,Feriados!A:A),Controle!$B$10:$B$1000,Controle!$F$10:$F$1000),
if(F320=Controle!$I$2, M320/xlookup(workday(B320,-1,Feriados!A:A),Controle!$B$10:$B$1000,Controle!$I$10:$I$1000),
if(F320=Controle!$L$2, M320/xlookup(workday(B320,-1,Feriados!A:A),Controle!$B$10:$B$1000,Controle!$L$10:$L$1000),
)))),
if(and(J320&lt;&gt;"",D320="Futuros"),
if(F320=Controle!$C$2, N320/xlookup(workday(B320,-1,Feriados!A:A),Controle!$B$10:$B$1000,Controle!$C$10:$C$1000),
if(F320=Controle!$F$2, N320/xlookup(workday(B320,-1,Feriados!A:A),Controle!$B$10:$B$1000,Controle!$F$10:$F$1000),
if(F320=Controle!$I$2, N320/xlookup(workday(B320,-1,Feriados!A:A),Controle!$B$10:$B$1000,Controle!$I$10:$I$1000),
if(F320=Controle!$L$2, N320/xlookup(workday(B320,-1,Feriados!A:A),Controle!$B$10:$B$1000,Controle!$L$10:$L$1000),
)))),""))</f>
        <v/>
      </c>
      <c r="L320" s="47" t="str">
        <f t="array" ref="L320">IF($J320&lt;&gt;"", IF($D320 = "Futuros" , $N320/xlookup(WORKDAY(B320,-1,Feriados!A:A),Controle!$B$10:$B$1000,Controle!$T$10:$T$1000) , $M320/xlookup(WORKDAY(B320,-1,Feriados!A:A),Controle!$B$10:$B$1000,Controle!$T$10:$T$1000)),"")</f>
        <v/>
      </c>
      <c r="M320" s="48" t="str">
        <f t="shared" si="4"/>
        <v/>
      </c>
      <c r="N320" s="48" t="str">
        <f>IFERROR(IF(D320="Futuros",
IF(LEFT(C320,3)="DI1",G320*O320,
IF(LEFT(C320,3)="ISP",G320*O320*HLOOKUP("PTAX",'Histórico'!$A$1:$EL$983,MATCH(B320,'Histórico'!A:A),FALSE)*50,
IF(LEFT(C320,3)="WDO",10*G320*O320*HLOOKUP("PTAX",'Histórico'!$A$1:$EL$983,MATCH(B320,'Histórico'!A:A),FALSE),
IF(LEFT(C320,3)="DOL",50*G320*O320,
IF(LEFT(C320,3)="EUR",G320*O320*50,
IF(LEFT(C320,3)="WEU",G320*O320*10,
IF(LEFT(C320,3)="IND",G320*O320,
IF(LEFT(C320,3)="WIN",G320*O320*0.2,
IF(LEFT(C320,3)="T10",G320*O320*1000*HLOOKUP("PTAX",'Histórico'!$A$1:$EL$983,MATCH(B320,'Histórico'!A:A),FALSE),
IF(LEFT(C320,3)="CCM",G320*O320*450,
IF(LEFT(C320,3)="SJC",G320*O320*HLOOKUP("PTAX",'Histórico'!$A$1:$EL$983,MATCH(B320,'Histórico'!A:A),FALSE)*450,
IF(LEFT(C320,3)="BGI",G320*O320*330,
IF(LEFT(C320,3)="OZ1",G320*O320*250,
IF(LEFT(C320,3)="CLP",G320*O320*25,
IF(LEFT(C320,3)="EUP", O320*10000*HLOOKUP("EUR/BRL",'Histórico'!$A$1:$EL$983,MATCH(B320,'Histórico'!A:A),FALSE),
IF(LEFT(C320,3)="JSE", G320*O320*0.4,
IF(LEFT(C320,3)="GBP", O320*10000*HLOOKUP("GBP/BRL",'Histórico'!$A$1:$FG$983,MATCH(B320,'Histórico'!A:A),FALSE),
IF(LEFT(C320,3)="JAP",O320*10000*HLOOKUP("PTAX",'Histórico'!$A$1:$FG$983,MATCH(B320,'Histórico'!A:A),FALSE),
IF(LEFT(C320,3)="CNH",O320*10000*HLOOKUP("PTAX",'Histórico'!$A$1:$FG$983,MATCH(B320,'Histórico'!A:A),FALSE),
IF(LEFT(C320,3)="AUS",O320*10000*HLOOKUP("PTAX",'Histórico'!$A$1:$FG$983,MATCH(B320,'Histórico'!A:A),FALSE),
IF(LEFT(C320,3)="CAN",O320*10000*HLOOKUP("PTAX",'Histórico'!$A$1:$FG$983,MATCH(B320,'Histórico'!A:A),FALSE),
IF(LEFT(C320,3)="GBR",O320*10000*HLOOKUP("GBP/BRL",'Histórico'!$A$1:$FG$983,MATCH(B320,'Histórico'!A:A),FALSE),
IF(LEFT(C320,3)="MEX",O320*10000*HLOOKUP("PTAX",'Histórico'!$A$1:$FG$983,MATCH(B320,'Histórico'!A:A),FALSE),
IF(LEFT(C320,3)="CHL",O320*10000*HLOOKUP("PTAX",'Histórico'!$A$1:$FG$983,MATCH(B320,'Histórico'!A:A),FALSE)
)))))))))))))))))))))))),""))</f>
        <v/>
      </c>
      <c r="O320" s="49" t="str">
        <f t="shared" si="2"/>
        <v/>
      </c>
      <c r="P320" s="49" t="str">
        <f t="shared" si="5"/>
        <v/>
      </c>
      <c r="Q320" s="51" t="str">
        <f>IF($C320&lt;&gt;"",SUMIFS($O$3:$O$401, $C$3:$C$401 ,$C320,$B$3:$B$401,"&lt;="&amp;Controle!$B$6),"")</f>
        <v/>
      </c>
      <c r="R320" s="51" t="str">
        <f>IF($D320&lt;&gt;"",SUMIFS($O$3:$O$401, $C$3:$C$401 ,$C320,$B$3:$B$401,"&lt;="&amp;Controle!$B$6,$F$3:$F$401,$F320),"")</f>
        <v/>
      </c>
      <c r="S320" s="51" t="str">
        <f>IF($D320&lt;&gt;"",SUMIFS($O$3:$O$401, $C$3:$C$401 ,$C320,$B$3:$B$401,"&lt;="&amp;'Controle D-1'!$B$6,$F$3:$F$401,$F320),"")</f>
        <v/>
      </c>
      <c r="T320" s="40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146"/>
      <c r="B321" s="149"/>
      <c r="C321" s="150"/>
      <c r="D321" s="150" t="str">
        <f>IF(ISTEXT(C321),VLOOKUP(C321,'Cadastro dos Ativos'!$A$2:$C$1000,3,0),"")</f>
        <v/>
      </c>
      <c r="E321" s="150"/>
      <c r="F321" s="150"/>
      <c r="G321" s="151"/>
      <c r="H321" s="101" t="str">
        <f>if($D321="Ações Americanas", HLOOKUP("PTAX",'Histórico'!$A$1:$EL$983,(MATCH(B321,'Histórico'!A:A))-1,""),
if($D321="Ações Europeias", HLOOKUP("EUR/BRL",'Histórico'!$A$1:$EL$983,(MATCH(B321,'Histórico'!A:A))-1,""),""))</f>
        <v/>
      </c>
      <c r="I321" s="150" t="str">
        <f t="array" ref="I321">IF(ISTEXT(C321),xlookup(C321,'Cadastro dos Ativos'!$A$2:$A$1000,'Cadastro dos Ativos'!$D$2:$D$1000),"")</f>
        <v/>
      </c>
      <c r="J321" s="150"/>
      <c r="K321" s="47" t="str">
        <f t="array" ref="K321">if(and(J321&lt;&gt;"",D321&lt;&gt;"Futuros"),
if(F321=Controle!$C$2, M321/xlookup(workday(B321,-1,Feriados!A:A),Controle!$B$10:$B$1000,Controle!$C$10:$C$1000),
if(F321=Controle!$F$2, M321/xlookup(workday(B321,-1,Feriados!A:A),Controle!$B$10:$B$1000,Controle!$F$10:$F$1000),
if(F321=Controle!$I$2, M321/xlookup(workday(B321,-1,Feriados!A:A),Controle!$B$10:$B$1000,Controle!$I$10:$I$1000),
if(F321=Controle!$L$2, M321/xlookup(workday(B321,-1,Feriados!A:A),Controle!$B$10:$B$1000,Controle!$L$10:$L$1000),
)))),
if(and(J321&lt;&gt;"",D321="Futuros"),
if(F321=Controle!$C$2, N321/xlookup(workday(B321,-1,Feriados!A:A),Controle!$B$10:$B$1000,Controle!$C$10:$C$1000),
if(F321=Controle!$F$2, N321/xlookup(workday(B321,-1,Feriados!A:A),Controle!$B$10:$B$1000,Controle!$F$10:$F$1000),
if(F321=Controle!$I$2, N321/xlookup(workday(B321,-1,Feriados!A:A),Controle!$B$10:$B$1000,Controle!$I$10:$I$1000),
if(F321=Controle!$L$2, N321/xlookup(workday(B321,-1,Feriados!A:A),Controle!$B$10:$B$1000,Controle!$L$10:$L$1000),
)))),""))</f>
        <v/>
      </c>
      <c r="L321" s="47" t="str">
        <f t="array" ref="L321">IF($J321&lt;&gt;"", IF($D321 = "Futuros" , $N321/xlookup(WORKDAY(B321,-1,Feriados!A:A),Controle!$B$10:$B$1000,Controle!$T$10:$T$1000) , $M321/xlookup(WORKDAY(B321,-1,Feriados!A:A),Controle!$B$10:$B$1000,Controle!$T$10:$T$1000)),"")</f>
        <v/>
      </c>
      <c r="M321" s="48" t="str">
        <f t="shared" si="4"/>
        <v/>
      </c>
      <c r="N321" s="48" t="str">
        <f>IFERROR(IF(D321="Futuros",
IF(LEFT(C321,3)="DI1",G321*O321,
IF(LEFT(C321,3)="ISP",G321*O321*HLOOKUP("PTAX",'Histórico'!$A$1:$EL$983,MATCH(B321,'Histórico'!A:A),FALSE)*50,
IF(LEFT(C321,3)="WDO",10*G321*O321*HLOOKUP("PTAX",'Histórico'!$A$1:$EL$983,MATCH(B321,'Histórico'!A:A),FALSE),
IF(LEFT(C321,3)="DOL",50*G321*O321,
IF(LEFT(C321,3)="EUR",G321*O321*50,
IF(LEFT(C321,3)="WEU",G321*O321*10,
IF(LEFT(C321,3)="IND",G321*O321,
IF(LEFT(C321,3)="WIN",G321*O321*0.2,
IF(LEFT(C321,3)="T10",G321*O321*1000*HLOOKUP("PTAX",'Histórico'!$A$1:$EL$983,MATCH(B321,'Histórico'!A:A),FALSE),
IF(LEFT(C321,3)="CCM",G321*O321*450,
IF(LEFT(C321,3)="SJC",G321*O321*HLOOKUP("PTAX",'Histórico'!$A$1:$EL$983,MATCH(B321,'Histórico'!A:A),FALSE)*450,
IF(LEFT(C321,3)="BGI",G321*O321*330,
IF(LEFT(C321,3)="OZ1",G321*O321*250,
IF(LEFT(C321,3)="CLP",G321*O321*25,
IF(LEFT(C321,3)="EUP", O321*10000*HLOOKUP("EUR/BRL",'Histórico'!$A$1:$EL$983,MATCH(B321,'Histórico'!A:A),FALSE),
IF(LEFT(C321,3)="JSE", G321*O321*0.4,
IF(LEFT(C321,3)="GBP", O321*10000*HLOOKUP("GBP/BRL",'Histórico'!$A$1:$FG$983,MATCH(B321,'Histórico'!A:A),FALSE),
IF(LEFT(C321,3)="JAP",O321*10000*HLOOKUP("PTAX",'Histórico'!$A$1:$FG$983,MATCH(B321,'Histórico'!A:A),FALSE),
IF(LEFT(C321,3)="CNH",O321*10000*HLOOKUP("PTAX",'Histórico'!$A$1:$FG$983,MATCH(B321,'Histórico'!A:A),FALSE),
IF(LEFT(C321,3)="AUS",O321*10000*HLOOKUP("PTAX",'Histórico'!$A$1:$FG$983,MATCH(B321,'Histórico'!A:A),FALSE),
IF(LEFT(C321,3)="CAN",O321*10000*HLOOKUP("PTAX",'Histórico'!$A$1:$FG$983,MATCH(B321,'Histórico'!A:A),FALSE),
IF(LEFT(C321,3)="GBR",O321*10000*HLOOKUP("GBP/BRL",'Histórico'!$A$1:$FG$983,MATCH(B321,'Histórico'!A:A),FALSE),
IF(LEFT(C321,3)="MEX",O321*10000*HLOOKUP("PTAX",'Histórico'!$A$1:$FG$983,MATCH(B321,'Histórico'!A:A),FALSE),
IF(LEFT(C321,3)="CHL",O321*10000*HLOOKUP("PTAX",'Histórico'!$A$1:$FG$983,MATCH(B321,'Histórico'!A:A),FALSE)
)))))))))))))))))))))))),""))</f>
        <v/>
      </c>
      <c r="O321" s="49" t="str">
        <f t="shared" si="2"/>
        <v/>
      </c>
      <c r="P321" s="49" t="str">
        <f t="shared" si="5"/>
        <v/>
      </c>
      <c r="Q321" s="51" t="str">
        <f>IF($C321&lt;&gt;"",SUMIFS($O$3:$O$401, $C$3:$C$401 ,$C321,$B$3:$B$401,"&lt;="&amp;Controle!$B$6),"")</f>
        <v/>
      </c>
      <c r="R321" s="51" t="str">
        <f>IF($D321&lt;&gt;"",SUMIFS($O$3:$O$401, $C$3:$C$401 ,$C321,$B$3:$B$401,"&lt;="&amp;Controle!$B$6,$F$3:$F$401,$F321),"")</f>
        <v/>
      </c>
      <c r="S321" s="51" t="str">
        <f>IF($D321&lt;&gt;"",SUMIFS($O$3:$O$401, $C$3:$C$401 ,$C321,$B$3:$B$401,"&lt;="&amp;'Controle D-1'!$B$6,$F$3:$F$401,$F321),"")</f>
        <v/>
      </c>
      <c r="T321" s="40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146"/>
      <c r="B322" s="149"/>
      <c r="C322" s="150"/>
      <c r="D322" s="150" t="str">
        <f>IF(ISTEXT(C322),VLOOKUP(C322,'Cadastro dos Ativos'!$A$2:$C$1000,3,0),"")</f>
        <v/>
      </c>
      <c r="E322" s="150"/>
      <c r="F322" s="150"/>
      <c r="G322" s="151"/>
      <c r="H322" s="46" t="str">
        <f>if($D322="Ações Americanas", HLOOKUP("PTAX",'Histórico'!$A$1:$EL$983,(MATCH(B322,'Histórico'!A:A))-1,""),
if($D322="Ações Europeias", HLOOKUP("EUR/BRL",'Histórico'!$A$1:$EL$983,(MATCH(B322,'Histórico'!A:A))-1,""),""))</f>
        <v/>
      </c>
      <c r="I322" s="150" t="str">
        <f t="array" ref="I322">IF(ISTEXT(C322),xlookup(C322,'Cadastro dos Ativos'!$A$2:$A$1000,'Cadastro dos Ativos'!$D$2:$D$1000),"")</f>
        <v/>
      </c>
      <c r="J322" s="150"/>
      <c r="K322" s="47" t="str">
        <f t="array" ref="K322">if(and(J322&lt;&gt;"",D322&lt;&gt;"Futuros"),
if(F322=Controle!$C$2, M322/xlookup(workday(B322,-1,Feriados!A:A),Controle!$B$10:$B$1000,Controle!$C$10:$C$1000),
if(F322=Controle!$F$2, M322/xlookup(workday(B322,-1,Feriados!A:A),Controle!$B$10:$B$1000,Controle!$F$10:$F$1000),
if(F322=Controle!$I$2, M322/xlookup(workday(B322,-1,Feriados!A:A),Controle!$B$10:$B$1000,Controle!$I$10:$I$1000),
if(F322=Controle!$L$2, M322/xlookup(workday(B322,-1,Feriados!A:A),Controle!$B$10:$B$1000,Controle!$L$10:$L$1000),
)))),
if(and(J322&lt;&gt;"",D322="Futuros"),
if(F322=Controle!$C$2, N322/xlookup(workday(B322,-1,Feriados!A:A),Controle!$B$10:$B$1000,Controle!$C$10:$C$1000),
if(F322=Controle!$F$2, N322/xlookup(workday(B322,-1,Feriados!A:A),Controle!$B$10:$B$1000,Controle!$F$10:$F$1000),
if(F322=Controle!$I$2, N322/xlookup(workday(B322,-1,Feriados!A:A),Controle!$B$10:$B$1000,Controle!$I$10:$I$1000),
if(F322=Controle!$L$2, N322/xlookup(workday(B322,-1,Feriados!A:A),Controle!$B$10:$B$1000,Controle!$L$10:$L$1000),
)))),""))</f>
        <v/>
      </c>
      <c r="L322" s="47" t="str">
        <f t="array" ref="L322">IF($J322&lt;&gt;"", IF($D322 = "Futuros" , $N322/xlookup(WORKDAY(B322,-1,Feriados!A:A),Controle!$B$10:$B$1000,Controle!$T$10:$T$1000) , $M322/xlookup(WORKDAY(B322,-1,Feriados!A:A),Controle!$B$10:$B$1000,Controle!$T$10:$T$1000)),"")</f>
        <v/>
      </c>
      <c r="M322" s="48" t="str">
        <f t="shared" si="4"/>
        <v/>
      </c>
      <c r="N322" s="48" t="str">
        <f>IFERROR(IF(D322="Futuros",
IF(LEFT(C322,3)="DI1",G322*O322,
IF(LEFT(C322,3)="ISP",G322*O322*HLOOKUP("PTAX",'Histórico'!$A$1:$EL$983,MATCH(B322,'Histórico'!A:A),FALSE)*50,
IF(LEFT(C322,3)="WDO",10*G322*O322*HLOOKUP("PTAX",'Histórico'!$A$1:$EL$983,MATCH(B322,'Histórico'!A:A),FALSE),
IF(LEFT(C322,3)="DOL",50*G322*O322,
IF(LEFT(C322,3)="EUR",G322*O322*50,
IF(LEFT(C322,3)="WEU",G322*O322*10,
IF(LEFT(C322,3)="IND",G322*O322,
IF(LEFT(C322,3)="WIN",G322*O322*0.2,
IF(LEFT(C322,3)="T10",G322*O322*1000*HLOOKUP("PTAX",'Histórico'!$A$1:$EL$983,MATCH(B322,'Histórico'!A:A),FALSE),
IF(LEFT(C322,3)="CCM",G322*O322*450,
IF(LEFT(C322,3)="SJC",G322*O322*HLOOKUP("PTAX",'Histórico'!$A$1:$EL$983,MATCH(B322,'Histórico'!A:A),FALSE)*450,
IF(LEFT(C322,3)="BGI",G322*O322*330,
IF(LEFT(C322,3)="OZ1",G322*O322*250,
IF(LEFT(C322,3)="CLP",G322*O322*25,
IF(LEFT(C322,3)="EUP", O322*10000*HLOOKUP("EUR/BRL",'Histórico'!$A$1:$EL$983,MATCH(B322,'Histórico'!A:A),FALSE),
IF(LEFT(C322,3)="JSE", G322*O322*0.4,
IF(LEFT(C322,3)="GBP", O322*10000*HLOOKUP("GBP/BRL",'Histórico'!$A$1:$FG$983,MATCH(B322,'Histórico'!A:A),FALSE),
IF(LEFT(C322,3)="JAP",O322*10000*HLOOKUP("PTAX",'Histórico'!$A$1:$FG$983,MATCH(B322,'Histórico'!A:A),FALSE),
IF(LEFT(C322,3)="CNH",O322*10000*HLOOKUP("PTAX",'Histórico'!$A$1:$FG$983,MATCH(B322,'Histórico'!A:A),FALSE),
IF(LEFT(C322,3)="AUS",O322*10000*HLOOKUP("PTAX",'Histórico'!$A$1:$FG$983,MATCH(B322,'Histórico'!A:A),FALSE),
IF(LEFT(C322,3)="CAN",O322*10000*HLOOKUP("PTAX",'Histórico'!$A$1:$FG$983,MATCH(B322,'Histórico'!A:A),FALSE),
IF(LEFT(C322,3)="GBR",O322*10000*HLOOKUP("GBP/BRL",'Histórico'!$A$1:$FG$983,MATCH(B322,'Histórico'!A:A),FALSE),
IF(LEFT(C322,3)="MEX",O322*10000*HLOOKUP("PTAX",'Histórico'!$A$1:$FG$983,MATCH(B322,'Histórico'!A:A),FALSE),
IF(LEFT(C322,3)="CHL",O322*10000*HLOOKUP("PTAX",'Histórico'!$A$1:$FG$983,MATCH(B322,'Histórico'!A:A),FALSE)
)))))))))))))))))))))))),""))</f>
        <v/>
      </c>
      <c r="O322" s="49" t="str">
        <f t="shared" si="2"/>
        <v/>
      </c>
      <c r="P322" s="49" t="str">
        <f t="shared" si="5"/>
        <v/>
      </c>
      <c r="Q322" s="51" t="str">
        <f>IF($C322&lt;&gt;"",SUMIFS($O$3:$O$401, $C$3:$C$401 ,$C322,$B$3:$B$401,"&lt;="&amp;Controle!$B$6),"")</f>
        <v/>
      </c>
      <c r="R322" s="51" t="str">
        <f>IF($D322&lt;&gt;"",SUMIFS($O$3:$O$401, $C$3:$C$401 ,$C322,$B$3:$B$401,"&lt;="&amp;Controle!$B$6,$F$3:$F$401,$F322),"")</f>
        <v/>
      </c>
      <c r="S322" s="51" t="str">
        <f>IF($D322&lt;&gt;"",SUMIFS($O$3:$O$401, $C$3:$C$401 ,$C322,$B$3:$B$401,"&lt;="&amp;'Controle D-1'!$B$6,$F$3:$F$401,$F322),"")</f>
        <v/>
      </c>
      <c r="T322" s="40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146"/>
      <c r="B323" s="149"/>
      <c r="C323" s="150"/>
      <c r="D323" s="150" t="str">
        <f>IF(ISTEXT(C323),VLOOKUP(C323,'Cadastro dos Ativos'!$A$2:$C$1000,3,0),"")</f>
        <v/>
      </c>
      <c r="E323" s="150"/>
      <c r="F323" s="150"/>
      <c r="G323" s="151"/>
      <c r="H323" s="101" t="str">
        <f>if($D323="Ações Americanas", HLOOKUP("PTAX",'Histórico'!$A$1:$EL$983,(MATCH(B323,'Histórico'!A:A))-1,""),
if($D323="Ações Europeias", HLOOKUP("EUR/BRL",'Histórico'!$A$1:$EL$983,(MATCH(B323,'Histórico'!A:A))-1,""),""))</f>
        <v/>
      </c>
      <c r="I323" s="150" t="str">
        <f t="array" ref="I323">IF(ISTEXT(C323),xlookup(C323,'Cadastro dos Ativos'!$A$2:$A$1000,'Cadastro dos Ativos'!$D$2:$D$1000),"")</f>
        <v/>
      </c>
      <c r="J323" s="150"/>
      <c r="K323" s="47" t="str">
        <f t="array" ref="K323">if(and(J323&lt;&gt;"",D323&lt;&gt;"Futuros"),
if(F323=Controle!$C$2, M323/xlookup(workday(B323,-1,Feriados!A:A),Controle!$B$10:$B$1000,Controle!$C$10:$C$1000),
if(F323=Controle!$F$2, M323/xlookup(workday(B323,-1,Feriados!A:A),Controle!$B$10:$B$1000,Controle!$F$10:$F$1000),
if(F323=Controle!$I$2, M323/xlookup(workday(B323,-1,Feriados!A:A),Controle!$B$10:$B$1000,Controle!$I$10:$I$1000),
if(F323=Controle!$L$2, M323/xlookup(workday(B323,-1,Feriados!A:A),Controle!$B$10:$B$1000,Controle!$L$10:$L$1000),
)))),
if(and(J323&lt;&gt;"",D323="Futuros"),
if(F323=Controle!$C$2, N323/xlookup(workday(B323,-1,Feriados!A:A),Controle!$B$10:$B$1000,Controle!$C$10:$C$1000),
if(F323=Controle!$F$2, N323/xlookup(workday(B323,-1,Feriados!A:A),Controle!$B$10:$B$1000,Controle!$F$10:$F$1000),
if(F323=Controle!$I$2, N323/xlookup(workday(B323,-1,Feriados!A:A),Controle!$B$10:$B$1000,Controle!$I$10:$I$1000),
if(F323=Controle!$L$2, N323/xlookup(workday(B323,-1,Feriados!A:A),Controle!$B$10:$B$1000,Controle!$L$10:$L$1000),
)))),""))</f>
        <v/>
      </c>
      <c r="L323" s="47" t="str">
        <f t="array" ref="L323">IF($J323&lt;&gt;"", IF($D323 = "Futuros" , $N323/xlookup(WORKDAY(B323,-1,Feriados!A:A),Controle!$B$10:$B$1000,Controle!$T$10:$T$1000) , $M323/xlookup(WORKDAY(B323,-1,Feriados!A:A),Controle!$B$10:$B$1000,Controle!$T$10:$T$1000)),"")</f>
        <v/>
      </c>
      <c r="M323" s="48" t="str">
        <f t="shared" si="4"/>
        <v/>
      </c>
      <c r="N323" s="48" t="str">
        <f>IFERROR(IF(D323="Futuros",
IF(LEFT(C323,3)="DI1",G323*O323,
IF(LEFT(C323,3)="ISP",G323*O323*HLOOKUP("PTAX",'Histórico'!$A$1:$EL$983,MATCH(B323,'Histórico'!A:A),FALSE)*50,
IF(LEFT(C323,3)="WDO",10*G323*O323*HLOOKUP("PTAX",'Histórico'!$A$1:$EL$983,MATCH(B323,'Histórico'!A:A),FALSE),
IF(LEFT(C323,3)="DOL",50*G323*O323,
IF(LEFT(C323,3)="EUR",G323*O323*50,
IF(LEFT(C323,3)="WEU",G323*O323*10,
IF(LEFT(C323,3)="IND",G323*O323,
IF(LEFT(C323,3)="WIN",G323*O323*0.2,
IF(LEFT(C323,3)="T10",G323*O323*1000*HLOOKUP("PTAX",'Histórico'!$A$1:$EL$983,MATCH(B323,'Histórico'!A:A),FALSE),
IF(LEFT(C323,3)="CCM",G323*O323*450,
IF(LEFT(C323,3)="SJC",G323*O323*HLOOKUP("PTAX",'Histórico'!$A$1:$EL$983,MATCH(B323,'Histórico'!A:A),FALSE)*450,
IF(LEFT(C323,3)="BGI",G323*O323*330,
IF(LEFT(C323,3)="OZ1",G323*O323*250,
IF(LEFT(C323,3)="CLP",G323*O323*25,
IF(LEFT(C323,3)="EUP", O323*10000*HLOOKUP("EUR/BRL",'Histórico'!$A$1:$EL$983,MATCH(B323,'Histórico'!A:A),FALSE),
IF(LEFT(C323,3)="JSE", G323*O323*0.4,
IF(LEFT(C323,3)="GBP", O323*10000*HLOOKUP("GBP/BRL",'Histórico'!$A$1:$FG$983,MATCH(B323,'Histórico'!A:A),FALSE),
IF(LEFT(C323,3)="JAP",O323*10000*HLOOKUP("PTAX",'Histórico'!$A$1:$FG$983,MATCH(B323,'Histórico'!A:A),FALSE),
IF(LEFT(C323,3)="CNH",O323*10000*HLOOKUP("PTAX",'Histórico'!$A$1:$FG$983,MATCH(B323,'Histórico'!A:A),FALSE),
IF(LEFT(C323,3)="AUS",O323*10000*HLOOKUP("PTAX",'Histórico'!$A$1:$FG$983,MATCH(B323,'Histórico'!A:A),FALSE),
IF(LEFT(C323,3)="CAN",O323*10000*HLOOKUP("PTAX",'Histórico'!$A$1:$FG$983,MATCH(B323,'Histórico'!A:A),FALSE),
IF(LEFT(C323,3)="GBR",O323*10000*HLOOKUP("GBP/BRL",'Histórico'!$A$1:$FG$983,MATCH(B323,'Histórico'!A:A),FALSE),
IF(LEFT(C323,3)="MEX",O323*10000*HLOOKUP("PTAX",'Histórico'!$A$1:$FG$983,MATCH(B323,'Histórico'!A:A),FALSE),
IF(LEFT(C323,3)="CHL",O323*10000*HLOOKUP("PTAX",'Histórico'!$A$1:$FG$983,MATCH(B323,'Histórico'!A:A),FALSE)
)))))))))))))))))))))))),""))</f>
        <v/>
      </c>
      <c r="O323" s="49" t="str">
        <f t="shared" si="2"/>
        <v/>
      </c>
      <c r="P323" s="49" t="str">
        <f t="shared" si="5"/>
        <v/>
      </c>
      <c r="Q323" s="51" t="str">
        <f>IF($C323&lt;&gt;"",SUMIFS($O$3:$O$401, $C$3:$C$401 ,$C323,$B$3:$B$401,"&lt;="&amp;Controle!$B$6),"")</f>
        <v/>
      </c>
      <c r="R323" s="51" t="str">
        <f>IF($D323&lt;&gt;"",SUMIFS($O$3:$O$401, $C$3:$C$401 ,$C323,$B$3:$B$401,"&lt;="&amp;Controle!$B$6,$F$3:$F$401,$F323),"")</f>
        <v/>
      </c>
      <c r="S323" s="51" t="str">
        <f>IF($D323&lt;&gt;"",SUMIFS($O$3:$O$401, $C$3:$C$401 ,$C323,$B$3:$B$401,"&lt;="&amp;'Controle D-1'!$B$6,$F$3:$F$401,$F323),"")</f>
        <v/>
      </c>
      <c r="T323" s="40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146"/>
      <c r="B324" s="149"/>
      <c r="C324" s="150"/>
      <c r="D324" s="150" t="str">
        <f>IF(ISTEXT(C324),VLOOKUP(C324,'Cadastro dos Ativos'!$A$2:$C$1000,3,0),"")</f>
        <v/>
      </c>
      <c r="E324" s="150"/>
      <c r="F324" s="150"/>
      <c r="G324" s="151"/>
      <c r="H324" s="46" t="str">
        <f>if($D324="Ações Americanas", HLOOKUP("PTAX",'Histórico'!$A$1:$EL$983,(MATCH(B324,'Histórico'!A:A))-1,""),
if($D324="Ações Europeias", HLOOKUP("EUR/BRL",'Histórico'!$A$1:$EL$983,(MATCH(B324,'Histórico'!A:A))-1,""),""))</f>
        <v/>
      </c>
      <c r="I324" s="150" t="str">
        <f t="array" ref="I324">IF(ISTEXT(C324),xlookup(C324,'Cadastro dos Ativos'!$A$2:$A$1000,'Cadastro dos Ativos'!$D$2:$D$1000),"")</f>
        <v/>
      </c>
      <c r="J324" s="150"/>
      <c r="K324" s="47" t="str">
        <f t="array" ref="K324">if(and(J324&lt;&gt;"",D324&lt;&gt;"Futuros"),
if(F324=Controle!$C$2, M324/xlookup(workday(B324,-1,Feriados!A:A),Controle!$B$10:$B$1000,Controle!$C$10:$C$1000),
if(F324=Controle!$F$2, M324/xlookup(workday(B324,-1,Feriados!A:A),Controle!$B$10:$B$1000,Controle!$F$10:$F$1000),
if(F324=Controle!$I$2, M324/xlookup(workday(B324,-1,Feriados!A:A),Controle!$B$10:$B$1000,Controle!$I$10:$I$1000),
if(F324=Controle!$L$2, M324/xlookup(workday(B324,-1,Feriados!A:A),Controle!$B$10:$B$1000,Controle!$L$10:$L$1000),
)))),
if(and(J324&lt;&gt;"",D324="Futuros"),
if(F324=Controle!$C$2, N324/xlookup(workday(B324,-1,Feriados!A:A),Controle!$B$10:$B$1000,Controle!$C$10:$C$1000),
if(F324=Controle!$F$2, N324/xlookup(workday(B324,-1,Feriados!A:A),Controle!$B$10:$B$1000,Controle!$F$10:$F$1000),
if(F324=Controle!$I$2, N324/xlookup(workday(B324,-1,Feriados!A:A),Controle!$B$10:$B$1000,Controle!$I$10:$I$1000),
if(F324=Controle!$L$2, N324/xlookup(workday(B324,-1,Feriados!A:A),Controle!$B$10:$B$1000,Controle!$L$10:$L$1000),
)))),""))</f>
        <v/>
      </c>
      <c r="L324" s="47" t="str">
        <f t="array" ref="L324">IF($J324&lt;&gt;"", IF($D324 = "Futuros" , $N324/xlookup(WORKDAY(B324,-1,Feriados!A:A),Controle!$B$10:$B$1000,Controle!$T$10:$T$1000) , $M324/xlookup(WORKDAY(B324,-1,Feriados!A:A),Controle!$B$10:$B$1000,Controle!$T$10:$T$1000)),"")</f>
        <v/>
      </c>
      <c r="M324" s="48" t="str">
        <f t="shared" si="4"/>
        <v/>
      </c>
      <c r="N324" s="48" t="str">
        <f>IFERROR(IF(D324="Futuros",
IF(LEFT(C324,3)="DI1",G324*O324,
IF(LEFT(C324,3)="ISP",G324*O324*HLOOKUP("PTAX",'Histórico'!$A$1:$EL$983,MATCH(B324,'Histórico'!A:A),FALSE)*50,
IF(LEFT(C324,3)="WDO",10*G324*O324*HLOOKUP("PTAX",'Histórico'!$A$1:$EL$983,MATCH(B324,'Histórico'!A:A),FALSE),
IF(LEFT(C324,3)="DOL",50*G324*O324,
IF(LEFT(C324,3)="EUR",G324*O324*50,
IF(LEFT(C324,3)="WEU",G324*O324*10,
IF(LEFT(C324,3)="IND",G324*O324,
IF(LEFT(C324,3)="WIN",G324*O324*0.2,
IF(LEFT(C324,3)="T10",G324*O324*1000*HLOOKUP("PTAX",'Histórico'!$A$1:$EL$983,MATCH(B324,'Histórico'!A:A),FALSE),
IF(LEFT(C324,3)="CCM",G324*O324*450,
IF(LEFT(C324,3)="SJC",G324*O324*HLOOKUP("PTAX",'Histórico'!$A$1:$EL$983,MATCH(B324,'Histórico'!A:A),FALSE)*450,
IF(LEFT(C324,3)="BGI",G324*O324*330,
IF(LEFT(C324,3)="OZ1",G324*O324*250,
IF(LEFT(C324,3)="CLP",G324*O324*25,
IF(LEFT(C324,3)="EUP", O324*10000*HLOOKUP("EUR/BRL",'Histórico'!$A$1:$EL$983,MATCH(B324,'Histórico'!A:A),FALSE),
IF(LEFT(C324,3)="JSE", G324*O324*0.4,
IF(LEFT(C324,3)="GBP", O324*10000*HLOOKUP("GBP/BRL",'Histórico'!$A$1:$FG$983,MATCH(B324,'Histórico'!A:A),FALSE),
IF(LEFT(C324,3)="JAP",O324*10000*HLOOKUP("PTAX",'Histórico'!$A$1:$FG$983,MATCH(B324,'Histórico'!A:A),FALSE),
IF(LEFT(C324,3)="CNH",O324*10000*HLOOKUP("PTAX",'Histórico'!$A$1:$FG$983,MATCH(B324,'Histórico'!A:A),FALSE),
IF(LEFT(C324,3)="AUS",O324*10000*HLOOKUP("PTAX",'Histórico'!$A$1:$FG$983,MATCH(B324,'Histórico'!A:A),FALSE),
IF(LEFT(C324,3)="CAN",O324*10000*HLOOKUP("PTAX",'Histórico'!$A$1:$FG$983,MATCH(B324,'Histórico'!A:A),FALSE),
IF(LEFT(C324,3)="GBR",O324*10000*HLOOKUP("GBP/BRL",'Histórico'!$A$1:$FG$983,MATCH(B324,'Histórico'!A:A),FALSE),
IF(LEFT(C324,3)="MEX",O324*10000*HLOOKUP("PTAX",'Histórico'!$A$1:$FG$983,MATCH(B324,'Histórico'!A:A),FALSE),
IF(LEFT(C324,3)="CHL",O324*10000*HLOOKUP("PTAX",'Histórico'!$A$1:$FG$983,MATCH(B324,'Histórico'!A:A),FALSE)
)))))))))))))))))))))))),""))</f>
        <v/>
      </c>
      <c r="O324" s="49" t="str">
        <f t="shared" si="2"/>
        <v/>
      </c>
      <c r="P324" s="49" t="str">
        <f t="shared" si="5"/>
        <v/>
      </c>
      <c r="Q324" s="51" t="str">
        <f>IF($C324&lt;&gt;"",SUMIFS($O$3:$O$401, $C$3:$C$401 ,$C324,$B$3:$B$401,"&lt;="&amp;Controle!$B$6),"")</f>
        <v/>
      </c>
      <c r="R324" s="51" t="str">
        <f>IF($D324&lt;&gt;"",SUMIFS($O$3:$O$401, $C$3:$C$401 ,$C324,$B$3:$B$401,"&lt;="&amp;Controle!$B$6,$F$3:$F$401,$F324),"")</f>
        <v/>
      </c>
      <c r="S324" s="51" t="str">
        <f>IF($D324&lt;&gt;"",SUMIFS($O$3:$O$401, $C$3:$C$401 ,$C324,$B$3:$B$401,"&lt;="&amp;'Controle D-1'!$B$6,$F$3:$F$401,$F324),"")</f>
        <v/>
      </c>
      <c r="T324" s="40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146"/>
      <c r="B325" s="149"/>
      <c r="C325" s="150"/>
      <c r="D325" s="150" t="str">
        <f>IF(ISTEXT(C325),VLOOKUP(C325,'Cadastro dos Ativos'!$A$2:$C$1000,3,0),"")</f>
        <v/>
      </c>
      <c r="E325" s="150"/>
      <c r="F325" s="150"/>
      <c r="G325" s="151"/>
      <c r="H325" s="101" t="str">
        <f>if($D325="Ações Americanas", HLOOKUP("PTAX",'Histórico'!$A$1:$EL$983,(MATCH(B325,'Histórico'!A:A))-1,""),
if($D325="Ações Europeias", HLOOKUP("EUR/BRL",'Histórico'!$A$1:$EL$983,(MATCH(B325,'Histórico'!A:A))-1,""),""))</f>
        <v/>
      </c>
      <c r="I325" s="150" t="str">
        <f t="array" ref="I325">IF(ISTEXT(C325),xlookup(C325,'Cadastro dos Ativos'!$A$2:$A$1000,'Cadastro dos Ativos'!$D$2:$D$1000),"")</f>
        <v/>
      </c>
      <c r="J325" s="150"/>
      <c r="K325" s="47" t="str">
        <f t="array" ref="K325">if(and(J325&lt;&gt;"",D325&lt;&gt;"Futuros"),
if(F325=Controle!$C$2, M325/xlookup(workday(B325,-1,Feriados!A:A),Controle!$B$10:$B$1000,Controle!$C$10:$C$1000),
if(F325=Controle!$F$2, M325/xlookup(workday(B325,-1,Feriados!A:A),Controle!$B$10:$B$1000,Controle!$F$10:$F$1000),
if(F325=Controle!$I$2, M325/xlookup(workday(B325,-1,Feriados!A:A),Controle!$B$10:$B$1000,Controle!$I$10:$I$1000),
if(F325=Controle!$L$2, M325/xlookup(workday(B325,-1,Feriados!A:A),Controle!$B$10:$B$1000,Controle!$L$10:$L$1000),
)))),
if(and(J325&lt;&gt;"",D325="Futuros"),
if(F325=Controle!$C$2, N325/xlookup(workday(B325,-1,Feriados!A:A),Controle!$B$10:$B$1000,Controle!$C$10:$C$1000),
if(F325=Controle!$F$2, N325/xlookup(workday(B325,-1,Feriados!A:A),Controle!$B$10:$B$1000,Controle!$F$10:$F$1000),
if(F325=Controle!$I$2, N325/xlookup(workday(B325,-1,Feriados!A:A),Controle!$B$10:$B$1000,Controle!$I$10:$I$1000),
if(F325=Controle!$L$2, N325/xlookup(workday(B325,-1,Feriados!A:A),Controle!$B$10:$B$1000,Controle!$L$10:$L$1000),
)))),""))</f>
        <v/>
      </c>
      <c r="L325" s="47" t="str">
        <f t="array" ref="L325">IF($J325&lt;&gt;"", IF($D325 = "Futuros" , $N325/xlookup(WORKDAY(B325,-1,Feriados!A:A),Controle!$B$10:$B$1000,Controle!$T$10:$T$1000) , $M325/xlookup(WORKDAY(B325,-1,Feriados!A:A),Controle!$B$10:$B$1000,Controle!$T$10:$T$1000)),"")</f>
        <v/>
      </c>
      <c r="M325" s="48" t="str">
        <f t="shared" si="4"/>
        <v/>
      </c>
      <c r="N325" s="48" t="str">
        <f>IFERROR(IF(D325="Futuros",
IF(LEFT(C325,3)="DI1",G325*O325,
IF(LEFT(C325,3)="ISP",G325*O325*HLOOKUP("PTAX",'Histórico'!$A$1:$EL$983,MATCH(B325,'Histórico'!A:A),FALSE)*50,
IF(LEFT(C325,3)="WDO",10*G325*O325*HLOOKUP("PTAX",'Histórico'!$A$1:$EL$983,MATCH(B325,'Histórico'!A:A),FALSE),
IF(LEFT(C325,3)="DOL",50*G325*O325,
IF(LEFT(C325,3)="EUR",G325*O325*50,
IF(LEFT(C325,3)="WEU",G325*O325*10,
IF(LEFT(C325,3)="IND",G325*O325,
IF(LEFT(C325,3)="WIN",G325*O325*0.2,
IF(LEFT(C325,3)="T10",G325*O325*1000*HLOOKUP("PTAX",'Histórico'!$A$1:$EL$983,MATCH(B325,'Histórico'!A:A),FALSE),
IF(LEFT(C325,3)="CCM",G325*O325*450,
IF(LEFT(C325,3)="SJC",G325*O325*HLOOKUP("PTAX",'Histórico'!$A$1:$EL$983,MATCH(B325,'Histórico'!A:A),FALSE)*450,
IF(LEFT(C325,3)="BGI",G325*O325*330,
IF(LEFT(C325,3)="OZ1",G325*O325*250,
IF(LEFT(C325,3)="CLP",G325*O325*25,
IF(LEFT(C325,3)="EUP", O325*10000*HLOOKUP("EUR/BRL",'Histórico'!$A$1:$EL$983,MATCH(B325,'Histórico'!A:A),FALSE),
IF(LEFT(C325,3)="JSE", G325*O325*0.4,
IF(LEFT(C325,3)="GBP", O325*10000*HLOOKUP("GBP/BRL",'Histórico'!$A$1:$FG$983,MATCH(B325,'Histórico'!A:A),FALSE),
IF(LEFT(C325,3)="JAP",O325*10000*HLOOKUP("PTAX",'Histórico'!$A$1:$FG$983,MATCH(B325,'Histórico'!A:A),FALSE),
IF(LEFT(C325,3)="CNH",O325*10000*HLOOKUP("PTAX",'Histórico'!$A$1:$FG$983,MATCH(B325,'Histórico'!A:A),FALSE),
IF(LEFT(C325,3)="AUS",O325*10000*HLOOKUP("PTAX",'Histórico'!$A$1:$FG$983,MATCH(B325,'Histórico'!A:A),FALSE),
IF(LEFT(C325,3)="CAN",O325*10000*HLOOKUP("PTAX",'Histórico'!$A$1:$FG$983,MATCH(B325,'Histórico'!A:A),FALSE),
IF(LEFT(C325,3)="GBR",O325*10000*HLOOKUP("GBP/BRL",'Histórico'!$A$1:$FG$983,MATCH(B325,'Histórico'!A:A),FALSE),
IF(LEFT(C325,3)="MEX",O325*10000*HLOOKUP("PTAX",'Histórico'!$A$1:$FG$983,MATCH(B325,'Histórico'!A:A),FALSE),
IF(LEFT(C325,3)="CHL",O325*10000*HLOOKUP("PTAX",'Histórico'!$A$1:$FG$983,MATCH(B325,'Histórico'!A:A),FALSE)
)))))))))))))))))))))))),""))</f>
        <v/>
      </c>
      <c r="O325" s="49" t="str">
        <f t="shared" si="2"/>
        <v/>
      </c>
      <c r="P325" s="49" t="str">
        <f t="shared" si="5"/>
        <v/>
      </c>
      <c r="Q325" s="51" t="str">
        <f>IF($C325&lt;&gt;"",SUMIFS($O$3:$O$401, $C$3:$C$401 ,$C325,$B$3:$B$401,"&lt;="&amp;Controle!$B$6),"")</f>
        <v/>
      </c>
      <c r="R325" s="51" t="str">
        <f>IF($D325&lt;&gt;"",SUMIFS($O$3:$O$401, $C$3:$C$401 ,$C325,$B$3:$B$401,"&lt;="&amp;Controle!$B$6,$F$3:$F$401,$F325),"")</f>
        <v/>
      </c>
      <c r="S325" s="51" t="str">
        <f>IF($D325&lt;&gt;"",SUMIFS($O$3:$O$401, $C$3:$C$401 ,$C325,$B$3:$B$401,"&lt;="&amp;'Controle D-1'!$B$6,$F$3:$F$401,$F325),"")</f>
        <v/>
      </c>
      <c r="T325" s="40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146"/>
      <c r="B326" s="149"/>
      <c r="C326" s="150"/>
      <c r="D326" s="150" t="str">
        <f>IF(ISTEXT(C326),VLOOKUP(C326,'Cadastro dos Ativos'!$A$2:$C$1000,3,0),"")</f>
        <v/>
      </c>
      <c r="E326" s="150"/>
      <c r="F326" s="150"/>
      <c r="G326" s="151"/>
      <c r="H326" s="46" t="str">
        <f>if($D326="Ações Americanas", HLOOKUP("PTAX",'Histórico'!$A$1:$EL$983,(MATCH(B326,'Histórico'!A:A))-1,""),
if($D326="Ações Europeias", HLOOKUP("EUR/BRL",'Histórico'!$A$1:$EL$983,(MATCH(B326,'Histórico'!A:A))-1,""),""))</f>
        <v/>
      </c>
      <c r="I326" s="150" t="str">
        <f t="array" ref="I326">IF(ISTEXT(C326),xlookup(C326,'Cadastro dos Ativos'!$A$2:$A$1000,'Cadastro dos Ativos'!$D$2:$D$1000),"")</f>
        <v/>
      </c>
      <c r="J326" s="150"/>
      <c r="K326" s="47" t="str">
        <f t="array" ref="K326">if(and(J326&lt;&gt;"",D326&lt;&gt;"Futuros"),
if(F326=Controle!$C$2, M326/xlookup(workday(B326,-1,Feriados!A:A),Controle!$B$10:$B$1000,Controle!$C$10:$C$1000),
if(F326=Controle!$F$2, M326/xlookup(workday(B326,-1,Feriados!A:A),Controle!$B$10:$B$1000,Controle!$F$10:$F$1000),
if(F326=Controle!$I$2, M326/xlookup(workday(B326,-1,Feriados!A:A),Controle!$B$10:$B$1000,Controle!$I$10:$I$1000),
if(F326=Controle!$L$2, M326/xlookup(workday(B326,-1,Feriados!A:A),Controle!$B$10:$B$1000,Controle!$L$10:$L$1000),
)))),
if(and(J326&lt;&gt;"",D326="Futuros"),
if(F326=Controle!$C$2, N326/xlookup(workday(B326,-1,Feriados!A:A),Controle!$B$10:$B$1000,Controle!$C$10:$C$1000),
if(F326=Controle!$F$2, N326/xlookup(workday(B326,-1,Feriados!A:A),Controle!$B$10:$B$1000,Controle!$F$10:$F$1000),
if(F326=Controle!$I$2, N326/xlookup(workday(B326,-1,Feriados!A:A),Controle!$B$10:$B$1000,Controle!$I$10:$I$1000),
if(F326=Controle!$L$2, N326/xlookup(workday(B326,-1,Feriados!A:A),Controle!$B$10:$B$1000,Controle!$L$10:$L$1000),
)))),""))</f>
        <v/>
      </c>
      <c r="L326" s="47" t="str">
        <f t="array" ref="L326">IF($J326&lt;&gt;"", IF($D326 = "Futuros" , $N326/xlookup(WORKDAY(B326,-1,Feriados!A:A),Controle!$B$10:$B$1000,Controle!$T$10:$T$1000) , $M326/xlookup(WORKDAY(B326,-1,Feriados!A:A),Controle!$B$10:$B$1000,Controle!$T$10:$T$1000)),"")</f>
        <v/>
      </c>
      <c r="M326" s="48" t="str">
        <f t="shared" si="4"/>
        <v/>
      </c>
      <c r="N326" s="48" t="str">
        <f>IFERROR(IF(D326="Futuros",
IF(LEFT(C326,3)="DI1",G326*O326,
IF(LEFT(C326,3)="ISP",G326*O326*HLOOKUP("PTAX",'Histórico'!$A$1:$EL$983,MATCH(B326,'Histórico'!A:A),FALSE)*50,
IF(LEFT(C326,3)="WDO",10*G326*O326*HLOOKUP("PTAX",'Histórico'!$A$1:$EL$983,MATCH(B326,'Histórico'!A:A),FALSE),
IF(LEFT(C326,3)="DOL",50*G326*O326,
IF(LEFT(C326,3)="EUR",G326*O326*50,
IF(LEFT(C326,3)="WEU",G326*O326*10,
IF(LEFT(C326,3)="IND",G326*O326,
IF(LEFT(C326,3)="WIN",G326*O326*0.2,
IF(LEFT(C326,3)="T10",G326*O326*1000*HLOOKUP("PTAX",'Histórico'!$A$1:$EL$983,MATCH(B326,'Histórico'!A:A),FALSE),
IF(LEFT(C326,3)="CCM",G326*O326*450,
IF(LEFT(C326,3)="SJC",G326*O326*HLOOKUP("PTAX",'Histórico'!$A$1:$EL$983,MATCH(B326,'Histórico'!A:A),FALSE)*450,
IF(LEFT(C326,3)="BGI",G326*O326*330,
IF(LEFT(C326,3)="OZ1",G326*O326*250,
IF(LEFT(C326,3)="CLP",G326*O326*25,
IF(LEFT(C326,3)="EUP", O326*10000*HLOOKUP("EUR/BRL",'Histórico'!$A$1:$EL$983,MATCH(B326,'Histórico'!A:A),FALSE),
IF(LEFT(C326,3)="JSE", G326*O326*0.4,
IF(LEFT(C326,3)="GBP", O326*10000*HLOOKUP("GBP/BRL",'Histórico'!$A$1:$FG$983,MATCH(B326,'Histórico'!A:A),FALSE),
IF(LEFT(C326,3)="JAP",O326*10000*HLOOKUP("PTAX",'Histórico'!$A$1:$FG$983,MATCH(B326,'Histórico'!A:A),FALSE),
IF(LEFT(C326,3)="CNH",O326*10000*HLOOKUP("PTAX",'Histórico'!$A$1:$FG$983,MATCH(B326,'Histórico'!A:A),FALSE),
IF(LEFT(C326,3)="AUS",O326*10000*HLOOKUP("PTAX",'Histórico'!$A$1:$FG$983,MATCH(B326,'Histórico'!A:A),FALSE),
IF(LEFT(C326,3)="CAN",O326*10000*HLOOKUP("PTAX",'Histórico'!$A$1:$FG$983,MATCH(B326,'Histórico'!A:A),FALSE),
IF(LEFT(C326,3)="GBR",O326*10000*HLOOKUP("GBP/BRL",'Histórico'!$A$1:$FG$983,MATCH(B326,'Histórico'!A:A),FALSE),
IF(LEFT(C326,3)="MEX",O326*10000*HLOOKUP("PTAX",'Histórico'!$A$1:$FG$983,MATCH(B326,'Histórico'!A:A),FALSE),
IF(LEFT(C326,3)="CHL",O326*10000*HLOOKUP("PTAX",'Histórico'!$A$1:$FG$983,MATCH(B326,'Histórico'!A:A),FALSE)
)))))))))))))))))))))))),""))</f>
        <v/>
      </c>
      <c r="O326" s="49" t="str">
        <f t="shared" si="2"/>
        <v/>
      </c>
      <c r="P326" s="49" t="str">
        <f t="shared" si="5"/>
        <v/>
      </c>
      <c r="Q326" s="51" t="str">
        <f>IF($C326&lt;&gt;"",SUMIFS($O$3:$O$401, $C$3:$C$401 ,$C326,$B$3:$B$401,"&lt;="&amp;Controle!$B$6),"")</f>
        <v/>
      </c>
      <c r="R326" s="51" t="str">
        <f>IF($D326&lt;&gt;"",SUMIFS($O$3:$O$401, $C$3:$C$401 ,$C326,$B$3:$B$401,"&lt;="&amp;Controle!$B$6,$F$3:$F$401,$F326),"")</f>
        <v/>
      </c>
      <c r="S326" s="51" t="str">
        <f>IF($D326&lt;&gt;"",SUMIFS($O$3:$O$401, $C$3:$C$401 ,$C326,$B$3:$B$401,"&lt;="&amp;'Controle D-1'!$B$6,$F$3:$F$401,$F326),"")</f>
        <v/>
      </c>
      <c r="T326" s="40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146"/>
      <c r="B327" s="149"/>
      <c r="C327" s="150"/>
      <c r="D327" s="150" t="str">
        <f>IF(ISTEXT(C327),VLOOKUP(C327,'Cadastro dos Ativos'!$A$2:$C$1000,3,0),"")</f>
        <v/>
      </c>
      <c r="E327" s="150"/>
      <c r="F327" s="150"/>
      <c r="G327" s="151"/>
      <c r="H327" s="101" t="str">
        <f>if($D327="Ações Americanas", HLOOKUP("PTAX",'Histórico'!$A$1:$EL$983,(MATCH(B327,'Histórico'!A:A))-1,""),
if($D327="Ações Europeias", HLOOKUP("EUR/BRL",'Histórico'!$A$1:$EL$983,(MATCH(B327,'Histórico'!A:A))-1,""),""))</f>
        <v/>
      </c>
      <c r="I327" s="150" t="str">
        <f t="array" ref="I327">IF(ISTEXT(C327),xlookup(C327,'Cadastro dos Ativos'!$A$2:$A$1000,'Cadastro dos Ativos'!$D$2:$D$1000),"")</f>
        <v/>
      </c>
      <c r="J327" s="150"/>
      <c r="K327" s="47" t="str">
        <f t="array" ref="K327">if(and(J327&lt;&gt;"",D327&lt;&gt;"Futuros"),
if(F327=Controle!$C$2, M327/xlookup(workday(B327,-1,Feriados!A:A),Controle!$B$10:$B$1000,Controle!$C$10:$C$1000),
if(F327=Controle!$F$2, M327/xlookup(workday(B327,-1,Feriados!A:A),Controle!$B$10:$B$1000,Controle!$F$10:$F$1000),
if(F327=Controle!$I$2, M327/xlookup(workday(B327,-1,Feriados!A:A),Controle!$B$10:$B$1000,Controle!$I$10:$I$1000),
if(F327=Controle!$L$2, M327/xlookup(workday(B327,-1,Feriados!A:A),Controle!$B$10:$B$1000,Controle!$L$10:$L$1000),
)))),
if(and(J327&lt;&gt;"",D327="Futuros"),
if(F327=Controle!$C$2, N327/xlookup(workday(B327,-1,Feriados!A:A),Controle!$B$10:$B$1000,Controle!$C$10:$C$1000),
if(F327=Controle!$F$2, N327/xlookup(workday(B327,-1,Feriados!A:A),Controle!$B$10:$B$1000,Controle!$F$10:$F$1000),
if(F327=Controle!$I$2, N327/xlookup(workday(B327,-1,Feriados!A:A),Controle!$B$10:$B$1000,Controle!$I$10:$I$1000),
if(F327=Controle!$L$2, N327/xlookup(workday(B327,-1,Feriados!A:A),Controle!$B$10:$B$1000,Controle!$L$10:$L$1000),
)))),""))</f>
        <v/>
      </c>
      <c r="L327" s="47" t="str">
        <f t="array" ref="L327">IF($J327&lt;&gt;"", IF($D327 = "Futuros" , $N327/xlookup(WORKDAY(B327,-1,Feriados!A:A),Controle!$B$10:$B$1000,Controle!$T$10:$T$1000) , $M327/xlookup(WORKDAY(B327,-1,Feriados!A:A),Controle!$B$10:$B$1000,Controle!$T$10:$T$1000)),"")</f>
        <v/>
      </c>
      <c r="M327" s="48" t="str">
        <f t="shared" si="4"/>
        <v/>
      </c>
      <c r="N327" s="48" t="str">
        <f>IFERROR(IF(D327="Futuros",
IF(LEFT(C327,3)="DI1",G327*O327,
IF(LEFT(C327,3)="ISP",G327*O327*HLOOKUP("PTAX",'Histórico'!$A$1:$EL$983,MATCH(B327,'Histórico'!A:A),FALSE)*50,
IF(LEFT(C327,3)="WDO",10*G327*O327*HLOOKUP("PTAX",'Histórico'!$A$1:$EL$983,MATCH(B327,'Histórico'!A:A),FALSE),
IF(LEFT(C327,3)="DOL",50*G327*O327,
IF(LEFT(C327,3)="EUR",G327*O327*50,
IF(LEFT(C327,3)="WEU",G327*O327*10,
IF(LEFT(C327,3)="IND",G327*O327,
IF(LEFT(C327,3)="WIN",G327*O327*0.2,
IF(LEFT(C327,3)="T10",G327*O327*1000*HLOOKUP("PTAX",'Histórico'!$A$1:$EL$983,MATCH(B327,'Histórico'!A:A),FALSE),
IF(LEFT(C327,3)="CCM",G327*O327*450,
IF(LEFT(C327,3)="SJC",G327*O327*HLOOKUP("PTAX",'Histórico'!$A$1:$EL$983,MATCH(B327,'Histórico'!A:A),FALSE)*450,
IF(LEFT(C327,3)="BGI",G327*O327*330,
IF(LEFT(C327,3)="OZ1",G327*O327*250,
IF(LEFT(C327,3)="CLP",G327*O327*25,
IF(LEFT(C327,3)="EUP", O327*10000*HLOOKUP("EUR/BRL",'Histórico'!$A$1:$EL$983,MATCH(B327,'Histórico'!A:A),FALSE),
IF(LEFT(C327,3)="JSE", G327*O327*0.4,
IF(LEFT(C327,3)="GBP", O327*10000*HLOOKUP("GBP/BRL",'Histórico'!$A$1:$FG$983,MATCH(B327,'Histórico'!A:A),FALSE),
IF(LEFT(C327,3)="JAP",O327*10000*HLOOKUP("PTAX",'Histórico'!$A$1:$FG$983,MATCH(B327,'Histórico'!A:A),FALSE),
IF(LEFT(C327,3)="CNH",O327*10000*HLOOKUP("PTAX",'Histórico'!$A$1:$FG$983,MATCH(B327,'Histórico'!A:A),FALSE),
IF(LEFT(C327,3)="AUS",O327*10000*HLOOKUP("PTAX",'Histórico'!$A$1:$FG$983,MATCH(B327,'Histórico'!A:A),FALSE),
IF(LEFT(C327,3)="CAN",O327*10000*HLOOKUP("PTAX",'Histórico'!$A$1:$FG$983,MATCH(B327,'Histórico'!A:A),FALSE),
IF(LEFT(C327,3)="GBR",O327*10000*HLOOKUP("GBP/BRL",'Histórico'!$A$1:$FG$983,MATCH(B327,'Histórico'!A:A),FALSE),
IF(LEFT(C327,3)="MEX",O327*10000*HLOOKUP("PTAX",'Histórico'!$A$1:$FG$983,MATCH(B327,'Histórico'!A:A),FALSE),
IF(LEFT(C327,3)="CHL",O327*10000*HLOOKUP("PTAX",'Histórico'!$A$1:$FG$983,MATCH(B327,'Histórico'!A:A),FALSE)
)))))))))))))))))))))))),""))</f>
        <v/>
      </c>
      <c r="O327" s="49" t="str">
        <f t="shared" si="2"/>
        <v/>
      </c>
      <c r="P327" s="49" t="str">
        <f t="shared" si="5"/>
        <v/>
      </c>
      <c r="Q327" s="51" t="str">
        <f>IF($C327&lt;&gt;"",SUMIFS($O$3:$O$401, $C$3:$C$401 ,$C327,$B$3:$B$401,"&lt;="&amp;Controle!$B$6),"")</f>
        <v/>
      </c>
      <c r="R327" s="51" t="str">
        <f>IF($D327&lt;&gt;"",SUMIFS($O$3:$O$401, $C$3:$C$401 ,$C327,$B$3:$B$401,"&lt;="&amp;Controle!$B$6,$F$3:$F$401,$F327),"")</f>
        <v/>
      </c>
      <c r="S327" s="51" t="str">
        <f>IF($D327&lt;&gt;"",SUMIFS($O$3:$O$401, $C$3:$C$401 ,$C327,$B$3:$B$401,"&lt;="&amp;'Controle D-1'!$B$6,$F$3:$F$401,$F327),"")</f>
        <v/>
      </c>
      <c r="T327" s="40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146"/>
      <c r="B328" s="149"/>
      <c r="C328" s="150"/>
      <c r="D328" s="150" t="str">
        <f>IF(ISTEXT(C328),VLOOKUP(C328,'Cadastro dos Ativos'!$A$2:$C$1000,3,0),"")</f>
        <v/>
      </c>
      <c r="E328" s="150"/>
      <c r="F328" s="150"/>
      <c r="G328" s="151"/>
      <c r="H328" s="46" t="str">
        <f>if($D328="Ações Americanas", HLOOKUP("PTAX",'Histórico'!$A$1:$EL$983,(MATCH(B328,'Histórico'!A:A))-1,""),
if($D328="Ações Europeias", HLOOKUP("EUR/BRL",'Histórico'!$A$1:$EL$983,(MATCH(B328,'Histórico'!A:A))-1,""),""))</f>
        <v/>
      </c>
      <c r="I328" s="150" t="str">
        <f t="array" ref="I328">IF(ISTEXT(C328),xlookup(C328,'Cadastro dos Ativos'!$A$2:$A$1000,'Cadastro dos Ativos'!$D$2:$D$1000),"")</f>
        <v/>
      </c>
      <c r="J328" s="150"/>
      <c r="K328" s="47" t="str">
        <f t="array" ref="K328">if(and(J328&lt;&gt;"",D328&lt;&gt;"Futuros"),
if(F328=Controle!$C$2, M328/xlookup(workday(B328,-1,Feriados!A:A),Controle!$B$10:$B$1000,Controle!$C$10:$C$1000),
if(F328=Controle!$F$2, M328/xlookup(workday(B328,-1,Feriados!A:A),Controle!$B$10:$B$1000,Controle!$F$10:$F$1000),
if(F328=Controle!$I$2, M328/xlookup(workday(B328,-1,Feriados!A:A),Controle!$B$10:$B$1000,Controle!$I$10:$I$1000),
if(F328=Controle!$L$2, M328/xlookup(workday(B328,-1,Feriados!A:A),Controle!$B$10:$B$1000,Controle!$L$10:$L$1000),
)))),
if(and(J328&lt;&gt;"",D328="Futuros"),
if(F328=Controle!$C$2, N328/xlookup(workday(B328,-1,Feriados!A:A),Controle!$B$10:$B$1000,Controle!$C$10:$C$1000),
if(F328=Controle!$F$2, N328/xlookup(workday(B328,-1,Feriados!A:A),Controle!$B$10:$B$1000,Controle!$F$10:$F$1000),
if(F328=Controle!$I$2, N328/xlookup(workday(B328,-1,Feriados!A:A),Controle!$B$10:$B$1000,Controle!$I$10:$I$1000),
if(F328=Controle!$L$2, N328/xlookup(workday(B328,-1,Feriados!A:A),Controle!$B$10:$B$1000,Controle!$L$10:$L$1000),
)))),""))</f>
        <v/>
      </c>
      <c r="L328" s="47" t="str">
        <f t="array" ref="L328">IF($J328&lt;&gt;"", IF($D328 = "Futuros" , $N328/xlookup(WORKDAY(B328,-1,Feriados!A:A),Controle!$B$10:$B$1000,Controle!$T$10:$T$1000) , $M328/xlookup(WORKDAY(B328,-1,Feriados!A:A),Controle!$B$10:$B$1000,Controle!$T$10:$T$1000)),"")</f>
        <v/>
      </c>
      <c r="M328" s="48" t="str">
        <f t="shared" si="4"/>
        <v/>
      </c>
      <c r="N328" s="48" t="str">
        <f>IFERROR(IF(D328="Futuros",
IF(LEFT(C328,3)="DI1",G328*O328,
IF(LEFT(C328,3)="ISP",G328*O328*HLOOKUP("PTAX",'Histórico'!$A$1:$EL$983,MATCH(B328,'Histórico'!A:A),FALSE)*50,
IF(LEFT(C328,3)="WDO",10*G328*O328*HLOOKUP("PTAX",'Histórico'!$A$1:$EL$983,MATCH(B328,'Histórico'!A:A),FALSE),
IF(LEFT(C328,3)="DOL",50*G328*O328,
IF(LEFT(C328,3)="EUR",G328*O328*50,
IF(LEFT(C328,3)="WEU",G328*O328*10,
IF(LEFT(C328,3)="IND",G328*O328,
IF(LEFT(C328,3)="WIN",G328*O328*0.2,
IF(LEFT(C328,3)="T10",G328*O328*1000*HLOOKUP("PTAX",'Histórico'!$A$1:$EL$983,MATCH(B328,'Histórico'!A:A),FALSE),
IF(LEFT(C328,3)="CCM",G328*O328*450,
IF(LEFT(C328,3)="SJC",G328*O328*HLOOKUP("PTAX",'Histórico'!$A$1:$EL$983,MATCH(B328,'Histórico'!A:A),FALSE)*450,
IF(LEFT(C328,3)="BGI",G328*O328*330,
IF(LEFT(C328,3)="OZ1",G328*O328*250,
IF(LEFT(C328,3)="CLP",G328*O328*25,
IF(LEFT(C328,3)="EUP", O328*10000*HLOOKUP("EUR/BRL",'Histórico'!$A$1:$EL$983,MATCH(B328,'Histórico'!A:A),FALSE),
IF(LEFT(C328,3)="JSE", G328*O328*0.4,
IF(LEFT(C328,3)="GBP", O328*10000*HLOOKUP("GBP/BRL",'Histórico'!$A$1:$FG$983,MATCH(B328,'Histórico'!A:A),FALSE),
IF(LEFT(C328,3)="JAP",O328*10000*HLOOKUP("PTAX",'Histórico'!$A$1:$FG$983,MATCH(B328,'Histórico'!A:A),FALSE),
IF(LEFT(C328,3)="CNH",O328*10000*HLOOKUP("PTAX",'Histórico'!$A$1:$FG$983,MATCH(B328,'Histórico'!A:A),FALSE),
IF(LEFT(C328,3)="AUS",O328*10000*HLOOKUP("PTAX",'Histórico'!$A$1:$FG$983,MATCH(B328,'Histórico'!A:A),FALSE),
IF(LEFT(C328,3)="CAN",O328*10000*HLOOKUP("PTAX",'Histórico'!$A$1:$FG$983,MATCH(B328,'Histórico'!A:A),FALSE),
IF(LEFT(C328,3)="GBR",O328*10000*HLOOKUP("GBP/BRL",'Histórico'!$A$1:$FG$983,MATCH(B328,'Histórico'!A:A),FALSE),
IF(LEFT(C328,3)="MEX",O328*10000*HLOOKUP("PTAX",'Histórico'!$A$1:$FG$983,MATCH(B328,'Histórico'!A:A),FALSE),
IF(LEFT(C328,3)="CHL",O328*10000*HLOOKUP("PTAX",'Histórico'!$A$1:$FG$983,MATCH(B328,'Histórico'!A:A),FALSE)
)))))))))))))))))))))))),""))</f>
        <v/>
      </c>
      <c r="O328" s="49" t="str">
        <f t="shared" si="2"/>
        <v/>
      </c>
      <c r="P328" s="49" t="str">
        <f t="shared" si="5"/>
        <v/>
      </c>
      <c r="Q328" s="51" t="str">
        <f>IF($C328&lt;&gt;"",SUMIFS($O$3:$O$401, $C$3:$C$401 ,$C328,$B$3:$B$401,"&lt;="&amp;Controle!$B$6),"")</f>
        <v/>
      </c>
      <c r="R328" s="51" t="str">
        <f>IF($D328&lt;&gt;"",SUMIFS($O$3:$O$401, $C$3:$C$401 ,$C328,$B$3:$B$401,"&lt;="&amp;Controle!$B$6,$F$3:$F$401,$F328),"")</f>
        <v/>
      </c>
      <c r="S328" s="51" t="str">
        <f>IF($D328&lt;&gt;"",SUMIFS($O$3:$O$401, $C$3:$C$401 ,$C328,$B$3:$B$401,"&lt;="&amp;'Controle D-1'!$B$6,$F$3:$F$401,$F328),"")</f>
        <v/>
      </c>
      <c r="T328" s="40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146"/>
      <c r="B329" s="149"/>
      <c r="C329" s="150"/>
      <c r="D329" s="150" t="str">
        <f>IF(ISTEXT(C329),VLOOKUP(C329,'Cadastro dos Ativos'!$A$2:$C$1000,3,0),"")</f>
        <v/>
      </c>
      <c r="E329" s="150"/>
      <c r="F329" s="150"/>
      <c r="G329" s="151"/>
      <c r="H329" s="101" t="str">
        <f>if($D329="Ações Americanas", HLOOKUP("PTAX",'Histórico'!$A$1:$EL$983,(MATCH(B329,'Histórico'!A:A))-1,""),
if($D329="Ações Europeias", HLOOKUP("EUR/BRL",'Histórico'!$A$1:$EL$983,(MATCH(B329,'Histórico'!A:A))-1,""),""))</f>
        <v/>
      </c>
      <c r="I329" s="150" t="str">
        <f t="array" ref="I329">IF(ISTEXT(C329),xlookup(C329,'Cadastro dos Ativos'!$A$2:$A$1000,'Cadastro dos Ativos'!$D$2:$D$1000),"")</f>
        <v/>
      </c>
      <c r="J329" s="150"/>
      <c r="K329" s="47" t="str">
        <f t="array" ref="K329">if(and(J329&lt;&gt;"",D329&lt;&gt;"Futuros"),
if(F329=Controle!$C$2, M329/xlookup(workday(B329,-1,Feriados!A:A),Controle!$B$10:$B$1000,Controle!$C$10:$C$1000),
if(F329=Controle!$F$2, M329/xlookup(workday(B329,-1,Feriados!A:A),Controle!$B$10:$B$1000,Controle!$F$10:$F$1000),
if(F329=Controle!$I$2, M329/xlookup(workday(B329,-1,Feriados!A:A),Controle!$B$10:$B$1000,Controle!$I$10:$I$1000),
if(F329=Controle!$L$2, M329/xlookup(workday(B329,-1,Feriados!A:A),Controle!$B$10:$B$1000,Controle!$L$10:$L$1000),
)))),
if(and(J329&lt;&gt;"",D329="Futuros"),
if(F329=Controle!$C$2, N329/xlookup(workday(B329,-1,Feriados!A:A),Controle!$B$10:$B$1000,Controle!$C$10:$C$1000),
if(F329=Controle!$F$2, N329/xlookup(workday(B329,-1,Feriados!A:A),Controle!$B$10:$B$1000,Controle!$F$10:$F$1000),
if(F329=Controle!$I$2, N329/xlookup(workday(B329,-1,Feriados!A:A),Controle!$B$10:$B$1000,Controle!$I$10:$I$1000),
if(F329=Controle!$L$2, N329/xlookup(workday(B329,-1,Feriados!A:A),Controle!$B$10:$B$1000,Controle!$L$10:$L$1000),
)))),""))</f>
        <v/>
      </c>
      <c r="L329" s="47" t="str">
        <f t="array" ref="L329">IF($J329&lt;&gt;"", IF($D329 = "Futuros" , $N329/xlookup(WORKDAY(B329,-1,Feriados!A:A),Controle!$B$10:$B$1000,Controle!$T$10:$T$1000) , $M329/xlookup(WORKDAY(B329,-1,Feriados!A:A),Controle!$B$10:$B$1000,Controle!$T$10:$T$1000)),"")</f>
        <v/>
      </c>
      <c r="M329" s="48" t="str">
        <f t="shared" si="4"/>
        <v/>
      </c>
      <c r="N329" s="48" t="str">
        <f>IFERROR(IF(D329="Futuros",
IF(LEFT(C329,3)="DI1",G329*O329,
IF(LEFT(C329,3)="ISP",G329*O329*HLOOKUP("PTAX",'Histórico'!$A$1:$EL$983,MATCH(B329,'Histórico'!A:A),FALSE)*50,
IF(LEFT(C329,3)="WDO",10*G329*O329*HLOOKUP("PTAX",'Histórico'!$A$1:$EL$983,MATCH(B329,'Histórico'!A:A),FALSE),
IF(LEFT(C329,3)="DOL",50*G329*O329,
IF(LEFT(C329,3)="EUR",G329*O329*50,
IF(LEFT(C329,3)="WEU",G329*O329*10,
IF(LEFT(C329,3)="IND",G329*O329,
IF(LEFT(C329,3)="WIN",G329*O329*0.2,
IF(LEFT(C329,3)="T10",G329*O329*1000*HLOOKUP("PTAX",'Histórico'!$A$1:$EL$983,MATCH(B329,'Histórico'!A:A),FALSE),
IF(LEFT(C329,3)="CCM",G329*O329*450,
IF(LEFT(C329,3)="SJC",G329*O329*HLOOKUP("PTAX",'Histórico'!$A$1:$EL$983,MATCH(B329,'Histórico'!A:A),FALSE)*450,
IF(LEFT(C329,3)="BGI",G329*O329*330,
IF(LEFT(C329,3)="OZ1",G329*O329*250,
IF(LEFT(C329,3)="CLP",G329*O329*25,
IF(LEFT(C329,3)="EUP", O329*10000*HLOOKUP("EUR/BRL",'Histórico'!$A$1:$EL$983,MATCH(B329,'Histórico'!A:A),FALSE),
IF(LEFT(C329,3)="JSE", G329*O329*0.4,
IF(LEFT(C329,3)="GBP", O329*10000*HLOOKUP("GBP/BRL",'Histórico'!$A$1:$FG$983,MATCH(B329,'Histórico'!A:A),FALSE),
IF(LEFT(C329,3)="JAP",O329*10000*HLOOKUP("PTAX",'Histórico'!$A$1:$FG$983,MATCH(B329,'Histórico'!A:A),FALSE),
IF(LEFT(C329,3)="CNH",O329*10000*HLOOKUP("PTAX",'Histórico'!$A$1:$FG$983,MATCH(B329,'Histórico'!A:A),FALSE),
IF(LEFT(C329,3)="AUS",O329*10000*HLOOKUP("PTAX",'Histórico'!$A$1:$FG$983,MATCH(B329,'Histórico'!A:A),FALSE),
IF(LEFT(C329,3)="CAN",O329*10000*HLOOKUP("PTAX",'Histórico'!$A$1:$FG$983,MATCH(B329,'Histórico'!A:A),FALSE),
IF(LEFT(C329,3)="GBR",O329*10000*HLOOKUP("GBP/BRL",'Histórico'!$A$1:$FG$983,MATCH(B329,'Histórico'!A:A),FALSE),
IF(LEFT(C329,3)="MEX",O329*10000*HLOOKUP("PTAX",'Histórico'!$A$1:$FG$983,MATCH(B329,'Histórico'!A:A),FALSE),
IF(LEFT(C329,3)="CHL",O329*10000*HLOOKUP("PTAX",'Histórico'!$A$1:$FG$983,MATCH(B329,'Histórico'!A:A),FALSE)
)))))))))))))))))))))))),""))</f>
        <v/>
      </c>
      <c r="O329" s="49" t="str">
        <f t="shared" si="2"/>
        <v/>
      </c>
      <c r="P329" s="49" t="str">
        <f t="shared" si="5"/>
        <v/>
      </c>
      <c r="Q329" s="51" t="str">
        <f>IF($C329&lt;&gt;"",SUMIFS($O$3:$O$401, $C$3:$C$401 ,$C329,$B$3:$B$401,"&lt;="&amp;Controle!$B$6),"")</f>
        <v/>
      </c>
      <c r="R329" s="51" t="str">
        <f>IF($D329&lt;&gt;"",SUMIFS($O$3:$O$401, $C$3:$C$401 ,$C329,$B$3:$B$401,"&lt;="&amp;Controle!$B$6,$F$3:$F$401,$F329),"")</f>
        <v/>
      </c>
      <c r="S329" s="51" t="str">
        <f>IF($D329&lt;&gt;"",SUMIFS($O$3:$O$401, $C$3:$C$401 ,$C329,$B$3:$B$401,"&lt;="&amp;'Controle D-1'!$B$6,$F$3:$F$401,$F329),"")</f>
        <v/>
      </c>
      <c r="T329" s="40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146"/>
      <c r="B330" s="149"/>
      <c r="C330" s="150"/>
      <c r="D330" s="150" t="str">
        <f>IF(ISTEXT(C330),VLOOKUP(C330,'Cadastro dos Ativos'!$A$2:$C$1000,3,0),"")</f>
        <v/>
      </c>
      <c r="E330" s="150"/>
      <c r="F330" s="150"/>
      <c r="G330" s="151"/>
      <c r="H330" s="46" t="str">
        <f>if($D330="Ações Americanas", HLOOKUP("PTAX",'Histórico'!$A$1:$EL$983,(MATCH(B330,'Histórico'!A:A))-1,""),
if($D330="Ações Europeias", HLOOKUP("EUR/BRL",'Histórico'!$A$1:$EL$983,(MATCH(B330,'Histórico'!A:A))-1,""),""))</f>
        <v/>
      </c>
      <c r="I330" s="150" t="str">
        <f t="array" ref="I330">IF(ISTEXT(C330),xlookup(C330,'Cadastro dos Ativos'!$A$2:$A$1000,'Cadastro dos Ativos'!$D$2:$D$1000),"")</f>
        <v/>
      </c>
      <c r="J330" s="150"/>
      <c r="K330" s="47" t="str">
        <f t="array" ref="K330">if(and(J330&lt;&gt;"",D330&lt;&gt;"Futuros"),
if(F330=Controle!$C$2, M330/xlookup(workday(B330,-1,Feriados!A:A),Controle!$B$10:$B$1000,Controle!$C$10:$C$1000),
if(F330=Controle!$F$2, M330/xlookup(workday(B330,-1,Feriados!A:A),Controle!$B$10:$B$1000,Controle!$F$10:$F$1000),
if(F330=Controle!$I$2, M330/xlookup(workday(B330,-1,Feriados!A:A),Controle!$B$10:$B$1000,Controle!$I$10:$I$1000),
if(F330=Controle!$L$2, M330/xlookup(workday(B330,-1,Feriados!A:A),Controle!$B$10:$B$1000,Controle!$L$10:$L$1000),
)))),
if(and(J330&lt;&gt;"",D330="Futuros"),
if(F330=Controle!$C$2, N330/xlookup(workday(B330,-1,Feriados!A:A),Controle!$B$10:$B$1000,Controle!$C$10:$C$1000),
if(F330=Controle!$F$2, N330/xlookup(workday(B330,-1,Feriados!A:A),Controle!$B$10:$B$1000,Controle!$F$10:$F$1000),
if(F330=Controle!$I$2, N330/xlookup(workday(B330,-1,Feriados!A:A),Controle!$B$10:$B$1000,Controle!$I$10:$I$1000),
if(F330=Controle!$L$2, N330/xlookup(workday(B330,-1,Feriados!A:A),Controle!$B$10:$B$1000,Controle!$L$10:$L$1000),
)))),""))</f>
        <v/>
      </c>
      <c r="L330" s="47" t="str">
        <f t="array" ref="L330">IF($J330&lt;&gt;"", IF($D330 = "Futuros" , $N330/xlookup(WORKDAY(B330,-1,Feriados!A:A),Controle!$B$10:$B$1000,Controle!$T$10:$T$1000) , $M330/xlookup(WORKDAY(B330,-1,Feriados!A:A),Controle!$B$10:$B$1000,Controle!$T$10:$T$1000)),"")</f>
        <v/>
      </c>
      <c r="M330" s="48" t="str">
        <f t="shared" si="4"/>
        <v/>
      </c>
      <c r="N330" s="48" t="str">
        <f>IFERROR(IF(D330="Futuros",
IF(LEFT(C330,3)="DI1",G330*O330,
IF(LEFT(C330,3)="ISP",G330*O330*HLOOKUP("PTAX",'Histórico'!$A$1:$EL$983,MATCH(B330,'Histórico'!A:A),FALSE)*50,
IF(LEFT(C330,3)="WDO",10*G330*O330*HLOOKUP("PTAX",'Histórico'!$A$1:$EL$983,MATCH(B330,'Histórico'!A:A),FALSE),
IF(LEFT(C330,3)="DOL",50*G330*O330,
IF(LEFT(C330,3)="EUR",G330*O330*50,
IF(LEFT(C330,3)="WEU",G330*O330*10,
IF(LEFT(C330,3)="IND",G330*O330,
IF(LEFT(C330,3)="WIN",G330*O330*0.2,
IF(LEFT(C330,3)="T10",G330*O330*1000*HLOOKUP("PTAX",'Histórico'!$A$1:$EL$983,MATCH(B330,'Histórico'!A:A),FALSE),
IF(LEFT(C330,3)="CCM",G330*O330*450,
IF(LEFT(C330,3)="SJC",G330*O330*HLOOKUP("PTAX",'Histórico'!$A$1:$EL$983,MATCH(B330,'Histórico'!A:A),FALSE)*450,
IF(LEFT(C330,3)="BGI",G330*O330*330,
IF(LEFT(C330,3)="OZ1",G330*O330*250,
IF(LEFT(C330,3)="CLP",G330*O330*25,
IF(LEFT(C330,3)="EUP", O330*10000*HLOOKUP("EUR/BRL",'Histórico'!$A$1:$EL$983,MATCH(B330,'Histórico'!A:A),FALSE),
IF(LEFT(C330,3)="JSE", G330*O330*0.4,
IF(LEFT(C330,3)="GBP", O330*10000*HLOOKUP("GBP/BRL",'Histórico'!$A$1:$FG$983,MATCH(B330,'Histórico'!A:A),FALSE),
IF(LEFT(C330,3)="JAP",O330*10000*HLOOKUP("PTAX",'Histórico'!$A$1:$FG$983,MATCH(B330,'Histórico'!A:A),FALSE),
IF(LEFT(C330,3)="CNH",O330*10000*HLOOKUP("PTAX",'Histórico'!$A$1:$FG$983,MATCH(B330,'Histórico'!A:A),FALSE),
IF(LEFT(C330,3)="AUS",O330*10000*HLOOKUP("PTAX",'Histórico'!$A$1:$FG$983,MATCH(B330,'Histórico'!A:A),FALSE),
IF(LEFT(C330,3)="CAN",O330*10000*HLOOKUP("PTAX",'Histórico'!$A$1:$FG$983,MATCH(B330,'Histórico'!A:A),FALSE),
IF(LEFT(C330,3)="GBR",O330*10000*HLOOKUP("GBP/BRL",'Histórico'!$A$1:$FG$983,MATCH(B330,'Histórico'!A:A),FALSE),
IF(LEFT(C330,3)="MEX",O330*10000*HLOOKUP("PTAX",'Histórico'!$A$1:$FG$983,MATCH(B330,'Histórico'!A:A),FALSE),
IF(LEFT(C330,3)="CHL",O330*10000*HLOOKUP("PTAX",'Histórico'!$A$1:$FG$983,MATCH(B330,'Histórico'!A:A),FALSE)
)))))))))))))))))))))))),""))</f>
        <v/>
      </c>
      <c r="O330" s="49" t="str">
        <f t="shared" si="2"/>
        <v/>
      </c>
      <c r="P330" s="49" t="str">
        <f t="shared" si="5"/>
        <v/>
      </c>
      <c r="Q330" s="51" t="str">
        <f>IF($C330&lt;&gt;"",SUMIFS($O$3:$O$401, $C$3:$C$401 ,$C330,$B$3:$B$401,"&lt;="&amp;Controle!$B$6),"")</f>
        <v/>
      </c>
      <c r="R330" s="51" t="str">
        <f>IF($D330&lt;&gt;"",SUMIFS($O$3:$O$401, $C$3:$C$401 ,$C330,$B$3:$B$401,"&lt;="&amp;Controle!$B$6,$F$3:$F$401,$F330),"")</f>
        <v/>
      </c>
      <c r="S330" s="51" t="str">
        <f>IF($D330&lt;&gt;"",SUMIFS($O$3:$O$401, $C$3:$C$401 ,$C330,$B$3:$B$401,"&lt;="&amp;'Controle D-1'!$B$6,$F$3:$F$401,$F330),"")</f>
        <v/>
      </c>
      <c r="T330" s="40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146"/>
      <c r="B331" s="149"/>
      <c r="C331" s="150"/>
      <c r="D331" s="150" t="str">
        <f>IF(ISTEXT(C331),VLOOKUP(C331,'Cadastro dos Ativos'!$A$2:$C$1000,3,0),"")</f>
        <v/>
      </c>
      <c r="E331" s="150"/>
      <c r="F331" s="150"/>
      <c r="G331" s="151"/>
      <c r="H331" s="101" t="str">
        <f>if($D331="Ações Americanas", HLOOKUP("PTAX",'Histórico'!$A$1:$EL$983,(MATCH(B331,'Histórico'!A:A))-1,""),
if($D331="Ações Europeias", HLOOKUP("EUR/BRL",'Histórico'!$A$1:$EL$983,(MATCH(B331,'Histórico'!A:A))-1,""),""))</f>
        <v/>
      </c>
      <c r="I331" s="150" t="str">
        <f t="array" ref="I331">IF(ISTEXT(C331),xlookup(C331,'Cadastro dos Ativos'!$A$2:$A$1000,'Cadastro dos Ativos'!$D$2:$D$1000),"")</f>
        <v/>
      </c>
      <c r="J331" s="150"/>
      <c r="K331" s="47" t="str">
        <f t="array" ref="K331">if(and(J331&lt;&gt;"",D331&lt;&gt;"Futuros"),
if(F331=Controle!$C$2, M331/xlookup(workday(B331,-1,Feriados!A:A),Controle!$B$10:$B$1000,Controle!$C$10:$C$1000),
if(F331=Controle!$F$2, M331/xlookup(workday(B331,-1,Feriados!A:A),Controle!$B$10:$B$1000,Controle!$F$10:$F$1000),
if(F331=Controle!$I$2, M331/xlookup(workday(B331,-1,Feriados!A:A),Controle!$B$10:$B$1000,Controle!$I$10:$I$1000),
if(F331=Controle!$L$2, M331/xlookup(workday(B331,-1,Feriados!A:A),Controle!$B$10:$B$1000,Controle!$L$10:$L$1000),
)))),
if(and(J331&lt;&gt;"",D331="Futuros"),
if(F331=Controle!$C$2, N331/xlookup(workday(B331,-1,Feriados!A:A),Controle!$B$10:$B$1000,Controle!$C$10:$C$1000),
if(F331=Controle!$F$2, N331/xlookup(workday(B331,-1,Feriados!A:A),Controle!$B$10:$B$1000,Controle!$F$10:$F$1000),
if(F331=Controle!$I$2, N331/xlookup(workday(B331,-1,Feriados!A:A),Controle!$B$10:$B$1000,Controle!$I$10:$I$1000),
if(F331=Controle!$L$2, N331/xlookup(workday(B331,-1,Feriados!A:A),Controle!$B$10:$B$1000,Controle!$L$10:$L$1000),
)))),""))</f>
        <v/>
      </c>
      <c r="L331" s="47" t="str">
        <f t="array" ref="L331">IF($J331&lt;&gt;"", IF($D331 = "Futuros" , $N331/xlookup(WORKDAY(B331,-1,Feriados!A:A),Controle!$B$10:$B$1000,Controle!$T$10:$T$1000) , $M331/xlookup(WORKDAY(B331,-1,Feriados!A:A),Controle!$B$10:$B$1000,Controle!$T$10:$T$1000)),"")</f>
        <v/>
      </c>
      <c r="M331" s="48" t="str">
        <f t="shared" si="4"/>
        <v/>
      </c>
      <c r="N331" s="48" t="str">
        <f>IFERROR(IF(D331="Futuros",
IF(LEFT(C331,3)="DI1",G331*O331,
IF(LEFT(C331,3)="ISP",G331*O331*HLOOKUP("PTAX",'Histórico'!$A$1:$EL$983,MATCH(B331,'Histórico'!A:A),FALSE)*50,
IF(LEFT(C331,3)="WDO",10*G331*O331*HLOOKUP("PTAX",'Histórico'!$A$1:$EL$983,MATCH(B331,'Histórico'!A:A),FALSE),
IF(LEFT(C331,3)="DOL",50*G331*O331,
IF(LEFT(C331,3)="EUR",G331*O331*50,
IF(LEFT(C331,3)="WEU",G331*O331*10,
IF(LEFT(C331,3)="IND",G331*O331,
IF(LEFT(C331,3)="WIN",G331*O331*0.2,
IF(LEFT(C331,3)="T10",G331*O331*1000*HLOOKUP("PTAX",'Histórico'!$A$1:$EL$983,MATCH(B331,'Histórico'!A:A),FALSE),
IF(LEFT(C331,3)="CCM",G331*O331*450,
IF(LEFT(C331,3)="SJC",G331*O331*HLOOKUP("PTAX",'Histórico'!$A$1:$EL$983,MATCH(B331,'Histórico'!A:A),FALSE)*450,
IF(LEFT(C331,3)="BGI",G331*O331*330,
IF(LEFT(C331,3)="OZ1",G331*O331*250,
IF(LEFT(C331,3)="CLP",G331*O331*25,
IF(LEFT(C331,3)="EUP", O331*10000*HLOOKUP("EUR/BRL",'Histórico'!$A$1:$EL$983,MATCH(B331,'Histórico'!A:A),FALSE),
IF(LEFT(C331,3)="JSE", G331*O331*0.4,
IF(LEFT(C331,3)="GBP", O331*10000*HLOOKUP("GBP/BRL",'Histórico'!$A$1:$FG$983,MATCH(B331,'Histórico'!A:A),FALSE),
IF(LEFT(C331,3)="JAP",O331*10000*HLOOKUP("PTAX",'Histórico'!$A$1:$FG$983,MATCH(B331,'Histórico'!A:A),FALSE),
IF(LEFT(C331,3)="CNH",O331*10000*HLOOKUP("PTAX",'Histórico'!$A$1:$FG$983,MATCH(B331,'Histórico'!A:A),FALSE),
IF(LEFT(C331,3)="AUS",O331*10000*HLOOKUP("PTAX",'Histórico'!$A$1:$FG$983,MATCH(B331,'Histórico'!A:A),FALSE),
IF(LEFT(C331,3)="CAN",O331*10000*HLOOKUP("PTAX",'Histórico'!$A$1:$FG$983,MATCH(B331,'Histórico'!A:A),FALSE),
IF(LEFT(C331,3)="GBR",O331*10000*HLOOKUP("GBP/BRL",'Histórico'!$A$1:$FG$983,MATCH(B331,'Histórico'!A:A),FALSE),
IF(LEFT(C331,3)="MEX",O331*10000*HLOOKUP("PTAX",'Histórico'!$A$1:$FG$983,MATCH(B331,'Histórico'!A:A),FALSE),
IF(LEFT(C331,3)="CHL",O331*10000*HLOOKUP("PTAX",'Histórico'!$A$1:$FG$983,MATCH(B331,'Histórico'!A:A),FALSE)
)))))))))))))))))))))))),""))</f>
        <v/>
      </c>
      <c r="O331" s="49" t="str">
        <f t="shared" si="2"/>
        <v/>
      </c>
      <c r="P331" s="49" t="str">
        <f t="shared" si="5"/>
        <v/>
      </c>
      <c r="Q331" s="51" t="str">
        <f>IF($C331&lt;&gt;"",SUMIFS($O$3:$O$401, $C$3:$C$401 ,$C331,$B$3:$B$401,"&lt;="&amp;Controle!$B$6),"")</f>
        <v/>
      </c>
      <c r="R331" s="51" t="str">
        <f>IF($D331&lt;&gt;"",SUMIFS($O$3:$O$401, $C$3:$C$401 ,$C331,$B$3:$B$401,"&lt;="&amp;Controle!$B$6,$F$3:$F$401,$F331),"")</f>
        <v/>
      </c>
      <c r="S331" s="51" t="str">
        <f>IF($D331&lt;&gt;"",SUMIFS($O$3:$O$401, $C$3:$C$401 ,$C331,$B$3:$B$401,"&lt;="&amp;'Controle D-1'!$B$6,$F$3:$F$401,$F331),"")</f>
        <v/>
      </c>
      <c r="T331" s="40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146"/>
      <c r="B332" s="149"/>
      <c r="C332" s="150"/>
      <c r="D332" s="150" t="str">
        <f>IF(ISTEXT(C332),VLOOKUP(C332,'Cadastro dos Ativos'!$A$2:$C$1000,3,0),"")</f>
        <v/>
      </c>
      <c r="E332" s="150"/>
      <c r="F332" s="150"/>
      <c r="G332" s="151"/>
      <c r="H332" s="46" t="str">
        <f>if($D332="Ações Americanas", HLOOKUP("PTAX",'Histórico'!$A$1:$EL$983,(MATCH(B332,'Histórico'!A:A))-1,""),
if($D332="Ações Europeias", HLOOKUP("EUR/BRL",'Histórico'!$A$1:$EL$983,(MATCH(B332,'Histórico'!A:A))-1,""),""))</f>
        <v/>
      </c>
      <c r="I332" s="150" t="str">
        <f t="array" ref="I332">IF(ISTEXT(C332),xlookup(C332,'Cadastro dos Ativos'!$A$2:$A$1000,'Cadastro dos Ativos'!$D$2:$D$1000),"")</f>
        <v/>
      </c>
      <c r="J332" s="150"/>
      <c r="K332" s="47" t="str">
        <f t="array" ref="K332">if(and(J332&lt;&gt;"",D332&lt;&gt;"Futuros"),
if(F332=Controle!$C$2, M332/xlookup(workday(B332,-1,Feriados!A:A),Controle!$B$10:$B$1000,Controle!$C$10:$C$1000),
if(F332=Controle!$F$2, M332/xlookup(workday(B332,-1,Feriados!A:A),Controle!$B$10:$B$1000,Controle!$F$10:$F$1000),
if(F332=Controle!$I$2, M332/xlookup(workday(B332,-1,Feriados!A:A),Controle!$B$10:$B$1000,Controle!$I$10:$I$1000),
if(F332=Controle!$L$2, M332/xlookup(workday(B332,-1,Feriados!A:A),Controle!$B$10:$B$1000,Controle!$L$10:$L$1000),
)))),
if(and(J332&lt;&gt;"",D332="Futuros"),
if(F332=Controle!$C$2, N332/xlookup(workday(B332,-1,Feriados!A:A),Controle!$B$10:$B$1000,Controle!$C$10:$C$1000),
if(F332=Controle!$F$2, N332/xlookup(workday(B332,-1,Feriados!A:A),Controle!$B$10:$B$1000,Controle!$F$10:$F$1000),
if(F332=Controle!$I$2, N332/xlookup(workday(B332,-1,Feriados!A:A),Controle!$B$10:$B$1000,Controle!$I$10:$I$1000),
if(F332=Controle!$L$2, N332/xlookup(workday(B332,-1,Feriados!A:A),Controle!$B$10:$B$1000,Controle!$L$10:$L$1000),
)))),""))</f>
        <v/>
      </c>
      <c r="L332" s="47" t="str">
        <f t="array" ref="L332">IF($J332&lt;&gt;"", IF($D332 = "Futuros" , $N332/xlookup(WORKDAY(B332,-1,Feriados!A:A),Controle!$B$10:$B$1000,Controle!$T$10:$T$1000) , $M332/xlookup(WORKDAY(B332,-1,Feriados!A:A),Controle!$B$10:$B$1000,Controle!$T$10:$T$1000)),"")</f>
        <v/>
      </c>
      <c r="M332" s="48" t="str">
        <f t="shared" si="4"/>
        <v/>
      </c>
      <c r="N332" s="48" t="str">
        <f>IFERROR(IF(D332="Futuros",
IF(LEFT(C332,3)="DI1",G332*O332,
IF(LEFT(C332,3)="ISP",G332*O332*HLOOKUP("PTAX",'Histórico'!$A$1:$EL$983,MATCH(B332,'Histórico'!A:A),FALSE)*50,
IF(LEFT(C332,3)="WDO",10*G332*O332*HLOOKUP("PTAX",'Histórico'!$A$1:$EL$983,MATCH(B332,'Histórico'!A:A),FALSE),
IF(LEFT(C332,3)="DOL",50*G332*O332,
IF(LEFT(C332,3)="EUR",G332*O332*50,
IF(LEFT(C332,3)="WEU",G332*O332*10,
IF(LEFT(C332,3)="IND",G332*O332,
IF(LEFT(C332,3)="WIN",G332*O332*0.2,
IF(LEFT(C332,3)="T10",G332*O332*1000*HLOOKUP("PTAX",'Histórico'!$A$1:$EL$983,MATCH(B332,'Histórico'!A:A),FALSE),
IF(LEFT(C332,3)="CCM",G332*O332*450,
IF(LEFT(C332,3)="SJC",G332*O332*HLOOKUP("PTAX",'Histórico'!$A$1:$EL$983,MATCH(B332,'Histórico'!A:A),FALSE)*450,
IF(LEFT(C332,3)="BGI",G332*O332*330,
IF(LEFT(C332,3)="OZ1",G332*O332*250,
IF(LEFT(C332,3)="CLP",G332*O332*25,
IF(LEFT(C332,3)="EUP", O332*10000*HLOOKUP("EUR/BRL",'Histórico'!$A$1:$EL$983,MATCH(B332,'Histórico'!A:A),FALSE),
IF(LEFT(C332,3)="JSE", G332*O332*0.4,
IF(LEFT(C332,3)="GBP", O332*10000*HLOOKUP("GBP/BRL",'Histórico'!$A$1:$FG$983,MATCH(B332,'Histórico'!A:A),FALSE),
IF(LEFT(C332,3)="JAP",O332*10000*HLOOKUP("PTAX",'Histórico'!$A$1:$FG$983,MATCH(B332,'Histórico'!A:A),FALSE),
IF(LEFT(C332,3)="CNH",O332*10000*HLOOKUP("PTAX",'Histórico'!$A$1:$FG$983,MATCH(B332,'Histórico'!A:A),FALSE),
IF(LEFT(C332,3)="AUS",O332*10000*HLOOKUP("PTAX",'Histórico'!$A$1:$FG$983,MATCH(B332,'Histórico'!A:A),FALSE),
IF(LEFT(C332,3)="CAN",O332*10000*HLOOKUP("PTAX",'Histórico'!$A$1:$FG$983,MATCH(B332,'Histórico'!A:A),FALSE),
IF(LEFT(C332,3)="GBR",O332*10000*HLOOKUP("GBP/BRL",'Histórico'!$A$1:$FG$983,MATCH(B332,'Histórico'!A:A),FALSE),
IF(LEFT(C332,3)="MEX",O332*10000*HLOOKUP("PTAX",'Histórico'!$A$1:$FG$983,MATCH(B332,'Histórico'!A:A),FALSE),
IF(LEFT(C332,3)="CHL",O332*10000*HLOOKUP("PTAX",'Histórico'!$A$1:$FG$983,MATCH(B332,'Histórico'!A:A),FALSE)
)))))))))))))))))))))))),""))</f>
        <v/>
      </c>
      <c r="O332" s="49" t="str">
        <f t="shared" si="2"/>
        <v/>
      </c>
      <c r="P332" s="49" t="str">
        <f t="shared" si="5"/>
        <v/>
      </c>
      <c r="Q332" s="51" t="str">
        <f>IF($C332&lt;&gt;"",SUMIFS($O$3:$O$401, $C$3:$C$401 ,$C332,$B$3:$B$401,"&lt;="&amp;Controle!$B$6),"")</f>
        <v/>
      </c>
      <c r="R332" s="51" t="str">
        <f>IF($D332&lt;&gt;"",SUMIFS($O$3:$O$401, $C$3:$C$401 ,$C332,$B$3:$B$401,"&lt;="&amp;Controle!$B$6,$F$3:$F$401,$F332),"")</f>
        <v/>
      </c>
      <c r="S332" s="51" t="str">
        <f>IF($D332&lt;&gt;"",SUMIFS($O$3:$O$401, $C$3:$C$401 ,$C332,$B$3:$B$401,"&lt;="&amp;'Controle D-1'!$B$6,$F$3:$F$401,$F332),"")</f>
        <v/>
      </c>
      <c r="T332" s="40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146"/>
      <c r="B333" s="149"/>
      <c r="C333" s="150"/>
      <c r="D333" s="150" t="str">
        <f>IF(ISTEXT(C333),VLOOKUP(C333,'Cadastro dos Ativos'!$A$2:$C$1000,3,0),"")</f>
        <v/>
      </c>
      <c r="E333" s="150"/>
      <c r="F333" s="150"/>
      <c r="G333" s="151"/>
      <c r="H333" s="101" t="str">
        <f>if($D333="Ações Americanas", HLOOKUP("PTAX",'Histórico'!$A$1:$EL$983,(MATCH(B333,'Histórico'!A:A))-1,""),
if($D333="Ações Europeias", HLOOKUP("EUR/BRL",'Histórico'!$A$1:$EL$983,(MATCH(B333,'Histórico'!A:A))-1,""),""))</f>
        <v/>
      </c>
      <c r="I333" s="150" t="str">
        <f t="array" ref="I333">IF(ISTEXT(C333),xlookup(C333,'Cadastro dos Ativos'!$A$2:$A$1000,'Cadastro dos Ativos'!$D$2:$D$1000),"")</f>
        <v/>
      </c>
      <c r="J333" s="150"/>
      <c r="K333" s="47" t="str">
        <f t="array" ref="K333">if(and(J333&lt;&gt;"",D333&lt;&gt;"Futuros"),
if(F333=Controle!$C$2, M333/xlookup(workday(B333,-1,Feriados!A:A),Controle!$B$10:$B$1000,Controle!$C$10:$C$1000),
if(F333=Controle!$F$2, M333/xlookup(workday(B333,-1,Feriados!A:A),Controle!$B$10:$B$1000,Controle!$F$10:$F$1000),
if(F333=Controle!$I$2, M333/xlookup(workday(B333,-1,Feriados!A:A),Controle!$B$10:$B$1000,Controle!$I$10:$I$1000),
if(F333=Controle!$L$2, M333/xlookup(workday(B333,-1,Feriados!A:A),Controle!$B$10:$B$1000,Controle!$L$10:$L$1000),
)))),
if(and(J333&lt;&gt;"",D333="Futuros"),
if(F333=Controle!$C$2, N333/xlookup(workday(B333,-1,Feriados!A:A),Controle!$B$10:$B$1000,Controle!$C$10:$C$1000),
if(F333=Controle!$F$2, N333/xlookup(workday(B333,-1,Feriados!A:A),Controle!$B$10:$B$1000,Controle!$F$10:$F$1000),
if(F333=Controle!$I$2, N333/xlookup(workday(B333,-1,Feriados!A:A),Controle!$B$10:$B$1000,Controle!$I$10:$I$1000),
if(F333=Controle!$L$2, N333/xlookup(workday(B333,-1,Feriados!A:A),Controle!$B$10:$B$1000,Controle!$L$10:$L$1000),
)))),""))</f>
        <v/>
      </c>
      <c r="L333" s="47" t="str">
        <f t="array" ref="L333">IF($J333&lt;&gt;"", IF($D333 = "Futuros" , $N333/xlookup(WORKDAY(B333,-1,Feriados!A:A),Controle!$B$10:$B$1000,Controle!$T$10:$T$1000) , $M333/xlookup(WORKDAY(B333,-1,Feriados!A:A),Controle!$B$10:$B$1000,Controle!$T$10:$T$1000)),"")</f>
        <v/>
      </c>
      <c r="M333" s="48" t="str">
        <f t="shared" si="4"/>
        <v/>
      </c>
      <c r="N333" s="48" t="str">
        <f>IFERROR(IF(D333="Futuros",
IF(LEFT(C333,3)="DI1",G333*O333,
IF(LEFT(C333,3)="ISP",G333*O333*HLOOKUP("PTAX",'Histórico'!$A$1:$EL$983,MATCH(B333,'Histórico'!A:A),FALSE)*50,
IF(LEFT(C333,3)="WDO",10*G333*O333*HLOOKUP("PTAX",'Histórico'!$A$1:$EL$983,MATCH(B333,'Histórico'!A:A),FALSE),
IF(LEFT(C333,3)="DOL",50*G333*O333,
IF(LEFT(C333,3)="EUR",G333*O333*50,
IF(LEFT(C333,3)="WEU",G333*O333*10,
IF(LEFT(C333,3)="IND",G333*O333,
IF(LEFT(C333,3)="WIN",G333*O333*0.2,
IF(LEFT(C333,3)="T10",G333*O333*1000*HLOOKUP("PTAX",'Histórico'!$A$1:$EL$983,MATCH(B333,'Histórico'!A:A),FALSE),
IF(LEFT(C333,3)="CCM",G333*O333*450,
IF(LEFT(C333,3)="SJC",G333*O333*HLOOKUP("PTAX",'Histórico'!$A$1:$EL$983,MATCH(B333,'Histórico'!A:A),FALSE)*450,
IF(LEFT(C333,3)="BGI",G333*O333*330,
IF(LEFT(C333,3)="OZ1",G333*O333*250,
IF(LEFT(C333,3)="CLP",G333*O333*25,
IF(LEFT(C333,3)="EUP", O333*10000*HLOOKUP("EUR/BRL",'Histórico'!$A$1:$EL$983,MATCH(B333,'Histórico'!A:A),FALSE),
IF(LEFT(C333,3)="JSE", G333*O333*0.4,
IF(LEFT(C333,3)="GBP", O333*10000*HLOOKUP("GBP/BRL",'Histórico'!$A$1:$FG$983,MATCH(B333,'Histórico'!A:A),FALSE),
IF(LEFT(C333,3)="JAP",O333*10000*HLOOKUP("PTAX",'Histórico'!$A$1:$FG$983,MATCH(B333,'Histórico'!A:A),FALSE),
IF(LEFT(C333,3)="CNH",O333*10000*HLOOKUP("PTAX",'Histórico'!$A$1:$FG$983,MATCH(B333,'Histórico'!A:A),FALSE),
IF(LEFT(C333,3)="AUS",O333*10000*HLOOKUP("PTAX",'Histórico'!$A$1:$FG$983,MATCH(B333,'Histórico'!A:A),FALSE),
IF(LEFT(C333,3)="CAN",O333*10000*HLOOKUP("PTAX",'Histórico'!$A$1:$FG$983,MATCH(B333,'Histórico'!A:A),FALSE),
IF(LEFT(C333,3)="GBR",O333*10000*HLOOKUP("GBP/BRL",'Histórico'!$A$1:$FG$983,MATCH(B333,'Histórico'!A:A),FALSE),
IF(LEFT(C333,3)="MEX",O333*10000*HLOOKUP("PTAX",'Histórico'!$A$1:$FG$983,MATCH(B333,'Histórico'!A:A),FALSE),
IF(LEFT(C333,3)="CHL",O333*10000*HLOOKUP("PTAX",'Histórico'!$A$1:$FG$983,MATCH(B333,'Histórico'!A:A),FALSE)
)))))))))))))))))))))))),""))</f>
        <v/>
      </c>
      <c r="O333" s="49" t="str">
        <f t="shared" si="2"/>
        <v/>
      </c>
      <c r="P333" s="49" t="str">
        <f t="shared" si="5"/>
        <v/>
      </c>
      <c r="Q333" s="51" t="str">
        <f>IF($C333&lt;&gt;"",SUMIFS($O$3:$O$401, $C$3:$C$401 ,$C333,$B$3:$B$401,"&lt;="&amp;Controle!$B$6),"")</f>
        <v/>
      </c>
      <c r="R333" s="51" t="str">
        <f>IF($D333&lt;&gt;"",SUMIFS($O$3:$O$401, $C$3:$C$401 ,$C333,$B$3:$B$401,"&lt;="&amp;Controle!$B$6,$F$3:$F$401,$F333),"")</f>
        <v/>
      </c>
      <c r="S333" s="51" t="str">
        <f>IF($D333&lt;&gt;"",SUMIFS($O$3:$O$401, $C$3:$C$401 ,$C333,$B$3:$B$401,"&lt;="&amp;'Controle D-1'!$B$6,$F$3:$F$401,$F333),"")</f>
        <v/>
      </c>
      <c r="T333" s="40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146"/>
      <c r="B334" s="149"/>
      <c r="C334" s="150"/>
      <c r="D334" s="150" t="str">
        <f>IF(ISTEXT(C334),VLOOKUP(C334,'Cadastro dos Ativos'!$A$2:$C$1000,3,0),"")</f>
        <v/>
      </c>
      <c r="E334" s="150"/>
      <c r="F334" s="150"/>
      <c r="G334" s="151"/>
      <c r="H334" s="46" t="str">
        <f>if($D334="Ações Americanas", HLOOKUP("PTAX",'Histórico'!$A$1:$EL$983,(MATCH(B334,'Histórico'!A:A))-1,""),
if($D334="Ações Europeias", HLOOKUP("EUR/BRL",'Histórico'!$A$1:$EL$983,(MATCH(B334,'Histórico'!A:A))-1,""),""))</f>
        <v/>
      </c>
      <c r="I334" s="150" t="str">
        <f t="array" ref="I334">IF(ISTEXT(C334),xlookup(C334,'Cadastro dos Ativos'!$A$2:$A$1000,'Cadastro dos Ativos'!$D$2:$D$1000),"")</f>
        <v/>
      </c>
      <c r="J334" s="150"/>
      <c r="K334" s="47" t="str">
        <f t="array" ref="K334">if(and(J334&lt;&gt;"",D334&lt;&gt;"Futuros"),
if(F334=Controle!$C$2, M334/xlookup(workday(B334,-1,Feriados!A:A),Controle!$B$10:$B$1000,Controle!$C$10:$C$1000),
if(F334=Controle!$F$2, M334/xlookup(workday(B334,-1,Feriados!A:A),Controle!$B$10:$B$1000,Controle!$F$10:$F$1000),
if(F334=Controle!$I$2, M334/xlookup(workday(B334,-1,Feriados!A:A),Controle!$B$10:$B$1000,Controle!$I$10:$I$1000),
if(F334=Controle!$L$2, M334/xlookup(workday(B334,-1,Feriados!A:A),Controle!$B$10:$B$1000,Controle!$L$10:$L$1000),
)))),
if(and(J334&lt;&gt;"",D334="Futuros"),
if(F334=Controle!$C$2, N334/xlookup(workday(B334,-1,Feriados!A:A),Controle!$B$10:$B$1000,Controle!$C$10:$C$1000),
if(F334=Controle!$F$2, N334/xlookup(workday(B334,-1,Feriados!A:A),Controle!$B$10:$B$1000,Controle!$F$10:$F$1000),
if(F334=Controle!$I$2, N334/xlookup(workday(B334,-1,Feriados!A:A),Controle!$B$10:$B$1000,Controle!$I$10:$I$1000),
if(F334=Controle!$L$2, N334/xlookup(workday(B334,-1,Feriados!A:A),Controle!$B$10:$B$1000,Controle!$L$10:$L$1000),
)))),""))</f>
        <v/>
      </c>
      <c r="L334" s="47" t="str">
        <f t="array" ref="L334">IF($J334&lt;&gt;"", IF($D334 = "Futuros" , $N334/xlookup(WORKDAY(B334,-1,Feriados!A:A),Controle!$B$10:$B$1000,Controle!$T$10:$T$1000) , $M334/xlookup(WORKDAY(B334,-1,Feriados!A:A),Controle!$B$10:$B$1000,Controle!$T$10:$T$1000)),"")</f>
        <v/>
      </c>
      <c r="M334" s="48" t="str">
        <f t="shared" si="4"/>
        <v/>
      </c>
      <c r="N334" s="48" t="str">
        <f>IFERROR(IF(D334="Futuros",
IF(LEFT(C334,3)="DI1",G334*O334,
IF(LEFT(C334,3)="ISP",G334*O334*HLOOKUP("PTAX",'Histórico'!$A$1:$EL$983,MATCH(B334,'Histórico'!A:A),FALSE)*50,
IF(LEFT(C334,3)="WDO",10*G334*O334*HLOOKUP("PTAX",'Histórico'!$A$1:$EL$983,MATCH(B334,'Histórico'!A:A),FALSE),
IF(LEFT(C334,3)="DOL",50*G334*O334,
IF(LEFT(C334,3)="EUR",G334*O334*50,
IF(LEFT(C334,3)="WEU",G334*O334*10,
IF(LEFT(C334,3)="IND",G334*O334,
IF(LEFT(C334,3)="WIN",G334*O334*0.2,
IF(LEFT(C334,3)="T10",G334*O334*1000*HLOOKUP("PTAX",'Histórico'!$A$1:$EL$983,MATCH(B334,'Histórico'!A:A),FALSE),
IF(LEFT(C334,3)="CCM",G334*O334*450,
IF(LEFT(C334,3)="SJC",G334*O334*HLOOKUP("PTAX",'Histórico'!$A$1:$EL$983,MATCH(B334,'Histórico'!A:A),FALSE)*450,
IF(LEFT(C334,3)="BGI",G334*O334*330,
IF(LEFT(C334,3)="OZ1",G334*O334*250,
IF(LEFT(C334,3)="CLP",G334*O334*25,
IF(LEFT(C334,3)="EUP", O334*10000*HLOOKUP("EUR/BRL",'Histórico'!$A$1:$EL$983,MATCH(B334,'Histórico'!A:A),FALSE),
IF(LEFT(C334,3)="JSE", G334*O334*0.4,
IF(LEFT(C334,3)="GBP", O334*10000*HLOOKUP("GBP/BRL",'Histórico'!$A$1:$FG$983,MATCH(B334,'Histórico'!A:A),FALSE),
IF(LEFT(C334,3)="JAP",O334*10000*HLOOKUP("PTAX",'Histórico'!$A$1:$FG$983,MATCH(B334,'Histórico'!A:A),FALSE),
IF(LEFT(C334,3)="CNH",O334*10000*HLOOKUP("PTAX",'Histórico'!$A$1:$FG$983,MATCH(B334,'Histórico'!A:A),FALSE),
IF(LEFT(C334,3)="AUS",O334*10000*HLOOKUP("PTAX",'Histórico'!$A$1:$FG$983,MATCH(B334,'Histórico'!A:A),FALSE),
IF(LEFT(C334,3)="CAN",O334*10000*HLOOKUP("PTAX",'Histórico'!$A$1:$FG$983,MATCH(B334,'Histórico'!A:A),FALSE),
IF(LEFT(C334,3)="GBR",O334*10000*HLOOKUP("GBP/BRL",'Histórico'!$A$1:$FG$983,MATCH(B334,'Histórico'!A:A),FALSE),
IF(LEFT(C334,3)="MEX",O334*10000*HLOOKUP("PTAX",'Histórico'!$A$1:$FG$983,MATCH(B334,'Histórico'!A:A),FALSE),
IF(LEFT(C334,3)="CHL",O334*10000*HLOOKUP("PTAX",'Histórico'!$A$1:$FG$983,MATCH(B334,'Histórico'!A:A),FALSE)
)))))))))))))))))))))))),""))</f>
        <v/>
      </c>
      <c r="O334" s="49" t="str">
        <f t="shared" si="2"/>
        <v/>
      </c>
      <c r="P334" s="49" t="str">
        <f t="shared" si="5"/>
        <v/>
      </c>
      <c r="Q334" s="51" t="str">
        <f>IF($C334&lt;&gt;"",SUMIFS($O$3:$O$401, $C$3:$C$401 ,$C334,$B$3:$B$401,"&lt;="&amp;Controle!$B$6),"")</f>
        <v/>
      </c>
      <c r="R334" s="51" t="str">
        <f>IF($D334&lt;&gt;"",SUMIFS($O$3:$O$401, $C$3:$C$401 ,$C334,$B$3:$B$401,"&lt;="&amp;Controle!$B$6,$F$3:$F$401,$F334),"")</f>
        <v/>
      </c>
      <c r="S334" s="51" t="str">
        <f>IF($D334&lt;&gt;"",SUMIFS($O$3:$O$401, $C$3:$C$401 ,$C334,$B$3:$B$401,"&lt;="&amp;'Controle D-1'!$B$6,$F$3:$F$401,$F334),"")</f>
        <v/>
      </c>
      <c r="T334" s="40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146"/>
      <c r="B335" s="149"/>
      <c r="C335" s="150"/>
      <c r="D335" s="150" t="str">
        <f>IF(ISTEXT(C335),VLOOKUP(C335,'Cadastro dos Ativos'!$A$2:$C$1000,3,0),"")</f>
        <v/>
      </c>
      <c r="E335" s="150"/>
      <c r="F335" s="150"/>
      <c r="G335" s="151"/>
      <c r="H335" s="101" t="str">
        <f>if($D335="Ações Americanas", HLOOKUP("PTAX",'Histórico'!$A$1:$EL$983,(MATCH(B335,'Histórico'!A:A))-1,""),
if($D335="Ações Europeias", HLOOKUP("EUR/BRL",'Histórico'!$A$1:$EL$983,(MATCH(B335,'Histórico'!A:A))-1,""),""))</f>
        <v/>
      </c>
      <c r="I335" s="150" t="str">
        <f t="array" ref="I335">IF(ISTEXT(C335),xlookup(C335,'Cadastro dos Ativos'!$A$2:$A$1000,'Cadastro dos Ativos'!$D$2:$D$1000),"")</f>
        <v/>
      </c>
      <c r="J335" s="150"/>
      <c r="K335" s="47" t="str">
        <f t="array" ref="K335">if(and(J335&lt;&gt;"",D335&lt;&gt;"Futuros"),
if(F335=Controle!$C$2, M335/xlookup(workday(B335,-1,Feriados!A:A),Controle!$B$10:$B$1000,Controle!$C$10:$C$1000),
if(F335=Controle!$F$2, M335/xlookup(workday(B335,-1,Feriados!A:A),Controle!$B$10:$B$1000,Controle!$F$10:$F$1000),
if(F335=Controle!$I$2, M335/xlookup(workday(B335,-1,Feriados!A:A),Controle!$B$10:$B$1000,Controle!$I$10:$I$1000),
if(F335=Controle!$L$2, M335/xlookup(workday(B335,-1,Feriados!A:A),Controle!$B$10:$B$1000,Controle!$L$10:$L$1000),
)))),
if(and(J335&lt;&gt;"",D335="Futuros"),
if(F335=Controle!$C$2, N335/xlookup(workday(B335,-1,Feriados!A:A),Controle!$B$10:$B$1000,Controle!$C$10:$C$1000),
if(F335=Controle!$F$2, N335/xlookup(workday(B335,-1,Feriados!A:A),Controle!$B$10:$B$1000,Controle!$F$10:$F$1000),
if(F335=Controle!$I$2, N335/xlookup(workday(B335,-1,Feriados!A:A),Controle!$B$10:$B$1000,Controle!$I$10:$I$1000),
if(F335=Controle!$L$2, N335/xlookup(workday(B335,-1,Feriados!A:A),Controle!$B$10:$B$1000,Controle!$L$10:$L$1000),
)))),""))</f>
        <v/>
      </c>
      <c r="L335" s="47" t="str">
        <f t="array" ref="L335">IF($J335&lt;&gt;"", IF($D335 = "Futuros" , $N335/xlookup(WORKDAY(B335,-1,Feriados!A:A),Controle!$B$10:$B$1000,Controle!$T$10:$T$1000) , $M335/xlookup(WORKDAY(B335,-1,Feriados!A:A),Controle!$B$10:$B$1000,Controle!$T$10:$T$1000)),"")</f>
        <v/>
      </c>
      <c r="M335" s="48" t="str">
        <f t="shared" si="4"/>
        <v/>
      </c>
      <c r="N335" s="48" t="str">
        <f>IFERROR(IF(D335="Futuros",
IF(LEFT(C335,3)="DI1",G335*O335,
IF(LEFT(C335,3)="ISP",G335*O335*HLOOKUP("PTAX",'Histórico'!$A$1:$EL$983,MATCH(B335,'Histórico'!A:A),FALSE)*50,
IF(LEFT(C335,3)="WDO",10*G335*O335*HLOOKUP("PTAX",'Histórico'!$A$1:$EL$983,MATCH(B335,'Histórico'!A:A),FALSE),
IF(LEFT(C335,3)="DOL",50*G335*O335,
IF(LEFT(C335,3)="EUR",G335*O335*50,
IF(LEFT(C335,3)="WEU",G335*O335*10,
IF(LEFT(C335,3)="IND",G335*O335,
IF(LEFT(C335,3)="WIN",G335*O335*0.2,
IF(LEFT(C335,3)="T10",G335*O335*1000*HLOOKUP("PTAX",'Histórico'!$A$1:$EL$983,MATCH(B335,'Histórico'!A:A),FALSE),
IF(LEFT(C335,3)="CCM",G335*O335*450,
IF(LEFT(C335,3)="SJC",G335*O335*HLOOKUP("PTAX",'Histórico'!$A$1:$EL$983,MATCH(B335,'Histórico'!A:A),FALSE)*450,
IF(LEFT(C335,3)="BGI",G335*O335*330,
IF(LEFT(C335,3)="OZ1",G335*O335*250,
IF(LEFT(C335,3)="CLP",G335*O335*25,
IF(LEFT(C335,3)="EUP", O335*10000*HLOOKUP("EUR/BRL",'Histórico'!$A$1:$EL$983,MATCH(B335,'Histórico'!A:A),FALSE),
IF(LEFT(C335,3)="JSE", G335*O335*0.4,
IF(LEFT(C335,3)="GBP", O335*10000*HLOOKUP("GBP/BRL",'Histórico'!$A$1:$FG$983,MATCH(B335,'Histórico'!A:A),FALSE),
IF(LEFT(C335,3)="JAP",O335*10000*HLOOKUP("PTAX",'Histórico'!$A$1:$FG$983,MATCH(B335,'Histórico'!A:A),FALSE),
IF(LEFT(C335,3)="CNH",O335*10000*HLOOKUP("PTAX",'Histórico'!$A$1:$FG$983,MATCH(B335,'Histórico'!A:A),FALSE),
IF(LEFT(C335,3)="AUS",O335*10000*HLOOKUP("PTAX",'Histórico'!$A$1:$FG$983,MATCH(B335,'Histórico'!A:A),FALSE),
IF(LEFT(C335,3)="CAN",O335*10000*HLOOKUP("PTAX",'Histórico'!$A$1:$FG$983,MATCH(B335,'Histórico'!A:A),FALSE),
IF(LEFT(C335,3)="GBR",O335*10000*HLOOKUP("GBP/BRL",'Histórico'!$A$1:$FG$983,MATCH(B335,'Histórico'!A:A),FALSE),
IF(LEFT(C335,3)="MEX",O335*10000*HLOOKUP("PTAX",'Histórico'!$A$1:$FG$983,MATCH(B335,'Histórico'!A:A),FALSE),
IF(LEFT(C335,3)="CHL",O335*10000*HLOOKUP("PTAX",'Histórico'!$A$1:$FG$983,MATCH(B335,'Histórico'!A:A),FALSE)
)))))))))))))))))))))))),""))</f>
        <v/>
      </c>
      <c r="O335" s="49" t="str">
        <f t="shared" si="2"/>
        <v/>
      </c>
      <c r="P335" s="49" t="str">
        <f t="shared" si="5"/>
        <v/>
      </c>
      <c r="Q335" s="51" t="str">
        <f>IF($C335&lt;&gt;"",SUMIFS($O$3:$O$401, $C$3:$C$401 ,$C335,$B$3:$B$401,"&lt;="&amp;Controle!$B$6),"")</f>
        <v/>
      </c>
      <c r="R335" s="51" t="str">
        <f>IF($D335&lt;&gt;"",SUMIFS($O$3:$O$401, $C$3:$C$401 ,$C335,$B$3:$B$401,"&lt;="&amp;Controle!$B$6,$F$3:$F$401,$F335),"")</f>
        <v/>
      </c>
      <c r="S335" s="51" t="str">
        <f>IF($D335&lt;&gt;"",SUMIFS($O$3:$O$401, $C$3:$C$401 ,$C335,$B$3:$B$401,"&lt;="&amp;'Controle D-1'!$B$6,$F$3:$F$401,$F335),"")</f>
        <v/>
      </c>
      <c r="T335" s="40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146"/>
      <c r="B336" s="149"/>
      <c r="C336" s="150"/>
      <c r="D336" s="150" t="str">
        <f>IF(ISTEXT(C336),VLOOKUP(C336,'Cadastro dos Ativos'!$A$2:$C$1000,3,0),"")</f>
        <v/>
      </c>
      <c r="E336" s="150"/>
      <c r="F336" s="150"/>
      <c r="G336" s="151"/>
      <c r="H336" s="46" t="str">
        <f>if($D336="Ações Americanas", HLOOKUP("PTAX",'Histórico'!$A$1:$EL$983,(MATCH(B336,'Histórico'!A:A))-1,""),
if($D336="Ações Europeias", HLOOKUP("EUR/BRL",'Histórico'!$A$1:$EL$983,(MATCH(B336,'Histórico'!A:A))-1,""),""))</f>
        <v/>
      </c>
      <c r="I336" s="150" t="str">
        <f t="array" ref="I336">IF(ISTEXT(C336),xlookup(C336,'Cadastro dos Ativos'!$A$2:$A$1000,'Cadastro dos Ativos'!$D$2:$D$1000),"")</f>
        <v/>
      </c>
      <c r="J336" s="150"/>
      <c r="K336" s="47" t="str">
        <f t="array" ref="K336">if(and(J336&lt;&gt;"",D336&lt;&gt;"Futuros"),
if(F336=Controle!$C$2, M336/xlookup(workday(B336,-1,Feriados!A:A),Controle!$B$10:$B$1000,Controle!$C$10:$C$1000),
if(F336=Controle!$F$2, M336/xlookup(workday(B336,-1,Feriados!A:A),Controle!$B$10:$B$1000,Controle!$F$10:$F$1000),
if(F336=Controle!$I$2, M336/xlookup(workday(B336,-1,Feriados!A:A),Controle!$B$10:$B$1000,Controle!$I$10:$I$1000),
if(F336=Controle!$L$2, M336/xlookup(workday(B336,-1,Feriados!A:A),Controle!$B$10:$B$1000,Controle!$L$10:$L$1000),
)))),
if(and(J336&lt;&gt;"",D336="Futuros"),
if(F336=Controle!$C$2, N336/xlookup(workday(B336,-1,Feriados!A:A),Controle!$B$10:$B$1000,Controle!$C$10:$C$1000),
if(F336=Controle!$F$2, N336/xlookup(workday(B336,-1,Feriados!A:A),Controle!$B$10:$B$1000,Controle!$F$10:$F$1000),
if(F336=Controle!$I$2, N336/xlookup(workday(B336,-1,Feriados!A:A),Controle!$B$10:$B$1000,Controle!$I$10:$I$1000),
if(F336=Controle!$L$2, N336/xlookup(workday(B336,-1,Feriados!A:A),Controle!$B$10:$B$1000,Controle!$L$10:$L$1000),
)))),""))</f>
        <v/>
      </c>
      <c r="L336" s="47" t="str">
        <f t="array" ref="L336">IF($J336&lt;&gt;"", IF($D336 = "Futuros" , $N336/xlookup(WORKDAY(B336,-1,Feriados!A:A),Controle!$B$10:$B$1000,Controle!$T$10:$T$1000) , $M336/xlookup(WORKDAY(B336,-1,Feriados!A:A),Controle!$B$10:$B$1000,Controle!$T$10:$T$1000)),"")</f>
        <v/>
      </c>
      <c r="M336" s="48" t="str">
        <f t="shared" si="4"/>
        <v/>
      </c>
      <c r="N336" s="48" t="str">
        <f>IFERROR(IF(D336="Futuros",
IF(LEFT(C336,3)="DI1",G336*O336,
IF(LEFT(C336,3)="ISP",G336*O336*HLOOKUP("PTAX",'Histórico'!$A$1:$EL$983,MATCH(B336,'Histórico'!A:A),FALSE)*50,
IF(LEFT(C336,3)="WDO",10*G336*O336*HLOOKUP("PTAX",'Histórico'!$A$1:$EL$983,MATCH(B336,'Histórico'!A:A),FALSE),
IF(LEFT(C336,3)="DOL",50*G336*O336,
IF(LEFT(C336,3)="EUR",G336*O336*50,
IF(LEFT(C336,3)="WEU",G336*O336*10,
IF(LEFT(C336,3)="IND",G336*O336,
IF(LEFT(C336,3)="WIN",G336*O336*0.2,
IF(LEFT(C336,3)="T10",G336*O336*1000*HLOOKUP("PTAX",'Histórico'!$A$1:$EL$983,MATCH(B336,'Histórico'!A:A),FALSE),
IF(LEFT(C336,3)="CCM",G336*O336*450,
IF(LEFT(C336,3)="SJC",G336*O336*HLOOKUP("PTAX",'Histórico'!$A$1:$EL$983,MATCH(B336,'Histórico'!A:A),FALSE)*450,
IF(LEFT(C336,3)="BGI",G336*O336*330,
IF(LEFT(C336,3)="OZ1",G336*O336*250,
IF(LEFT(C336,3)="CLP",G336*O336*25,
IF(LEFT(C336,3)="EUP", O336*10000*HLOOKUP("EUR/BRL",'Histórico'!$A$1:$EL$983,MATCH(B336,'Histórico'!A:A),FALSE),
IF(LEFT(C336,3)="JSE", G336*O336*0.4,
IF(LEFT(C336,3)="GBP", O336*10000*HLOOKUP("GBP/BRL",'Histórico'!$A$1:$FG$983,MATCH(B336,'Histórico'!A:A),FALSE),
IF(LEFT(C336,3)="JAP",O336*10000*HLOOKUP("PTAX",'Histórico'!$A$1:$FG$983,MATCH(B336,'Histórico'!A:A),FALSE),
IF(LEFT(C336,3)="CNH",O336*10000*HLOOKUP("PTAX",'Histórico'!$A$1:$FG$983,MATCH(B336,'Histórico'!A:A),FALSE),
IF(LEFT(C336,3)="AUS",O336*10000*HLOOKUP("PTAX",'Histórico'!$A$1:$FG$983,MATCH(B336,'Histórico'!A:A),FALSE),
IF(LEFT(C336,3)="CAN",O336*10000*HLOOKUP("PTAX",'Histórico'!$A$1:$FG$983,MATCH(B336,'Histórico'!A:A),FALSE),
IF(LEFT(C336,3)="GBR",O336*10000*HLOOKUP("GBP/BRL",'Histórico'!$A$1:$FG$983,MATCH(B336,'Histórico'!A:A),FALSE),
IF(LEFT(C336,3)="MEX",O336*10000*HLOOKUP("PTAX",'Histórico'!$A$1:$FG$983,MATCH(B336,'Histórico'!A:A),FALSE),
IF(LEFT(C336,3)="CHL",O336*10000*HLOOKUP("PTAX",'Histórico'!$A$1:$FG$983,MATCH(B336,'Histórico'!A:A),FALSE)
)))))))))))))))))))))))),""))</f>
        <v/>
      </c>
      <c r="O336" s="49" t="str">
        <f t="shared" si="2"/>
        <v/>
      </c>
      <c r="P336" s="49" t="str">
        <f t="shared" si="5"/>
        <v/>
      </c>
      <c r="Q336" s="51" t="str">
        <f>IF($C336&lt;&gt;"",SUMIFS($O$3:$O$401, $C$3:$C$401 ,$C336,$B$3:$B$401,"&lt;="&amp;Controle!$B$6),"")</f>
        <v/>
      </c>
      <c r="R336" s="51" t="str">
        <f>IF($D336&lt;&gt;"",SUMIFS($O$3:$O$401, $C$3:$C$401 ,$C336,$B$3:$B$401,"&lt;="&amp;Controle!$B$6,$F$3:$F$401,$F336),"")</f>
        <v/>
      </c>
      <c r="S336" s="51" t="str">
        <f>IF($D336&lt;&gt;"",SUMIFS($O$3:$O$401, $C$3:$C$401 ,$C336,$B$3:$B$401,"&lt;="&amp;'Controle D-1'!$B$6,$F$3:$F$401,$F336),"")</f>
        <v/>
      </c>
      <c r="T336" s="40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146"/>
      <c r="B337" s="149"/>
      <c r="C337" s="150"/>
      <c r="D337" s="150" t="str">
        <f>IF(ISTEXT(C337),VLOOKUP(C337,'Cadastro dos Ativos'!$A$2:$C$1000,3,0),"")</f>
        <v/>
      </c>
      <c r="E337" s="150"/>
      <c r="F337" s="150"/>
      <c r="G337" s="151"/>
      <c r="H337" s="101" t="str">
        <f>if($D337="Ações Americanas", HLOOKUP("PTAX",'Histórico'!$A$1:$EL$983,(MATCH(B337,'Histórico'!A:A))-1,""),
if($D337="Ações Europeias", HLOOKUP("EUR/BRL",'Histórico'!$A$1:$EL$983,(MATCH(B337,'Histórico'!A:A))-1,""),""))</f>
        <v/>
      </c>
      <c r="I337" s="150" t="str">
        <f t="array" ref="I337">IF(ISTEXT(C337),xlookup(C337,'Cadastro dos Ativos'!$A$2:$A$1000,'Cadastro dos Ativos'!$D$2:$D$1000),"")</f>
        <v/>
      </c>
      <c r="J337" s="150"/>
      <c r="K337" s="47" t="str">
        <f t="array" ref="K337">if(and(J337&lt;&gt;"",D337&lt;&gt;"Futuros"),
if(F337=Controle!$C$2, M337/xlookup(workday(B337,-1,Feriados!A:A),Controle!$B$10:$B$1000,Controle!$C$10:$C$1000),
if(F337=Controle!$F$2, M337/xlookup(workday(B337,-1,Feriados!A:A),Controle!$B$10:$B$1000,Controle!$F$10:$F$1000),
if(F337=Controle!$I$2, M337/xlookup(workday(B337,-1,Feriados!A:A),Controle!$B$10:$B$1000,Controle!$I$10:$I$1000),
if(F337=Controle!$L$2, M337/xlookup(workday(B337,-1,Feriados!A:A),Controle!$B$10:$B$1000,Controle!$L$10:$L$1000),
)))),
if(and(J337&lt;&gt;"",D337="Futuros"),
if(F337=Controle!$C$2, N337/xlookup(workday(B337,-1,Feriados!A:A),Controle!$B$10:$B$1000,Controle!$C$10:$C$1000),
if(F337=Controle!$F$2, N337/xlookup(workday(B337,-1,Feriados!A:A),Controle!$B$10:$B$1000,Controle!$F$10:$F$1000),
if(F337=Controle!$I$2, N337/xlookup(workday(B337,-1,Feriados!A:A),Controle!$B$10:$B$1000,Controle!$I$10:$I$1000),
if(F337=Controle!$L$2, N337/xlookup(workday(B337,-1,Feriados!A:A),Controle!$B$10:$B$1000,Controle!$L$10:$L$1000),
)))),""))</f>
        <v/>
      </c>
      <c r="L337" s="47" t="str">
        <f t="array" ref="L337">IF($J337&lt;&gt;"", IF($D337 = "Futuros" , $N337/xlookup(WORKDAY(B337,-1,Feriados!A:A),Controle!$B$10:$B$1000,Controle!$T$10:$T$1000) , $M337/xlookup(WORKDAY(B337,-1,Feriados!A:A),Controle!$B$10:$B$1000,Controle!$T$10:$T$1000)),"")</f>
        <v/>
      </c>
      <c r="M337" s="48" t="str">
        <f t="shared" si="4"/>
        <v/>
      </c>
      <c r="N337" s="48" t="str">
        <f>IFERROR(IF(D337="Futuros",
IF(LEFT(C337,3)="DI1",G337*O337,
IF(LEFT(C337,3)="ISP",G337*O337*HLOOKUP("PTAX",'Histórico'!$A$1:$EL$983,MATCH(B337,'Histórico'!A:A),FALSE)*50,
IF(LEFT(C337,3)="WDO",10*G337*O337*HLOOKUP("PTAX",'Histórico'!$A$1:$EL$983,MATCH(B337,'Histórico'!A:A),FALSE),
IF(LEFT(C337,3)="DOL",50*G337*O337,
IF(LEFT(C337,3)="EUR",G337*O337*50,
IF(LEFT(C337,3)="WEU",G337*O337*10,
IF(LEFT(C337,3)="IND",G337*O337,
IF(LEFT(C337,3)="WIN",G337*O337*0.2,
IF(LEFT(C337,3)="T10",G337*O337*1000*HLOOKUP("PTAX",'Histórico'!$A$1:$EL$983,MATCH(B337,'Histórico'!A:A),FALSE),
IF(LEFT(C337,3)="CCM",G337*O337*450,
IF(LEFT(C337,3)="SJC",G337*O337*HLOOKUP("PTAX",'Histórico'!$A$1:$EL$983,MATCH(B337,'Histórico'!A:A),FALSE)*450,
IF(LEFT(C337,3)="BGI",G337*O337*330,
IF(LEFT(C337,3)="OZ1",G337*O337*250,
IF(LEFT(C337,3)="CLP",G337*O337*25,
IF(LEFT(C337,3)="EUP", O337*10000*HLOOKUP("EUR/BRL",'Histórico'!$A$1:$EL$983,MATCH(B337,'Histórico'!A:A),FALSE),
IF(LEFT(C337,3)="JSE", G337*O337*0.4,
IF(LEFT(C337,3)="GBP", O337*10000*HLOOKUP("GBP/BRL",'Histórico'!$A$1:$FG$983,MATCH(B337,'Histórico'!A:A),FALSE),
IF(LEFT(C337,3)="JAP",O337*10000*HLOOKUP("PTAX",'Histórico'!$A$1:$FG$983,MATCH(B337,'Histórico'!A:A),FALSE),
IF(LEFT(C337,3)="CNH",O337*10000*HLOOKUP("PTAX",'Histórico'!$A$1:$FG$983,MATCH(B337,'Histórico'!A:A),FALSE),
IF(LEFT(C337,3)="AUS",O337*10000*HLOOKUP("PTAX",'Histórico'!$A$1:$FG$983,MATCH(B337,'Histórico'!A:A),FALSE),
IF(LEFT(C337,3)="CAN",O337*10000*HLOOKUP("PTAX",'Histórico'!$A$1:$FG$983,MATCH(B337,'Histórico'!A:A),FALSE),
IF(LEFT(C337,3)="GBR",O337*10000*HLOOKUP("GBP/BRL",'Histórico'!$A$1:$FG$983,MATCH(B337,'Histórico'!A:A),FALSE),
IF(LEFT(C337,3)="MEX",O337*10000*HLOOKUP("PTAX",'Histórico'!$A$1:$FG$983,MATCH(B337,'Histórico'!A:A),FALSE),
IF(LEFT(C337,3)="CHL",O337*10000*HLOOKUP("PTAX",'Histórico'!$A$1:$FG$983,MATCH(B337,'Histórico'!A:A),FALSE)
)))))))))))))))))))))))),""))</f>
        <v/>
      </c>
      <c r="O337" s="49" t="str">
        <f t="shared" si="2"/>
        <v/>
      </c>
      <c r="P337" s="49" t="str">
        <f t="shared" si="5"/>
        <v/>
      </c>
      <c r="Q337" s="51" t="str">
        <f>IF($C337&lt;&gt;"",SUMIFS($O$3:$O$401, $C$3:$C$401 ,$C337,$B$3:$B$401,"&lt;="&amp;Controle!$B$6),"")</f>
        <v/>
      </c>
      <c r="R337" s="51" t="str">
        <f>IF($D337&lt;&gt;"",SUMIFS($O$3:$O$401, $C$3:$C$401 ,$C337,$B$3:$B$401,"&lt;="&amp;Controle!$B$6,$F$3:$F$401,$F337),"")</f>
        <v/>
      </c>
      <c r="S337" s="51" t="str">
        <f>IF($D337&lt;&gt;"",SUMIFS($O$3:$O$401, $C$3:$C$401 ,$C337,$B$3:$B$401,"&lt;="&amp;'Controle D-1'!$B$6,$F$3:$F$401,$F337),"")</f>
        <v/>
      </c>
      <c r="T337" s="40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146"/>
      <c r="B338" s="149"/>
      <c r="C338" s="150"/>
      <c r="D338" s="150" t="str">
        <f>IF(ISTEXT(C338),VLOOKUP(C338,'Cadastro dos Ativos'!$A$2:$C$1000,3,0),"")</f>
        <v/>
      </c>
      <c r="E338" s="150"/>
      <c r="F338" s="150"/>
      <c r="G338" s="151"/>
      <c r="H338" s="46" t="str">
        <f>if($D338="Ações Americanas", HLOOKUP("PTAX",'Histórico'!$A$1:$EL$983,(MATCH(B338,'Histórico'!A:A))-1,""),
if($D338="Ações Europeias", HLOOKUP("EUR/BRL",'Histórico'!$A$1:$EL$983,(MATCH(B338,'Histórico'!A:A))-1,""),""))</f>
        <v/>
      </c>
      <c r="I338" s="150" t="str">
        <f t="array" ref="I338">IF(ISTEXT(C338),xlookup(C338,'Cadastro dos Ativos'!$A$2:$A$1000,'Cadastro dos Ativos'!$D$2:$D$1000),"")</f>
        <v/>
      </c>
      <c r="J338" s="150"/>
      <c r="K338" s="47" t="str">
        <f t="array" ref="K338">if(and(J338&lt;&gt;"",D338&lt;&gt;"Futuros"),
if(F338=Controle!$C$2, M338/xlookup(workday(B338,-1,Feriados!A:A),Controle!$B$10:$B$1000,Controle!$C$10:$C$1000),
if(F338=Controle!$F$2, M338/xlookup(workday(B338,-1,Feriados!A:A),Controle!$B$10:$B$1000,Controle!$F$10:$F$1000),
if(F338=Controle!$I$2, M338/xlookup(workday(B338,-1,Feriados!A:A),Controle!$B$10:$B$1000,Controle!$I$10:$I$1000),
if(F338=Controle!$L$2, M338/xlookup(workday(B338,-1,Feriados!A:A),Controle!$B$10:$B$1000,Controle!$L$10:$L$1000),
)))),
if(and(J338&lt;&gt;"",D338="Futuros"),
if(F338=Controle!$C$2, N338/xlookup(workday(B338,-1,Feriados!A:A),Controle!$B$10:$B$1000,Controle!$C$10:$C$1000),
if(F338=Controle!$F$2, N338/xlookup(workday(B338,-1,Feriados!A:A),Controle!$B$10:$B$1000,Controle!$F$10:$F$1000),
if(F338=Controle!$I$2, N338/xlookup(workday(B338,-1,Feriados!A:A),Controle!$B$10:$B$1000,Controle!$I$10:$I$1000),
if(F338=Controle!$L$2, N338/xlookup(workday(B338,-1,Feriados!A:A),Controle!$B$10:$B$1000,Controle!$L$10:$L$1000),
)))),""))</f>
        <v/>
      </c>
      <c r="L338" s="47" t="str">
        <f t="array" ref="L338">IF($J338&lt;&gt;"", IF($D338 = "Futuros" , $N338/xlookup(WORKDAY(B338,-1,Feriados!A:A),Controle!$B$10:$B$1000,Controle!$T$10:$T$1000) , $M338/xlookup(WORKDAY(B338,-1,Feriados!A:A),Controle!$B$10:$B$1000,Controle!$T$10:$T$1000)),"")</f>
        <v/>
      </c>
      <c r="M338" s="48" t="str">
        <f t="shared" si="4"/>
        <v/>
      </c>
      <c r="N338" s="48" t="str">
        <f>IFERROR(IF(D338="Futuros",
IF(LEFT(C338,3)="DI1",G338*O338,
IF(LEFT(C338,3)="ISP",G338*O338*HLOOKUP("PTAX",'Histórico'!$A$1:$EL$983,MATCH(B338,'Histórico'!A:A),FALSE)*50,
IF(LEFT(C338,3)="WDO",10*G338*O338*HLOOKUP("PTAX",'Histórico'!$A$1:$EL$983,MATCH(B338,'Histórico'!A:A),FALSE),
IF(LEFT(C338,3)="DOL",50*G338*O338,
IF(LEFT(C338,3)="EUR",G338*O338*50,
IF(LEFT(C338,3)="WEU",G338*O338*10,
IF(LEFT(C338,3)="IND",G338*O338,
IF(LEFT(C338,3)="WIN",G338*O338*0.2,
IF(LEFT(C338,3)="T10",G338*O338*1000*HLOOKUP("PTAX",'Histórico'!$A$1:$EL$983,MATCH(B338,'Histórico'!A:A),FALSE),
IF(LEFT(C338,3)="CCM",G338*O338*450,
IF(LEFT(C338,3)="SJC",G338*O338*HLOOKUP("PTAX",'Histórico'!$A$1:$EL$983,MATCH(B338,'Histórico'!A:A),FALSE)*450,
IF(LEFT(C338,3)="BGI",G338*O338*330,
IF(LEFT(C338,3)="OZ1",G338*O338*250,
IF(LEFT(C338,3)="CLP",G338*O338*25,
IF(LEFT(C338,3)="EUP", O338*10000*HLOOKUP("EUR/BRL",'Histórico'!$A$1:$EL$983,MATCH(B338,'Histórico'!A:A),FALSE),
IF(LEFT(C338,3)="JSE", G338*O338*0.4,
IF(LEFT(C338,3)="GBP", O338*10000*HLOOKUP("GBP/BRL",'Histórico'!$A$1:$FG$983,MATCH(B338,'Histórico'!A:A),FALSE),
IF(LEFT(C338,3)="JAP",O338*10000*HLOOKUP("PTAX",'Histórico'!$A$1:$FG$983,MATCH(B338,'Histórico'!A:A),FALSE),
IF(LEFT(C338,3)="CNH",O338*10000*HLOOKUP("PTAX",'Histórico'!$A$1:$FG$983,MATCH(B338,'Histórico'!A:A),FALSE),
IF(LEFT(C338,3)="AUS",O338*10000*HLOOKUP("PTAX",'Histórico'!$A$1:$FG$983,MATCH(B338,'Histórico'!A:A),FALSE),
IF(LEFT(C338,3)="CAN",O338*10000*HLOOKUP("PTAX",'Histórico'!$A$1:$FG$983,MATCH(B338,'Histórico'!A:A),FALSE),
IF(LEFT(C338,3)="GBR",O338*10000*HLOOKUP("GBP/BRL",'Histórico'!$A$1:$FG$983,MATCH(B338,'Histórico'!A:A),FALSE),
IF(LEFT(C338,3)="MEX",O338*10000*HLOOKUP("PTAX",'Histórico'!$A$1:$FG$983,MATCH(B338,'Histórico'!A:A),FALSE),
IF(LEFT(C338,3)="CHL",O338*10000*HLOOKUP("PTAX",'Histórico'!$A$1:$FG$983,MATCH(B338,'Histórico'!A:A),FALSE)
)))))))))))))))))))))))),""))</f>
        <v/>
      </c>
      <c r="O338" s="49" t="str">
        <f t="shared" si="2"/>
        <v/>
      </c>
      <c r="P338" s="49" t="str">
        <f t="shared" si="5"/>
        <v/>
      </c>
      <c r="Q338" s="51" t="str">
        <f>IF($C338&lt;&gt;"",SUMIFS($O$3:$O$401, $C$3:$C$401 ,$C338,$B$3:$B$401,"&lt;="&amp;Controle!$B$6),"")</f>
        <v/>
      </c>
      <c r="R338" s="51" t="str">
        <f>IF($D338&lt;&gt;"",SUMIFS($O$3:$O$401, $C$3:$C$401 ,$C338,$B$3:$B$401,"&lt;="&amp;Controle!$B$6,$F$3:$F$401,$F338),"")</f>
        <v/>
      </c>
      <c r="S338" s="51" t="str">
        <f>IF($D338&lt;&gt;"",SUMIFS($O$3:$O$401, $C$3:$C$401 ,$C338,$B$3:$B$401,"&lt;="&amp;'Controle D-1'!$B$6,$F$3:$F$401,$F338),"")</f>
        <v/>
      </c>
      <c r="T338" s="40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146"/>
      <c r="B339" s="149"/>
      <c r="C339" s="150"/>
      <c r="D339" s="150" t="str">
        <f>IF(ISTEXT(C339),VLOOKUP(C339,'Cadastro dos Ativos'!$A$2:$C$1000,3,0),"")</f>
        <v/>
      </c>
      <c r="E339" s="150"/>
      <c r="F339" s="150"/>
      <c r="G339" s="151"/>
      <c r="H339" s="101" t="str">
        <f>if($D339="Ações Americanas", HLOOKUP("PTAX",'Histórico'!$A$1:$EL$983,(MATCH(B339,'Histórico'!A:A))-1,""),
if($D339="Ações Europeias", HLOOKUP("EUR/BRL",'Histórico'!$A$1:$EL$983,(MATCH(B339,'Histórico'!A:A))-1,""),""))</f>
        <v/>
      </c>
      <c r="I339" s="150" t="str">
        <f t="array" ref="I339">IF(ISTEXT(C339),xlookup(C339,'Cadastro dos Ativos'!$A$2:$A$1000,'Cadastro dos Ativos'!$D$2:$D$1000),"")</f>
        <v/>
      </c>
      <c r="J339" s="150"/>
      <c r="K339" s="47" t="str">
        <f t="array" ref="K339">if(and(J339&lt;&gt;"",D339&lt;&gt;"Futuros"),
if(F339=Controle!$C$2, M339/xlookup(workday(B339,-1,Feriados!A:A),Controle!$B$10:$B$1000,Controle!$C$10:$C$1000),
if(F339=Controle!$F$2, M339/xlookup(workday(B339,-1,Feriados!A:A),Controle!$B$10:$B$1000,Controle!$F$10:$F$1000),
if(F339=Controle!$I$2, M339/xlookup(workday(B339,-1,Feriados!A:A),Controle!$B$10:$B$1000,Controle!$I$10:$I$1000),
if(F339=Controle!$L$2, M339/xlookup(workday(B339,-1,Feriados!A:A),Controle!$B$10:$B$1000,Controle!$L$10:$L$1000),
)))),
if(and(J339&lt;&gt;"",D339="Futuros"),
if(F339=Controle!$C$2, N339/xlookup(workday(B339,-1,Feriados!A:A),Controle!$B$10:$B$1000,Controle!$C$10:$C$1000),
if(F339=Controle!$F$2, N339/xlookup(workday(B339,-1,Feriados!A:A),Controle!$B$10:$B$1000,Controle!$F$10:$F$1000),
if(F339=Controle!$I$2, N339/xlookup(workday(B339,-1,Feriados!A:A),Controle!$B$10:$B$1000,Controle!$I$10:$I$1000),
if(F339=Controle!$L$2, N339/xlookup(workday(B339,-1,Feriados!A:A),Controle!$B$10:$B$1000,Controle!$L$10:$L$1000),
)))),""))</f>
        <v/>
      </c>
      <c r="L339" s="47" t="str">
        <f t="array" ref="L339">IF($J339&lt;&gt;"", IF($D339 = "Futuros" , $N339/xlookup(WORKDAY(B339,-1,Feriados!A:A),Controle!$B$10:$B$1000,Controle!$T$10:$T$1000) , $M339/xlookup(WORKDAY(B339,-1,Feriados!A:A),Controle!$B$10:$B$1000,Controle!$T$10:$T$1000)),"")</f>
        <v/>
      </c>
      <c r="M339" s="48" t="str">
        <f t="shared" si="4"/>
        <v/>
      </c>
      <c r="N339" s="48" t="str">
        <f>IFERROR(IF(D339="Futuros",
IF(LEFT(C339,3)="DI1",G339*O339,
IF(LEFT(C339,3)="ISP",G339*O339*HLOOKUP("PTAX",'Histórico'!$A$1:$EL$983,MATCH(B339,'Histórico'!A:A),FALSE)*50,
IF(LEFT(C339,3)="WDO",10*G339*O339*HLOOKUP("PTAX",'Histórico'!$A$1:$EL$983,MATCH(B339,'Histórico'!A:A),FALSE),
IF(LEFT(C339,3)="DOL",50*G339*O339,
IF(LEFT(C339,3)="EUR",G339*O339*50,
IF(LEFT(C339,3)="WEU",G339*O339*10,
IF(LEFT(C339,3)="IND",G339*O339,
IF(LEFT(C339,3)="WIN",G339*O339*0.2,
IF(LEFT(C339,3)="T10",G339*O339*1000*HLOOKUP("PTAX",'Histórico'!$A$1:$EL$983,MATCH(B339,'Histórico'!A:A),FALSE),
IF(LEFT(C339,3)="CCM",G339*O339*450,
IF(LEFT(C339,3)="SJC",G339*O339*HLOOKUP("PTAX",'Histórico'!$A$1:$EL$983,MATCH(B339,'Histórico'!A:A),FALSE)*450,
IF(LEFT(C339,3)="BGI",G339*O339*330,
IF(LEFT(C339,3)="OZ1",G339*O339*250,
IF(LEFT(C339,3)="CLP",G339*O339*25,
IF(LEFT(C339,3)="EUP", O339*10000*HLOOKUP("EUR/BRL",'Histórico'!$A$1:$EL$983,MATCH(B339,'Histórico'!A:A),FALSE),
IF(LEFT(C339,3)="JSE", G339*O339*0.4,
IF(LEFT(C339,3)="GBP", O339*10000*HLOOKUP("GBP/BRL",'Histórico'!$A$1:$FG$983,MATCH(B339,'Histórico'!A:A),FALSE),
IF(LEFT(C339,3)="JAP",O339*10000*HLOOKUP("PTAX",'Histórico'!$A$1:$FG$983,MATCH(B339,'Histórico'!A:A),FALSE),
IF(LEFT(C339,3)="CNH",O339*10000*HLOOKUP("PTAX",'Histórico'!$A$1:$FG$983,MATCH(B339,'Histórico'!A:A),FALSE),
IF(LEFT(C339,3)="AUS",O339*10000*HLOOKUP("PTAX",'Histórico'!$A$1:$FG$983,MATCH(B339,'Histórico'!A:A),FALSE),
IF(LEFT(C339,3)="CAN",O339*10000*HLOOKUP("PTAX",'Histórico'!$A$1:$FG$983,MATCH(B339,'Histórico'!A:A),FALSE),
IF(LEFT(C339,3)="GBR",O339*10000*HLOOKUP("GBP/BRL",'Histórico'!$A$1:$FG$983,MATCH(B339,'Histórico'!A:A),FALSE),
IF(LEFT(C339,3)="MEX",O339*10000*HLOOKUP("PTAX",'Histórico'!$A$1:$FG$983,MATCH(B339,'Histórico'!A:A),FALSE),
IF(LEFT(C339,3)="CHL",O339*10000*HLOOKUP("PTAX",'Histórico'!$A$1:$FG$983,MATCH(B339,'Histórico'!A:A),FALSE)
)))))))))))))))))))))))),""))</f>
        <v/>
      </c>
      <c r="O339" s="49" t="str">
        <f t="shared" si="2"/>
        <v/>
      </c>
      <c r="P339" s="49" t="str">
        <f t="shared" si="5"/>
        <v/>
      </c>
      <c r="Q339" s="51" t="str">
        <f>IF($C339&lt;&gt;"",SUMIFS($O$3:$O$401, $C$3:$C$401 ,$C339,$B$3:$B$401,"&lt;="&amp;Controle!$B$6),"")</f>
        <v/>
      </c>
      <c r="R339" s="51" t="str">
        <f>IF($D339&lt;&gt;"",SUMIFS($O$3:$O$401, $C$3:$C$401 ,$C339,$B$3:$B$401,"&lt;="&amp;Controle!$B$6,$F$3:$F$401,$F339),"")</f>
        <v/>
      </c>
      <c r="S339" s="51" t="str">
        <f>IF($D339&lt;&gt;"",SUMIFS($O$3:$O$401, $C$3:$C$401 ,$C339,$B$3:$B$401,"&lt;="&amp;'Controle D-1'!$B$6,$F$3:$F$401,$F339),"")</f>
        <v/>
      </c>
      <c r="T339" s="40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146"/>
      <c r="B340" s="149"/>
      <c r="C340" s="150"/>
      <c r="D340" s="150" t="str">
        <f>IF(ISTEXT(C340),VLOOKUP(C340,'Cadastro dos Ativos'!$A$2:$C$1000,3,0),"")</f>
        <v/>
      </c>
      <c r="E340" s="150"/>
      <c r="F340" s="150"/>
      <c r="G340" s="151"/>
      <c r="H340" s="46" t="str">
        <f>if($D340="Ações Americanas", HLOOKUP("PTAX",'Histórico'!$A$1:$EL$983,(MATCH(B340,'Histórico'!A:A))-1,""),
if($D340="Ações Europeias", HLOOKUP("EUR/BRL",'Histórico'!$A$1:$EL$983,(MATCH(B340,'Histórico'!A:A))-1,""),""))</f>
        <v/>
      </c>
      <c r="I340" s="150" t="str">
        <f t="array" ref="I340">IF(ISTEXT(C340),xlookup(C340,'Cadastro dos Ativos'!$A$2:$A$1000,'Cadastro dos Ativos'!$D$2:$D$1000),"")</f>
        <v/>
      </c>
      <c r="J340" s="150"/>
      <c r="K340" s="47" t="str">
        <f t="array" ref="K340">if(and(J340&lt;&gt;"",D340&lt;&gt;"Futuros"),
if(F340=Controle!$C$2, M340/xlookup(workday(B340,-1,Feriados!A:A),Controle!$B$10:$B$1000,Controle!$C$10:$C$1000),
if(F340=Controle!$F$2, M340/xlookup(workday(B340,-1,Feriados!A:A),Controle!$B$10:$B$1000,Controle!$F$10:$F$1000),
if(F340=Controle!$I$2, M340/xlookup(workday(B340,-1,Feriados!A:A),Controle!$B$10:$B$1000,Controle!$I$10:$I$1000),
if(F340=Controle!$L$2, M340/xlookup(workday(B340,-1,Feriados!A:A),Controle!$B$10:$B$1000,Controle!$L$10:$L$1000),
)))),
if(and(J340&lt;&gt;"",D340="Futuros"),
if(F340=Controle!$C$2, N340/xlookup(workday(B340,-1,Feriados!A:A),Controle!$B$10:$B$1000,Controle!$C$10:$C$1000),
if(F340=Controle!$F$2, N340/xlookup(workday(B340,-1,Feriados!A:A),Controle!$B$10:$B$1000,Controle!$F$10:$F$1000),
if(F340=Controle!$I$2, N340/xlookup(workday(B340,-1,Feriados!A:A),Controle!$B$10:$B$1000,Controle!$I$10:$I$1000),
if(F340=Controle!$L$2, N340/xlookup(workday(B340,-1,Feriados!A:A),Controle!$B$10:$B$1000,Controle!$L$10:$L$1000),
)))),""))</f>
        <v/>
      </c>
      <c r="L340" s="47" t="str">
        <f t="array" ref="L340">IF($J340&lt;&gt;"", IF($D340 = "Futuros" , $N340/xlookup(WORKDAY(B340,-1,Feriados!A:A),Controle!$B$10:$B$1000,Controle!$T$10:$T$1000) , $M340/xlookup(WORKDAY(B340,-1,Feriados!A:A),Controle!$B$10:$B$1000,Controle!$T$10:$T$1000)),"")</f>
        <v/>
      </c>
      <c r="M340" s="48" t="str">
        <f t="shared" si="4"/>
        <v/>
      </c>
      <c r="N340" s="48" t="str">
        <f>IFERROR(IF(D340="Futuros",
IF(LEFT(C340,3)="DI1",G340*O340,
IF(LEFT(C340,3)="ISP",G340*O340*HLOOKUP("PTAX",'Histórico'!$A$1:$EL$983,MATCH(B340,'Histórico'!A:A),FALSE)*50,
IF(LEFT(C340,3)="WDO",10*G340*O340*HLOOKUP("PTAX",'Histórico'!$A$1:$EL$983,MATCH(B340,'Histórico'!A:A),FALSE),
IF(LEFT(C340,3)="DOL",50*G340*O340,
IF(LEFT(C340,3)="EUR",G340*O340*50,
IF(LEFT(C340,3)="WEU",G340*O340*10,
IF(LEFT(C340,3)="IND",G340*O340,
IF(LEFT(C340,3)="WIN",G340*O340*0.2,
IF(LEFT(C340,3)="T10",G340*O340*1000*HLOOKUP("PTAX",'Histórico'!$A$1:$EL$983,MATCH(B340,'Histórico'!A:A),FALSE),
IF(LEFT(C340,3)="CCM",G340*O340*450,
IF(LEFT(C340,3)="SJC",G340*O340*HLOOKUP("PTAX",'Histórico'!$A$1:$EL$983,MATCH(B340,'Histórico'!A:A),FALSE)*450,
IF(LEFT(C340,3)="BGI",G340*O340*330,
IF(LEFT(C340,3)="OZ1",G340*O340*250,
IF(LEFT(C340,3)="CLP",G340*O340*25,
IF(LEFT(C340,3)="EUP", O340*10000*HLOOKUP("EUR/BRL",'Histórico'!$A$1:$EL$983,MATCH(B340,'Histórico'!A:A),FALSE),
IF(LEFT(C340,3)="JSE", G340*O340*0.4,
IF(LEFT(C340,3)="GBP", O340*10000*HLOOKUP("GBP/BRL",'Histórico'!$A$1:$FG$983,MATCH(B340,'Histórico'!A:A),FALSE),
IF(LEFT(C340,3)="JAP",O340*10000*HLOOKUP("PTAX",'Histórico'!$A$1:$FG$983,MATCH(B340,'Histórico'!A:A),FALSE),
IF(LEFT(C340,3)="CNH",O340*10000*HLOOKUP("PTAX",'Histórico'!$A$1:$FG$983,MATCH(B340,'Histórico'!A:A),FALSE),
IF(LEFT(C340,3)="AUS",O340*10000*HLOOKUP("PTAX",'Histórico'!$A$1:$FG$983,MATCH(B340,'Histórico'!A:A),FALSE),
IF(LEFT(C340,3)="CAN",O340*10000*HLOOKUP("PTAX",'Histórico'!$A$1:$FG$983,MATCH(B340,'Histórico'!A:A),FALSE),
IF(LEFT(C340,3)="GBR",O340*10000*HLOOKUP("GBP/BRL",'Histórico'!$A$1:$FG$983,MATCH(B340,'Histórico'!A:A),FALSE),
IF(LEFT(C340,3)="MEX",O340*10000*HLOOKUP("PTAX",'Histórico'!$A$1:$FG$983,MATCH(B340,'Histórico'!A:A),FALSE),
IF(LEFT(C340,3)="CHL",O340*10000*HLOOKUP("PTAX",'Histórico'!$A$1:$FG$983,MATCH(B340,'Histórico'!A:A),FALSE)
)))))))))))))))))))))))),""))</f>
        <v/>
      </c>
      <c r="O340" s="49" t="str">
        <f t="shared" si="2"/>
        <v/>
      </c>
      <c r="P340" s="49" t="str">
        <f t="shared" si="5"/>
        <v/>
      </c>
      <c r="Q340" s="51" t="str">
        <f>IF($C340&lt;&gt;"",SUMIFS($O$3:$O$401, $C$3:$C$401 ,$C340,$B$3:$B$401,"&lt;="&amp;Controle!$B$6),"")</f>
        <v/>
      </c>
      <c r="R340" s="51" t="str">
        <f>IF($D340&lt;&gt;"",SUMIFS($O$3:$O$401, $C$3:$C$401 ,$C340,$B$3:$B$401,"&lt;="&amp;Controle!$B$6,$F$3:$F$401,$F340),"")</f>
        <v/>
      </c>
      <c r="S340" s="51" t="str">
        <f>IF($D340&lt;&gt;"",SUMIFS($O$3:$O$401, $C$3:$C$401 ,$C340,$B$3:$B$401,"&lt;="&amp;'Controle D-1'!$B$6,$F$3:$F$401,$F340),"")</f>
        <v/>
      </c>
      <c r="T340" s="40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146"/>
      <c r="B341" s="149"/>
      <c r="C341" s="150"/>
      <c r="D341" s="150" t="str">
        <f>IF(ISTEXT(C341),VLOOKUP(C341,'Cadastro dos Ativos'!$A$2:$C$1000,3,0),"")</f>
        <v/>
      </c>
      <c r="E341" s="150"/>
      <c r="F341" s="150"/>
      <c r="G341" s="151"/>
      <c r="H341" s="101" t="str">
        <f>if($D341="Ações Americanas", HLOOKUP("PTAX",'Histórico'!$A$1:$EL$983,(MATCH(B341,'Histórico'!A:A))-1,""),
if($D341="Ações Europeias", HLOOKUP("EUR/BRL",'Histórico'!$A$1:$EL$983,(MATCH(B341,'Histórico'!A:A))-1,""),""))</f>
        <v/>
      </c>
      <c r="I341" s="150" t="str">
        <f t="array" ref="I341">IF(ISTEXT(C341),xlookup(C341,'Cadastro dos Ativos'!$A$2:$A$1000,'Cadastro dos Ativos'!$D$2:$D$1000),"")</f>
        <v/>
      </c>
      <c r="J341" s="150"/>
      <c r="K341" s="47" t="str">
        <f t="array" ref="K341">if(and(J341&lt;&gt;"",D341&lt;&gt;"Futuros"),
if(F341=Controle!$C$2, M341/xlookup(workday(B341,-1,Feriados!A:A),Controle!$B$10:$B$1000,Controle!$C$10:$C$1000),
if(F341=Controle!$F$2, M341/xlookup(workday(B341,-1,Feriados!A:A),Controle!$B$10:$B$1000,Controle!$F$10:$F$1000),
if(F341=Controle!$I$2, M341/xlookup(workday(B341,-1,Feriados!A:A),Controle!$B$10:$B$1000,Controle!$I$10:$I$1000),
if(F341=Controle!$L$2, M341/xlookup(workday(B341,-1,Feriados!A:A),Controle!$B$10:$B$1000,Controle!$L$10:$L$1000),
)))),
if(and(J341&lt;&gt;"",D341="Futuros"),
if(F341=Controle!$C$2, N341/xlookup(workday(B341,-1,Feriados!A:A),Controle!$B$10:$B$1000,Controle!$C$10:$C$1000),
if(F341=Controle!$F$2, N341/xlookup(workday(B341,-1,Feriados!A:A),Controle!$B$10:$B$1000,Controle!$F$10:$F$1000),
if(F341=Controle!$I$2, N341/xlookup(workday(B341,-1,Feriados!A:A),Controle!$B$10:$B$1000,Controle!$I$10:$I$1000),
if(F341=Controle!$L$2, N341/xlookup(workday(B341,-1,Feriados!A:A),Controle!$B$10:$B$1000,Controle!$L$10:$L$1000),
)))),""))</f>
        <v/>
      </c>
      <c r="L341" s="47" t="str">
        <f t="array" ref="L341">IF($J341&lt;&gt;"", IF($D341 = "Futuros" , $N341/xlookup(WORKDAY(B341,-1,Feriados!A:A),Controle!$B$10:$B$1000,Controle!$T$10:$T$1000) , $M341/xlookup(WORKDAY(B341,-1,Feriados!A:A),Controle!$B$10:$B$1000,Controle!$T$10:$T$1000)),"")</f>
        <v/>
      </c>
      <c r="M341" s="48" t="str">
        <f t="shared" si="4"/>
        <v/>
      </c>
      <c r="N341" s="48" t="str">
        <f>IFERROR(IF(D341="Futuros",
IF(LEFT(C341,3)="DI1",G341*O341,
IF(LEFT(C341,3)="ISP",G341*O341*HLOOKUP("PTAX",'Histórico'!$A$1:$EL$983,MATCH(B341,'Histórico'!A:A),FALSE)*50,
IF(LEFT(C341,3)="WDO",10*G341*O341*HLOOKUP("PTAX",'Histórico'!$A$1:$EL$983,MATCH(B341,'Histórico'!A:A),FALSE),
IF(LEFT(C341,3)="DOL",50*G341*O341,
IF(LEFT(C341,3)="EUR",G341*O341*50,
IF(LEFT(C341,3)="WEU",G341*O341*10,
IF(LEFT(C341,3)="IND",G341*O341,
IF(LEFT(C341,3)="WIN",G341*O341*0.2,
IF(LEFT(C341,3)="T10",G341*O341*1000*HLOOKUP("PTAX",'Histórico'!$A$1:$EL$983,MATCH(B341,'Histórico'!A:A),FALSE),
IF(LEFT(C341,3)="CCM",G341*O341*450,
IF(LEFT(C341,3)="SJC",G341*O341*HLOOKUP("PTAX",'Histórico'!$A$1:$EL$983,MATCH(B341,'Histórico'!A:A),FALSE)*450,
IF(LEFT(C341,3)="BGI",G341*O341*330,
IF(LEFT(C341,3)="OZ1",G341*O341*250,
IF(LEFT(C341,3)="CLP",G341*O341*25,
IF(LEFT(C341,3)="EUP", O341*10000*HLOOKUP("EUR/BRL",'Histórico'!$A$1:$EL$983,MATCH(B341,'Histórico'!A:A),FALSE),
IF(LEFT(C341,3)="JSE", G341*O341*0.4,
IF(LEFT(C341,3)="GBP", O341*10000*HLOOKUP("GBP/BRL",'Histórico'!$A$1:$FG$983,MATCH(B341,'Histórico'!A:A),FALSE),
IF(LEFT(C341,3)="JAP",O341*10000*HLOOKUP("PTAX",'Histórico'!$A$1:$FG$983,MATCH(B341,'Histórico'!A:A),FALSE),
IF(LEFT(C341,3)="CNH",O341*10000*HLOOKUP("PTAX",'Histórico'!$A$1:$FG$983,MATCH(B341,'Histórico'!A:A),FALSE),
IF(LEFT(C341,3)="AUS",O341*10000*HLOOKUP("PTAX",'Histórico'!$A$1:$FG$983,MATCH(B341,'Histórico'!A:A),FALSE),
IF(LEFT(C341,3)="CAN",O341*10000*HLOOKUP("PTAX",'Histórico'!$A$1:$FG$983,MATCH(B341,'Histórico'!A:A),FALSE),
IF(LEFT(C341,3)="GBR",O341*10000*HLOOKUP("GBP/BRL",'Histórico'!$A$1:$FG$983,MATCH(B341,'Histórico'!A:A),FALSE),
IF(LEFT(C341,3)="MEX",O341*10000*HLOOKUP("PTAX",'Histórico'!$A$1:$FG$983,MATCH(B341,'Histórico'!A:A),FALSE),
IF(LEFT(C341,3)="CHL",O341*10000*HLOOKUP("PTAX",'Histórico'!$A$1:$FG$983,MATCH(B341,'Histórico'!A:A),FALSE)
)))))))))))))))))))))))),""))</f>
        <v/>
      </c>
      <c r="O341" s="49" t="str">
        <f t="shared" si="2"/>
        <v/>
      </c>
      <c r="P341" s="49" t="str">
        <f t="shared" si="5"/>
        <v/>
      </c>
      <c r="Q341" s="51" t="str">
        <f>IF($C341&lt;&gt;"",SUMIFS($O$3:$O$401, $C$3:$C$401 ,$C341,$B$3:$B$401,"&lt;="&amp;Controle!$B$6),"")</f>
        <v/>
      </c>
      <c r="R341" s="51" t="str">
        <f>IF($D341&lt;&gt;"",SUMIFS($O$3:$O$401, $C$3:$C$401 ,$C341,$B$3:$B$401,"&lt;="&amp;Controle!$B$6,$F$3:$F$401,$F341),"")</f>
        <v/>
      </c>
      <c r="S341" s="51" t="str">
        <f>IF($D341&lt;&gt;"",SUMIFS($O$3:$O$401, $C$3:$C$401 ,$C341,$B$3:$B$401,"&lt;="&amp;'Controle D-1'!$B$6,$F$3:$F$401,$F341),"")</f>
        <v/>
      </c>
      <c r="T341" s="40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146"/>
      <c r="B342" s="149"/>
      <c r="C342" s="150"/>
      <c r="D342" s="150" t="str">
        <f>IF(ISTEXT(C342),VLOOKUP(C342,'Cadastro dos Ativos'!$A$2:$C$1000,3,0),"")</f>
        <v/>
      </c>
      <c r="E342" s="150"/>
      <c r="F342" s="150"/>
      <c r="G342" s="151"/>
      <c r="H342" s="46" t="str">
        <f>if($D342="Ações Americanas", HLOOKUP("PTAX",'Histórico'!$A$1:$EL$983,(MATCH(B342,'Histórico'!A:A))-1,""),
if($D342="Ações Europeias", HLOOKUP("EUR/BRL",'Histórico'!$A$1:$EL$983,(MATCH(B342,'Histórico'!A:A))-1,""),""))</f>
        <v/>
      </c>
      <c r="I342" s="150" t="str">
        <f t="array" ref="I342">IF(ISTEXT(C342),xlookup(C342,'Cadastro dos Ativos'!$A$2:$A$1000,'Cadastro dos Ativos'!$D$2:$D$1000),"")</f>
        <v/>
      </c>
      <c r="J342" s="150"/>
      <c r="K342" s="47" t="str">
        <f t="array" ref="K342">if(and(J342&lt;&gt;"",D342&lt;&gt;"Futuros"),
if(F342=Controle!$C$2, M342/xlookup(workday(B342,-1,Feriados!A:A),Controle!$B$10:$B$1000,Controle!$C$10:$C$1000),
if(F342=Controle!$F$2, M342/xlookup(workday(B342,-1,Feriados!A:A),Controle!$B$10:$B$1000,Controle!$F$10:$F$1000),
if(F342=Controle!$I$2, M342/xlookup(workday(B342,-1,Feriados!A:A),Controle!$B$10:$B$1000,Controle!$I$10:$I$1000),
if(F342=Controle!$L$2, M342/xlookup(workday(B342,-1,Feriados!A:A),Controle!$B$10:$B$1000,Controle!$L$10:$L$1000),
)))),
if(and(J342&lt;&gt;"",D342="Futuros"),
if(F342=Controle!$C$2, N342/xlookup(workday(B342,-1,Feriados!A:A),Controle!$B$10:$B$1000,Controle!$C$10:$C$1000),
if(F342=Controle!$F$2, N342/xlookup(workday(B342,-1,Feriados!A:A),Controle!$B$10:$B$1000,Controle!$F$10:$F$1000),
if(F342=Controle!$I$2, N342/xlookup(workday(B342,-1,Feriados!A:A),Controle!$B$10:$B$1000,Controle!$I$10:$I$1000),
if(F342=Controle!$L$2, N342/xlookup(workday(B342,-1,Feriados!A:A),Controle!$B$10:$B$1000,Controle!$L$10:$L$1000),
)))),""))</f>
        <v/>
      </c>
      <c r="L342" s="47" t="str">
        <f t="array" ref="L342">IF($J342&lt;&gt;"", IF($D342 = "Futuros" , $N342/xlookup(WORKDAY(B342,-1,Feriados!A:A),Controle!$B$10:$B$1000,Controle!$T$10:$T$1000) , $M342/xlookup(WORKDAY(B342,-1,Feriados!A:A),Controle!$B$10:$B$1000,Controle!$T$10:$T$1000)),"")</f>
        <v/>
      </c>
      <c r="M342" s="48" t="str">
        <f t="shared" si="4"/>
        <v/>
      </c>
      <c r="N342" s="48" t="str">
        <f>IFERROR(IF(D342="Futuros",
IF(LEFT(C342,3)="DI1",G342*O342,
IF(LEFT(C342,3)="ISP",G342*O342*HLOOKUP("PTAX",'Histórico'!$A$1:$EL$983,MATCH(B342,'Histórico'!A:A),FALSE)*50,
IF(LEFT(C342,3)="WDO",10*G342*O342*HLOOKUP("PTAX",'Histórico'!$A$1:$EL$983,MATCH(B342,'Histórico'!A:A),FALSE),
IF(LEFT(C342,3)="DOL",50*G342*O342,
IF(LEFT(C342,3)="EUR",G342*O342*50,
IF(LEFT(C342,3)="WEU",G342*O342*10,
IF(LEFT(C342,3)="IND",G342*O342,
IF(LEFT(C342,3)="WIN",G342*O342*0.2,
IF(LEFT(C342,3)="T10",G342*O342*1000*HLOOKUP("PTAX",'Histórico'!$A$1:$EL$983,MATCH(B342,'Histórico'!A:A),FALSE),
IF(LEFT(C342,3)="CCM",G342*O342*450,
IF(LEFT(C342,3)="SJC",G342*O342*HLOOKUP("PTAX",'Histórico'!$A$1:$EL$983,MATCH(B342,'Histórico'!A:A),FALSE)*450,
IF(LEFT(C342,3)="BGI",G342*O342*330,
IF(LEFT(C342,3)="OZ1",G342*O342*250,
IF(LEFT(C342,3)="CLP",G342*O342*25,
IF(LEFT(C342,3)="EUP", O342*10000*HLOOKUP("EUR/BRL",'Histórico'!$A$1:$EL$983,MATCH(B342,'Histórico'!A:A),FALSE),
IF(LEFT(C342,3)="JSE", G342*O342*0.4,
IF(LEFT(C342,3)="GBP", O342*10000*HLOOKUP("GBP/BRL",'Histórico'!$A$1:$FG$983,MATCH(B342,'Histórico'!A:A),FALSE),
IF(LEFT(C342,3)="JAP",O342*10000*HLOOKUP("PTAX",'Histórico'!$A$1:$FG$983,MATCH(B342,'Histórico'!A:A),FALSE),
IF(LEFT(C342,3)="CNH",O342*10000*HLOOKUP("PTAX",'Histórico'!$A$1:$FG$983,MATCH(B342,'Histórico'!A:A),FALSE),
IF(LEFT(C342,3)="AUS",O342*10000*HLOOKUP("PTAX",'Histórico'!$A$1:$FG$983,MATCH(B342,'Histórico'!A:A),FALSE),
IF(LEFT(C342,3)="CAN",O342*10000*HLOOKUP("PTAX",'Histórico'!$A$1:$FG$983,MATCH(B342,'Histórico'!A:A),FALSE),
IF(LEFT(C342,3)="GBR",O342*10000*HLOOKUP("GBP/BRL",'Histórico'!$A$1:$FG$983,MATCH(B342,'Histórico'!A:A),FALSE),
IF(LEFT(C342,3)="MEX",O342*10000*HLOOKUP("PTAX",'Histórico'!$A$1:$FG$983,MATCH(B342,'Histórico'!A:A),FALSE),
IF(LEFT(C342,3)="CHL",O342*10000*HLOOKUP("PTAX",'Histórico'!$A$1:$FG$983,MATCH(B342,'Histórico'!A:A),FALSE)
)))))))))))))))))))))))),""))</f>
        <v/>
      </c>
      <c r="O342" s="49" t="str">
        <f t="shared" si="2"/>
        <v/>
      </c>
      <c r="P342" s="49" t="str">
        <f t="shared" si="5"/>
        <v/>
      </c>
      <c r="Q342" s="51" t="str">
        <f>IF($C342&lt;&gt;"",SUMIFS($O$3:$O$401, $C$3:$C$401 ,$C342,$B$3:$B$401,"&lt;="&amp;Controle!$B$6),"")</f>
        <v/>
      </c>
      <c r="R342" s="51" t="str">
        <f>IF($D342&lt;&gt;"",SUMIFS($O$3:$O$401, $C$3:$C$401 ,$C342,$B$3:$B$401,"&lt;="&amp;Controle!$B$6,$F$3:$F$401,$F342),"")</f>
        <v/>
      </c>
      <c r="S342" s="51" t="str">
        <f>IF($D342&lt;&gt;"",SUMIFS($O$3:$O$401, $C$3:$C$401 ,$C342,$B$3:$B$401,"&lt;="&amp;'Controle D-1'!$B$6,$F$3:$F$401,$F342),"")</f>
        <v/>
      </c>
      <c r="T342" s="40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146"/>
      <c r="B343" s="149"/>
      <c r="C343" s="150"/>
      <c r="D343" s="150" t="str">
        <f>IF(ISTEXT(C343),VLOOKUP(C343,'Cadastro dos Ativos'!$A$2:$C$1000,3,0),"")</f>
        <v/>
      </c>
      <c r="E343" s="150"/>
      <c r="F343" s="150"/>
      <c r="G343" s="151"/>
      <c r="H343" s="101" t="str">
        <f>if($D343="Ações Americanas", HLOOKUP("PTAX",'Histórico'!$A$1:$EL$983,(MATCH(B343,'Histórico'!A:A))-1,""),
if($D343="Ações Europeias", HLOOKUP("EUR/BRL",'Histórico'!$A$1:$EL$983,(MATCH(B343,'Histórico'!A:A))-1,""),""))</f>
        <v/>
      </c>
      <c r="I343" s="150" t="str">
        <f t="array" ref="I343">IF(ISTEXT(C343),xlookup(C343,'Cadastro dos Ativos'!$A$2:$A$1000,'Cadastro dos Ativos'!$D$2:$D$1000),"")</f>
        <v/>
      </c>
      <c r="J343" s="150"/>
      <c r="K343" s="47" t="str">
        <f t="array" ref="K343">if(and(J343&lt;&gt;"",D343&lt;&gt;"Futuros"),
if(F343=Controle!$C$2, M343/xlookup(workday(B343,-1,Feriados!A:A),Controle!$B$10:$B$1000,Controle!$C$10:$C$1000),
if(F343=Controle!$F$2, M343/xlookup(workday(B343,-1,Feriados!A:A),Controle!$B$10:$B$1000,Controle!$F$10:$F$1000),
if(F343=Controle!$I$2, M343/xlookup(workday(B343,-1,Feriados!A:A),Controle!$B$10:$B$1000,Controle!$I$10:$I$1000),
if(F343=Controle!$L$2, M343/xlookup(workday(B343,-1,Feriados!A:A),Controle!$B$10:$B$1000,Controle!$L$10:$L$1000),
)))),
if(and(J343&lt;&gt;"",D343="Futuros"),
if(F343=Controle!$C$2, N343/xlookup(workday(B343,-1,Feriados!A:A),Controle!$B$10:$B$1000,Controle!$C$10:$C$1000),
if(F343=Controle!$F$2, N343/xlookup(workday(B343,-1,Feriados!A:A),Controle!$B$10:$B$1000,Controle!$F$10:$F$1000),
if(F343=Controle!$I$2, N343/xlookup(workday(B343,-1,Feriados!A:A),Controle!$B$10:$B$1000,Controle!$I$10:$I$1000),
if(F343=Controle!$L$2, N343/xlookup(workday(B343,-1,Feriados!A:A),Controle!$B$10:$B$1000,Controle!$L$10:$L$1000),
)))),""))</f>
        <v/>
      </c>
      <c r="L343" s="47" t="str">
        <f t="array" ref="L343">IF($J343&lt;&gt;"", IF($D343 = "Futuros" , $N343/xlookup(WORKDAY(B343,-1,Feriados!A:A),Controle!$B$10:$B$1000,Controle!$T$10:$T$1000) , $M343/xlookup(WORKDAY(B343,-1,Feriados!A:A),Controle!$B$10:$B$1000,Controle!$T$10:$T$1000)),"")</f>
        <v/>
      </c>
      <c r="M343" s="48" t="str">
        <f t="shared" si="4"/>
        <v/>
      </c>
      <c r="N343" s="48" t="str">
        <f>IFERROR(IF(D343="Futuros",
IF(LEFT(C343,3)="DI1",G343*O343,
IF(LEFT(C343,3)="ISP",G343*O343*HLOOKUP("PTAX",'Histórico'!$A$1:$EL$983,MATCH(B343,'Histórico'!A:A),FALSE)*50,
IF(LEFT(C343,3)="WDO",10*G343*O343*HLOOKUP("PTAX",'Histórico'!$A$1:$EL$983,MATCH(B343,'Histórico'!A:A),FALSE),
IF(LEFT(C343,3)="DOL",50*G343*O343,
IF(LEFT(C343,3)="EUR",G343*O343*50,
IF(LEFT(C343,3)="WEU",G343*O343*10,
IF(LEFT(C343,3)="IND",G343*O343,
IF(LEFT(C343,3)="WIN",G343*O343*0.2,
IF(LEFT(C343,3)="T10",G343*O343*1000*HLOOKUP("PTAX",'Histórico'!$A$1:$EL$983,MATCH(B343,'Histórico'!A:A),FALSE),
IF(LEFT(C343,3)="CCM",G343*O343*450,
IF(LEFT(C343,3)="SJC",G343*O343*HLOOKUP("PTAX",'Histórico'!$A$1:$EL$983,MATCH(B343,'Histórico'!A:A),FALSE)*450,
IF(LEFT(C343,3)="BGI",G343*O343*330,
IF(LEFT(C343,3)="OZ1",G343*O343*250,
IF(LEFT(C343,3)="CLP",G343*O343*25,
IF(LEFT(C343,3)="EUP", O343*10000*HLOOKUP("EUR/BRL",'Histórico'!$A$1:$EL$983,MATCH(B343,'Histórico'!A:A),FALSE),
IF(LEFT(C343,3)="JSE", G343*O343*0.4,
IF(LEFT(C343,3)="GBP", O343*10000*HLOOKUP("GBP/BRL",'Histórico'!$A$1:$FG$983,MATCH(B343,'Histórico'!A:A),FALSE),
IF(LEFT(C343,3)="JAP",O343*10000*HLOOKUP("PTAX",'Histórico'!$A$1:$FG$983,MATCH(B343,'Histórico'!A:A),FALSE),
IF(LEFT(C343,3)="CNH",O343*10000*HLOOKUP("PTAX",'Histórico'!$A$1:$FG$983,MATCH(B343,'Histórico'!A:A),FALSE),
IF(LEFT(C343,3)="AUS",O343*10000*HLOOKUP("PTAX",'Histórico'!$A$1:$FG$983,MATCH(B343,'Histórico'!A:A),FALSE),
IF(LEFT(C343,3)="CAN",O343*10000*HLOOKUP("PTAX",'Histórico'!$A$1:$FG$983,MATCH(B343,'Histórico'!A:A),FALSE),
IF(LEFT(C343,3)="GBR",O343*10000*HLOOKUP("GBP/BRL",'Histórico'!$A$1:$FG$983,MATCH(B343,'Histórico'!A:A),FALSE),
IF(LEFT(C343,3)="MEX",O343*10000*HLOOKUP("PTAX",'Histórico'!$A$1:$FG$983,MATCH(B343,'Histórico'!A:A),FALSE),
IF(LEFT(C343,3)="CHL",O343*10000*HLOOKUP("PTAX",'Histórico'!$A$1:$FG$983,MATCH(B343,'Histórico'!A:A),FALSE)
)))))))))))))))))))))))),""))</f>
        <v/>
      </c>
      <c r="O343" s="49" t="str">
        <f t="shared" si="2"/>
        <v/>
      </c>
      <c r="P343" s="49" t="str">
        <f t="shared" si="5"/>
        <v/>
      </c>
      <c r="Q343" s="51" t="str">
        <f>IF($C343&lt;&gt;"",SUMIFS($O$3:$O$401, $C$3:$C$401 ,$C343,$B$3:$B$401,"&lt;="&amp;Controle!$B$6),"")</f>
        <v/>
      </c>
      <c r="R343" s="51" t="str">
        <f>IF($D343&lt;&gt;"",SUMIFS($O$3:$O$401, $C$3:$C$401 ,$C343,$B$3:$B$401,"&lt;="&amp;Controle!$B$6,$F$3:$F$401,$F343),"")</f>
        <v/>
      </c>
      <c r="S343" s="51" t="str">
        <f>IF($D343&lt;&gt;"",SUMIFS($O$3:$O$401, $C$3:$C$401 ,$C343,$B$3:$B$401,"&lt;="&amp;'Controle D-1'!$B$6,$F$3:$F$401,$F343),"")</f>
        <v/>
      </c>
      <c r="T343" s="40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146"/>
      <c r="B344" s="149"/>
      <c r="C344" s="150"/>
      <c r="D344" s="150" t="str">
        <f>IF(ISTEXT(C344),VLOOKUP(C344,'Cadastro dos Ativos'!$A$2:$C$1000,3,0),"")</f>
        <v/>
      </c>
      <c r="E344" s="150"/>
      <c r="F344" s="150"/>
      <c r="G344" s="151"/>
      <c r="H344" s="46" t="str">
        <f>if($D344="Ações Americanas", HLOOKUP("PTAX",'Histórico'!$A$1:$EL$983,(MATCH(B344,'Histórico'!A:A))-1,""),
if($D344="Ações Europeias", HLOOKUP("EUR/BRL",'Histórico'!$A$1:$EL$983,(MATCH(B344,'Histórico'!A:A))-1,""),""))</f>
        <v/>
      </c>
      <c r="I344" s="150" t="str">
        <f t="array" ref="I344">IF(ISTEXT(C344),xlookup(C344,'Cadastro dos Ativos'!$A$2:$A$1000,'Cadastro dos Ativos'!$D$2:$D$1000),"")</f>
        <v/>
      </c>
      <c r="J344" s="150"/>
      <c r="K344" s="47" t="str">
        <f t="array" ref="K344">if(and(J344&lt;&gt;"",D344&lt;&gt;"Futuros"),
if(F344=Controle!$C$2, M344/xlookup(workday(B344,-1,Feriados!A:A),Controle!$B$10:$B$1000,Controle!$C$10:$C$1000),
if(F344=Controle!$F$2, M344/xlookup(workday(B344,-1,Feriados!A:A),Controle!$B$10:$B$1000,Controle!$F$10:$F$1000),
if(F344=Controle!$I$2, M344/xlookup(workday(B344,-1,Feriados!A:A),Controle!$B$10:$B$1000,Controle!$I$10:$I$1000),
if(F344=Controle!$L$2, M344/xlookup(workday(B344,-1,Feriados!A:A),Controle!$B$10:$B$1000,Controle!$L$10:$L$1000),
)))),
if(and(J344&lt;&gt;"",D344="Futuros"),
if(F344=Controle!$C$2, N344/xlookup(workday(B344,-1,Feriados!A:A),Controle!$B$10:$B$1000,Controle!$C$10:$C$1000),
if(F344=Controle!$F$2, N344/xlookup(workday(B344,-1,Feriados!A:A),Controle!$B$10:$B$1000,Controle!$F$10:$F$1000),
if(F344=Controle!$I$2, N344/xlookup(workday(B344,-1,Feriados!A:A),Controle!$B$10:$B$1000,Controle!$I$10:$I$1000),
if(F344=Controle!$L$2, N344/xlookup(workday(B344,-1,Feriados!A:A),Controle!$B$10:$B$1000,Controle!$L$10:$L$1000),
)))),""))</f>
        <v/>
      </c>
      <c r="L344" s="47" t="str">
        <f t="array" ref="L344">IF($J344&lt;&gt;"", IF($D344 = "Futuros" , $N344/xlookup(WORKDAY(B344,-1,Feriados!A:A),Controle!$B$10:$B$1000,Controle!$T$10:$T$1000) , $M344/xlookup(WORKDAY(B344,-1,Feriados!A:A),Controle!$B$10:$B$1000,Controle!$T$10:$T$1000)),"")</f>
        <v/>
      </c>
      <c r="M344" s="48" t="str">
        <f t="shared" si="4"/>
        <v/>
      </c>
      <c r="N344" s="48" t="str">
        <f>IFERROR(IF(D344="Futuros",
IF(LEFT(C344,3)="DI1",G344*O344,
IF(LEFT(C344,3)="ISP",G344*O344*HLOOKUP("PTAX",'Histórico'!$A$1:$EL$983,MATCH(B344,'Histórico'!A:A),FALSE)*50,
IF(LEFT(C344,3)="WDO",10*G344*O344*HLOOKUP("PTAX",'Histórico'!$A$1:$EL$983,MATCH(B344,'Histórico'!A:A),FALSE),
IF(LEFT(C344,3)="DOL",50*G344*O344,
IF(LEFT(C344,3)="EUR",G344*O344*50,
IF(LEFT(C344,3)="WEU",G344*O344*10,
IF(LEFT(C344,3)="IND",G344*O344,
IF(LEFT(C344,3)="WIN",G344*O344*0.2,
IF(LEFT(C344,3)="T10",G344*O344*1000*HLOOKUP("PTAX",'Histórico'!$A$1:$EL$983,MATCH(B344,'Histórico'!A:A),FALSE),
IF(LEFT(C344,3)="CCM",G344*O344*450,
IF(LEFT(C344,3)="SJC",G344*O344*HLOOKUP("PTAX",'Histórico'!$A$1:$EL$983,MATCH(B344,'Histórico'!A:A),FALSE)*450,
IF(LEFT(C344,3)="BGI",G344*O344*330,
IF(LEFT(C344,3)="OZ1",G344*O344*250,
IF(LEFT(C344,3)="CLP",G344*O344*25,
IF(LEFT(C344,3)="EUP", O344*10000*HLOOKUP("EUR/BRL",'Histórico'!$A$1:$EL$983,MATCH(B344,'Histórico'!A:A),FALSE),
IF(LEFT(C344,3)="JSE", G344*O344*0.4,
IF(LEFT(C344,3)="GBP", O344*10000*HLOOKUP("GBP/BRL",'Histórico'!$A$1:$FG$983,MATCH(B344,'Histórico'!A:A),FALSE),
IF(LEFT(C344,3)="JAP",O344*10000*HLOOKUP("PTAX",'Histórico'!$A$1:$FG$983,MATCH(B344,'Histórico'!A:A),FALSE),
IF(LEFT(C344,3)="CNH",O344*10000*HLOOKUP("PTAX",'Histórico'!$A$1:$FG$983,MATCH(B344,'Histórico'!A:A),FALSE),
IF(LEFT(C344,3)="AUS",O344*10000*HLOOKUP("PTAX",'Histórico'!$A$1:$FG$983,MATCH(B344,'Histórico'!A:A),FALSE),
IF(LEFT(C344,3)="CAN",O344*10000*HLOOKUP("PTAX",'Histórico'!$A$1:$FG$983,MATCH(B344,'Histórico'!A:A),FALSE),
IF(LEFT(C344,3)="GBR",O344*10000*HLOOKUP("GBP/BRL",'Histórico'!$A$1:$FG$983,MATCH(B344,'Histórico'!A:A),FALSE),
IF(LEFT(C344,3)="MEX",O344*10000*HLOOKUP("PTAX",'Histórico'!$A$1:$FG$983,MATCH(B344,'Histórico'!A:A),FALSE),
IF(LEFT(C344,3)="CHL",O344*10000*HLOOKUP("PTAX",'Histórico'!$A$1:$FG$983,MATCH(B344,'Histórico'!A:A),FALSE)
)))))))))))))))))))))))),""))</f>
        <v/>
      </c>
      <c r="O344" s="49" t="str">
        <f t="shared" si="2"/>
        <v/>
      </c>
      <c r="P344" s="49" t="str">
        <f t="shared" si="5"/>
        <v/>
      </c>
      <c r="Q344" s="51" t="str">
        <f>IF($C344&lt;&gt;"",SUMIFS($O$3:$O$401, $C$3:$C$401 ,$C344,$B$3:$B$401,"&lt;="&amp;Controle!$B$6),"")</f>
        <v/>
      </c>
      <c r="R344" s="51" t="str">
        <f>IF($D344&lt;&gt;"",SUMIFS($O$3:$O$401, $C$3:$C$401 ,$C344,$B$3:$B$401,"&lt;="&amp;Controle!$B$6,$F$3:$F$401,$F344),"")</f>
        <v/>
      </c>
      <c r="S344" s="51" t="str">
        <f>IF($D344&lt;&gt;"",SUMIFS($O$3:$O$401, $C$3:$C$401 ,$C344,$B$3:$B$401,"&lt;="&amp;'Controle D-1'!$B$6,$F$3:$F$401,$F344),"")</f>
        <v/>
      </c>
      <c r="T344" s="40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146"/>
      <c r="B345" s="149"/>
      <c r="C345" s="150"/>
      <c r="D345" s="150" t="str">
        <f>IF(ISTEXT(C345),VLOOKUP(C345,'Cadastro dos Ativos'!$A$2:$C$1000,3,0),"")</f>
        <v/>
      </c>
      <c r="E345" s="150"/>
      <c r="F345" s="150"/>
      <c r="G345" s="151"/>
      <c r="H345" s="101" t="str">
        <f>if($D345="Ações Americanas", HLOOKUP("PTAX",'Histórico'!$A$1:$EL$983,(MATCH(B345,'Histórico'!A:A))-1,""),
if($D345="Ações Europeias", HLOOKUP("EUR/BRL",'Histórico'!$A$1:$EL$983,(MATCH(B345,'Histórico'!A:A))-1,""),""))</f>
        <v/>
      </c>
      <c r="I345" s="150" t="str">
        <f t="array" ref="I345">IF(ISTEXT(C345),xlookup(C345,'Cadastro dos Ativos'!$A$2:$A$1000,'Cadastro dos Ativos'!$D$2:$D$1000),"")</f>
        <v/>
      </c>
      <c r="J345" s="150"/>
      <c r="K345" s="47" t="str">
        <f t="array" ref="K345">if(and(J345&lt;&gt;"",D345&lt;&gt;"Futuros"),
if(F345=Controle!$C$2, M345/xlookup(workday(B345,-1,Feriados!A:A),Controle!$B$10:$B$1000,Controle!$C$10:$C$1000),
if(F345=Controle!$F$2, M345/xlookup(workday(B345,-1,Feriados!A:A),Controle!$B$10:$B$1000,Controle!$F$10:$F$1000),
if(F345=Controle!$I$2, M345/xlookup(workday(B345,-1,Feriados!A:A),Controle!$B$10:$B$1000,Controle!$I$10:$I$1000),
if(F345=Controle!$L$2, M345/xlookup(workday(B345,-1,Feriados!A:A),Controle!$B$10:$B$1000,Controle!$L$10:$L$1000),
)))),
if(and(J345&lt;&gt;"",D345="Futuros"),
if(F345=Controle!$C$2, N345/xlookup(workday(B345,-1,Feriados!A:A),Controle!$B$10:$B$1000,Controle!$C$10:$C$1000),
if(F345=Controle!$F$2, N345/xlookup(workday(B345,-1,Feriados!A:A),Controle!$B$10:$B$1000,Controle!$F$10:$F$1000),
if(F345=Controle!$I$2, N345/xlookup(workday(B345,-1,Feriados!A:A),Controle!$B$10:$B$1000,Controle!$I$10:$I$1000),
if(F345=Controle!$L$2, N345/xlookup(workday(B345,-1,Feriados!A:A),Controle!$B$10:$B$1000,Controle!$L$10:$L$1000),
)))),""))</f>
        <v/>
      </c>
      <c r="L345" s="47" t="str">
        <f t="array" ref="L345">IF($J345&lt;&gt;"", IF($D345 = "Futuros" , $N345/xlookup(WORKDAY(B345,-1,Feriados!A:A),Controle!$B$10:$B$1000,Controle!$T$10:$T$1000) , $M345/xlookup(WORKDAY(B345,-1,Feriados!A:A),Controle!$B$10:$B$1000,Controle!$T$10:$T$1000)),"")</f>
        <v/>
      </c>
      <c r="M345" s="48" t="str">
        <f t="shared" si="4"/>
        <v/>
      </c>
      <c r="N345" s="48" t="str">
        <f>IFERROR(IF(D345="Futuros",
IF(LEFT(C345,3)="DI1",G345*O345,
IF(LEFT(C345,3)="ISP",G345*O345*HLOOKUP("PTAX",'Histórico'!$A$1:$EL$983,MATCH(B345,'Histórico'!A:A),FALSE)*50,
IF(LEFT(C345,3)="WDO",10*G345*O345*HLOOKUP("PTAX",'Histórico'!$A$1:$EL$983,MATCH(B345,'Histórico'!A:A),FALSE),
IF(LEFT(C345,3)="DOL",50*G345*O345,
IF(LEFT(C345,3)="EUR",G345*O345*50,
IF(LEFT(C345,3)="WEU",G345*O345*10,
IF(LEFT(C345,3)="IND",G345*O345,
IF(LEFT(C345,3)="WIN",G345*O345*0.2,
IF(LEFT(C345,3)="T10",G345*O345*1000*HLOOKUP("PTAX",'Histórico'!$A$1:$EL$983,MATCH(B345,'Histórico'!A:A),FALSE),
IF(LEFT(C345,3)="CCM",G345*O345*450,
IF(LEFT(C345,3)="SJC",G345*O345*HLOOKUP("PTAX",'Histórico'!$A$1:$EL$983,MATCH(B345,'Histórico'!A:A),FALSE)*450,
IF(LEFT(C345,3)="BGI",G345*O345*330,
IF(LEFT(C345,3)="OZ1",G345*O345*250,
IF(LEFT(C345,3)="CLP",G345*O345*25,
IF(LEFT(C345,3)="EUP", O345*10000*HLOOKUP("EUR/BRL",'Histórico'!$A$1:$EL$983,MATCH(B345,'Histórico'!A:A),FALSE),
IF(LEFT(C345,3)="JSE", G345*O345*0.4,
IF(LEFT(C345,3)="GBP", O345*10000*HLOOKUP("GBP/BRL",'Histórico'!$A$1:$FG$983,MATCH(B345,'Histórico'!A:A),FALSE),
IF(LEFT(C345,3)="JAP",O345*10000*HLOOKUP("PTAX",'Histórico'!$A$1:$FG$983,MATCH(B345,'Histórico'!A:A),FALSE),
IF(LEFT(C345,3)="CNH",O345*10000*HLOOKUP("PTAX",'Histórico'!$A$1:$FG$983,MATCH(B345,'Histórico'!A:A),FALSE),
IF(LEFT(C345,3)="AUS",O345*10000*HLOOKUP("PTAX",'Histórico'!$A$1:$FG$983,MATCH(B345,'Histórico'!A:A),FALSE),
IF(LEFT(C345,3)="CAN",O345*10000*HLOOKUP("PTAX",'Histórico'!$A$1:$FG$983,MATCH(B345,'Histórico'!A:A),FALSE),
IF(LEFT(C345,3)="GBR",O345*10000*HLOOKUP("GBP/BRL",'Histórico'!$A$1:$FG$983,MATCH(B345,'Histórico'!A:A),FALSE),
IF(LEFT(C345,3)="MEX",O345*10000*HLOOKUP("PTAX",'Histórico'!$A$1:$FG$983,MATCH(B345,'Histórico'!A:A),FALSE),
IF(LEFT(C345,3)="CHL",O345*10000*HLOOKUP("PTAX",'Histórico'!$A$1:$FG$983,MATCH(B345,'Histórico'!A:A),FALSE)
)))))))))))))))))))))))),""))</f>
        <v/>
      </c>
      <c r="O345" s="49" t="str">
        <f t="shared" si="2"/>
        <v/>
      </c>
      <c r="P345" s="49" t="str">
        <f t="shared" si="5"/>
        <v/>
      </c>
      <c r="Q345" s="51" t="str">
        <f>IF($C345&lt;&gt;"",SUMIFS($O$3:$O$401, $C$3:$C$401 ,$C345,$B$3:$B$401,"&lt;="&amp;Controle!$B$6),"")</f>
        <v/>
      </c>
      <c r="R345" s="51" t="str">
        <f>IF($D345&lt;&gt;"",SUMIFS($O$3:$O$401, $C$3:$C$401 ,$C345,$B$3:$B$401,"&lt;="&amp;Controle!$B$6,$F$3:$F$401,$F345),"")</f>
        <v/>
      </c>
      <c r="S345" s="51" t="str">
        <f>IF($D345&lt;&gt;"",SUMIFS($O$3:$O$401, $C$3:$C$401 ,$C345,$B$3:$B$401,"&lt;="&amp;'Controle D-1'!$B$6,$F$3:$F$401,$F345),"")</f>
        <v/>
      </c>
      <c r="T345" s="40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146"/>
      <c r="B346" s="149"/>
      <c r="C346" s="150"/>
      <c r="D346" s="150" t="str">
        <f>IF(ISTEXT(C346),VLOOKUP(C346,'Cadastro dos Ativos'!$A$2:$C$1000,3,0),"")</f>
        <v/>
      </c>
      <c r="E346" s="150"/>
      <c r="F346" s="150"/>
      <c r="G346" s="151"/>
      <c r="H346" s="46" t="str">
        <f>if($D346="Ações Americanas", HLOOKUP("PTAX",'Histórico'!$A$1:$EL$983,(MATCH(B346,'Histórico'!A:A))-1,""),
if($D346="Ações Europeias", HLOOKUP("EUR/BRL",'Histórico'!$A$1:$EL$983,(MATCH(B346,'Histórico'!A:A))-1,""),""))</f>
        <v/>
      </c>
      <c r="I346" s="150" t="str">
        <f t="array" ref="I346">IF(ISTEXT(C346),xlookup(C346,'Cadastro dos Ativos'!$A$2:$A$1000,'Cadastro dos Ativos'!$D$2:$D$1000),"")</f>
        <v/>
      </c>
      <c r="J346" s="150"/>
      <c r="K346" s="47" t="str">
        <f t="array" ref="K346">if(and(J346&lt;&gt;"",D346&lt;&gt;"Futuros"),
if(F346=Controle!$C$2, M346/xlookup(workday(B346,-1,Feriados!A:A),Controle!$B$10:$B$1000,Controle!$C$10:$C$1000),
if(F346=Controle!$F$2, M346/xlookup(workday(B346,-1,Feriados!A:A),Controle!$B$10:$B$1000,Controle!$F$10:$F$1000),
if(F346=Controle!$I$2, M346/xlookup(workday(B346,-1,Feriados!A:A),Controle!$B$10:$B$1000,Controle!$I$10:$I$1000),
if(F346=Controle!$L$2, M346/xlookup(workday(B346,-1,Feriados!A:A),Controle!$B$10:$B$1000,Controle!$L$10:$L$1000),
)))),
if(and(J346&lt;&gt;"",D346="Futuros"),
if(F346=Controle!$C$2, N346/xlookup(workday(B346,-1,Feriados!A:A),Controle!$B$10:$B$1000,Controle!$C$10:$C$1000),
if(F346=Controle!$F$2, N346/xlookup(workday(B346,-1,Feriados!A:A),Controle!$B$10:$B$1000,Controle!$F$10:$F$1000),
if(F346=Controle!$I$2, N346/xlookup(workday(B346,-1,Feriados!A:A),Controle!$B$10:$B$1000,Controle!$I$10:$I$1000),
if(F346=Controle!$L$2, N346/xlookup(workday(B346,-1,Feriados!A:A),Controle!$B$10:$B$1000,Controle!$L$10:$L$1000),
)))),""))</f>
        <v/>
      </c>
      <c r="L346" s="47" t="str">
        <f t="array" ref="L346">IF($J346&lt;&gt;"", IF($D346 = "Futuros" , $N346/xlookup(WORKDAY(B346,-1,Feriados!A:A),Controle!$B$10:$B$1000,Controle!$T$10:$T$1000) , $M346/xlookup(WORKDAY(B346,-1,Feriados!A:A),Controle!$B$10:$B$1000,Controle!$T$10:$T$1000)),"")</f>
        <v/>
      </c>
      <c r="M346" s="48" t="str">
        <f t="shared" si="4"/>
        <v/>
      </c>
      <c r="N346" s="48" t="str">
        <f>IFERROR(IF(D346="Futuros",
IF(LEFT(C346,3)="DI1",G346*O346,
IF(LEFT(C346,3)="ISP",G346*O346*HLOOKUP("PTAX",'Histórico'!$A$1:$EL$983,MATCH(B346,'Histórico'!A:A),FALSE)*50,
IF(LEFT(C346,3)="WDO",10*G346*O346*HLOOKUP("PTAX",'Histórico'!$A$1:$EL$983,MATCH(B346,'Histórico'!A:A),FALSE),
IF(LEFT(C346,3)="DOL",50*G346*O346,
IF(LEFT(C346,3)="EUR",G346*O346*50,
IF(LEFT(C346,3)="WEU",G346*O346*10,
IF(LEFT(C346,3)="IND",G346*O346,
IF(LEFT(C346,3)="WIN",G346*O346*0.2,
IF(LEFT(C346,3)="T10",G346*O346*1000*HLOOKUP("PTAX",'Histórico'!$A$1:$EL$983,MATCH(B346,'Histórico'!A:A),FALSE),
IF(LEFT(C346,3)="CCM",G346*O346*450,
IF(LEFT(C346,3)="SJC",G346*O346*HLOOKUP("PTAX",'Histórico'!$A$1:$EL$983,MATCH(B346,'Histórico'!A:A),FALSE)*450,
IF(LEFT(C346,3)="BGI",G346*O346*330,
IF(LEFT(C346,3)="OZ1",G346*O346*250,
IF(LEFT(C346,3)="CLP",G346*O346*25,
IF(LEFT(C346,3)="EUP", O346*10000*HLOOKUP("EUR/BRL",'Histórico'!$A$1:$EL$983,MATCH(B346,'Histórico'!A:A),FALSE),
IF(LEFT(C346,3)="JSE", G346*O346*0.4,
IF(LEFT(C346,3)="GBP", O346*10000*HLOOKUP("GBP/BRL",'Histórico'!$A$1:$FG$983,MATCH(B346,'Histórico'!A:A),FALSE),
IF(LEFT(C346,3)="JAP",O346*10000*HLOOKUP("PTAX",'Histórico'!$A$1:$FG$983,MATCH(B346,'Histórico'!A:A),FALSE),
IF(LEFT(C346,3)="CNH",O346*10000*HLOOKUP("PTAX",'Histórico'!$A$1:$FG$983,MATCH(B346,'Histórico'!A:A),FALSE),
IF(LEFT(C346,3)="AUS",O346*10000*HLOOKUP("PTAX",'Histórico'!$A$1:$FG$983,MATCH(B346,'Histórico'!A:A),FALSE),
IF(LEFT(C346,3)="CAN",O346*10000*HLOOKUP("PTAX",'Histórico'!$A$1:$FG$983,MATCH(B346,'Histórico'!A:A),FALSE),
IF(LEFT(C346,3)="GBR",O346*10000*HLOOKUP("GBP/BRL",'Histórico'!$A$1:$FG$983,MATCH(B346,'Histórico'!A:A),FALSE),
IF(LEFT(C346,3)="MEX",O346*10000*HLOOKUP("PTAX",'Histórico'!$A$1:$FG$983,MATCH(B346,'Histórico'!A:A),FALSE),
IF(LEFT(C346,3)="CHL",O346*10000*HLOOKUP("PTAX",'Histórico'!$A$1:$FG$983,MATCH(B346,'Histórico'!A:A),FALSE)
)))))))))))))))))))))))),""))</f>
        <v/>
      </c>
      <c r="O346" s="49" t="str">
        <f t="shared" si="2"/>
        <v/>
      </c>
      <c r="P346" s="49" t="str">
        <f t="shared" si="5"/>
        <v/>
      </c>
      <c r="Q346" s="51" t="str">
        <f>IF($C346&lt;&gt;"",SUMIFS($O$3:$O$401, $C$3:$C$401 ,$C346,$B$3:$B$401,"&lt;="&amp;Controle!$B$6),"")</f>
        <v/>
      </c>
      <c r="R346" s="51" t="str">
        <f>IF($D346&lt;&gt;"",SUMIFS($O$3:$O$401, $C$3:$C$401 ,$C346,$B$3:$B$401,"&lt;="&amp;Controle!$B$6,$F$3:$F$401,$F346),"")</f>
        <v/>
      </c>
      <c r="S346" s="51" t="str">
        <f>IF($D346&lt;&gt;"",SUMIFS($O$3:$O$401, $C$3:$C$401 ,$C346,$B$3:$B$401,"&lt;="&amp;'Controle D-1'!$B$6,$F$3:$F$401,$F346),"")</f>
        <v/>
      </c>
      <c r="T346" s="40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146"/>
      <c r="B347" s="149"/>
      <c r="C347" s="150"/>
      <c r="D347" s="150" t="str">
        <f>IF(ISTEXT(C347),VLOOKUP(C347,'Cadastro dos Ativos'!$A$2:$C$1000,3,0),"")</f>
        <v/>
      </c>
      <c r="E347" s="150"/>
      <c r="F347" s="150"/>
      <c r="G347" s="151"/>
      <c r="H347" s="101" t="str">
        <f>if($D347="Ações Americanas", HLOOKUP("PTAX",'Histórico'!$A$1:$EL$983,(MATCH(B347,'Histórico'!A:A))-1,""),
if($D347="Ações Europeias", HLOOKUP("EUR/BRL",'Histórico'!$A$1:$EL$983,(MATCH(B347,'Histórico'!A:A))-1,""),""))</f>
        <v/>
      </c>
      <c r="I347" s="150" t="str">
        <f t="array" ref="I347">IF(ISTEXT(C347),xlookup(C347,'Cadastro dos Ativos'!$A$2:$A$1000,'Cadastro dos Ativos'!$D$2:$D$1000),"")</f>
        <v/>
      </c>
      <c r="J347" s="150"/>
      <c r="K347" s="47" t="str">
        <f t="array" ref="K347">if(and(J347&lt;&gt;"",D347&lt;&gt;"Futuros"),
if(F347=Controle!$C$2, M347/xlookup(workday(B347,-1,Feriados!A:A),Controle!$B$10:$B$1000,Controle!$C$10:$C$1000),
if(F347=Controle!$F$2, M347/xlookup(workday(B347,-1,Feriados!A:A),Controle!$B$10:$B$1000,Controle!$F$10:$F$1000),
if(F347=Controle!$I$2, M347/xlookup(workday(B347,-1,Feriados!A:A),Controle!$B$10:$B$1000,Controle!$I$10:$I$1000),
if(F347=Controle!$L$2, M347/xlookup(workday(B347,-1,Feriados!A:A),Controle!$B$10:$B$1000,Controle!$L$10:$L$1000),
)))),
if(and(J347&lt;&gt;"",D347="Futuros"),
if(F347=Controle!$C$2, N347/xlookup(workday(B347,-1,Feriados!A:A),Controle!$B$10:$B$1000,Controle!$C$10:$C$1000),
if(F347=Controle!$F$2, N347/xlookup(workday(B347,-1,Feriados!A:A),Controle!$B$10:$B$1000,Controle!$F$10:$F$1000),
if(F347=Controle!$I$2, N347/xlookup(workday(B347,-1,Feriados!A:A),Controle!$B$10:$B$1000,Controle!$I$10:$I$1000),
if(F347=Controle!$L$2, N347/xlookup(workday(B347,-1,Feriados!A:A),Controle!$B$10:$B$1000,Controle!$L$10:$L$1000),
)))),""))</f>
        <v/>
      </c>
      <c r="L347" s="47" t="str">
        <f t="array" ref="L347">IF($J347&lt;&gt;"", IF($D347 = "Futuros" , $N347/xlookup(WORKDAY(B347,-1,Feriados!A:A),Controle!$B$10:$B$1000,Controle!$T$10:$T$1000) , $M347/xlookup(WORKDAY(B347,-1,Feriados!A:A),Controle!$B$10:$B$1000,Controle!$T$10:$T$1000)),"")</f>
        <v/>
      </c>
      <c r="M347" s="48" t="str">
        <f t="shared" si="4"/>
        <v/>
      </c>
      <c r="N347" s="48" t="str">
        <f>IFERROR(IF(D347="Futuros",
IF(LEFT(C347,3)="DI1",G347*O347,
IF(LEFT(C347,3)="ISP",G347*O347*HLOOKUP("PTAX",'Histórico'!$A$1:$EL$983,MATCH(B347,'Histórico'!A:A),FALSE)*50,
IF(LEFT(C347,3)="WDO",10*G347*O347*HLOOKUP("PTAX",'Histórico'!$A$1:$EL$983,MATCH(B347,'Histórico'!A:A),FALSE),
IF(LEFT(C347,3)="DOL",50*G347*O347,
IF(LEFT(C347,3)="EUR",G347*O347*50,
IF(LEFT(C347,3)="WEU",G347*O347*10,
IF(LEFT(C347,3)="IND",G347*O347,
IF(LEFT(C347,3)="WIN",G347*O347*0.2,
IF(LEFT(C347,3)="T10",G347*O347*1000*HLOOKUP("PTAX",'Histórico'!$A$1:$EL$983,MATCH(B347,'Histórico'!A:A),FALSE),
IF(LEFT(C347,3)="CCM",G347*O347*450,
IF(LEFT(C347,3)="SJC",G347*O347*HLOOKUP("PTAX",'Histórico'!$A$1:$EL$983,MATCH(B347,'Histórico'!A:A),FALSE)*450,
IF(LEFT(C347,3)="BGI",G347*O347*330,
IF(LEFT(C347,3)="OZ1",G347*O347*250,
IF(LEFT(C347,3)="CLP",G347*O347*25,
IF(LEFT(C347,3)="EUP", O347*10000*HLOOKUP("EUR/BRL",'Histórico'!$A$1:$EL$983,MATCH(B347,'Histórico'!A:A),FALSE),
IF(LEFT(C347,3)="JSE", G347*O347*0.4,
IF(LEFT(C347,3)="GBP", O347*10000*HLOOKUP("GBP/BRL",'Histórico'!$A$1:$FG$983,MATCH(B347,'Histórico'!A:A),FALSE),
IF(LEFT(C347,3)="JAP",O347*10000*HLOOKUP("PTAX",'Histórico'!$A$1:$FG$983,MATCH(B347,'Histórico'!A:A),FALSE),
IF(LEFT(C347,3)="CNH",O347*10000*HLOOKUP("PTAX",'Histórico'!$A$1:$FG$983,MATCH(B347,'Histórico'!A:A),FALSE),
IF(LEFT(C347,3)="AUS",O347*10000*HLOOKUP("PTAX",'Histórico'!$A$1:$FG$983,MATCH(B347,'Histórico'!A:A),FALSE),
IF(LEFT(C347,3)="CAN",O347*10000*HLOOKUP("PTAX",'Histórico'!$A$1:$FG$983,MATCH(B347,'Histórico'!A:A),FALSE),
IF(LEFT(C347,3)="GBR",O347*10000*HLOOKUP("GBP/BRL",'Histórico'!$A$1:$FG$983,MATCH(B347,'Histórico'!A:A),FALSE),
IF(LEFT(C347,3)="MEX",O347*10000*HLOOKUP("PTAX",'Histórico'!$A$1:$FG$983,MATCH(B347,'Histórico'!A:A),FALSE),
IF(LEFT(C347,3)="CHL",O347*10000*HLOOKUP("PTAX",'Histórico'!$A$1:$FG$983,MATCH(B347,'Histórico'!A:A),FALSE)
)))))))))))))))))))))))),""))</f>
        <v/>
      </c>
      <c r="O347" s="49" t="str">
        <f t="shared" si="2"/>
        <v/>
      </c>
      <c r="P347" s="49" t="str">
        <f t="shared" si="5"/>
        <v/>
      </c>
      <c r="Q347" s="51" t="str">
        <f>IF($C347&lt;&gt;"",SUMIFS($O$3:$O$401, $C$3:$C$401 ,$C347,$B$3:$B$401,"&lt;="&amp;Controle!$B$6),"")</f>
        <v/>
      </c>
      <c r="R347" s="51" t="str">
        <f>IF($D347&lt;&gt;"",SUMIFS($O$3:$O$401, $C$3:$C$401 ,$C347,$B$3:$B$401,"&lt;="&amp;Controle!$B$6,$F$3:$F$401,$F347),"")</f>
        <v/>
      </c>
      <c r="S347" s="51" t="str">
        <f>IF($D347&lt;&gt;"",SUMIFS($O$3:$O$401, $C$3:$C$401 ,$C347,$B$3:$B$401,"&lt;="&amp;'Controle D-1'!$B$6,$F$3:$F$401,$F347),"")</f>
        <v/>
      </c>
      <c r="T347" s="40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146"/>
      <c r="B348" s="149"/>
      <c r="C348" s="150"/>
      <c r="D348" s="150" t="str">
        <f>IF(ISTEXT(C348),VLOOKUP(C348,'Cadastro dos Ativos'!$A$2:$C$1000,3,0),"")</f>
        <v/>
      </c>
      <c r="E348" s="150"/>
      <c r="F348" s="150"/>
      <c r="G348" s="151"/>
      <c r="H348" s="46" t="str">
        <f>if($D348="Ações Americanas", HLOOKUP("PTAX",'Histórico'!$A$1:$EL$983,(MATCH(B348,'Histórico'!A:A))-1,""),
if($D348="Ações Europeias", HLOOKUP("EUR/BRL",'Histórico'!$A$1:$EL$983,(MATCH(B348,'Histórico'!A:A))-1,""),""))</f>
        <v/>
      </c>
      <c r="I348" s="150" t="str">
        <f t="array" ref="I348">IF(ISTEXT(C348),xlookup(C348,'Cadastro dos Ativos'!$A$2:$A$1000,'Cadastro dos Ativos'!$D$2:$D$1000),"")</f>
        <v/>
      </c>
      <c r="J348" s="150"/>
      <c r="K348" s="47" t="str">
        <f t="array" ref="K348">if(and(J348&lt;&gt;"",D348&lt;&gt;"Futuros"),
if(F348=Controle!$C$2, M348/xlookup(workday(B348,-1,Feriados!A:A),Controle!$B$10:$B$1000,Controle!$C$10:$C$1000),
if(F348=Controle!$F$2, M348/xlookup(workday(B348,-1,Feriados!A:A),Controle!$B$10:$B$1000,Controle!$F$10:$F$1000),
if(F348=Controle!$I$2, M348/xlookup(workday(B348,-1,Feriados!A:A),Controle!$B$10:$B$1000,Controle!$I$10:$I$1000),
if(F348=Controle!$L$2, M348/xlookup(workday(B348,-1,Feriados!A:A),Controle!$B$10:$B$1000,Controle!$L$10:$L$1000),
)))),
if(and(J348&lt;&gt;"",D348="Futuros"),
if(F348=Controle!$C$2, N348/xlookup(workday(B348,-1,Feriados!A:A),Controle!$B$10:$B$1000,Controle!$C$10:$C$1000),
if(F348=Controle!$F$2, N348/xlookup(workday(B348,-1,Feriados!A:A),Controle!$B$10:$B$1000,Controle!$F$10:$F$1000),
if(F348=Controle!$I$2, N348/xlookup(workday(B348,-1,Feriados!A:A),Controle!$B$10:$B$1000,Controle!$I$10:$I$1000),
if(F348=Controle!$L$2, N348/xlookup(workday(B348,-1,Feriados!A:A),Controle!$B$10:$B$1000,Controle!$L$10:$L$1000),
)))),""))</f>
        <v/>
      </c>
      <c r="L348" s="47" t="str">
        <f t="array" ref="L348">IF($J348&lt;&gt;"", IF($D348 = "Futuros" , $N348/xlookup(WORKDAY(B348,-1,Feriados!A:A),Controle!$B$10:$B$1000,Controle!$T$10:$T$1000) , $M348/xlookup(WORKDAY(B348,-1,Feriados!A:A),Controle!$B$10:$B$1000,Controle!$T$10:$T$1000)),"")</f>
        <v/>
      </c>
      <c r="M348" s="48" t="str">
        <f t="shared" si="4"/>
        <v/>
      </c>
      <c r="N348" s="48" t="str">
        <f>IFERROR(IF(D348="Futuros",
IF(LEFT(C348,3)="DI1",G348*O348,
IF(LEFT(C348,3)="ISP",G348*O348*HLOOKUP("PTAX",'Histórico'!$A$1:$EL$983,MATCH(B348,'Histórico'!A:A),FALSE)*50,
IF(LEFT(C348,3)="WDO",10*G348*O348*HLOOKUP("PTAX",'Histórico'!$A$1:$EL$983,MATCH(B348,'Histórico'!A:A),FALSE),
IF(LEFT(C348,3)="DOL",50*G348*O348,
IF(LEFT(C348,3)="EUR",G348*O348*50,
IF(LEFT(C348,3)="WEU",G348*O348*10,
IF(LEFT(C348,3)="IND",G348*O348,
IF(LEFT(C348,3)="WIN",G348*O348*0.2,
IF(LEFT(C348,3)="T10",G348*O348*1000*HLOOKUP("PTAX",'Histórico'!$A$1:$EL$983,MATCH(B348,'Histórico'!A:A),FALSE),
IF(LEFT(C348,3)="CCM",G348*O348*450,
IF(LEFT(C348,3)="SJC",G348*O348*HLOOKUP("PTAX",'Histórico'!$A$1:$EL$983,MATCH(B348,'Histórico'!A:A),FALSE)*450,
IF(LEFT(C348,3)="BGI",G348*O348*330,
IF(LEFT(C348,3)="OZ1",G348*O348*250,
IF(LEFT(C348,3)="CLP",G348*O348*25,
IF(LEFT(C348,3)="EUP", O348*10000*HLOOKUP("EUR/BRL",'Histórico'!$A$1:$EL$983,MATCH(B348,'Histórico'!A:A),FALSE),
IF(LEFT(C348,3)="JSE", G348*O348*0.4,
IF(LEFT(C348,3)="GBP", O348*10000*HLOOKUP("GBP/BRL",'Histórico'!$A$1:$FG$983,MATCH(B348,'Histórico'!A:A),FALSE),
IF(LEFT(C348,3)="JAP",O348*10000*HLOOKUP("PTAX",'Histórico'!$A$1:$FG$983,MATCH(B348,'Histórico'!A:A),FALSE),
IF(LEFT(C348,3)="CNH",O348*10000*HLOOKUP("PTAX",'Histórico'!$A$1:$FG$983,MATCH(B348,'Histórico'!A:A),FALSE),
IF(LEFT(C348,3)="AUS",O348*10000*HLOOKUP("PTAX",'Histórico'!$A$1:$FG$983,MATCH(B348,'Histórico'!A:A),FALSE),
IF(LEFT(C348,3)="CAN",O348*10000*HLOOKUP("PTAX",'Histórico'!$A$1:$FG$983,MATCH(B348,'Histórico'!A:A),FALSE),
IF(LEFT(C348,3)="GBR",O348*10000*HLOOKUP("GBP/BRL",'Histórico'!$A$1:$FG$983,MATCH(B348,'Histórico'!A:A),FALSE),
IF(LEFT(C348,3)="MEX",O348*10000*HLOOKUP("PTAX",'Histórico'!$A$1:$FG$983,MATCH(B348,'Histórico'!A:A),FALSE),
IF(LEFT(C348,3)="CHL",O348*10000*HLOOKUP("PTAX",'Histórico'!$A$1:$FG$983,MATCH(B348,'Histórico'!A:A),FALSE)
)))))))))))))))))))))))),""))</f>
        <v/>
      </c>
      <c r="O348" s="49" t="str">
        <f t="shared" si="2"/>
        <v/>
      </c>
      <c r="P348" s="49" t="str">
        <f t="shared" si="5"/>
        <v/>
      </c>
      <c r="Q348" s="51" t="str">
        <f>IF($C348&lt;&gt;"",SUMIFS($O$3:$O$401, $C$3:$C$401 ,$C348,$B$3:$B$401,"&lt;="&amp;Controle!$B$6),"")</f>
        <v/>
      </c>
      <c r="R348" s="51" t="str">
        <f>IF($D348&lt;&gt;"",SUMIFS($O$3:$O$401, $C$3:$C$401 ,$C348,$B$3:$B$401,"&lt;="&amp;Controle!$B$6,$F$3:$F$401,$F348),"")</f>
        <v/>
      </c>
      <c r="S348" s="51" t="str">
        <f>IF($D348&lt;&gt;"",SUMIFS($O$3:$O$401, $C$3:$C$401 ,$C348,$B$3:$B$401,"&lt;="&amp;'Controle D-1'!$B$6,$F$3:$F$401,$F348),"")</f>
        <v/>
      </c>
      <c r="T348" s="40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146"/>
      <c r="B349" s="149"/>
      <c r="C349" s="150"/>
      <c r="D349" s="150" t="str">
        <f>IF(ISTEXT(C349),VLOOKUP(C349,'Cadastro dos Ativos'!$A$2:$C$1000,3,0),"")</f>
        <v/>
      </c>
      <c r="E349" s="150"/>
      <c r="F349" s="150"/>
      <c r="G349" s="151"/>
      <c r="H349" s="101" t="str">
        <f>if($D349="Ações Americanas", HLOOKUP("PTAX",'Histórico'!$A$1:$EL$983,(MATCH(B349,'Histórico'!A:A))-1,""),
if($D349="Ações Europeias", HLOOKUP("EUR/BRL",'Histórico'!$A$1:$EL$983,(MATCH(B349,'Histórico'!A:A))-1,""),""))</f>
        <v/>
      </c>
      <c r="I349" s="150" t="str">
        <f t="array" ref="I349">IF(ISTEXT(C349),xlookup(C349,'Cadastro dos Ativos'!$A$2:$A$1000,'Cadastro dos Ativos'!$D$2:$D$1000),"")</f>
        <v/>
      </c>
      <c r="J349" s="150"/>
      <c r="K349" s="47" t="str">
        <f t="array" ref="K349">if(and(J349&lt;&gt;"",D349&lt;&gt;"Futuros"),
if(F349=Controle!$C$2, M349/xlookup(workday(B349,-1,Feriados!A:A),Controle!$B$10:$B$1000,Controle!$C$10:$C$1000),
if(F349=Controle!$F$2, M349/xlookup(workday(B349,-1,Feriados!A:A),Controle!$B$10:$B$1000,Controle!$F$10:$F$1000),
if(F349=Controle!$I$2, M349/xlookup(workday(B349,-1,Feriados!A:A),Controle!$B$10:$B$1000,Controle!$I$10:$I$1000),
if(F349=Controle!$L$2, M349/xlookup(workday(B349,-1,Feriados!A:A),Controle!$B$10:$B$1000,Controle!$L$10:$L$1000),
)))),
if(and(J349&lt;&gt;"",D349="Futuros"),
if(F349=Controle!$C$2, N349/xlookup(workday(B349,-1,Feriados!A:A),Controle!$B$10:$B$1000,Controle!$C$10:$C$1000),
if(F349=Controle!$F$2, N349/xlookup(workday(B349,-1,Feriados!A:A),Controle!$B$10:$B$1000,Controle!$F$10:$F$1000),
if(F349=Controle!$I$2, N349/xlookup(workday(B349,-1,Feriados!A:A),Controle!$B$10:$B$1000,Controle!$I$10:$I$1000),
if(F349=Controle!$L$2, N349/xlookup(workday(B349,-1,Feriados!A:A),Controle!$B$10:$B$1000,Controle!$L$10:$L$1000),
)))),""))</f>
        <v/>
      </c>
      <c r="L349" s="47" t="str">
        <f t="array" ref="L349">IF($J349&lt;&gt;"", IF($D349 = "Futuros" , $N349/xlookup(WORKDAY(B349,-1,Feriados!A:A),Controle!$B$10:$B$1000,Controle!$T$10:$T$1000) , $M349/xlookup(WORKDAY(B349,-1,Feriados!A:A),Controle!$B$10:$B$1000,Controle!$T$10:$T$1000)),"")</f>
        <v/>
      </c>
      <c r="M349" s="48" t="str">
        <f t="shared" si="4"/>
        <v/>
      </c>
      <c r="N349" s="48" t="str">
        <f>IFERROR(IF(D349="Futuros",
IF(LEFT(C349,3)="DI1",G349*O349,
IF(LEFT(C349,3)="ISP",G349*O349*HLOOKUP("PTAX",'Histórico'!$A$1:$EL$983,MATCH(B349,'Histórico'!A:A),FALSE)*50,
IF(LEFT(C349,3)="WDO",10*G349*O349*HLOOKUP("PTAX",'Histórico'!$A$1:$EL$983,MATCH(B349,'Histórico'!A:A),FALSE),
IF(LEFT(C349,3)="DOL",50*G349*O349,
IF(LEFT(C349,3)="EUR",G349*O349*50,
IF(LEFT(C349,3)="WEU",G349*O349*10,
IF(LEFT(C349,3)="IND",G349*O349,
IF(LEFT(C349,3)="WIN",G349*O349*0.2,
IF(LEFT(C349,3)="T10",G349*O349*1000*HLOOKUP("PTAX",'Histórico'!$A$1:$EL$983,MATCH(B349,'Histórico'!A:A),FALSE),
IF(LEFT(C349,3)="CCM",G349*O349*450,
IF(LEFT(C349,3)="SJC",G349*O349*HLOOKUP("PTAX",'Histórico'!$A$1:$EL$983,MATCH(B349,'Histórico'!A:A),FALSE)*450,
IF(LEFT(C349,3)="BGI",G349*O349*330,
IF(LEFT(C349,3)="OZ1",G349*O349*250,
IF(LEFT(C349,3)="CLP",G349*O349*25,
IF(LEFT(C349,3)="EUP", O349*10000*HLOOKUP("EUR/BRL",'Histórico'!$A$1:$EL$983,MATCH(B349,'Histórico'!A:A),FALSE),
IF(LEFT(C349,3)="JSE", G349*O349*0.4,
IF(LEFT(C349,3)="GBP", O349*10000*HLOOKUP("GBP/BRL",'Histórico'!$A$1:$FG$983,MATCH(B349,'Histórico'!A:A),FALSE),
IF(LEFT(C349,3)="JAP",O349*10000*HLOOKUP("PTAX",'Histórico'!$A$1:$FG$983,MATCH(B349,'Histórico'!A:A),FALSE),
IF(LEFT(C349,3)="CNH",O349*10000*HLOOKUP("PTAX",'Histórico'!$A$1:$FG$983,MATCH(B349,'Histórico'!A:A),FALSE),
IF(LEFT(C349,3)="AUS",O349*10000*HLOOKUP("PTAX",'Histórico'!$A$1:$FG$983,MATCH(B349,'Histórico'!A:A),FALSE),
IF(LEFT(C349,3)="CAN",O349*10000*HLOOKUP("PTAX",'Histórico'!$A$1:$FG$983,MATCH(B349,'Histórico'!A:A),FALSE),
IF(LEFT(C349,3)="GBR",O349*10000*HLOOKUP("GBP/BRL",'Histórico'!$A$1:$FG$983,MATCH(B349,'Histórico'!A:A),FALSE),
IF(LEFT(C349,3)="MEX",O349*10000*HLOOKUP("PTAX",'Histórico'!$A$1:$FG$983,MATCH(B349,'Histórico'!A:A),FALSE),
IF(LEFT(C349,3)="CHL",O349*10000*HLOOKUP("PTAX",'Histórico'!$A$1:$FG$983,MATCH(B349,'Histórico'!A:A),FALSE)
)))))))))))))))))))))))),""))</f>
        <v/>
      </c>
      <c r="O349" s="49" t="str">
        <f t="shared" si="2"/>
        <v/>
      </c>
      <c r="P349" s="49" t="str">
        <f t="shared" si="5"/>
        <v/>
      </c>
      <c r="Q349" s="51" t="str">
        <f>IF($C349&lt;&gt;"",SUMIFS($O$3:$O$401, $C$3:$C$401 ,$C349,$B$3:$B$401,"&lt;="&amp;Controle!$B$6),"")</f>
        <v/>
      </c>
      <c r="R349" s="51" t="str">
        <f>IF($D349&lt;&gt;"",SUMIFS($O$3:$O$401, $C$3:$C$401 ,$C349,$B$3:$B$401,"&lt;="&amp;Controle!$B$6,$F$3:$F$401,$F349),"")</f>
        <v/>
      </c>
      <c r="S349" s="51" t="str">
        <f>IF($D349&lt;&gt;"",SUMIFS($O$3:$O$401, $C$3:$C$401 ,$C349,$B$3:$B$401,"&lt;="&amp;'Controle D-1'!$B$6,$F$3:$F$401,$F349),"")</f>
        <v/>
      </c>
      <c r="T349" s="40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146"/>
      <c r="B350" s="149"/>
      <c r="C350" s="150"/>
      <c r="D350" s="150" t="str">
        <f>IF(ISTEXT(C350),VLOOKUP(C350,'Cadastro dos Ativos'!$A$2:$C$1000,3,0),"")</f>
        <v/>
      </c>
      <c r="E350" s="150"/>
      <c r="F350" s="150"/>
      <c r="G350" s="151"/>
      <c r="H350" s="46" t="str">
        <f>if($D350="Ações Americanas", HLOOKUP("PTAX",'Histórico'!$A$1:$EL$983,(MATCH(B350,'Histórico'!A:A))-1,""),
if($D350="Ações Europeias", HLOOKUP("EUR/BRL",'Histórico'!$A$1:$EL$983,(MATCH(B350,'Histórico'!A:A))-1,""),""))</f>
        <v/>
      </c>
      <c r="I350" s="150" t="str">
        <f t="array" ref="I350">IF(ISTEXT(C350),xlookup(C350,'Cadastro dos Ativos'!$A$2:$A$1000,'Cadastro dos Ativos'!$D$2:$D$1000),"")</f>
        <v/>
      </c>
      <c r="J350" s="150"/>
      <c r="K350" s="47" t="str">
        <f t="array" ref="K350">if(and(J350&lt;&gt;"",D350&lt;&gt;"Futuros"),
if(F350=Controle!$C$2, M350/xlookup(workday(B350,-1,Feriados!A:A),Controle!$B$10:$B$1000,Controle!$C$10:$C$1000),
if(F350=Controle!$F$2, M350/xlookup(workday(B350,-1,Feriados!A:A),Controle!$B$10:$B$1000,Controle!$F$10:$F$1000),
if(F350=Controle!$I$2, M350/xlookup(workday(B350,-1,Feriados!A:A),Controle!$B$10:$B$1000,Controle!$I$10:$I$1000),
if(F350=Controle!$L$2, M350/xlookup(workday(B350,-1,Feriados!A:A),Controle!$B$10:$B$1000,Controle!$L$10:$L$1000),
)))),
if(and(J350&lt;&gt;"",D350="Futuros"),
if(F350=Controle!$C$2, N350/xlookup(workday(B350,-1,Feriados!A:A),Controle!$B$10:$B$1000,Controle!$C$10:$C$1000),
if(F350=Controle!$F$2, N350/xlookup(workday(B350,-1,Feriados!A:A),Controle!$B$10:$B$1000,Controle!$F$10:$F$1000),
if(F350=Controle!$I$2, N350/xlookup(workday(B350,-1,Feriados!A:A),Controle!$B$10:$B$1000,Controle!$I$10:$I$1000),
if(F350=Controle!$L$2, N350/xlookup(workday(B350,-1,Feriados!A:A),Controle!$B$10:$B$1000,Controle!$L$10:$L$1000),
)))),""))</f>
        <v/>
      </c>
      <c r="L350" s="47" t="str">
        <f t="array" ref="L350">IF($J350&lt;&gt;"", IF($D350 = "Futuros" , $N350/xlookup(WORKDAY(B350,-1,Feriados!A:A),Controle!$B$10:$B$1000,Controle!$T$10:$T$1000) , $M350/xlookup(WORKDAY(B350,-1,Feriados!A:A),Controle!$B$10:$B$1000,Controle!$T$10:$T$1000)),"")</f>
        <v/>
      </c>
      <c r="M350" s="48" t="str">
        <f t="shared" si="4"/>
        <v/>
      </c>
      <c r="N350" s="48" t="str">
        <f>IFERROR(IF(D350="Futuros",
IF(LEFT(C350,3)="DI1",G350*O350,
IF(LEFT(C350,3)="ISP",G350*O350*HLOOKUP("PTAX",'Histórico'!$A$1:$EL$983,MATCH(B350,'Histórico'!A:A),FALSE)*50,
IF(LEFT(C350,3)="WDO",10*G350*O350*HLOOKUP("PTAX",'Histórico'!$A$1:$EL$983,MATCH(B350,'Histórico'!A:A),FALSE),
IF(LEFT(C350,3)="DOL",50*G350*O350,
IF(LEFT(C350,3)="EUR",G350*O350*50,
IF(LEFT(C350,3)="WEU",G350*O350*10,
IF(LEFT(C350,3)="IND",G350*O350,
IF(LEFT(C350,3)="WIN",G350*O350*0.2,
IF(LEFT(C350,3)="T10",G350*O350*1000*HLOOKUP("PTAX",'Histórico'!$A$1:$EL$983,MATCH(B350,'Histórico'!A:A),FALSE),
IF(LEFT(C350,3)="CCM",G350*O350*450,
IF(LEFT(C350,3)="SJC",G350*O350*HLOOKUP("PTAX",'Histórico'!$A$1:$EL$983,MATCH(B350,'Histórico'!A:A),FALSE)*450,
IF(LEFT(C350,3)="BGI",G350*O350*330,
IF(LEFT(C350,3)="OZ1",G350*O350*250,
IF(LEFT(C350,3)="CLP",G350*O350*25,
IF(LEFT(C350,3)="EUP", O350*10000*HLOOKUP("EUR/BRL",'Histórico'!$A$1:$EL$983,MATCH(B350,'Histórico'!A:A),FALSE),
IF(LEFT(C350,3)="JSE", G350*O350*0.4,
IF(LEFT(C350,3)="GBP", O350*10000*HLOOKUP("GBP/BRL",'Histórico'!$A$1:$FG$983,MATCH(B350,'Histórico'!A:A),FALSE),
IF(LEFT(C350,3)="JAP",O350*10000*HLOOKUP("PTAX",'Histórico'!$A$1:$FG$983,MATCH(B350,'Histórico'!A:A),FALSE),
IF(LEFT(C350,3)="CNH",O350*10000*HLOOKUP("PTAX",'Histórico'!$A$1:$FG$983,MATCH(B350,'Histórico'!A:A),FALSE),
IF(LEFT(C350,3)="AUS",O350*10000*HLOOKUP("PTAX",'Histórico'!$A$1:$FG$983,MATCH(B350,'Histórico'!A:A),FALSE),
IF(LEFT(C350,3)="CAN",O350*10000*HLOOKUP("PTAX",'Histórico'!$A$1:$FG$983,MATCH(B350,'Histórico'!A:A),FALSE),
IF(LEFT(C350,3)="GBR",O350*10000*HLOOKUP("GBP/BRL",'Histórico'!$A$1:$FG$983,MATCH(B350,'Histórico'!A:A),FALSE),
IF(LEFT(C350,3)="MEX",O350*10000*HLOOKUP("PTAX",'Histórico'!$A$1:$FG$983,MATCH(B350,'Histórico'!A:A),FALSE),
IF(LEFT(C350,3)="CHL",O350*10000*HLOOKUP("PTAX",'Histórico'!$A$1:$FG$983,MATCH(B350,'Histórico'!A:A),FALSE)
)))))))))))))))))))))))),""))</f>
        <v/>
      </c>
      <c r="O350" s="49" t="str">
        <f t="shared" si="2"/>
        <v/>
      </c>
      <c r="P350" s="49" t="str">
        <f t="shared" si="5"/>
        <v/>
      </c>
      <c r="Q350" s="51" t="str">
        <f>IF($C350&lt;&gt;"",SUMIFS($O$3:$O$401, $C$3:$C$401 ,$C350,$B$3:$B$401,"&lt;="&amp;Controle!$B$6),"")</f>
        <v/>
      </c>
      <c r="R350" s="51" t="str">
        <f>IF($D350&lt;&gt;"",SUMIFS($O$3:$O$401, $C$3:$C$401 ,$C350,$B$3:$B$401,"&lt;="&amp;Controle!$B$6,$F$3:$F$401,$F350),"")</f>
        <v/>
      </c>
      <c r="S350" s="51" t="str">
        <f>IF($D350&lt;&gt;"",SUMIFS($O$3:$O$401, $C$3:$C$401 ,$C350,$B$3:$B$401,"&lt;="&amp;'Controle D-1'!$B$6,$F$3:$F$401,$F350),"")</f>
        <v/>
      </c>
      <c r="T350" s="40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146"/>
      <c r="B351" s="149"/>
      <c r="C351" s="150"/>
      <c r="D351" s="150" t="str">
        <f>IF(ISTEXT(C351),VLOOKUP(C351,'Cadastro dos Ativos'!$A$2:$C$1000,3,0),"")</f>
        <v/>
      </c>
      <c r="E351" s="150"/>
      <c r="F351" s="150"/>
      <c r="G351" s="151"/>
      <c r="H351" s="101" t="str">
        <f>if($D351="Ações Americanas", HLOOKUP("PTAX",'Histórico'!$A$1:$EL$983,(MATCH(B351,'Histórico'!A:A))-1,""),
if($D351="Ações Europeias", HLOOKUP("EUR/BRL",'Histórico'!$A$1:$EL$983,(MATCH(B351,'Histórico'!A:A))-1,""),""))</f>
        <v/>
      </c>
      <c r="I351" s="150" t="str">
        <f t="array" ref="I351">IF(ISTEXT(C351),xlookup(C351,'Cadastro dos Ativos'!$A$2:$A$1000,'Cadastro dos Ativos'!$D$2:$D$1000),"")</f>
        <v/>
      </c>
      <c r="J351" s="150"/>
      <c r="K351" s="47" t="str">
        <f t="array" ref="K351">if(and(J351&lt;&gt;"",D351&lt;&gt;"Futuros"),
if(F351=Controle!$C$2, M351/xlookup(workday(B351,-1,Feriados!A:A),Controle!$B$10:$B$1000,Controle!$C$10:$C$1000),
if(F351=Controle!$F$2, M351/xlookup(workday(B351,-1,Feriados!A:A),Controle!$B$10:$B$1000,Controle!$F$10:$F$1000),
if(F351=Controle!$I$2, M351/xlookup(workday(B351,-1,Feriados!A:A),Controle!$B$10:$B$1000,Controle!$I$10:$I$1000),
if(F351=Controle!$L$2, M351/xlookup(workday(B351,-1,Feriados!A:A),Controle!$B$10:$B$1000,Controle!$L$10:$L$1000),
)))),
if(and(J351&lt;&gt;"",D351="Futuros"),
if(F351=Controle!$C$2, N351/xlookup(workday(B351,-1,Feriados!A:A),Controle!$B$10:$B$1000,Controle!$C$10:$C$1000),
if(F351=Controle!$F$2, N351/xlookup(workday(B351,-1,Feriados!A:A),Controle!$B$10:$B$1000,Controle!$F$10:$F$1000),
if(F351=Controle!$I$2, N351/xlookup(workday(B351,-1,Feriados!A:A),Controle!$B$10:$B$1000,Controle!$I$10:$I$1000),
if(F351=Controle!$L$2, N351/xlookup(workday(B351,-1,Feriados!A:A),Controle!$B$10:$B$1000,Controle!$L$10:$L$1000),
)))),""))</f>
        <v/>
      </c>
      <c r="L351" s="47" t="str">
        <f t="array" ref="L351">IF($J351&lt;&gt;"", IF($D351 = "Futuros" , $N351/xlookup(WORKDAY(B351,-1,Feriados!A:A),Controle!$B$10:$B$1000,Controle!$T$10:$T$1000) , $M351/xlookup(WORKDAY(B351,-1,Feriados!A:A),Controle!$B$10:$B$1000,Controle!$T$10:$T$1000)),"")</f>
        <v/>
      </c>
      <c r="M351" s="48" t="str">
        <f t="shared" si="4"/>
        <v/>
      </c>
      <c r="N351" s="48" t="str">
        <f>IFERROR(IF(D351="Futuros",
IF(LEFT(C351,3)="DI1",G351*O351,
IF(LEFT(C351,3)="ISP",G351*O351*HLOOKUP("PTAX",'Histórico'!$A$1:$EL$983,MATCH(B351,'Histórico'!A:A),FALSE)*50,
IF(LEFT(C351,3)="WDO",10*G351*O351*HLOOKUP("PTAX",'Histórico'!$A$1:$EL$983,MATCH(B351,'Histórico'!A:A),FALSE),
IF(LEFT(C351,3)="DOL",50*G351*O351,
IF(LEFT(C351,3)="EUR",G351*O351*50,
IF(LEFT(C351,3)="WEU",G351*O351*10,
IF(LEFT(C351,3)="IND",G351*O351,
IF(LEFT(C351,3)="WIN",G351*O351*0.2,
IF(LEFT(C351,3)="T10",G351*O351*1000*HLOOKUP("PTAX",'Histórico'!$A$1:$EL$983,MATCH(B351,'Histórico'!A:A),FALSE),
IF(LEFT(C351,3)="CCM",G351*O351*450,
IF(LEFT(C351,3)="SJC",G351*O351*HLOOKUP("PTAX",'Histórico'!$A$1:$EL$983,MATCH(B351,'Histórico'!A:A),FALSE)*450,
IF(LEFT(C351,3)="BGI",G351*O351*330,
IF(LEFT(C351,3)="OZ1",G351*O351*250,
IF(LEFT(C351,3)="CLP",G351*O351*25,
IF(LEFT(C351,3)="EUP", O351*10000*HLOOKUP("EUR/BRL",'Histórico'!$A$1:$EL$983,MATCH(B351,'Histórico'!A:A),FALSE),
IF(LEFT(C351,3)="JSE", G351*O351*0.4,
IF(LEFT(C351,3)="GBP", O351*10000*HLOOKUP("GBP/BRL",'Histórico'!$A$1:$FG$983,MATCH(B351,'Histórico'!A:A),FALSE),
IF(LEFT(C351,3)="JAP",O351*10000*HLOOKUP("PTAX",'Histórico'!$A$1:$FG$983,MATCH(B351,'Histórico'!A:A),FALSE),
IF(LEFT(C351,3)="CNH",O351*10000*HLOOKUP("PTAX",'Histórico'!$A$1:$FG$983,MATCH(B351,'Histórico'!A:A),FALSE),
IF(LEFT(C351,3)="AUS",O351*10000*HLOOKUP("PTAX",'Histórico'!$A$1:$FG$983,MATCH(B351,'Histórico'!A:A),FALSE),
IF(LEFT(C351,3)="CAN",O351*10000*HLOOKUP("PTAX",'Histórico'!$A$1:$FG$983,MATCH(B351,'Histórico'!A:A),FALSE),
IF(LEFT(C351,3)="GBR",O351*10000*HLOOKUP("GBP/BRL",'Histórico'!$A$1:$FG$983,MATCH(B351,'Histórico'!A:A),FALSE),
IF(LEFT(C351,3)="MEX",O351*10000*HLOOKUP("PTAX",'Histórico'!$A$1:$FG$983,MATCH(B351,'Histórico'!A:A),FALSE),
IF(LEFT(C351,3)="CHL",O351*10000*HLOOKUP("PTAX",'Histórico'!$A$1:$FG$983,MATCH(B351,'Histórico'!A:A),FALSE)
)))))))))))))))))))))))),""))</f>
        <v/>
      </c>
      <c r="O351" s="49" t="str">
        <f t="shared" si="2"/>
        <v/>
      </c>
      <c r="P351" s="49" t="str">
        <f t="shared" si="5"/>
        <v/>
      </c>
      <c r="Q351" s="51" t="str">
        <f>IF($C351&lt;&gt;"",SUMIFS($O$3:$O$401, $C$3:$C$401 ,$C351,$B$3:$B$401,"&lt;="&amp;Controle!$B$6),"")</f>
        <v/>
      </c>
      <c r="R351" s="51" t="str">
        <f>IF($D351&lt;&gt;"",SUMIFS($O$3:$O$401, $C$3:$C$401 ,$C351,$B$3:$B$401,"&lt;="&amp;Controle!$B$6,$F$3:$F$401,$F351),"")</f>
        <v/>
      </c>
      <c r="S351" s="51" t="str">
        <f>IF($D351&lt;&gt;"",SUMIFS($O$3:$O$401, $C$3:$C$401 ,$C351,$B$3:$B$401,"&lt;="&amp;'Controle D-1'!$B$6,$F$3:$F$401,$F351),"")</f>
        <v/>
      </c>
      <c r="T351" s="40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146"/>
      <c r="B352" s="149"/>
      <c r="C352" s="150"/>
      <c r="D352" s="150" t="str">
        <f>IF(ISTEXT(C352),VLOOKUP(C352,'Cadastro dos Ativos'!$A$2:$C$1000,3,0),"")</f>
        <v/>
      </c>
      <c r="E352" s="150"/>
      <c r="F352" s="150"/>
      <c r="G352" s="151"/>
      <c r="H352" s="46" t="str">
        <f>if($D352="Ações Americanas", HLOOKUP("PTAX",'Histórico'!$A$1:$EL$983,(MATCH(B352,'Histórico'!A:A))-1,""),
if($D352="Ações Europeias", HLOOKUP("EUR/BRL",'Histórico'!$A$1:$EL$983,(MATCH(B352,'Histórico'!A:A))-1,""),""))</f>
        <v/>
      </c>
      <c r="I352" s="150" t="str">
        <f t="array" ref="I352">IF(ISTEXT(C352),xlookup(C352,'Cadastro dos Ativos'!$A$2:$A$1000,'Cadastro dos Ativos'!$D$2:$D$1000),"")</f>
        <v/>
      </c>
      <c r="J352" s="150"/>
      <c r="K352" s="47" t="str">
        <f t="array" ref="K352">if(and(J352&lt;&gt;"",D352&lt;&gt;"Futuros"),
if(F352=Controle!$C$2, M352/xlookup(workday(B352,-1,Feriados!A:A),Controle!$B$10:$B$1000,Controle!$C$10:$C$1000),
if(F352=Controle!$F$2, M352/xlookup(workday(B352,-1,Feriados!A:A),Controle!$B$10:$B$1000,Controle!$F$10:$F$1000),
if(F352=Controle!$I$2, M352/xlookup(workday(B352,-1,Feriados!A:A),Controle!$B$10:$B$1000,Controle!$I$10:$I$1000),
if(F352=Controle!$L$2, M352/xlookup(workday(B352,-1,Feriados!A:A),Controle!$B$10:$B$1000,Controle!$L$10:$L$1000),
)))),
if(and(J352&lt;&gt;"",D352="Futuros"),
if(F352=Controle!$C$2, N352/xlookup(workday(B352,-1,Feriados!A:A),Controle!$B$10:$B$1000,Controle!$C$10:$C$1000),
if(F352=Controle!$F$2, N352/xlookup(workday(B352,-1,Feriados!A:A),Controle!$B$10:$B$1000,Controle!$F$10:$F$1000),
if(F352=Controle!$I$2, N352/xlookup(workday(B352,-1,Feriados!A:A),Controle!$B$10:$B$1000,Controle!$I$10:$I$1000),
if(F352=Controle!$L$2, N352/xlookup(workday(B352,-1,Feriados!A:A),Controle!$B$10:$B$1000,Controle!$L$10:$L$1000),
)))),""))</f>
        <v/>
      </c>
      <c r="L352" s="47" t="str">
        <f t="array" ref="L352">IF($J352&lt;&gt;"", IF($D352 = "Futuros" , $N352/xlookup(WORKDAY(B352,-1,Feriados!A:A),Controle!$B$10:$B$1000,Controle!$T$10:$T$1000) , $M352/xlookup(WORKDAY(B352,-1,Feriados!A:A),Controle!$B$10:$B$1000,Controle!$T$10:$T$1000)),"")</f>
        <v/>
      </c>
      <c r="M352" s="48" t="str">
        <f t="shared" si="4"/>
        <v/>
      </c>
      <c r="N352" s="48" t="str">
        <f>IFERROR(IF(D352="Futuros",
IF(LEFT(C352,3)="DI1",G352*O352,
IF(LEFT(C352,3)="ISP",G352*O352*HLOOKUP("PTAX",'Histórico'!$A$1:$EL$983,MATCH(B352,'Histórico'!A:A),FALSE)*50,
IF(LEFT(C352,3)="WDO",10*G352*O352*HLOOKUP("PTAX",'Histórico'!$A$1:$EL$983,MATCH(B352,'Histórico'!A:A),FALSE),
IF(LEFT(C352,3)="DOL",50*G352*O352,
IF(LEFT(C352,3)="EUR",G352*O352*50,
IF(LEFT(C352,3)="WEU",G352*O352*10,
IF(LEFT(C352,3)="IND",G352*O352,
IF(LEFT(C352,3)="WIN",G352*O352*0.2,
IF(LEFT(C352,3)="T10",G352*O352*1000*HLOOKUP("PTAX",'Histórico'!$A$1:$EL$983,MATCH(B352,'Histórico'!A:A),FALSE),
IF(LEFT(C352,3)="CCM",G352*O352*450,
IF(LEFT(C352,3)="SJC",G352*O352*HLOOKUP("PTAX",'Histórico'!$A$1:$EL$983,MATCH(B352,'Histórico'!A:A),FALSE)*450,
IF(LEFT(C352,3)="BGI",G352*O352*330,
IF(LEFT(C352,3)="OZ1",G352*O352*250,
IF(LEFT(C352,3)="CLP",G352*O352*25,
IF(LEFT(C352,3)="EUP", O352*10000*HLOOKUP("EUR/BRL",'Histórico'!$A$1:$EL$983,MATCH(B352,'Histórico'!A:A),FALSE),
IF(LEFT(C352,3)="JSE", G352*O352*0.4,
IF(LEFT(C352,3)="GBP", O352*10000*HLOOKUP("GBP/BRL",'Histórico'!$A$1:$FG$983,MATCH(B352,'Histórico'!A:A),FALSE),
IF(LEFT(C352,3)="JAP",O352*10000*HLOOKUP("PTAX",'Histórico'!$A$1:$FG$983,MATCH(B352,'Histórico'!A:A),FALSE),
IF(LEFT(C352,3)="CNH",O352*10000*HLOOKUP("PTAX",'Histórico'!$A$1:$FG$983,MATCH(B352,'Histórico'!A:A),FALSE),
IF(LEFT(C352,3)="AUS",O352*10000*HLOOKUP("PTAX",'Histórico'!$A$1:$FG$983,MATCH(B352,'Histórico'!A:A),FALSE),
IF(LEFT(C352,3)="CAN",O352*10000*HLOOKUP("PTAX",'Histórico'!$A$1:$FG$983,MATCH(B352,'Histórico'!A:A),FALSE),
IF(LEFT(C352,3)="GBR",O352*10000*HLOOKUP("GBP/BRL",'Histórico'!$A$1:$FG$983,MATCH(B352,'Histórico'!A:A),FALSE),
IF(LEFT(C352,3)="MEX",O352*10000*HLOOKUP("PTAX",'Histórico'!$A$1:$FG$983,MATCH(B352,'Histórico'!A:A),FALSE),
IF(LEFT(C352,3)="CHL",O352*10000*HLOOKUP("PTAX",'Histórico'!$A$1:$FG$983,MATCH(B352,'Histórico'!A:A),FALSE)
)))))))))))))))))))))))),""))</f>
        <v/>
      </c>
      <c r="O352" s="49" t="str">
        <f t="shared" si="2"/>
        <v/>
      </c>
      <c r="P352" s="49" t="str">
        <f t="shared" si="5"/>
        <v/>
      </c>
      <c r="Q352" s="51" t="str">
        <f>IF($C352&lt;&gt;"",SUMIFS($O$3:$O$401, $C$3:$C$401 ,$C352,$B$3:$B$401,"&lt;="&amp;Controle!$B$6),"")</f>
        <v/>
      </c>
      <c r="R352" s="51" t="str">
        <f>IF($D352&lt;&gt;"",SUMIFS($O$3:$O$401, $C$3:$C$401 ,$C352,$B$3:$B$401,"&lt;="&amp;Controle!$B$6,$F$3:$F$401,$F352),"")</f>
        <v/>
      </c>
      <c r="S352" s="51" t="str">
        <f>IF($D352&lt;&gt;"",SUMIFS($O$3:$O$401, $C$3:$C$401 ,$C352,$B$3:$B$401,"&lt;="&amp;'Controle D-1'!$B$6,$F$3:$F$401,$F352),"")</f>
        <v/>
      </c>
      <c r="T352" s="40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146"/>
      <c r="B353" s="149"/>
      <c r="C353" s="150"/>
      <c r="D353" s="150" t="str">
        <f>IF(ISTEXT(C353),VLOOKUP(C353,'Cadastro dos Ativos'!$A$2:$C$1000,3,0),"")</f>
        <v/>
      </c>
      <c r="E353" s="150"/>
      <c r="F353" s="150"/>
      <c r="G353" s="151"/>
      <c r="H353" s="101" t="str">
        <f>if($D353="Ações Americanas", HLOOKUP("PTAX",'Histórico'!$A$1:$EL$983,(MATCH(B353,'Histórico'!A:A))-1,""),
if($D353="Ações Europeias", HLOOKUP("EUR/BRL",'Histórico'!$A$1:$EL$983,(MATCH(B353,'Histórico'!A:A))-1,""),""))</f>
        <v/>
      </c>
      <c r="I353" s="150" t="str">
        <f t="array" ref="I353">IF(ISTEXT(C353),xlookup(C353,'Cadastro dos Ativos'!$A$2:$A$1000,'Cadastro dos Ativos'!$D$2:$D$1000),"")</f>
        <v/>
      </c>
      <c r="J353" s="150"/>
      <c r="K353" s="47" t="str">
        <f t="array" ref="K353">if(and(J353&lt;&gt;"",D353&lt;&gt;"Futuros"),
if(F353=Controle!$C$2, M353/xlookup(workday(B353,-1,Feriados!A:A),Controle!$B$10:$B$1000,Controle!$C$10:$C$1000),
if(F353=Controle!$F$2, M353/xlookup(workday(B353,-1,Feriados!A:A),Controle!$B$10:$B$1000,Controle!$F$10:$F$1000),
if(F353=Controle!$I$2, M353/xlookup(workday(B353,-1,Feriados!A:A),Controle!$B$10:$B$1000,Controle!$I$10:$I$1000),
if(F353=Controle!$L$2, M353/xlookup(workday(B353,-1,Feriados!A:A),Controle!$B$10:$B$1000,Controle!$L$10:$L$1000),
)))),
if(and(J353&lt;&gt;"",D353="Futuros"),
if(F353=Controle!$C$2, N353/xlookup(workday(B353,-1,Feriados!A:A),Controle!$B$10:$B$1000,Controle!$C$10:$C$1000),
if(F353=Controle!$F$2, N353/xlookup(workday(B353,-1,Feriados!A:A),Controle!$B$10:$B$1000,Controle!$F$10:$F$1000),
if(F353=Controle!$I$2, N353/xlookup(workday(B353,-1,Feriados!A:A),Controle!$B$10:$B$1000,Controle!$I$10:$I$1000),
if(F353=Controle!$L$2, N353/xlookup(workday(B353,-1,Feriados!A:A),Controle!$B$10:$B$1000,Controle!$L$10:$L$1000),
)))),""))</f>
        <v/>
      </c>
      <c r="L353" s="47" t="str">
        <f t="array" ref="L353">IF($J353&lt;&gt;"", IF($D353 = "Futuros" , $N353/xlookup(WORKDAY(B353,-1,Feriados!A:A),Controle!$B$10:$B$1000,Controle!$T$10:$T$1000) , $M353/xlookup(WORKDAY(B353,-1,Feriados!A:A),Controle!$B$10:$B$1000,Controle!$T$10:$T$1000)),"")</f>
        <v/>
      </c>
      <c r="M353" s="48" t="str">
        <f t="shared" si="4"/>
        <v/>
      </c>
      <c r="N353" s="48" t="str">
        <f>IFERROR(IF(D353="Futuros",
IF(LEFT(C353,3)="DI1",G353*O353,
IF(LEFT(C353,3)="ISP",G353*O353*HLOOKUP("PTAX",'Histórico'!$A$1:$EL$983,MATCH(B353,'Histórico'!A:A),FALSE)*50,
IF(LEFT(C353,3)="WDO",10*G353*O353*HLOOKUP("PTAX",'Histórico'!$A$1:$EL$983,MATCH(B353,'Histórico'!A:A),FALSE),
IF(LEFT(C353,3)="DOL",50*G353*O353,
IF(LEFT(C353,3)="EUR",G353*O353*50,
IF(LEFT(C353,3)="WEU",G353*O353*10,
IF(LEFT(C353,3)="IND",G353*O353,
IF(LEFT(C353,3)="WIN",G353*O353*0.2,
IF(LEFT(C353,3)="T10",G353*O353*1000*HLOOKUP("PTAX",'Histórico'!$A$1:$EL$983,MATCH(B353,'Histórico'!A:A),FALSE),
IF(LEFT(C353,3)="CCM",G353*O353*450,
IF(LEFT(C353,3)="SJC",G353*O353*HLOOKUP("PTAX",'Histórico'!$A$1:$EL$983,MATCH(B353,'Histórico'!A:A),FALSE)*450,
IF(LEFT(C353,3)="BGI",G353*O353*330,
IF(LEFT(C353,3)="OZ1",G353*O353*250,
IF(LEFT(C353,3)="CLP",G353*O353*25,
IF(LEFT(C353,3)="EUP", O353*10000*HLOOKUP("EUR/BRL",'Histórico'!$A$1:$EL$983,MATCH(B353,'Histórico'!A:A),FALSE),
IF(LEFT(C353,3)="JSE", G353*O353*0.4,
IF(LEFT(C353,3)="GBP", O353*10000*HLOOKUP("GBP/BRL",'Histórico'!$A$1:$FG$983,MATCH(B353,'Histórico'!A:A),FALSE),
IF(LEFT(C353,3)="JAP",O353*10000*HLOOKUP("PTAX",'Histórico'!$A$1:$FG$983,MATCH(B353,'Histórico'!A:A),FALSE),
IF(LEFT(C353,3)="CNH",O353*10000*HLOOKUP("PTAX",'Histórico'!$A$1:$FG$983,MATCH(B353,'Histórico'!A:A),FALSE),
IF(LEFT(C353,3)="AUS",O353*10000*HLOOKUP("PTAX",'Histórico'!$A$1:$FG$983,MATCH(B353,'Histórico'!A:A),FALSE),
IF(LEFT(C353,3)="CAN",O353*10000*HLOOKUP("PTAX",'Histórico'!$A$1:$FG$983,MATCH(B353,'Histórico'!A:A),FALSE),
IF(LEFT(C353,3)="GBR",O353*10000*HLOOKUP("GBP/BRL",'Histórico'!$A$1:$FG$983,MATCH(B353,'Histórico'!A:A),FALSE),
IF(LEFT(C353,3)="MEX",O353*10000*HLOOKUP("PTAX",'Histórico'!$A$1:$FG$983,MATCH(B353,'Histórico'!A:A),FALSE),
IF(LEFT(C353,3)="CHL",O353*10000*HLOOKUP("PTAX",'Histórico'!$A$1:$FG$983,MATCH(B353,'Histórico'!A:A),FALSE)
)))))))))))))))))))))))),""))</f>
        <v/>
      </c>
      <c r="O353" s="49" t="str">
        <f t="shared" si="2"/>
        <v/>
      </c>
      <c r="P353" s="49" t="str">
        <f t="shared" si="5"/>
        <v/>
      </c>
      <c r="Q353" s="51" t="str">
        <f>IF($C353&lt;&gt;"",SUMIFS($O$3:$O$401, $C$3:$C$401 ,$C353,$B$3:$B$401,"&lt;="&amp;Controle!$B$6),"")</f>
        <v/>
      </c>
      <c r="R353" s="51" t="str">
        <f>IF($D353&lt;&gt;"",SUMIFS($O$3:$O$401, $C$3:$C$401 ,$C353,$B$3:$B$401,"&lt;="&amp;Controle!$B$6,$F$3:$F$401,$F353),"")</f>
        <v/>
      </c>
      <c r="S353" s="51" t="str">
        <f>IF($D353&lt;&gt;"",SUMIFS($O$3:$O$401, $C$3:$C$401 ,$C353,$B$3:$B$401,"&lt;="&amp;'Controle D-1'!$B$6,$F$3:$F$401,$F353),"")</f>
        <v/>
      </c>
      <c r="T353" s="40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146"/>
      <c r="B354" s="149"/>
      <c r="C354" s="150"/>
      <c r="D354" s="150" t="str">
        <f>IF(ISTEXT(C354),VLOOKUP(C354,'Cadastro dos Ativos'!$A$2:$C$1000,3,0),"")</f>
        <v/>
      </c>
      <c r="E354" s="150"/>
      <c r="F354" s="150"/>
      <c r="G354" s="151"/>
      <c r="H354" s="46" t="str">
        <f>if($D354="Ações Americanas", HLOOKUP("PTAX",'Histórico'!$A$1:$EL$983,(MATCH(B354,'Histórico'!A:A))-1,""),
if($D354="Ações Europeias", HLOOKUP("EUR/BRL",'Histórico'!$A$1:$EL$983,(MATCH(B354,'Histórico'!A:A))-1,""),""))</f>
        <v/>
      </c>
      <c r="I354" s="150" t="str">
        <f t="array" ref="I354">IF(ISTEXT(C354),xlookup(C354,'Cadastro dos Ativos'!$A$2:$A$1000,'Cadastro dos Ativos'!$D$2:$D$1000),"")</f>
        <v/>
      </c>
      <c r="J354" s="150"/>
      <c r="K354" s="47" t="str">
        <f t="array" ref="K354">if(and(J354&lt;&gt;"",D354&lt;&gt;"Futuros"),
if(F354=Controle!$C$2, M354/xlookup(workday(B354,-1,Feriados!A:A),Controle!$B$10:$B$1000,Controle!$C$10:$C$1000),
if(F354=Controle!$F$2, M354/xlookup(workday(B354,-1,Feriados!A:A),Controle!$B$10:$B$1000,Controle!$F$10:$F$1000),
if(F354=Controle!$I$2, M354/xlookup(workday(B354,-1,Feriados!A:A),Controle!$B$10:$B$1000,Controle!$I$10:$I$1000),
if(F354=Controle!$L$2, M354/xlookup(workday(B354,-1,Feriados!A:A),Controle!$B$10:$B$1000,Controle!$L$10:$L$1000),
)))),
if(and(J354&lt;&gt;"",D354="Futuros"),
if(F354=Controle!$C$2, N354/xlookup(workday(B354,-1,Feriados!A:A),Controle!$B$10:$B$1000,Controle!$C$10:$C$1000),
if(F354=Controle!$F$2, N354/xlookup(workday(B354,-1,Feriados!A:A),Controle!$B$10:$B$1000,Controle!$F$10:$F$1000),
if(F354=Controle!$I$2, N354/xlookup(workday(B354,-1,Feriados!A:A),Controle!$B$10:$B$1000,Controle!$I$10:$I$1000),
if(F354=Controle!$L$2, N354/xlookup(workday(B354,-1,Feriados!A:A),Controle!$B$10:$B$1000,Controle!$L$10:$L$1000),
)))),""))</f>
        <v/>
      </c>
      <c r="L354" s="47" t="str">
        <f t="array" ref="L354">IF($J354&lt;&gt;"", IF($D354 = "Futuros" , $N354/xlookup(WORKDAY(B354,-1,Feriados!A:A),Controle!$B$10:$B$1000,Controle!$T$10:$T$1000) , $M354/xlookup(WORKDAY(B354,-1,Feriados!A:A),Controle!$B$10:$B$1000,Controle!$T$10:$T$1000)),"")</f>
        <v/>
      </c>
      <c r="M354" s="48" t="str">
        <f t="shared" si="4"/>
        <v/>
      </c>
      <c r="N354" s="48" t="str">
        <f>IFERROR(IF(D354="Futuros",
IF(LEFT(C354,3)="DI1",G354*O354,
IF(LEFT(C354,3)="ISP",G354*O354*HLOOKUP("PTAX",'Histórico'!$A$1:$EL$983,MATCH(B354,'Histórico'!A:A),FALSE)*50,
IF(LEFT(C354,3)="WDO",10*G354*O354*HLOOKUP("PTAX",'Histórico'!$A$1:$EL$983,MATCH(B354,'Histórico'!A:A),FALSE),
IF(LEFT(C354,3)="DOL",50*G354*O354,
IF(LEFT(C354,3)="EUR",G354*O354*50,
IF(LEFT(C354,3)="WEU",G354*O354*10,
IF(LEFT(C354,3)="IND",G354*O354,
IF(LEFT(C354,3)="WIN",G354*O354*0.2,
IF(LEFT(C354,3)="T10",G354*O354*1000*HLOOKUP("PTAX",'Histórico'!$A$1:$EL$983,MATCH(B354,'Histórico'!A:A),FALSE),
IF(LEFT(C354,3)="CCM",G354*O354*450,
IF(LEFT(C354,3)="SJC",G354*O354*HLOOKUP("PTAX",'Histórico'!$A$1:$EL$983,MATCH(B354,'Histórico'!A:A),FALSE)*450,
IF(LEFT(C354,3)="BGI",G354*O354*330,
IF(LEFT(C354,3)="OZ1",G354*O354*250,
IF(LEFT(C354,3)="CLP",G354*O354*25,
IF(LEFT(C354,3)="EUP", O354*10000*HLOOKUP("EUR/BRL",'Histórico'!$A$1:$EL$983,MATCH(B354,'Histórico'!A:A),FALSE),
IF(LEFT(C354,3)="JSE", G354*O354*0.4,
IF(LEFT(C354,3)="GBP", O354*10000*HLOOKUP("GBP/BRL",'Histórico'!$A$1:$FG$983,MATCH(B354,'Histórico'!A:A),FALSE),
IF(LEFT(C354,3)="JAP",O354*10000*HLOOKUP("PTAX",'Histórico'!$A$1:$FG$983,MATCH(B354,'Histórico'!A:A),FALSE),
IF(LEFT(C354,3)="CNH",O354*10000*HLOOKUP("PTAX",'Histórico'!$A$1:$FG$983,MATCH(B354,'Histórico'!A:A),FALSE),
IF(LEFT(C354,3)="AUS",O354*10000*HLOOKUP("PTAX",'Histórico'!$A$1:$FG$983,MATCH(B354,'Histórico'!A:A),FALSE),
IF(LEFT(C354,3)="CAN",O354*10000*HLOOKUP("PTAX",'Histórico'!$A$1:$FG$983,MATCH(B354,'Histórico'!A:A),FALSE),
IF(LEFT(C354,3)="GBR",O354*10000*HLOOKUP("GBP/BRL",'Histórico'!$A$1:$FG$983,MATCH(B354,'Histórico'!A:A),FALSE),
IF(LEFT(C354,3)="MEX",O354*10000*HLOOKUP("PTAX",'Histórico'!$A$1:$FG$983,MATCH(B354,'Histórico'!A:A),FALSE),
IF(LEFT(C354,3)="CHL",O354*10000*HLOOKUP("PTAX",'Histórico'!$A$1:$FG$983,MATCH(B354,'Histórico'!A:A),FALSE)
)))))))))))))))))))))))),""))</f>
        <v/>
      </c>
      <c r="O354" s="49" t="str">
        <f t="shared" si="2"/>
        <v/>
      </c>
      <c r="P354" s="49" t="str">
        <f t="shared" si="5"/>
        <v/>
      </c>
      <c r="Q354" s="51" t="str">
        <f>IF($C354&lt;&gt;"",SUMIFS($O$3:$O$401, $C$3:$C$401 ,$C354,$B$3:$B$401,"&lt;="&amp;Controle!$B$6),"")</f>
        <v/>
      </c>
      <c r="R354" s="51" t="str">
        <f>IF($D354&lt;&gt;"",SUMIFS($O$3:$O$401, $C$3:$C$401 ,$C354,$B$3:$B$401,"&lt;="&amp;Controle!$B$6,$F$3:$F$401,$F354),"")</f>
        <v/>
      </c>
      <c r="S354" s="51" t="str">
        <f>IF($D354&lt;&gt;"",SUMIFS($O$3:$O$401, $C$3:$C$401 ,$C354,$B$3:$B$401,"&lt;="&amp;'Controle D-1'!$B$6,$F$3:$F$401,$F354),"")</f>
        <v/>
      </c>
      <c r="T354" s="40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146"/>
      <c r="B355" s="149"/>
      <c r="C355" s="150"/>
      <c r="D355" s="150" t="str">
        <f>IF(ISTEXT(C355),VLOOKUP(C355,'Cadastro dos Ativos'!$A$2:$C$1000,3,0),"")</f>
        <v/>
      </c>
      <c r="E355" s="150"/>
      <c r="F355" s="150"/>
      <c r="G355" s="151"/>
      <c r="H355" s="101" t="str">
        <f>if($D355="Ações Americanas", HLOOKUP("PTAX",'Histórico'!$A$1:$EL$983,(MATCH(B355,'Histórico'!A:A))-1,""),
if($D355="Ações Europeias", HLOOKUP("EUR/BRL",'Histórico'!$A$1:$EL$983,(MATCH(B355,'Histórico'!A:A))-1,""),""))</f>
        <v/>
      </c>
      <c r="I355" s="150" t="str">
        <f t="array" ref="I355">IF(ISTEXT(C355),xlookup(C355,'Cadastro dos Ativos'!$A$2:$A$1000,'Cadastro dos Ativos'!$D$2:$D$1000),"")</f>
        <v/>
      </c>
      <c r="J355" s="150"/>
      <c r="K355" s="47" t="str">
        <f t="array" ref="K355">if(and(J355&lt;&gt;"",D355&lt;&gt;"Futuros"),
if(F355=Controle!$C$2, M355/xlookup(workday(B355,-1,Feriados!A:A),Controle!$B$10:$B$1000,Controle!$C$10:$C$1000),
if(F355=Controle!$F$2, M355/xlookup(workday(B355,-1,Feriados!A:A),Controle!$B$10:$B$1000,Controle!$F$10:$F$1000),
if(F355=Controle!$I$2, M355/xlookup(workday(B355,-1,Feriados!A:A),Controle!$B$10:$B$1000,Controle!$I$10:$I$1000),
if(F355=Controle!$L$2, M355/xlookup(workday(B355,-1,Feriados!A:A),Controle!$B$10:$B$1000,Controle!$L$10:$L$1000),
)))),
if(and(J355&lt;&gt;"",D355="Futuros"),
if(F355=Controle!$C$2, N355/xlookup(workday(B355,-1,Feriados!A:A),Controle!$B$10:$B$1000,Controle!$C$10:$C$1000),
if(F355=Controle!$F$2, N355/xlookup(workday(B355,-1,Feriados!A:A),Controle!$B$10:$B$1000,Controle!$F$10:$F$1000),
if(F355=Controle!$I$2, N355/xlookup(workday(B355,-1,Feriados!A:A),Controle!$B$10:$B$1000,Controle!$I$10:$I$1000),
if(F355=Controle!$L$2, N355/xlookup(workday(B355,-1,Feriados!A:A),Controle!$B$10:$B$1000,Controle!$L$10:$L$1000),
)))),""))</f>
        <v/>
      </c>
      <c r="L355" s="47" t="str">
        <f t="array" ref="L355">IF($J355&lt;&gt;"", IF($D355 = "Futuros" , $N355/xlookup(WORKDAY(B355,-1,Feriados!A:A),Controle!$B$10:$B$1000,Controle!$T$10:$T$1000) , $M355/xlookup(WORKDAY(B355,-1,Feriados!A:A),Controle!$B$10:$B$1000,Controle!$T$10:$T$1000)),"")</f>
        <v/>
      </c>
      <c r="M355" s="48" t="str">
        <f t="shared" si="4"/>
        <v/>
      </c>
      <c r="N355" s="48" t="str">
        <f>IFERROR(IF(D355="Futuros",
IF(LEFT(C355,3)="DI1",G355*O355,
IF(LEFT(C355,3)="ISP",G355*O355*HLOOKUP("PTAX",'Histórico'!$A$1:$EL$983,MATCH(B355,'Histórico'!A:A),FALSE)*50,
IF(LEFT(C355,3)="WDO",10*G355*O355*HLOOKUP("PTAX",'Histórico'!$A$1:$EL$983,MATCH(B355,'Histórico'!A:A),FALSE),
IF(LEFT(C355,3)="DOL",50*G355*O355,
IF(LEFT(C355,3)="EUR",G355*O355*50,
IF(LEFT(C355,3)="WEU",G355*O355*10,
IF(LEFT(C355,3)="IND",G355*O355,
IF(LEFT(C355,3)="WIN",G355*O355*0.2,
IF(LEFT(C355,3)="T10",G355*O355*1000*HLOOKUP("PTAX",'Histórico'!$A$1:$EL$983,MATCH(B355,'Histórico'!A:A),FALSE),
IF(LEFT(C355,3)="CCM",G355*O355*450,
IF(LEFT(C355,3)="SJC",G355*O355*HLOOKUP("PTAX",'Histórico'!$A$1:$EL$983,MATCH(B355,'Histórico'!A:A),FALSE)*450,
IF(LEFT(C355,3)="BGI",G355*O355*330,
IF(LEFT(C355,3)="OZ1",G355*O355*250,
IF(LEFT(C355,3)="CLP",G355*O355*25,
IF(LEFT(C355,3)="EUP", O355*10000*HLOOKUP("EUR/BRL",'Histórico'!$A$1:$EL$983,MATCH(B355,'Histórico'!A:A),FALSE),
IF(LEFT(C355,3)="JSE", G355*O355*0.4,
IF(LEFT(C355,3)="GBP", O355*10000*HLOOKUP("GBP/BRL",'Histórico'!$A$1:$FG$983,MATCH(B355,'Histórico'!A:A),FALSE),
IF(LEFT(C355,3)="JAP",O355*10000*HLOOKUP("PTAX",'Histórico'!$A$1:$FG$983,MATCH(B355,'Histórico'!A:A),FALSE),
IF(LEFT(C355,3)="CNH",O355*10000*HLOOKUP("PTAX",'Histórico'!$A$1:$FG$983,MATCH(B355,'Histórico'!A:A),FALSE),
IF(LEFT(C355,3)="AUS",O355*10000*HLOOKUP("PTAX",'Histórico'!$A$1:$FG$983,MATCH(B355,'Histórico'!A:A),FALSE),
IF(LEFT(C355,3)="CAN",O355*10000*HLOOKUP("PTAX",'Histórico'!$A$1:$FG$983,MATCH(B355,'Histórico'!A:A),FALSE),
IF(LEFT(C355,3)="GBR",O355*10000*HLOOKUP("GBP/BRL",'Histórico'!$A$1:$FG$983,MATCH(B355,'Histórico'!A:A),FALSE),
IF(LEFT(C355,3)="MEX",O355*10000*HLOOKUP("PTAX",'Histórico'!$A$1:$FG$983,MATCH(B355,'Histórico'!A:A),FALSE),
IF(LEFT(C355,3)="CHL",O355*10000*HLOOKUP("PTAX",'Histórico'!$A$1:$FG$983,MATCH(B355,'Histórico'!A:A),FALSE)
)))))))))))))))))))))))),""))</f>
        <v/>
      </c>
      <c r="O355" s="49" t="str">
        <f t="shared" si="2"/>
        <v/>
      </c>
      <c r="P355" s="49" t="str">
        <f t="shared" si="5"/>
        <v/>
      </c>
      <c r="Q355" s="51" t="str">
        <f>IF($C355&lt;&gt;"",SUMIFS($O$3:$O$401, $C$3:$C$401 ,$C355,$B$3:$B$401,"&lt;="&amp;Controle!$B$6),"")</f>
        <v/>
      </c>
      <c r="R355" s="51" t="str">
        <f>IF($D355&lt;&gt;"",SUMIFS($O$3:$O$401, $C$3:$C$401 ,$C355,$B$3:$B$401,"&lt;="&amp;Controle!$B$6,$F$3:$F$401,$F355),"")</f>
        <v/>
      </c>
      <c r="S355" s="51" t="str">
        <f>IF($D355&lt;&gt;"",SUMIFS($O$3:$O$401, $C$3:$C$401 ,$C355,$B$3:$B$401,"&lt;="&amp;'Controle D-1'!$B$6,$F$3:$F$401,$F355),"")</f>
        <v/>
      </c>
      <c r="T355" s="40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146"/>
      <c r="B356" s="149"/>
      <c r="C356" s="150"/>
      <c r="D356" s="150" t="str">
        <f>IF(ISTEXT(C356),VLOOKUP(C356,'Cadastro dos Ativos'!$A$2:$C$1000,3,0),"")</f>
        <v/>
      </c>
      <c r="E356" s="150"/>
      <c r="F356" s="150"/>
      <c r="G356" s="151"/>
      <c r="H356" s="46" t="str">
        <f>if($D356="Ações Americanas", HLOOKUP("PTAX",'Histórico'!$A$1:$EL$983,(MATCH(B356,'Histórico'!A:A))-1,""),
if($D356="Ações Europeias", HLOOKUP("EUR/BRL",'Histórico'!$A$1:$EL$983,(MATCH(B356,'Histórico'!A:A))-1,""),""))</f>
        <v/>
      </c>
      <c r="I356" s="150" t="str">
        <f t="array" ref="I356">IF(ISTEXT(C356),xlookup(C356,'Cadastro dos Ativos'!$A$2:$A$1000,'Cadastro dos Ativos'!$D$2:$D$1000),"")</f>
        <v/>
      </c>
      <c r="J356" s="150"/>
      <c r="K356" s="47" t="str">
        <f t="array" ref="K356">if(and(J356&lt;&gt;"",D356&lt;&gt;"Futuros"),
if(F356=Controle!$C$2, M356/xlookup(workday(B356,-1,Feriados!A:A),Controle!$B$10:$B$1000,Controle!$C$10:$C$1000),
if(F356=Controle!$F$2, M356/xlookup(workday(B356,-1,Feriados!A:A),Controle!$B$10:$B$1000,Controle!$F$10:$F$1000),
if(F356=Controle!$I$2, M356/xlookup(workday(B356,-1,Feriados!A:A),Controle!$B$10:$B$1000,Controle!$I$10:$I$1000),
if(F356=Controle!$L$2, M356/xlookup(workday(B356,-1,Feriados!A:A),Controle!$B$10:$B$1000,Controle!$L$10:$L$1000),
)))),
if(and(J356&lt;&gt;"",D356="Futuros"),
if(F356=Controle!$C$2, N356/xlookup(workday(B356,-1,Feriados!A:A),Controle!$B$10:$B$1000,Controle!$C$10:$C$1000),
if(F356=Controle!$F$2, N356/xlookup(workday(B356,-1,Feriados!A:A),Controle!$B$10:$B$1000,Controle!$F$10:$F$1000),
if(F356=Controle!$I$2, N356/xlookup(workday(B356,-1,Feriados!A:A),Controle!$B$10:$B$1000,Controle!$I$10:$I$1000),
if(F356=Controle!$L$2, N356/xlookup(workday(B356,-1,Feriados!A:A),Controle!$B$10:$B$1000,Controle!$L$10:$L$1000),
)))),""))</f>
        <v/>
      </c>
      <c r="L356" s="47" t="str">
        <f t="array" ref="L356">IF($J356&lt;&gt;"", IF($D356 = "Futuros" , $N356/xlookup(WORKDAY(B356,-1,Feriados!A:A),Controle!$B$10:$B$1000,Controle!$T$10:$T$1000) , $M356/xlookup(WORKDAY(B356,-1,Feriados!A:A),Controle!$B$10:$B$1000,Controle!$T$10:$T$1000)),"")</f>
        <v/>
      </c>
      <c r="M356" s="48" t="str">
        <f t="shared" si="4"/>
        <v/>
      </c>
      <c r="N356" s="48" t="str">
        <f>IFERROR(IF(D356="Futuros",
IF(LEFT(C356,3)="DI1",G356*O356,
IF(LEFT(C356,3)="ISP",G356*O356*HLOOKUP("PTAX",'Histórico'!$A$1:$EL$983,MATCH(B356,'Histórico'!A:A),FALSE)*50,
IF(LEFT(C356,3)="WDO",10*G356*O356*HLOOKUP("PTAX",'Histórico'!$A$1:$EL$983,MATCH(B356,'Histórico'!A:A),FALSE),
IF(LEFT(C356,3)="DOL",50*G356*O356,
IF(LEFT(C356,3)="EUR",G356*O356*50,
IF(LEFT(C356,3)="WEU",G356*O356*10,
IF(LEFT(C356,3)="IND",G356*O356,
IF(LEFT(C356,3)="WIN",G356*O356*0.2,
IF(LEFT(C356,3)="T10",G356*O356*1000*HLOOKUP("PTAX",'Histórico'!$A$1:$EL$983,MATCH(B356,'Histórico'!A:A),FALSE),
IF(LEFT(C356,3)="CCM",G356*O356*450,
IF(LEFT(C356,3)="SJC",G356*O356*HLOOKUP("PTAX",'Histórico'!$A$1:$EL$983,MATCH(B356,'Histórico'!A:A),FALSE)*450,
IF(LEFT(C356,3)="BGI",G356*O356*330,
IF(LEFT(C356,3)="OZ1",G356*O356*250,
IF(LEFT(C356,3)="CLP",G356*O356*25,
IF(LEFT(C356,3)="EUP", O356*10000*HLOOKUP("EUR/BRL",'Histórico'!$A$1:$EL$983,MATCH(B356,'Histórico'!A:A),FALSE),
IF(LEFT(C356,3)="JSE", G356*O356*0.4,
IF(LEFT(C356,3)="GBP", O356*10000*HLOOKUP("GBP/BRL",'Histórico'!$A$1:$FG$983,MATCH(B356,'Histórico'!A:A),FALSE),
IF(LEFT(C356,3)="JAP",O356*10000*HLOOKUP("PTAX",'Histórico'!$A$1:$FG$983,MATCH(B356,'Histórico'!A:A),FALSE),
IF(LEFT(C356,3)="CNH",O356*10000*HLOOKUP("PTAX",'Histórico'!$A$1:$FG$983,MATCH(B356,'Histórico'!A:A),FALSE),
IF(LEFT(C356,3)="AUS",O356*10000*HLOOKUP("PTAX",'Histórico'!$A$1:$FG$983,MATCH(B356,'Histórico'!A:A),FALSE),
IF(LEFT(C356,3)="CAN",O356*10000*HLOOKUP("PTAX",'Histórico'!$A$1:$FG$983,MATCH(B356,'Histórico'!A:A),FALSE),
IF(LEFT(C356,3)="GBR",O356*10000*HLOOKUP("GBP/BRL",'Histórico'!$A$1:$FG$983,MATCH(B356,'Histórico'!A:A),FALSE),
IF(LEFT(C356,3)="MEX",O356*10000*HLOOKUP("PTAX",'Histórico'!$A$1:$FG$983,MATCH(B356,'Histórico'!A:A),FALSE),
IF(LEFT(C356,3)="CHL",O356*10000*HLOOKUP("PTAX",'Histórico'!$A$1:$FG$983,MATCH(B356,'Histórico'!A:A),FALSE)
)))))))))))))))))))))))),""))</f>
        <v/>
      </c>
      <c r="O356" s="49" t="str">
        <f t="shared" si="2"/>
        <v/>
      </c>
      <c r="P356" s="49" t="str">
        <f t="shared" si="5"/>
        <v/>
      </c>
      <c r="Q356" s="51" t="str">
        <f>IF($C356&lt;&gt;"",SUMIFS($O$3:$O$401, $C$3:$C$401 ,$C356,$B$3:$B$401,"&lt;="&amp;Controle!$B$6),"")</f>
        <v/>
      </c>
      <c r="R356" s="51" t="str">
        <f>IF($D356&lt;&gt;"",SUMIFS($O$3:$O$401, $C$3:$C$401 ,$C356,$B$3:$B$401,"&lt;="&amp;Controle!$B$6,$F$3:$F$401,$F356),"")</f>
        <v/>
      </c>
      <c r="S356" s="51" t="str">
        <f>IF($D356&lt;&gt;"",SUMIFS($O$3:$O$401, $C$3:$C$401 ,$C356,$B$3:$B$401,"&lt;="&amp;'Controle D-1'!$B$6,$F$3:$F$401,$F356),"")</f>
        <v/>
      </c>
      <c r="T356" s="40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146"/>
      <c r="B357" s="149"/>
      <c r="C357" s="150"/>
      <c r="D357" s="150" t="str">
        <f>IF(ISTEXT(C357),VLOOKUP(C357,'Cadastro dos Ativos'!$A$2:$C$1000,3,0),"")</f>
        <v/>
      </c>
      <c r="E357" s="150"/>
      <c r="F357" s="150"/>
      <c r="G357" s="151"/>
      <c r="H357" s="101" t="str">
        <f>if($D357="Ações Americanas", HLOOKUP("PTAX",'Histórico'!$A$1:$EL$983,(MATCH(B357,'Histórico'!A:A))-1,""),
if($D357="Ações Europeias", HLOOKUP("EUR/BRL",'Histórico'!$A$1:$EL$983,(MATCH(B357,'Histórico'!A:A))-1,""),""))</f>
        <v/>
      </c>
      <c r="I357" s="150" t="str">
        <f t="array" ref="I357">IF(ISTEXT(C357),xlookup(C357,'Cadastro dos Ativos'!$A$2:$A$1000,'Cadastro dos Ativos'!$D$2:$D$1000),"")</f>
        <v/>
      </c>
      <c r="J357" s="150"/>
      <c r="K357" s="47" t="str">
        <f t="array" ref="K357">if(and(J357&lt;&gt;"",D357&lt;&gt;"Futuros"),
if(F357=Controle!$C$2, M357/xlookup(workday(B357,-1,Feriados!A:A),Controle!$B$10:$B$1000,Controle!$C$10:$C$1000),
if(F357=Controle!$F$2, M357/xlookup(workday(B357,-1,Feriados!A:A),Controle!$B$10:$B$1000,Controle!$F$10:$F$1000),
if(F357=Controle!$I$2, M357/xlookup(workday(B357,-1,Feriados!A:A),Controle!$B$10:$B$1000,Controle!$I$10:$I$1000),
if(F357=Controle!$L$2, M357/xlookup(workday(B357,-1,Feriados!A:A),Controle!$B$10:$B$1000,Controle!$L$10:$L$1000),
)))),
if(and(J357&lt;&gt;"",D357="Futuros"),
if(F357=Controle!$C$2, N357/xlookup(workday(B357,-1,Feriados!A:A),Controle!$B$10:$B$1000,Controle!$C$10:$C$1000),
if(F357=Controle!$F$2, N357/xlookup(workday(B357,-1,Feriados!A:A),Controle!$B$10:$B$1000,Controle!$F$10:$F$1000),
if(F357=Controle!$I$2, N357/xlookup(workday(B357,-1,Feriados!A:A),Controle!$B$10:$B$1000,Controle!$I$10:$I$1000),
if(F357=Controle!$L$2, N357/xlookup(workday(B357,-1,Feriados!A:A),Controle!$B$10:$B$1000,Controle!$L$10:$L$1000),
)))),""))</f>
        <v/>
      </c>
      <c r="L357" s="47" t="str">
        <f t="array" ref="L357">IF($J357&lt;&gt;"", IF($D357 = "Futuros" , $N357/xlookup(WORKDAY(B357,-1,Feriados!A:A),Controle!$B$10:$B$1000,Controle!$T$10:$T$1000) , $M357/xlookup(WORKDAY(B357,-1,Feriados!A:A),Controle!$B$10:$B$1000,Controle!$T$10:$T$1000)),"")</f>
        <v/>
      </c>
      <c r="M357" s="48" t="str">
        <f t="shared" si="4"/>
        <v/>
      </c>
      <c r="N357" s="48" t="str">
        <f>IFERROR(IF(D357="Futuros",
IF(LEFT(C357,3)="DI1",G357*O357,
IF(LEFT(C357,3)="ISP",G357*O357*HLOOKUP("PTAX",'Histórico'!$A$1:$EL$983,MATCH(B357,'Histórico'!A:A),FALSE)*50,
IF(LEFT(C357,3)="WDO",10*G357*O357*HLOOKUP("PTAX",'Histórico'!$A$1:$EL$983,MATCH(B357,'Histórico'!A:A),FALSE),
IF(LEFT(C357,3)="DOL",50*G357*O357,
IF(LEFT(C357,3)="EUR",G357*O357*50,
IF(LEFT(C357,3)="WEU",G357*O357*10,
IF(LEFT(C357,3)="IND",G357*O357,
IF(LEFT(C357,3)="WIN",G357*O357*0.2,
IF(LEFT(C357,3)="T10",G357*O357*1000*HLOOKUP("PTAX",'Histórico'!$A$1:$EL$983,MATCH(B357,'Histórico'!A:A),FALSE),
IF(LEFT(C357,3)="CCM",G357*O357*450,
IF(LEFT(C357,3)="SJC",G357*O357*HLOOKUP("PTAX",'Histórico'!$A$1:$EL$983,MATCH(B357,'Histórico'!A:A),FALSE)*450,
IF(LEFT(C357,3)="BGI",G357*O357*330,
IF(LEFT(C357,3)="OZ1",G357*O357*250,
IF(LEFT(C357,3)="CLP",G357*O357*25,
IF(LEFT(C357,3)="EUP", O357*10000*HLOOKUP("EUR/BRL",'Histórico'!$A$1:$EL$983,MATCH(B357,'Histórico'!A:A),FALSE),
IF(LEFT(C357,3)="JSE", G357*O357*0.4,
IF(LEFT(C357,3)="GBP", O357*10000*HLOOKUP("GBP/BRL",'Histórico'!$A$1:$FG$983,MATCH(B357,'Histórico'!A:A),FALSE),
IF(LEFT(C357,3)="JAP",O357*10000*HLOOKUP("PTAX",'Histórico'!$A$1:$FG$983,MATCH(B357,'Histórico'!A:A),FALSE),
IF(LEFT(C357,3)="CNH",O357*10000*HLOOKUP("PTAX",'Histórico'!$A$1:$FG$983,MATCH(B357,'Histórico'!A:A),FALSE),
IF(LEFT(C357,3)="AUS",O357*10000*HLOOKUP("PTAX",'Histórico'!$A$1:$FG$983,MATCH(B357,'Histórico'!A:A),FALSE),
IF(LEFT(C357,3)="CAN",O357*10000*HLOOKUP("PTAX",'Histórico'!$A$1:$FG$983,MATCH(B357,'Histórico'!A:A),FALSE),
IF(LEFT(C357,3)="GBR",O357*10000*HLOOKUP("GBP/BRL",'Histórico'!$A$1:$FG$983,MATCH(B357,'Histórico'!A:A),FALSE),
IF(LEFT(C357,3)="MEX",O357*10000*HLOOKUP("PTAX",'Histórico'!$A$1:$FG$983,MATCH(B357,'Histórico'!A:A),FALSE),
IF(LEFT(C357,3)="CHL",O357*10000*HLOOKUP("PTAX",'Histórico'!$A$1:$FG$983,MATCH(B357,'Histórico'!A:A),FALSE)
)))))))))))))))))))))))),""))</f>
        <v/>
      </c>
      <c r="O357" s="49" t="str">
        <f t="shared" si="2"/>
        <v/>
      </c>
      <c r="P357" s="49" t="str">
        <f t="shared" si="5"/>
        <v/>
      </c>
      <c r="Q357" s="51" t="str">
        <f>IF($C357&lt;&gt;"",SUMIFS($O$3:$O$401, $C$3:$C$401 ,$C357,$B$3:$B$401,"&lt;="&amp;Controle!$B$6),"")</f>
        <v/>
      </c>
      <c r="R357" s="51" t="str">
        <f>IF($D357&lt;&gt;"",SUMIFS($O$3:$O$401, $C$3:$C$401 ,$C357,$B$3:$B$401,"&lt;="&amp;Controle!$B$6,$F$3:$F$401,$F357),"")</f>
        <v/>
      </c>
      <c r="S357" s="51" t="str">
        <f>IF($D357&lt;&gt;"",SUMIFS($O$3:$O$401, $C$3:$C$401 ,$C357,$B$3:$B$401,"&lt;="&amp;'Controle D-1'!$B$6,$F$3:$F$401,$F357),"")</f>
        <v/>
      </c>
      <c r="T357" s="40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146"/>
      <c r="B358" s="149"/>
      <c r="C358" s="150"/>
      <c r="D358" s="150" t="str">
        <f>IF(ISTEXT(C358),VLOOKUP(C358,'Cadastro dos Ativos'!$A$2:$C$1000,3,0),"")</f>
        <v/>
      </c>
      <c r="E358" s="150"/>
      <c r="F358" s="150"/>
      <c r="G358" s="151"/>
      <c r="H358" s="46" t="str">
        <f>if($D358="Ações Americanas", HLOOKUP("PTAX",'Histórico'!$A$1:$EL$983,(MATCH(B358,'Histórico'!A:A))-1,""),
if($D358="Ações Europeias", HLOOKUP("EUR/BRL",'Histórico'!$A$1:$EL$983,(MATCH(B358,'Histórico'!A:A))-1,""),""))</f>
        <v/>
      </c>
      <c r="I358" s="150" t="str">
        <f t="array" ref="I358">IF(ISTEXT(C358),xlookup(C358,'Cadastro dos Ativos'!$A$2:$A$1000,'Cadastro dos Ativos'!$D$2:$D$1000),"")</f>
        <v/>
      </c>
      <c r="J358" s="150"/>
      <c r="K358" s="47" t="str">
        <f t="array" ref="K358">if(and(J358&lt;&gt;"",D358&lt;&gt;"Futuros"),
if(F358=Controle!$C$2, M358/xlookup(workday(B358,-1,Feriados!A:A),Controle!$B$10:$B$1000,Controle!$C$10:$C$1000),
if(F358=Controle!$F$2, M358/xlookup(workday(B358,-1,Feriados!A:A),Controle!$B$10:$B$1000,Controle!$F$10:$F$1000),
if(F358=Controle!$I$2, M358/xlookup(workday(B358,-1,Feriados!A:A),Controle!$B$10:$B$1000,Controle!$I$10:$I$1000),
if(F358=Controle!$L$2, M358/xlookup(workday(B358,-1,Feriados!A:A),Controle!$B$10:$B$1000,Controle!$L$10:$L$1000),
)))),
if(and(J358&lt;&gt;"",D358="Futuros"),
if(F358=Controle!$C$2, N358/xlookup(workday(B358,-1,Feriados!A:A),Controle!$B$10:$B$1000,Controle!$C$10:$C$1000),
if(F358=Controle!$F$2, N358/xlookup(workday(B358,-1,Feriados!A:A),Controle!$B$10:$B$1000,Controle!$F$10:$F$1000),
if(F358=Controle!$I$2, N358/xlookup(workday(B358,-1,Feriados!A:A),Controle!$B$10:$B$1000,Controle!$I$10:$I$1000),
if(F358=Controle!$L$2, N358/xlookup(workday(B358,-1,Feriados!A:A),Controle!$B$10:$B$1000,Controle!$L$10:$L$1000),
)))),""))</f>
        <v/>
      </c>
      <c r="L358" s="47" t="str">
        <f t="array" ref="L358">IF($J358&lt;&gt;"", IF($D358 = "Futuros" , $N358/xlookup(WORKDAY(B358,-1,Feriados!A:A),Controle!$B$10:$B$1000,Controle!$T$10:$T$1000) , $M358/xlookup(WORKDAY(B358,-1,Feriados!A:A),Controle!$B$10:$B$1000,Controle!$T$10:$T$1000)),"")</f>
        <v/>
      </c>
      <c r="M358" s="48" t="str">
        <f t="shared" si="4"/>
        <v/>
      </c>
      <c r="N358" s="48" t="str">
        <f>IFERROR(IF(D358="Futuros",
IF(LEFT(C358,3)="DI1",G358*O358,
IF(LEFT(C358,3)="ISP",G358*O358*HLOOKUP("PTAX",'Histórico'!$A$1:$EL$983,MATCH(B358,'Histórico'!A:A),FALSE)*50,
IF(LEFT(C358,3)="WDO",10*G358*O358*HLOOKUP("PTAX",'Histórico'!$A$1:$EL$983,MATCH(B358,'Histórico'!A:A),FALSE),
IF(LEFT(C358,3)="DOL",50*G358*O358,
IF(LEFT(C358,3)="EUR",G358*O358*50,
IF(LEFT(C358,3)="WEU",G358*O358*10,
IF(LEFT(C358,3)="IND",G358*O358,
IF(LEFT(C358,3)="WIN",G358*O358*0.2,
IF(LEFT(C358,3)="T10",G358*O358*1000*HLOOKUP("PTAX",'Histórico'!$A$1:$EL$983,MATCH(B358,'Histórico'!A:A),FALSE),
IF(LEFT(C358,3)="CCM",G358*O358*450,
IF(LEFT(C358,3)="SJC",G358*O358*HLOOKUP("PTAX",'Histórico'!$A$1:$EL$983,MATCH(B358,'Histórico'!A:A),FALSE)*450,
IF(LEFT(C358,3)="BGI",G358*O358*330,
IF(LEFT(C358,3)="OZ1",G358*O358*250,
IF(LEFT(C358,3)="CLP",G358*O358*25,
IF(LEFT(C358,3)="EUP", O358*10000*HLOOKUP("EUR/BRL",'Histórico'!$A$1:$EL$983,MATCH(B358,'Histórico'!A:A),FALSE),
IF(LEFT(C358,3)="JSE", G358*O358*0.4,
IF(LEFT(C358,3)="GBP", O358*10000*HLOOKUP("GBP/BRL",'Histórico'!$A$1:$FG$983,MATCH(B358,'Histórico'!A:A),FALSE),
IF(LEFT(C358,3)="JAP",O358*10000*HLOOKUP("PTAX",'Histórico'!$A$1:$FG$983,MATCH(B358,'Histórico'!A:A),FALSE),
IF(LEFT(C358,3)="CNH",O358*10000*HLOOKUP("PTAX",'Histórico'!$A$1:$FG$983,MATCH(B358,'Histórico'!A:A),FALSE),
IF(LEFT(C358,3)="AUS",O358*10000*HLOOKUP("PTAX",'Histórico'!$A$1:$FG$983,MATCH(B358,'Histórico'!A:A),FALSE),
IF(LEFT(C358,3)="CAN",O358*10000*HLOOKUP("PTAX",'Histórico'!$A$1:$FG$983,MATCH(B358,'Histórico'!A:A),FALSE),
IF(LEFT(C358,3)="GBR",O358*10000*HLOOKUP("GBP/BRL",'Histórico'!$A$1:$FG$983,MATCH(B358,'Histórico'!A:A),FALSE),
IF(LEFT(C358,3)="MEX",O358*10000*HLOOKUP("PTAX",'Histórico'!$A$1:$FG$983,MATCH(B358,'Histórico'!A:A),FALSE),
IF(LEFT(C358,3)="CHL",O358*10000*HLOOKUP("PTAX",'Histórico'!$A$1:$FG$983,MATCH(B358,'Histórico'!A:A),FALSE)
)))))))))))))))))))))))),""))</f>
        <v/>
      </c>
      <c r="O358" s="49" t="str">
        <f t="shared" si="2"/>
        <v/>
      </c>
      <c r="P358" s="49" t="str">
        <f t="shared" si="5"/>
        <v/>
      </c>
      <c r="Q358" s="51" t="str">
        <f>IF($C358&lt;&gt;"",SUMIFS($O$3:$O$401, $C$3:$C$401 ,$C358,$B$3:$B$401,"&lt;="&amp;Controle!$B$6),"")</f>
        <v/>
      </c>
      <c r="R358" s="51" t="str">
        <f>IF($D358&lt;&gt;"",SUMIFS($O$3:$O$401, $C$3:$C$401 ,$C358,$B$3:$B$401,"&lt;="&amp;Controle!$B$6,$F$3:$F$401,$F358),"")</f>
        <v/>
      </c>
      <c r="S358" s="51" t="str">
        <f>IF($D358&lt;&gt;"",SUMIFS($O$3:$O$401, $C$3:$C$401 ,$C358,$B$3:$B$401,"&lt;="&amp;'Controle D-1'!$B$6,$F$3:$F$401,$F358),"")</f>
        <v/>
      </c>
      <c r="T358" s="40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146"/>
      <c r="B359" s="149"/>
      <c r="C359" s="150"/>
      <c r="D359" s="150" t="str">
        <f>IF(ISTEXT(C359),VLOOKUP(C359,'Cadastro dos Ativos'!$A$2:$C$1000,3,0),"")</f>
        <v/>
      </c>
      <c r="E359" s="150"/>
      <c r="F359" s="150"/>
      <c r="G359" s="151"/>
      <c r="H359" s="101" t="str">
        <f>if($D359="Ações Americanas", HLOOKUP("PTAX",'Histórico'!$A$1:$EL$983,(MATCH(B359,'Histórico'!A:A))-1,""),
if($D359="Ações Europeias", HLOOKUP("EUR/BRL",'Histórico'!$A$1:$EL$983,(MATCH(B359,'Histórico'!A:A))-1,""),""))</f>
        <v/>
      </c>
      <c r="I359" s="150" t="str">
        <f t="array" ref="I359">IF(ISTEXT(C359),xlookup(C359,'Cadastro dos Ativos'!$A$2:$A$1000,'Cadastro dos Ativos'!$D$2:$D$1000),"")</f>
        <v/>
      </c>
      <c r="J359" s="150"/>
      <c r="K359" s="47" t="str">
        <f t="array" ref="K359">if(and(J359&lt;&gt;"",D359&lt;&gt;"Futuros"),
if(F359=Controle!$C$2, M359/xlookup(workday(B359,-1,Feriados!A:A),Controle!$B$10:$B$1000,Controle!$C$10:$C$1000),
if(F359=Controle!$F$2, M359/xlookup(workday(B359,-1,Feriados!A:A),Controle!$B$10:$B$1000,Controle!$F$10:$F$1000),
if(F359=Controle!$I$2, M359/xlookup(workday(B359,-1,Feriados!A:A),Controle!$B$10:$B$1000,Controle!$I$10:$I$1000),
if(F359=Controle!$L$2, M359/xlookup(workday(B359,-1,Feriados!A:A),Controle!$B$10:$B$1000,Controle!$L$10:$L$1000),
)))),
if(and(J359&lt;&gt;"",D359="Futuros"),
if(F359=Controle!$C$2, N359/xlookup(workday(B359,-1,Feriados!A:A),Controle!$B$10:$B$1000,Controle!$C$10:$C$1000),
if(F359=Controle!$F$2, N359/xlookup(workday(B359,-1,Feriados!A:A),Controle!$B$10:$B$1000,Controle!$F$10:$F$1000),
if(F359=Controle!$I$2, N359/xlookup(workday(B359,-1,Feriados!A:A),Controle!$B$10:$B$1000,Controle!$I$10:$I$1000),
if(F359=Controle!$L$2, N359/xlookup(workday(B359,-1,Feriados!A:A),Controle!$B$10:$B$1000,Controle!$L$10:$L$1000),
)))),""))</f>
        <v/>
      </c>
      <c r="L359" s="47" t="str">
        <f t="array" ref="L359">IF($J359&lt;&gt;"", IF($D359 = "Futuros" , $N359/xlookup(WORKDAY(B359,-1,Feriados!A:A),Controle!$B$10:$B$1000,Controle!$T$10:$T$1000) , $M359/xlookup(WORKDAY(B359,-1,Feriados!A:A),Controle!$B$10:$B$1000,Controle!$T$10:$T$1000)),"")</f>
        <v/>
      </c>
      <c r="M359" s="48" t="str">
        <f t="shared" si="4"/>
        <v/>
      </c>
      <c r="N359" s="48" t="str">
        <f>IFERROR(IF(D359="Futuros",
IF(LEFT(C359,3)="DI1",G359*O359,
IF(LEFT(C359,3)="ISP",G359*O359*HLOOKUP("PTAX",'Histórico'!$A$1:$EL$983,MATCH(B359,'Histórico'!A:A),FALSE)*50,
IF(LEFT(C359,3)="WDO",10*G359*O359*HLOOKUP("PTAX",'Histórico'!$A$1:$EL$983,MATCH(B359,'Histórico'!A:A),FALSE),
IF(LEFT(C359,3)="DOL",50*G359*O359,
IF(LEFT(C359,3)="EUR",G359*O359*50,
IF(LEFT(C359,3)="WEU",G359*O359*10,
IF(LEFT(C359,3)="IND",G359*O359,
IF(LEFT(C359,3)="WIN",G359*O359*0.2,
IF(LEFT(C359,3)="T10",G359*O359*1000*HLOOKUP("PTAX",'Histórico'!$A$1:$EL$983,MATCH(B359,'Histórico'!A:A),FALSE),
IF(LEFT(C359,3)="CCM",G359*O359*450,
IF(LEFT(C359,3)="SJC",G359*O359*HLOOKUP("PTAX",'Histórico'!$A$1:$EL$983,MATCH(B359,'Histórico'!A:A),FALSE)*450,
IF(LEFT(C359,3)="BGI",G359*O359*330,
IF(LEFT(C359,3)="OZ1",G359*O359*250,
IF(LEFT(C359,3)="CLP",G359*O359*25,
IF(LEFT(C359,3)="EUP", O359*10000*HLOOKUP("EUR/BRL",'Histórico'!$A$1:$EL$983,MATCH(B359,'Histórico'!A:A),FALSE),
IF(LEFT(C359,3)="JSE", G359*O359*0.4,
IF(LEFT(C359,3)="GBP", O359*10000*HLOOKUP("GBP/BRL",'Histórico'!$A$1:$FG$983,MATCH(B359,'Histórico'!A:A),FALSE),
IF(LEFT(C359,3)="JAP",O359*10000*HLOOKUP("PTAX",'Histórico'!$A$1:$FG$983,MATCH(B359,'Histórico'!A:A),FALSE),
IF(LEFT(C359,3)="CNH",O359*10000*HLOOKUP("PTAX",'Histórico'!$A$1:$FG$983,MATCH(B359,'Histórico'!A:A),FALSE),
IF(LEFT(C359,3)="AUS",O359*10000*HLOOKUP("PTAX",'Histórico'!$A$1:$FG$983,MATCH(B359,'Histórico'!A:A),FALSE),
IF(LEFT(C359,3)="CAN",O359*10000*HLOOKUP("PTAX",'Histórico'!$A$1:$FG$983,MATCH(B359,'Histórico'!A:A),FALSE),
IF(LEFT(C359,3)="GBR",O359*10000*HLOOKUP("GBP/BRL",'Histórico'!$A$1:$FG$983,MATCH(B359,'Histórico'!A:A),FALSE),
IF(LEFT(C359,3)="MEX",O359*10000*HLOOKUP("PTAX",'Histórico'!$A$1:$FG$983,MATCH(B359,'Histórico'!A:A),FALSE),
IF(LEFT(C359,3)="CHL",O359*10000*HLOOKUP("PTAX",'Histórico'!$A$1:$FG$983,MATCH(B359,'Histórico'!A:A),FALSE)
)))))))))))))))))))))))),""))</f>
        <v/>
      </c>
      <c r="O359" s="49" t="str">
        <f t="shared" si="2"/>
        <v/>
      </c>
      <c r="P359" s="49" t="str">
        <f t="shared" si="5"/>
        <v/>
      </c>
      <c r="Q359" s="51" t="str">
        <f>IF($C359&lt;&gt;"",SUMIFS($O$3:$O$401, $C$3:$C$401 ,$C359,$B$3:$B$401,"&lt;="&amp;Controle!$B$6),"")</f>
        <v/>
      </c>
      <c r="R359" s="51" t="str">
        <f>IF($D359&lt;&gt;"",SUMIFS($O$3:$O$401, $C$3:$C$401 ,$C359,$B$3:$B$401,"&lt;="&amp;Controle!$B$6,$F$3:$F$401,$F359),"")</f>
        <v/>
      </c>
      <c r="S359" s="51" t="str">
        <f>IF($D359&lt;&gt;"",SUMIFS($O$3:$O$401, $C$3:$C$401 ,$C359,$B$3:$B$401,"&lt;="&amp;'Controle D-1'!$B$6,$F$3:$F$401,$F359),"")</f>
        <v/>
      </c>
      <c r="T359" s="40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146"/>
      <c r="B360" s="149"/>
      <c r="C360" s="150"/>
      <c r="D360" s="150" t="str">
        <f>IF(ISTEXT(C360),VLOOKUP(C360,'Cadastro dos Ativos'!$A$2:$C$1000,3,0),"")</f>
        <v/>
      </c>
      <c r="E360" s="150"/>
      <c r="F360" s="150"/>
      <c r="G360" s="151"/>
      <c r="H360" s="46" t="str">
        <f>if($D360="Ações Americanas", HLOOKUP("PTAX",'Histórico'!$A$1:$EL$983,(MATCH(B360,'Histórico'!A:A))-1,""),
if($D360="Ações Europeias", HLOOKUP("EUR/BRL",'Histórico'!$A$1:$EL$983,(MATCH(B360,'Histórico'!A:A))-1,""),""))</f>
        <v/>
      </c>
      <c r="I360" s="150" t="str">
        <f t="array" ref="I360">IF(ISTEXT(C360),xlookup(C360,'Cadastro dos Ativos'!$A$2:$A$1000,'Cadastro dos Ativos'!$D$2:$D$1000),"")</f>
        <v/>
      </c>
      <c r="J360" s="150"/>
      <c r="K360" s="47" t="str">
        <f t="array" ref="K360">if(and(J360&lt;&gt;"",D360&lt;&gt;"Futuros"),
if(F360=Controle!$C$2, M360/xlookup(workday(B360,-1,Feriados!A:A),Controle!$B$10:$B$1000,Controle!$C$10:$C$1000),
if(F360=Controle!$F$2, M360/xlookup(workday(B360,-1,Feriados!A:A),Controle!$B$10:$B$1000,Controle!$F$10:$F$1000),
if(F360=Controle!$I$2, M360/xlookup(workday(B360,-1,Feriados!A:A),Controle!$B$10:$B$1000,Controle!$I$10:$I$1000),
if(F360=Controle!$L$2, M360/xlookup(workday(B360,-1,Feriados!A:A),Controle!$B$10:$B$1000,Controle!$L$10:$L$1000),
)))),
if(and(J360&lt;&gt;"",D360="Futuros"),
if(F360=Controle!$C$2, N360/xlookup(workday(B360,-1,Feriados!A:A),Controle!$B$10:$B$1000,Controle!$C$10:$C$1000),
if(F360=Controle!$F$2, N360/xlookup(workday(B360,-1,Feriados!A:A),Controle!$B$10:$B$1000,Controle!$F$10:$F$1000),
if(F360=Controle!$I$2, N360/xlookup(workday(B360,-1,Feriados!A:A),Controle!$B$10:$B$1000,Controle!$I$10:$I$1000),
if(F360=Controle!$L$2, N360/xlookup(workday(B360,-1,Feriados!A:A),Controle!$B$10:$B$1000,Controle!$L$10:$L$1000),
)))),""))</f>
        <v/>
      </c>
      <c r="L360" s="47" t="str">
        <f t="array" ref="L360">IF($J360&lt;&gt;"", IF($D360 = "Futuros" , $N360/xlookup(WORKDAY(B360,-1,Feriados!A:A),Controle!$B$10:$B$1000,Controle!$T$10:$T$1000) , $M360/xlookup(WORKDAY(B360,-1,Feriados!A:A),Controle!$B$10:$B$1000,Controle!$T$10:$T$1000)),"")</f>
        <v/>
      </c>
      <c r="M360" s="48" t="str">
        <f t="shared" si="4"/>
        <v/>
      </c>
      <c r="N360" s="48" t="str">
        <f>IFERROR(IF(D360="Futuros",
IF(LEFT(C360,3)="DI1",G360*O360,
IF(LEFT(C360,3)="ISP",G360*O360*HLOOKUP("PTAX",'Histórico'!$A$1:$EL$983,MATCH(B360,'Histórico'!A:A),FALSE)*50,
IF(LEFT(C360,3)="WDO",10*G360*O360*HLOOKUP("PTAX",'Histórico'!$A$1:$EL$983,MATCH(B360,'Histórico'!A:A),FALSE),
IF(LEFT(C360,3)="DOL",50*G360*O360,
IF(LEFT(C360,3)="EUR",G360*O360*50,
IF(LEFT(C360,3)="WEU",G360*O360*10,
IF(LEFT(C360,3)="IND",G360*O360,
IF(LEFT(C360,3)="WIN",G360*O360*0.2,
IF(LEFT(C360,3)="T10",G360*O360*1000*HLOOKUP("PTAX",'Histórico'!$A$1:$EL$983,MATCH(B360,'Histórico'!A:A),FALSE),
IF(LEFT(C360,3)="CCM",G360*O360*450,
IF(LEFT(C360,3)="SJC",G360*O360*HLOOKUP("PTAX",'Histórico'!$A$1:$EL$983,MATCH(B360,'Histórico'!A:A),FALSE)*450,
IF(LEFT(C360,3)="BGI",G360*O360*330,
IF(LEFT(C360,3)="OZ1",G360*O360*250,
IF(LEFT(C360,3)="CLP",G360*O360*25,
IF(LEFT(C360,3)="EUP", O360*10000*HLOOKUP("EUR/BRL",'Histórico'!$A$1:$EL$983,MATCH(B360,'Histórico'!A:A),FALSE),
IF(LEFT(C360,3)="JSE", G360*O360*0.4,
IF(LEFT(C360,3)="GBP", O360*10000*HLOOKUP("GBP/BRL",'Histórico'!$A$1:$FG$983,MATCH(B360,'Histórico'!A:A),FALSE),
IF(LEFT(C360,3)="JAP",O360*10000*HLOOKUP("PTAX",'Histórico'!$A$1:$FG$983,MATCH(B360,'Histórico'!A:A),FALSE),
IF(LEFT(C360,3)="CNH",O360*10000*HLOOKUP("PTAX",'Histórico'!$A$1:$FG$983,MATCH(B360,'Histórico'!A:A),FALSE),
IF(LEFT(C360,3)="AUS",O360*10000*HLOOKUP("PTAX",'Histórico'!$A$1:$FG$983,MATCH(B360,'Histórico'!A:A),FALSE),
IF(LEFT(C360,3)="CAN",O360*10000*HLOOKUP("PTAX",'Histórico'!$A$1:$FG$983,MATCH(B360,'Histórico'!A:A),FALSE),
IF(LEFT(C360,3)="GBR",O360*10000*HLOOKUP("GBP/BRL",'Histórico'!$A$1:$FG$983,MATCH(B360,'Histórico'!A:A),FALSE),
IF(LEFT(C360,3)="MEX",O360*10000*HLOOKUP("PTAX",'Histórico'!$A$1:$FG$983,MATCH(B360,'Histórico'!A:A),FALSE),
IF(LEFT(C360,3)="CHL",O360*10000*HLOOKUP("PTAX",'Histórico'!$A$1:$FG$983,MATCH(B360,'Histórico'!A:A),FALSE)
)))))))))))))))))))))))),""))</f>
        <v/>
      </c>
      <c r="O360" s="49" t="str">
        <f t="shared" si="2"/>
        <v/>
      </c>
      <c r="P360" s="49" t="str">
        <f t="shared" si="5"/>
        <v/>
      </c>
      <c r="Q360" s="51" t="str">
        <f>IF($C360&lt;&gt;"",SUMIFS($O$3:$O$401, $C$3:$C$401 ,$C360,$B$3:$B$401,"&lt;="&amp;Controle!$B$6),"")</f>
        <v/>
      </c>
      <c r="R360" s="51" t="str">
        <f>IF($D360&lt;&gt;"",SUMIFS($O$3:$O$401, $C$3:$C$401 ,$C360,$B$3:$B$401,"&lt;="&amp;Controle!$B$6,$F$3:$F$401,$F360),"")</f>
        <v/>
      </c>
      <c r="S360" s="51" t="str">
        <f>IF($D360&lt;&gt;"",SUMIFS($O$3:$O$401, $C$3:$C$401 ,$C360,$B$3:$B$401,"&lt;="&amp;'Controle D-1'!$B$6,$F$3:$F$401,$F360),"")</f>
        <v/>
      </c>
      <c r="T360" s="40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146"/>
      <c r="B361" s="149"/>
      <c r="C361" s="150"/>
      <c r="D361" s="150" t="str">
        <f>IF(ISTEXT(C361),VLOOKUP(C361,'Cadastro dos Ativos'!$A$2:$C$1000,3,0),"")</f>
        <v/>
      </c>
      <c r="E361" s="150"/>
      <c r="F361" s="150"/>
      <c r="G361" s="151"/>
      <c r="H361" s="101" t="str">
        <f>if($D361="Ações Americanas", HLOOKUP("PTAX",'Histórico'!$A$1:$EL$983,(MATCH(B361,'Histórico'!A:A))-1,""),
if($D361="Ações Europeias", HLOOKUP("EUR/BRL",'Histórico'!$A$1:$EL$983,(MATCH(B361,'Histórico'!A:A))-1,""),""))</f>
        <v/>
      </c>
      <c r="I361" s="150" t="str">
        <f t="array" ref="I361">IF(ISTEXT(C361),xlookup(C361,'Cadastro dos Ativos'!$A$2:$A$1000,'Cadastro dos Ativos'!$D$2:$D$1000),"")</f>
        <v/>
      </c>
      <c r="J361" s="150"/>
      <c r="K361" s="47" t="str">
        <f t="array" ref="K361">if(and(J361&lt;&gt;"",D361&lt;&gt;"Futuros"),
if(F361=Controle!$C$2, M361/xlookup(workday(B361,-1,Feriados!A:A),Controle!$B$10:$B$1000,Controle!$C$10:$C$1000),
if(F361=Controle!$F$2, M361/xlookup(workday(B361,-1,Feriados!A:A),Controle!$B$10:$B$1000,Controle!$F$10:$F$1000),
if(F361=Controle!$I$2, M361/xlookup(workday(B361,-1,Feriados!A:A),Controle!$B$10:$B$1000,Controle!$I$10:$I$1000),
if(F361=Controle!$L$2, M361/xlookup(workday(B361,-1,Feriados!A:A),Controle!$B$10:$B$1000,Controle!$L$10:$L$1000),
)))),
if(and(J361&lt;&gt;"",D361="Futuros"),
if(F361=Controle!$C$2, N361/xlookup(workday(B361,-1,Feriados!A:A),Controle!$B$10:$B$1000,Controle!$C$10:$C$1000),
if(F361=Controle!$F$2, N361/xlookup(workday(B361,-1,Feriados!A:A),Controle!$B$10:$B$1000,Controle!$F$10:$F$1000),
if(F361=Controle!$I$2, N361/xlookup(workday(B361,-1,Feriados!A:A),Controle!$B$10:$B$1000,Controle!$I$10:$I$1000),
if(F361=Controle!$L$2, N361/xlookup(workday(B361,-1,Feriados!A:A),Controle!$B$10:$B$1000,Controle!$L$10:$L$1000),
)))),""))</f>
        <v/>
      </c>
      <c r="L361" s="47" t="str">
        <f t="array" ref="L361">IF($J361&lt;&gt;"", IF($D361 = "Futuros" , $N361/xlookup(WORKDAY(B361,-1,Feriados!A:A),Controle!$B$10:$B$1000,Controle!$T$10:$T$1000) , $M361/xlookup(WORKDAY(B361,-1,Feriados!A:A),Controle!$B$10:$B$1000,Controle!$T$10:$T$1000)),"")</f>
        <v/>
      </c>
      <c r="M361" s="48" t="str">
        <f t="shared" si="4"/>
        <v/>
      </c>
      <c r="N361" s="48" t="str">
        <f>IFERROR(IF(D361="Futuros",
IF(LEFT(C361,3)="DI1",G361*O361,
IF(LEFT(C361,3)="ISP",G361*O361*HLOOKUP("PTAX",'Histórico'!$A$1:$EL$983,MATCH(B361,'Histórico'!A:A),FALSE)*50,
IF(LEFT(C361,3)="WDO",10*G361*O361*HLOOKUP("PTAX",'Histórico'!$A$1:$EL$983,MATCH(B361,'Histórico'!A:A),FALSE),
IF(LEFT(C361,3)="DOL",50*G361*O361,
IF(LEFT(C361,3)="EUR",G361*O361*50,
IF(LEFT(C361,3)="WEU",G361*O361*10,
IF(LEFT(C361,3)="IND",G361*O361,
IF(LEFT(C361,3)="WIN",G361*O361*0.2,
IF(LEFT(C361,3)="T10",G361*O361*1000*HLOOKUP("PTAX",'Histórico'!$A$1:$EL$983,MATCH(B361,'Histórico'!A:A),FALSE),
IF(LEFT(C361,3)="CCM",G361*O361*450,
IF(LEFT(C361,3)="SJC",G361*O361*HLOOKUP("PTAX",'Histórico'!$A$1:$EL$983,MATCH(B361,'Histórico'!A:A),FALSE)*450,
IF(LEFT(C361,3)="BGI",G361*O361*330,
IF(LEFT(C361,3)="OZ1",G361*O361*250,
IF(LEFT(C361,3)="CLP",G361*O361*25,
IF(LEFT(C361,3)="EUP", O361*10000*HLOOKUP("EUR/BRL",'Histórico'!$A$1:$EL$983,MATCH(B361,'Histórico'!A:A),FALSE),
IF(LEFT(C361,3)="JSE", G361*O361*0.4,
IF(LEFT(C361,3)="GBP", O361*10000*HLOOKUP("GBP/BRL",'Histórico'!$A$1:$FG$983,MATCH(B361,'Histórico'!A:A),FALSE),
IF(LEFT(C361,3)="JAP",O361*10000*HLOOKUP("PTAX",'Histórico'!$A$1:$FG$983,MATCH(B361,'Histórico'!A:A),FALSE),
IF(LEFT(C361,3)="CNH",O361*10000*HLOOKUP("PTAX",'Histórico'!$A$1:$FG$983,MATCH(B361,'Histórico'!A:A),FALSE),
IF(LEFT(C361,3)="AUS",O361*10000*HLOOKUP("PTAX",'Histórico'!$A$1:$FG$983,MATCH(B361,'Histórico'!A:A),FALSE),
IF(LEFT(C361,3)="CAN",O361*10000*HLOOKUP("PTAX",'Histórico'!$A$1:$FG$983,MATCH(B361,'Histórico'!A:A),FALSE),
IF(LEFT(C361,3)="GBR",O361*10000*HLOOKUP("GBP/BRL",'Histórico'!$A$1:$FG$983,MATCH(B361,'Histórico'!A:A),FALSE),
IF(LEFT(C361,3)="MEX",O361*10000*HLOOKUP("PTAX",'Histórico'!$A$1:$FG$983,MATCH(B361,'Histórico'!A:A),FALSE),
IF(LEFT(C361,3)="CHL",O361*10000*HLOOKUP("PTAX",'Histórico'!$A$1:$FG$983,MATCH(B361,'Histórico'!A:A),FALSE)
)))))))))))))))))))))))),""))</f>
        <v/>
      </c>
      <c r="O361" s="49" t="str">
        <f t="shared" si="2"/>
        <v/>
      </c>
      <c r="P361" s="49" t="str">
        <f t="shared" si="5"/>
        <v/>
      </c>
      <c r="Q361" s="51" t="str">
        <f>IF($C361&lt;&gt;"",SUMIFS($O$3:$O$401, $C$3:$C$401 ,$C361,$B$3:$B$401,"&lt;="&amp;Controle!$B$6),"")</f>
        <v/>
      </c>
      <c r="R361" s="51" t="str">
        <f>IF($D361&lt;&gt;"",SUMIFS($O$3:$O$401, $C$3:$C$401 ,$C361,$B$3:$B$401,"&lt;="&amp;Controle!$B$6,$F$3:$F$401,$F361),"")</f>
        <v/>
      </c>
      <c r="S361" s="51" t="str">
        <f>IF($D361&lt;&gt;"",SUMIFS($O$3:$O$401, $C$3:$C$401 ,$C361,$B$3:$B$401,"&lt;="&amp;'Controle D-1'!$B$6,$F$3:$F$401,$F361),"")</f>
        <v/>
      </c>
      <c r="T361" s="40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146"/>
      <c r="B362" s="149"/>
      <c r="C362" s="150"/>
      <c r="D362" s="150" t="str">
        <f>IF(ISTEXT(C362),VLOOKUP(C362,'Cadastro dos Ativos'!$A$2:$C$1000,3,0),"")</f>
        <v/>
      </c>
      <c r="E362" s="150"/>
      <c r="F362" s="150"/>
      <c r="G362" s="151"/>
      <c r="H362" s="46" t="str">
        <f>if($D362="Ações Americanas", HLOOKUP("PTAX",'Histórico'!$A$1:$EL$983,(MATCH(B362,'Histórico'!A:A))-1,""),
if($D362="Ações Europeias", HLOOKUP("EUR/BRL",'Histórico'!$A$1:$EL$983,(MATCH(B362,'Histórico'!A:A))-1,""),""))</f>
        <v/>
      </c>
      <c r="I362" s="150" t="str">
        <f t="array" ref="I362">IF(ISTEXT(C362),xlookup(C362,'Cadastro dos Ativos'!$A$2:$A$1000,'Cadastro dos Ativos'!$D$2:$D$1000),"")</f>
        <v/>
      </c>
      <c r="J362" s="150"/>
      <c r="K362" s="47" t="str">
        <f t="array" ref="K362">if(and(J362&lt;&gt;"",D362&lt;&gt;"Futuros"),
if(F362=Controle!$C$2, M362/xlookup(workday(B362,-1,Feriados!A:A),Controle!$B$10:$B$1000,Controle!$C$10:$C$1000),
if(F362=Controle!$F$2, M362/xlookup(workday(B362,-1,Feriados!A:A),Controle!$B$10:$B$1000,Controle!$F$10:$F$1000),
if(F362=Controle!$I$2, M362/xlookup(workday(B362,-1,Feriados!A:A),Controle!$B$10:$B$1000,Controle!$I$10:$I$1000),
if(F362=Controle!$L$2, M362/xlookup(workday(B362,-1,Feriados!A:A),Controle!$B$10:$B$1000,Controle!$L$10:$L$1000),
)))),
if(and(J362&lt;&gt;"",D362="Futuros"),
if(F362=Controle!$C$2, N362/xlookup(workday(B362,-1,Feriados!A:A),Controle!$B$10:$B$1000,Controle!$C$10:$C$1000),
if(F362=Controle!$F$2, N362/xlookup(workday(B362,-1,Feriados!A:A),Controle!$B$10:$B$1000,Controle!$F$10:$F$1000),
if(F362=Controle!$I$2, N362/xlookup(workday(B362,-1,Feriados!A:A),Controle!$B$10:$B$1000,Controle!$I$10:$I$1000),
if(F362=Controle!$L$2, N362/xlookup(workday(B362,-1,Feriados!A:A),Controle!$B$10:$B$1000,Controle!$L$10:$L$1000),
)))),""))</f>
        <v/>
      </c>
      <c r="L362" s="47" t="str">
        <f t="array" ref="L362">IF($J362&lt;&gt;"", IF($D362 = "Futuros" , $N362/xlookup(WORKDAY(B362,-1,Feriados!A:A),Controle!$B$10:$B$1000,Controle!$T$10:$T$1000) , $M362/xlookup(WORKDAY(B362,-1,Feriados!A:A),Controle!$B$10:$B$1000,Controle!$T$10:$T$1000)),"")</f>
        <v/>
      </c>
      <c r="M362" s="48" t="str">
        <f t="shared" si="4"/>
        <v/>
      </c>
      <c r="N362" s="48" t="str">
        <f>IFERROR(IF(D362="Futuros",
IF(LEFT(C362,3)="DI1",G362*O362,
IF(LEFT(C362,3)="ISP",G362*O362*HLOOKUP("PTAX",'Histórico'!$A$1:$EL$983,MATCH(B362,'Histórico'!A:A),FALSE)*50,
IF(LEFT(C362,3)="WDO",10*G362*O362*HLOOKUP("PTAX",'Histórico'!$A$1:$EL$983,MATCH(B362,'Histórico'!A:A),FALSE),
IF(LEFT(C362,3)="DOL",50*G362*O362,
IF(LEFT(C362,3)="EUR",G362*O362*50,
IF(LEFT(C362,3)="WEU",G362*O362*10,
IF(LEFT(C362,3)="IND",G362*O362,
IF(LEFT(C362,3)="WIN",G362*O362*0.2,
IF(LEFT(C362,3)="T10",G362*O362*1000*HLOOKUP("PTAX",'Histórico'!$A$1:$EL$983,MATCH(B362,'Histórico'!A:A),FALSE),
IF(LEFT(C362,3)="CCM",G362*O362*450,
IF(LEFT(C362,3)="SJC",G362*O362*HLOOKUP("PTAX",'Histórico'!$A$1:$EL$983,MATCH(B362,'Histórico'!A:A),FALSE)*450,
IF(LEFT(C362,3)="BGI",G362*O362*330,
IF(LEFT(C362,3)="OZ1",G362*O362*250,
IF(LEFT(C362,3)="CLP",G362*O362*25,
IF(LEFT(C362,3)="EUP", O362*10000*HLOOKUP("EUR/BRL",'Histórico'!$A$1:$EL$983,MATCH(B362,'Histórico'!A:A),FALSE),
IF(LEFT(C362,3)="JSE", G362*O362*0.4,
IF(LEFT(C362,3)="GBP", O362*10000*HLOOKUP("GBP/BRL",'Histórico'!$A$1:$FG$983,MATCH(B362,'Histórico'!A:A),FALSE),
IF(LEFT(C362,3)="JAP",O362*10000*HLOOKUP("PTAX",'Histórico'!$A$1:$FG$983,MATCH(B362,'Histórico'!A:A),FALSE),
IF(LEFT(C362,3)="CNH",O362*10000*HLOOKUP("PTAX",'Histórico'!$A$1:$FG$983,MATCH(B362,'Histórico'!A:A),FALSE),
IF(LEFT(C362,3)="AUS",O362*10000*HLOOKUP("PTAX",'Histórico'!$A$1:$FG$983,MATCH(B362,'Histórico'!A:A),FALSE),
IF(LEFT(C362,3)="CAN",O362*10000*HLOOKUP("PTAX",'Histórico'!$A$1:$FG$983,MATCH(B362,'Histórico'!A:A),FALSE),
IF(LEFT(C362,3)="GBR",O362*10000*HLOOKUP("GBP/BRL",'Histórico'!$A$1:$FG$983,MATCH(B362,'Histórico'!A:A),FALSE),
IF(LEFT(C362,3)="MEX",O362*10000*HLOOKUP("PTAX",'Histórico'!$A$1:$FG$983,MATCH(B362,'Histórico'!A:A),FALSE),
IF(LEFT(C362,3)="CHL",O362*10000*HLOOKUP("PTAX",'Histórico'!$A$1:$FG$983,MATCH(B362,'Histórico'!A:A),FALSE)
)))))))))))))))))))))))),""))</f>
        <v/>
      </c>
      <c r="O362" s="49" t="str">
        <f t="shared" si="2"/>
        <v/>
      </c>
      <c r="P362" s="49" t="str">
        <f t="shared" si="5"/>
        <v/>
      </c>
      <c r="Q362" s="51" t="str">
        <f>IF($C362&lt;&gt;"",SUMIFS($O$3:$O$401, $C$3:$C$401 ,$C362,$B$3:$B$401,"&lt;="&amp;Controle!$B$6),"")</f>
        <v/>
      </c>
      <c r="R362" s="51" t="str">
        <f>IF($D362&lt;&gt;"",SUMIFS($O$3:$O$401, $C$3:$C$401 ,$C362,$B$3:$B$401,"&lt;="&amp;Controle!$B$6,$F$3:$F$401,$F362),"")</f>
        <v/>
      </c>
      <c r="S362" s="51" t="str">
        <f>IF($D362&lt;&gt;"",SUMIFS($O$3:$O$401, $C$3:$C$401 ,$C362,$B$3:$B$401,"&lt;="&amp;'Controle D-1'!$B$6,$F$3:$F$401,$F362),"")</f>
        <v/>
      </c>
      <c r="T362" s="40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146"/>
      <c r="B363" s="149"/>
      <c r="C363" s="150"/>
      <c r="D363" s="150" t="str">
        <f>IF(ISTEXT(C363),VLOOKUP(C363,'Cadastro dos Ativos'!$A$2:$C$1000,3,0),"")</f>
        <v/>
      </c>
      <c r="E363" s="150"/>
      <c r="F363" s="150"/>
      <c r="G363" s="151"/>
      <c r="H363" s="101" t="str">
        <f>if($D363="Ações Americanas", HLOOKUP("PTAX",'Histórico'!$A$1:$EL$983,(MATCH(B363,'Histórico'!A:A))-1,""),
if($D363="Ações Europeias", HLOOKUP("EUR/BRL",'Histórico'!$A$1:$EL$983,(MATCH(B363,'Histórico'!A:A))-1,""),""))</f>
        <v/>
      </c>
      <c r="I363" s="150" t="str">
        <f t="array" ref="I363">IF(ISTEXT(C363),xlookup(C363,'Cadastro dos Ativos'!$A$2:$A$1000,'Cadastro dos Ativos'!$D$2:$D$1000),"")</f>
        <v/>
      </c>
      <c r="J363" s="150"/>
      <c r="K363" s="47" t="str">
        <f t="array" ref="K363">if(and(J363&lt;&gt;"",D363&lt;&gt;"Futuros"),
if(F363=Controle!$C$2, M363/xlookup(workday(B363,-1,Feriados!A:A),Controle!$B$10:$B$1000,Controle!$C$10:$C$1000),
if(F363=Controle!$F$2, M363/xlookup(workday(B363,-1,Feriados!A:A),Controle!$B$10:$B$1000,Controle!$F$10:$F$1000),
if(F363=Controle!$I$2, M363/xlookup(workday(B363,-1,Feriados!A:A),Controle!$B$10:$B$1000,Controle!$I$10:$I$1000),
if(F363=Controle!$L$2, M363/xlookup(workday(B363,-1,Feriados!A:A),Controle!$B$10:$B$1000,Controle!$L$10:$L$1000),
)))),
if(and(J363&lt;&gt;"",D363="Futuros"),
if(F363=Controle!$C$2, N363/xlookup(workday(B363,-1,Feriados!A:A),Controle!$B$10:$B$1000,Controle!$C$10:$C$1000),
if(F363=Controle!$F$2, N363/xlookup(workday(B363,-1,Feriados!A:A),Controle!$B$10:$B$1000,Controle!$F$10:$F$1000),
if(F363=Controle!$I$2, N363/xlookup(workday(B363,-1,Feriados!A:A),Controle!$B$10:$B$1000,Controle!$I$10:$I$1000),
if(F363=Controle!$L$2, N363/xlookup(workday(B363,-1,Feriados!A:A),Controle!$B$10:$B$1000,Controle!$L$10:$L$1000),
)))),""))</f>
        <v/>
      </c>
      <c r="L363" s="47" t="str">
        <f t="array" ref="L363">IF($J363&lt;&gt;"", IF($D363 = "Futuros" , $N363/xlookup(WORKDAY(B363,-1,Feriados!A:A),Controle!$B$10:$B$1000,Controle!$T$10:$T$1000) , $M363/xlookup(WORKDAY(B363,-1,Feriados!A:A),Controle!$B$10:$B$1000,Controle!$T$10:$T$1000)),"")</f>
        <v/>
      </c>
      <c r="M363" s="48" t="str">
        <f t="shared" si="4"/>
        <v/>
      </c>
      <c r="N363" s="48" t="str">
        <f>IFERROR(IF(D363="Futuros",
IF(LEFT(C363,3)="DI1",G363*O363,
IF(LEFT(C363,3)="ISP",G363*O363*HLOOKUP("PTAX",'Histórico'!$A$1:$EL$983,MATCH(B363,'Histórico'!A:A),FALSE)*50,
IF(LEFT(C363,3)="WDO",10*G363*O363*HLOOKUP("PTAX",'Histórico'!$A$1:$EL$983,MATCH(B363,'Histórico'!A:A),FALSE),
IF(LEFT(C363,3)="DOL",50*G363*O363,
IF(LEFT(C363,3)="EUR",G363*O363*50,
IF(LEFT(C363,3)="WEU",G363*O363*10,
IF(LEFT(C363,3)="IND",G363*O363,
IF(LEFT(C363,3)="WIN",G363*O363*0.2,
IF(LEFT(C363,3)="T10",G363*O363*1000*HLOOKUP("PTAX",'Histórico'!$A$1:$EL$983,MATCH(B363,'Histórico'!A:A),FALSE),
IF(LEFT(C363,3)="CCM",G363*O363*450,
IF(LEFT(C363,3)="SJC",G363*O363*HLOOKUP("PTAX",'Histórico'!$A$1:$EL$983,MATCH(B363,'Histórico'!A:A),FALSE)*450,
IF(LEFT(C363,3)="BGI",G363*O363*330,
IF(LEFT(C363,3)="OZ1",G363*O363*250,
IF(LEFT(C363,3)="CLP",G363*O363*25,
IF(LEFT(C363,3)="EUP", O363*10000*HLOOKUP("EUR/BRL",'Histórico'!$A$1:$EL$983,MATCH(B363,'Histórico'!A:A),FALSE),
IF(LEFT(C363,3)="JSE", G363*O363*0.4,
IF(LEFT(C363,3)="GBP", O363*10000*HLOOKUP("GBP/BRL",'Histórico'!$A$1:$FG$983,MATCH(B363,'Histórico'!A:A),FALSE),
IF(LEFT(C363,3)="JAP",O363*10000*HLOOKUP("PTAX",'Histórico'!$A$1:$FG$983,MATCH(B363,'Histórico'!A:A),FALSE),
IF(LEFT(C363,3)="CNH",O363*10000*HLOOKUP("PTAX",'Histórico'!$A$1:$FG$983,MATCH(B363,'Histórico'!A:A),FALSE),
IF(LEFT(C363,3)="AUS",O363*10000*HLOOKUP("PTAX",'Histórico'!$A$1:$FG$983,MATCH(B363,'Histórico'!A:A),FALSE),
IF(LEFT(C363,3)="CAN",O363*10000*HLOOKUP("PTAX",'Histórico'!$A$1:$FG$983,MATCH(B363,'Histórico'!A:A),FALSE),
IF(LEFT(C363,3)="GBR",O363*10000*HLOOKUP("GBP/BRL",'Histórico'!$A$1:$FG$983,MATCH(B363,'Histórico'!A:A),FALSE),
IF(LEFT(C363,3)="MEX",O363*10000*HLOOKUP("PTAX",'Histórico'!$A$1:$FG$983,MATCH(B363,'Histórico'!A:A),FALSE),
IF(LEFT(C363,3)="CHL",O363*10000*HLOOKUP("PTAX",'Histórico'!$A$1:$FG$983,MATCH(B363,'Histórico'!A:A),FALSE)
)))))))))))))))))))))))),""))</f>
        <v/>
      </c>
      <c r="O363" s="49" t="str">
        <f t="shared" si="2"/>
        <v/>
      </c>
      <c r="P363" s="49" t="str">
        <f t="shared" si="5"/>
        <v/>
      </c>
      <c r="Q363" s="51" t="str">
        <f>IF($C363&lt;&gt;"",SUMIFS($O$3:$O$401, $C$3:$C$401 ,$C363,$B$3:$B$401,"&lt;="&amp;Controle!$B$6),"")</f>
        <v/>
      </c>
      <c r="R363" s="51" t="str">
        <f>IF($D363&lt;&gt;"",SUMIFS($O$3:$O$401, $C$3:$C$401 ,$C363,$B$3:$B$401,"&lt;="&amp;Controle!$B$6,$F$3:$F$401,$F363),"")</f>
        <v/>
      </c>
      <c r="S363" s="51" t="str">
        <f>IF($D363&lt;&gt;"",SUMIFS($O$3:$O$401, $C$3:$C$401 ,$C363,$B$3:$B$401,"&lt;="&amp;'Controle D-1'!$B$6,$F$3:$F$401,$F363),"")</f>
        <v/>
      </c>
      <c r="T363" s="40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146"/>
      <c r="B364" s="149"/>
      <c r="C364" s="150"/>
      <c r="D364" s="150" t="str">
        <f>IF(ISTEXT(C364),VLOOKUP(C364,'Cadastro dos Ativos'!$A$2:$C$1000,3,0),"")</f>
        <v/>
      </c>
      <c r="E364" s="150"/>
      <c r="F364" s="150"/>
      <c r="G364" s="151"/>
      <c r="H364" s="46" t="str">
        <f>if($D364="Ações Americanas", HLOOKUP("PTAX",'Histórico'!$A$1:$EL$983,(MATCH(B364,'Histórico'!A:A))-1,""),
if($D364="Ações Europeias", HLOOKUP("EUR/BRL",'Histórico'!$A$1:$EL$983,(MATCH(B364,'Histórico'!A:A))-1,""),""))</f>
        <v/>
      </c>
      <c r="I364" s="150" t="str">
        <f t="array" ref="I364">IF(ISTEXT(C364),xlookup(C364,'Cadastro dos Ativos'!$A$2:$A$1000,'Cadastro dos Ativos'!$D$2:$D$1000),"")</f>
        <v/>
      </c>
      <c r="J364" s="150"/>
      <c r="K364" s="47" t="str">
        <f t="array" ref="K364">if(and(J364&lt;&gt;"",D364&lt;&gt;"Futuros"),
if(F364=Controle!$C$2, M364/xlookup(workday(B364,-1,Feriados!A:A),Controle!$B$10:$B$1000,Controle!$C$10:$C$1000),
if(F364=Controle!$F$2, M364/xlookup(workday(B364,-1,Feriados!A:A),Controle!$B$10:$B$1000,Controle!$F$10:$F$1000),
if(F364=Controle!$I$2, M364/xlookup(workday(B364,-1,Feriados!A:A),Controle!$B$10:$B$1000,Controle!$I$10:$I$1000),
if(F364=Controle!$L$2, M364/xlookup(workday(B364,-1,Feriados!A:A),Controle!$B$10:$B$1000,Controle!$L$10:$L$1000),
)))),
if(and(J364&lt;&gt;"",D364="Futuros"),
if(F364=Controle!$C$2, N364/xlookup(workday(B364,-1,Feriados!A:A),Controle!$B$10:$B$1000,Controle!$C$10:$C$1000),
if(F364=Controle!$F$2, N364/xlookup(workday(B364,-1,Feriados!A:A),Controle!$B$10:$B$1000,Controle!$F$10:$F$1000),
if(F364=Controle!$I$2, N364/xlookup(workday(B364,-1,Feriados!A:A),Controle!$B$10:$B$1000,Controle!$I$10:$I$1000),
if(F364=Controle!$L$2, N364/xlookup(workday(B364,-1,Feriados!A:A),Controle!$B$10:$B$1000,Controle!$L$10:$L$1000),
)))),""))</f>
        <v/>
      </c>
      <c r="L364" s="47" t="str">
        <f t="array" ref="L364">IF($J364&lt;&gt;"", IF($D364 = "Futuros" , $N364/xlookup(WORKDAY(B364,-1,Feriados!A:A),Controle!$B$10:$B$1000,Controle!$T$10:$T$1000) , $M364/xlookup(WORKDAY(B364,-1,Feriados!A:A),Controle!$B$10:$B$1000,Controle!$T$10:$T$1000)),"")</f>
        <v/>
      </c>
      <c r="M364" s="48" t="str">
        <f t="shared" si="4"/>
        <v/>
      </c>
      <c r="N364" s="48" t="str">
        <f>IFERROR(IF(D364="Futuros",
IF(LEFT(C364,3)="DI1",G364*O364,
IF(LEFT(C364,3)="ISP",G364*O364*HLOOKUP("PTAX",'Histórico'!$A$1:$EL$983,MATCH(B364,'Histórico'!A:A),FALSE)*50,
IF(LEFT(C364,3)="WDO",10*G364*O364*HLOOKUP("PTAX",'Histórico'!$A$1:$EL$983,MATCH(B364,'Histórico'!A:A),FALSE),
IF(LEFT(C364,3)="DOL",50*G364*O364,
IF(LEFT(C364,3)="EUR",G364*O364*50,
IF(LEFT(C364,3)="WEU",G364*O364*10,
IF(LEFT(C364,3)="IND",G364*O364,
IF(LEFT(C364,3)="WIN",G364*O364*0.2,
IF(LEFT(C364,3)="T10",G364*O364*1000*HLOOKUP("PTAX",'Histórico'!$A$1:$EL$983,MATCH(B364,'Histórico'!A:A),FALSE),
IF(LEFT(C364,3)="CCM",G364*O364*450,
IF(LEFT(C364,3)="SJC",G364*O364*HLOOKUP("PTAX",'Histórico'!$A$1:$EL$983,MATCH(B364,'Histórico'!A:A),FALSE)*450,
IF(LEFT(C364,3)="BGI",G364*O364*330,
IF(LEFT(C364,3)="OZ1",G364*O364*250,
IF(LEFT(C364,3)="CLP",G364*O364*25,
IF(LEFT(C364,3)="EUP", O364*10000*HLOOKUP("EUR/BRL",'Histórico'!$A$1:$EL$983,MATCH(B364,'Histórico'!A:A),FALSE),
IF(LEFT(C364,3)="JSE", G364*O364*0.4,
IF(LEFT(C364,3)="GBP", O364*10000*HLOOKUP("GBP/BRL",'Histórico'!$A$1:$FG$983,MATCH(B364,'Histórico'!A:A),FALSE),
IF(LEFT(C364,3)="JAP",O364*10000*HLOOKUP("PTAX",'Histórico'!$A$1:$FG$983,MATCH(B364,'Histórico'!A:A),FALSE),
IF(LEFT(C364,3)="CNH",O364*10000*HLOOKUP("PTAX",'Histórico'!$A$1:$FG$983,MATCH(B364,'Histórico'!A:A),FALSE),
IF(LEFT(C364,3)="AUS",O364*10000*HLOOKUP("PTAX",'Histórico'!$A$1:$FG$983,MATCH(B364,'Histórico'!A:A),FALSE),
IF(LEFT(C364,3)="CAN",O364*10000*HLOOKUP("PTAX",'Histórico'!$A$1:$FG$983,MATCH(B364,'Histórico'!A:A),FALSE),
IF(LEFT(C364,3)="GBR",O364*10000*HLOOKUP("GBP/BRL",'Histórico'!$A$1:$FG$983,MATCH(B364,'Histórico'!A:A),FALSE),
IF(LEFT(C364,3)="MEX",O364*10000*HLOOKUP("PTAX",'Histórico'!$A$1:$FG$983,MATCH(B364,'Histórico'!A:A),FALSE),
IF(LEFT(C364,3)="CHL",O364*10000*HLOOKUP("PTAX",'Histórico'!$A$1:$FG$983,MATCH(B364,'Histórico'!A:A),FALSE)
)))))))))))))))))))))))),""))</f>
        <v/>
      </c>
      <c r="O364" s="49" t="str">
        <f t="shared" si="2"/>
        <v/>
      </c>
      <c r="P364" s="49" t="str">
        <f t="shared" si="5"/>
        <v/>
      </c>
      <c r="Q364" s="51" t="str">
        <f>IF($C364&lt;&gt;"",SUMIFS($O$3:$O$401, $C$3:$C$401 ,$C364,$B$3:$B$401,"&lt;="&amp;Controle!$B$6),"")</f>
        <v/>
      </c>
      <c r="R364" s="51" t="str">
        <f>IF($D364&lt;&gt;"",SUMIFS($O$3:$O$401, $C$3:$C$401 ,$C364,$B$3:$B$401,"&lt;="&amp;Controle!$B$6,$F$3:$F$401,$F364),"")</f>
        <v/>
      </c>
      <c r="S364" s="51" t="str">
        <f>IF($D364&lt;&gt;"",SUMIFS($O$3:$O$401, $C$3:$C$401 ,$C364,$B$3:$B$401,"&lt;="&amp;'Controle D-1'!$B$6,$F$3:$F$401,$F364),"")</f>
        <v/>
      </c>
      <c r="T364" s="40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146"/>
      <c r="B365" s="149"/>
      <c r="C365" s="150"/>
      <c r="D365" s="150" t="str">
        <f>IF(ISTEXT(C365),VLOOKUP(C365,'Cadastro dos Ativos'!$A$2:$C$1000,3,0),"")</f>
        <v/>
      </c>
      <c r="E365" s="150"/>
      <c r="F365" s="150"/>
      <c r="G365" s="151"/>
      <c r="H365" s="101" t="str">
        <f>if($D365="Ações Americanas", HLOOKUP("PTAX",'Histórico'!$A$1:$EL$983,(MATCH(B365,'Histórico'!A:A))-1,""),
if($D365="Ações Europeias", HLOOKUP("EUR/BRL",'Histórico'!$A$1:$EL$983,(MATCH(B365,'Histórico'!A:A))-1,""),""))</f>
        <v/>
      </c>
      <c r="I365" s="150" t="str">
        <f t="array" ref="I365">IF(ISTEXT(C365),xlookup(C365,'Cadastro dos Ativos'!$A$2:$A$1000,'Cadastro dos Ativos'!$D$2:$D$1000),"")</f>
        <v/>
      </c>
      <c r="J365" s="150"/>
      <c r="K365" s="47" t="str">
        <f t="array" ref="K365">if(and(J365&lt;&gt;"",D365&lt;&gt;"Futuros"),
if(F365=Controle!$C$2, M365/xlookup(workday(B365,-1,Feriados!A:A),Controle!$B$10:$B$1000,Controle!$C$10:$C$1000),
if(F365=Controle!$F$2, M365/xlookup(workday(B365,-1,Feriados!A:A),Controle!$B$10:$B$1000,Controle!$F$10:$F$1000),
if(F365=Controle!$I$2, M365/xlookup(workday(B365,-1,Feriados!A:A),Controle!$B$10:$B$1000,Controle!$I$10:$I$1000),
if(F365=Controle!$L$2, M365/xlookup(workday(B365,-1,Feriados!A:A),Controle!$B$10:$B$1000,Controle!$L$10:$L$1000),
)))),
if(and(J365&lt;&gt;"",D365="Futuros"),
if(F365=Controle!$C$2, N365/xlookup(workday(B365,-1,Feriados!A:A),Controle!$B$10:$B$1000,Controle!$C$10:$C$1000),
if(F365=Controle!$F$2, N365/xlookup(workday(B365,-1,Feriados!A:A),Controle!$B$10:$B$1000,Controle!$F$10:$F$1000),
if(F365=Controle!$I$2, N365/xlookup(workday(B365,-1,Feriados!A:A),Controle!$B$10:$B$1000,Controle!$I$10:$I$1000),
if(F365=Controle!$L$2, N365/xlookup(workday(B365,-1,Feriados!A:A),Controle!$B$10:$B$1000,Controle!$L$10:$L$1000),
)))),""))</f>
        <v/>
      </c>
      <c r="L365" s="47" t="str">
        <f t="array" ref="L365">IF($J365&lt;&gt;"", IF($D365 = "Futuros" , $N365/xlookup(WORKDAY(B365,-1,Feriados!A:A),Controle!$B$10:$B$1000,Controle!$T$10:$T$1000) , $M365/xlookup(WORKDAY(B365,-1,Feriados!A:A),Controle!$B$10:$B$1000,Controle!$T$10:$T$1000)),"")</f>
        <v/>
      </c>
      <c r="M365" s="48" t="str">
        <f t="shared" si="4"/>
        <v/>
      </c>
      <c r="N365" s="48" t="str">
        <f>IFERROR(IF(D365="Futuros",
IF(LEFT(C365,3)="DI1",G365*O365,
IF(LEFT(C365,3)="ISP",G365*O365*HLOOKUP("PTAX",'Histórico'!$A$1:$EL$983,MATCH(B365,'Histórico'!A:A),FALSE)*50,
IF(LEFT(C365,3)="WDO",10*G365*O365*HLOOKUP("PTAX",'Histórico'!$A$1:$EL$983,MATCH(B365,'Histórico'!A:A),FALSE),
IF(LEFT(C365,3)="DOL",50*G365*O365,
IF(LEFT(C365,3)="EUR",G365*O365*50,
IF(LEFT(C365,3)="WEU",G365*O365*10,
IF(LEFT(C365,3)="IND",G365*O365,
IF(LEFT(C365,3)="WIN",G365*O365*0.2,
IF(LEFT(C365,3)="T10",G365*O365*1000*HLOOKUP("PTAX",'Histórico'!$A$1:$EL$983,MATCH(B365,'Histórico'!A:A),FALSE),
IF(LEFT(C365,3)="CCM",G365*O365*450,
IF(LEFT(C365,3)="SJC",G365*O365*HLOOKUP("PTAX",'Histórico'!$A$1:$EL$983,MATCH(B365,'Histórico'!A:A),FALSE)*450,
IF(LEFT(C365,3)="BGI",G365*O365*330,
IF(LEFT(C365,3)="OZ1",G365*O365*250,
IF(LEFT(C365,3)="CLP",G365*O365*25,
IF(LEFT(C365,3)="EUP", O365*10000*HLOOKUP("EUR/BRL",'Histórico'!$A$1:$EL$983,MATCH(B365,'Histórico'!A:A),FALSE),
IF(LEFT(C365,3)="JSE", G365*O365*0.4,
IF(LEFT(C365,3)="GBP", O365*10000*HLOOKUP("GBP/BRL",'Histórico'!$A$1:$FG$983,MATCH(B365,'Histórico'!A:A),FALSE),
IF(LEFT(C365,3)="JAP",O365*10000*HLOOKUP("PTAX",'Histórico'!$A$1:$FG$983,MATCH(B365,'Histórico'!A:A),FALSE),
IF(LEFT(C365,3)="CNH",O365*10000*HLOOKUP("PTAX",'Histórico'!$A$1:$FG$983,MATCH(B365,'Histórico'!A:A),FALSE),
IF(LEFT(C365,3)="AUS",O365*10000*HLOOKUP("PTAX",'Histórico'!$A$1:$FG$983,MATCH(B365,'Histórico'!A:A),FALSE),
IF(LEFT(C365,3)="CAN",O365*10000*HLOOKUP("PTAX",'Histórico'!$A$1:$FG$983,MATCH(B365,'Histórico'!A:A),FALSE),
IF(LEFT(C365,3)="GBR",O365*10000*HLOOKUP("GBP/BRL",'Histórico'!$A$1:$FG$983,MATCH(B365,'Histórico'!A:A),FALSE),
IF(LEFT(C365,3)="MEX",O365*10000*HLOOKUP("PTAX",'Histórico'!$A$1:$FG$983,MATCH(B365,'Histórico'!A:A),FALSE),
IF(LEFT(C365,3)="CHL",O365*10000*HLOOKUP("PTAX",'Histórico'!$A$1:$FG$983,MATCH(B365,'Histórico'!A:A),FALSE)
)))))))))))))))))))))))),""))</f>
        <v/>
      </c>
      <c r="O365" s="49" t="str">
        <f t="shared" si="2"/>
        <v/>
      </c>
      <c r="P365" s="49" t="str">
        <f t="shared" si="5"/>
        <v/>
      </c>
      <c r="Q365" s="51" t="str">
        <f>IF($C365&lt;&gt;"",SUMIFS($O$3:$O$401, $C$3:$C$401 ,$C365,$B$3:$B$401,"&lt;="&amp;Controle!$B$6),"")</f>
        <v/>
      </c>
      <c r="R365" s="51" t="str">
        <f>IF($D365&lt;&gt;"",SUMIFS($O$3:$O$401, $C$3:$C$401 ,$C365,$B$3:$B$401,"&lt;="&amp;Controle!$B$6,$F$3:$F$401,$F365),"")</f>
        <v/>
      </c>
      <c r="S365" s="51" t="str">
        <f>IF($D365&lt;&gt;"",SUMIFS($O$3:$O$401, $C$3:$C$401 ,$C365,$B$3:$B$401,"&lt;="&amp;'Controle D-1'!$B$6,$F$3:$F$401,$F365),"")</f>
        <v/>
      </c>
      <c r="T365" s="40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146"/>
      <c r="B366" s="149"/>
      <c r="C366" s="150"/>
      <c r="D366" s="150" t="str">
        <f>IF(ISTEXT(C366),VLOOKUP(C366,'Cadastro dos Ativos'!$A$2:$C$1000,3,0),"")</f>
        <v/>
      </c>
      <c r="E366" s="150"/>
      <c r="F366" s="150"/>
      <c r="G366" s="151"/>
      <c r="H366" s="46" t="str">
        <f>if($D366="Ações Americanas", HLOOKUP("PTAX",'Histórico'!$A$1:$EL$983,(MATCH(B366,'Histórico'!A:A))-1,""),
if($D366="Ações Europeias", HLOOKUP("EUR/BRL",'Histórico'!$A$1:$EL$983,(MATCH(B366,'Histórico'!A:A))-1,""),""))</f>
        <v/>
      </c>
      <c r="I366" s="150" t="str">
        <f t="array" ref="I366">IF(ISTEXT(C366),xlookup(C366,'Cadastro dos Ativos'!$A$2:$A$1000,'Cadastro dos Ativos'!$D$2:$D$1000),"")</f>
        <v/>
      </c>
      <c r="J366" s="150"/>
      <c r="K366" s="47" t="str">
        <f t="array" ref="K366">if(and(J366&lt;&gt;"",D366&lt;&gt;"Futuros"),
if(F366=Controle!$C$2, M366/xlookup(workday(B366,-1,Feriados!A:A),Controle!$B$10:$B$1000,Controle!$C$10:$C$1000),
if(F366=Controle!$F$2, M366/xlookup(workday(B366,-1,Feriados!A:A),Controle!$B$10:$B$1000,Controle!$F$10:$F$1000),
if(F366=Controle!$I$2, M366/xlookup(workday(B366,-1,Feriados!A:A),Controle!$B$10:$B$1000,Controle!$I$10:$I$1000),
if(F366=Controle!$L$2, M366/xlookup(workday(B366,-1,Feriados!A:A),Controle!$B$10:$B$1000,Controle!$L$10:$L$1000),
)))),
if(and(J366&lt;&gt;"",D366="Futuros"),
if(F366=Controle!$C$2, N366/xlookup(workday(B366,-1,Feriados!A:A),Controle!$B$10:$B$1000,Controle!$C$10:$C$1000),
if(F366=Controle!$F$2, N366/xlookup(workday(B366,-1,Feriados!A:A),Controle!$B$10:$B$1000,Controle!$F$10:$F$1000),
if(F366=Controle!$I$2, N366/xlookup(workday(B366,-1,Feriados!A:A),Controle!$B$10:$B$1000,Controle!$I$10:$I$1000),
if(F366=Controle!$L$2, N366/xlookup(workday(B366,-1,Feriados!A:A),Controle!$B$10:$B$1000,Controle!$L$10:$L$1000),
)))),""))</f>
        <v/>
      </c>
      <c r="L366" s="47" t="str">
        <f t="array" ref="L366">IF($J366&lt;&gt;"", IF($D366 = "Futuros" , $N366/xlookup(WORKDAY(B366,-1,Feriados!A:A),Controle!$B$10:$B$1000,Controle!$T$10:$T$1000) , $M366/xlookup(WORKDAY(B366,-1,Feriados!A:A),Controle!$B$10:$B$1000,Controle!$T$10:$T$1000)),"")</f>
        <v/>
      </c>
      <c r="M366" s="48" t="str">
        <f t="shared" si="4"/>
        <v/>
      </c>
      <c r="N366" s="48" t="str">
        <f>IFERROR(IF(D366="Futuros",
IF(LEFT(C366,3)="DI1",G366*O366,
IF(LEFT(C366,3)="ISP",G366*O366*HLOOKUP("PTAX",'Histórico'!$A$1:$EL$983,MATCH(B366,'Histórico'!A:A),FALSE)*50,
IF(LEFT(C366,3)="WDO",10*G366*O366*HLOOKUP("PTAX",'Histórico'!$A$1:$EL$983,MATCH(B366,'Histórico'!A:A),FALSE),
IF(LEFT(C366,3)="DOL",50*G366*O366,
IF(LEFT(C366,3)="EUR",G366*O366*50,
IF(LEFT(C366,3)="WEU",G366*O366*10,
IF(LEFT(C366,3)="IND",G366*O366,
IF(LEFT(C366,3)="WIN",G366*O366*0.2,
IF(LEFT(C366,3)="T10",G366*O366*1000*HLOOKUP("PTAX",'Histórico'!$A$1:$EL$983,MATCH(B366,'Histórico'!A:A),FALSE),
IF(LEFT(C366,3)="CCM",G366*O366*450,
IF(LEFT(C366,3)="SJC",G366*O366*HLOOKUP("PTAX",'Histórico'!$A$1:$EL$983,MATCH(B366,'Histórico'!A:A),FALSE)*450,
IF(LEFT(C366,3)="BGI",G366*O366*330,
IF(LEFT(C366,3)="OZ1",G366*O366*250,
IF(LEFT(C366,3)="CLP",G366*O366*25,
IF(LEFT(C366,3)="EUP", O366*10000*HLOOKUP("EUR/BRL",'Histórico'!$A$1:$EL$983,MATCH(B366,'Histórico'!A:A),FALSE),
IF(LEFT(C366,3)="JSE", G366*O366*0.4,
IF(LEFT(C366,3)="GBP", O366*10000*HLOOKUP("GBP/BRL",'Histórico'!$A$1:$FG$983,MATCH(B366,'Histórico'!A:A),FALSE),
IF(LEFT(C366,3)="JAP",O366*10000*HLOOKUP("PTAX",'Histórico'!$A$1:$FG$983,MATCH(B366,'Histórico'!A:A),FALSE),
IF(LEFT(C366,3)="CNH",O366*10000*HLOOKUP("PTAX",'Histórico'!$A$1:$FG$983,MATCH(B366,'Histórico'!A:A),FALSE),
IF(LEFT(C366,3)="AUS",O366*10000*HLOOKUP("PTAX",'Histórico'!$A$1:$FG$983,MATCH(B366,'Histórico'!A:A),FALSE),
IF(LEFT(C366,3)="CAN",O366*10000*HLOOKUP("PTAX",'Histórico'!$A$1:$FG$983,MATCH(B366,'Histórico'!A:A),FALSE),
IF(LEFT(C366,3)="GBR",O366*10000*HLOOKUP("GBP/BRL",'Histórico'!$A$1:$FG$983,MATCH(B366,'Histórico'!A:A),FALSE),
IF(LEFT(C366,3)="MEX",O366*10000*HLOOKUP("PTAX",'Histórico'!$A$1:$FG$983,MATCH(B366,'Histórico'!A:A),FALSE),
IF(LEFT(C366,3)="CHL",O366*10000*HLOOKUP("PTAX",'Histórico'!$A$1:$FG$983,MATCH(B366,'Histórico'!A:A),FALSE)
)))))))))))))))))))))))),""))</f>
        <v/>
      </c>
      <c r="O366" s="49" t="str">
        <f t="shared" si="2"/>
        <v/>
      </c>
      <c r="P366" s="49" t="str">
        <f t="shared" si="5"/>
        <v/>
      </c>
      <c r="Q366" s="51" t="str">
        <f>IF($C366&lt;&gt;"",SUMIFS($O$3:$O$401, $C$3:$C$401 ,$C366,$B$3:$B$401,"&lt;="&amp;Controle!$B$6),"")</f>
        <v/>
      </c>
      <c r="R366" s="51" t="str">
        <f>IF($D366&lt;&gt;"",SUMIFS($O$3:$O$401, $C$3:$C$401 ,$C366,$B$3:$B$401,"&lt;="&amp;Controle!$B$6,$F$3:$F$401,$F366),"")</f>
        <v/>
      </c>
      <c r="S366" s="51" t="str">
        <f>IF($D366&lt;&gt;"",SUMIFS($O$3:$O$401, $C$3:$C$401 ,$C366,$B$3:$B$401,"&lt;="&amp;'Controle D-1'!$B$6,$F$3:$F$401,$F366),"")</f>
        <v/>
      </c>
      <c r="T366" s="40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146"/>
      <c r="B367" s="149"/>
      <c r="C367" s="150"/>
      <c r="D367" s="150" t="str">
        <f>IF(ISTEXT(C367),VLOOKUP(C367,'Cadastro dos Ativos'!$A$2:$C$1000,3,0),"")</f>
        <v/>
      </c>
      <c r="E367" s="150"/>
      <c r="F367" s="150"/>
      <c r="G367" s="151"/>
      <c r="H367" s="101" t="str">
        <f>if($D367="Ações Americanas", HLOOKUP("PTAX",'Histórico'!$A$1:$EL$983,(MATCH(B367,'Histórico'!A:A))-1,""),
if($D367="Ações Europeias", HLOOKUP("EUR/BRL",'Histórico'!$A$1:$EL$983,(MATCH(B367,'Histórico'!A:A))-1,""),""))</f>
        <v/>
      </c>
      <c r="I367" s="150" t="str">
        <f t="array" ref="I367">IF(ISTEXT(C367),xlookup(C367,'Cadastro dos Ativos'!$A$2:$A$1000,'Cadastro dos Ativos'!$D$2:$D$1000),"")</f>
        <v/>
      </c>
      <c r="J367" s="150"/>
      <c r="K367" s="47" t="str">
        <f t="array" ref="K367">if(and(J367&lt;&gt;"",D367&lt;&gt;"Futuros"),
if(F367=Controle!$C$2, M367/xlookup(workday(B367,-1,Feriados!A:A),Controle!$B$10:$B$1000,Controle!$C$10:$C$1000),
if(F367=Controle!$F$2, M367/xlookup(workday(B367,-1,Feriados!A:A),Controle!$B$10:$B$1000,Controle!$F$10:$F$1000),
if(F367=Controle!$I$2, M367/xlookup(workday(B367,-1,Feriados!A:A),Controle!$B$10:$B$1000,Controle!$I$10:$I$1000),
if(F367=Controle!$L$2, M367/xlookup(workday(B367,-1,Feriados!A:A),Controle!$B$10:$B$1000,Controle!$L$10:$L$1000),
)))),
if(and(J367&lt;&gt;"",D367="Futuros"),
if(F367=Controle!$C$2, N367/xlookup(workday(B367,-1,Feriados!A:A),Controle!$B$10:$B$1000,Controle!$C$10:$C$1000),
if(F367=Controle!$F$2, N367/xlookup(workday(B367,-1,Feriados!A:A),Controle!$B$10:$B$1000,Controle!$F$10:$F$1000),
if(F367=Controle!$I$2, N367/xlookup(workday(B367,-1,Feriados!A:A),Controle!$B$10:$B$1000,Controle!$I$10:$I$1000),
if(F367=Controle!$L$2, N367/xlookup(workday(B367,-1,Feriados!A:A),Controle!$B$10:$B$1000,Controle!$L$10:$L$1000),
)))),""))</f>
        <v/>
      </c>
      <c r="L367" s="47" t="str">
        <f t="array" ref="L367">IF($J367&lt;&gt;"", IF($D367 = "Futuros" , $N367/xlookup(WORKDAY(B367,-1,Feriados!A:A),Controle!$B$10:$B$1000,Controle!$T$10:$T$1000) , $M367/xlookup(WORKDAY(B367,-1,Feriados!A:A),Controle!$B$10:$B$1000,Controle!$T$10:$T$1000)),"")</f>
        <v/>
      </c>
      <c r="M367" s="48" t="str">
        <f t="shared" si="4"/>
        <v/>
      </c>
      <c r="N367" s="48" t="str">
        <f>IFERROR(IF(D367="Futuros",
IF(LEFT(C367,3)="DI1",G367*O367,
IF(LEFT(C367,3)="ISP",G367*O367*HLOOKUP("PTAX",'Histórico'!$A$1:$EL$983,MATCH(B367,'Histórico'!A:A),FALSE)*50,
IF(LEFT(C367,3)="WDO",10*G367*O367*HLOOKUP("PTAX",'Histórico'!$A$1:$EL$983,MATCH(B367,'Histórico'!A:A),FALSE),
IF(LEFT(C367,3)="DOL",50*G367*O367,
IF(LEFT(C367,3)="EUR",G367*O367*50,
IF(LEFT(C367,3)="WEU",G367*O367*10,
IF(LEFT(C367,3)="IND",G367*O367,
IF(LEFT(C367,3)="WIN",G367*O367*0.2,
IF(LEFT(C367,3)="T10",G367*O367*1000*HLOOKUP("PTAX",'Histórico'!$A$1:$EL$983,MATCH(B367,'Histórico'!A:A),FALSE),
IF(LEFT(C367,3)="CCM",G367*O367*450,
IF(LEFT(C367,3)="SJC",G367*O367*HLOOKUP("PTAX",'Histórico'!$A$1:$EL$983,MATCH(B367,'Histórico'!A:A),FALSE)*450,
IF(LEFT(C367,3)="BGI",G367*O367*330,
IF(LEFT(C367,3)="OZ1",G367*O367*250,
IF(LEFT(C367,3)="CLP",G367*O367*25,
IF(LEFT(C367,3)="EUP", O367*10000*HLOOKUP("EUR/BRL",'Histórico'!$A$1:$EL$983,MATCH(B367,'Histórico'!A:A),FALSE),
IF(LEFT(C367,3)="JSE", G367*O367*0.4,
IF(LEFT(C367,3)="GBP", O367*10000*HLOOKUP("GBP/BRL",'Histórico'!$A$1:$FG$983,MATCH(B367,'Histórico'!A:A),FALSE),
IF(LEFT(C367,3)="JAP",O367*10000*HLOOKUP("PTAX",'Histórico'!$A$1:$FG$983,MATCH(B367,'Histórico'!A:A),FALSE),
IF(LEFT(C367,3)="CNH",O367*10000*HLOOKUP("PTAX",'Histórico'!$A$1:$FG$983,MATCH(B367,'Histórico'!A:A),FALSE),
IF(LEFT(C367,3)="AUS",O367*10000*HLOOKUP("PTAX",'Histórico'!$A$1:$FG$983,MATCH(B367,'Histórico'!A:A),FALSE),
IF(LEFT(C367,3)="CAN",O367*10000*HLOOKUP("PTAX",'Histórico'!$A$1:$FG$983,MATCH(B367,'Histórico'!A:A),FALSE),
IF(LEFT(C367,3)="GBR",O367*10000*HLOOKUP("GBP/BRL",'Histórico'!$A$1:$FG$983,MATCH(B367,'Histórico'!A:A),FALSE),
IF(LEFT(C367,3)="MEX",O367*10000*HLOOKUP("PTAX",'Histórico'!$A$1:$FG$983,MATCH(B367,'Histórico'!A:A),FALSE),
IF(LEFT(C367,3)="CHL",O367*10000*HLOOKUP("PTAX",'Histórico'!$A$1:$FG$983,MATCH(B367,'Histórico'!A:A),FALSE)
)))))))))))))))))))))))),""))</f>
        <v/>
      </c>
      <c r="O367" s="49" t="str">
        <f t="shared" si="2"/>
        <v/>
      </c>
      <c r="P367" s="49" t="str">
        <f t="shared" si="5"/>
        <v/>
      </c>
      <c r="Q367" s="51" t="str">
        <f>IF($C367&lt;&gt;"",SUMIFS($O$3:$O$401, $C$3:$C$401 ,$C367,$B$3:$B$401,"&lt;="&amp;Controle!$B$6),"")</f>
        <v/>
      </c>
      <c r="R367" s="51" t="str">
        <f>IF($D367&lt;&gt;"",SUMIFS($O$3:$O$401, $C$3:$C$401 ,$C367,$B$3:$B$401,"&lt;="&amp;Controle!$B$6,$F$3:$F$401,$F367),"")</f>
        <v/>
      </c>
      <c r="S367" s="51" t="str">
        <f>IF($D367&lt;&gt;"",SUMIFS($O$3:$O$401, $C$3:$C$401 ,$C367,$B$3:$B$401,"&lt;="&amp;'Controle D-1'!$B$6,$F$3:$F$401,$F367),"")</f>
        <v/>
      </c>
      <c r="T367" s="40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146"/>
      <c r="B368" s="149"/>
      <c r="C368" s="150"/>
      <c r="D368" s="150" t="str">
        <f>IF(ISTEXT(C368),VLOOKUP(C368,'Cadastro dos Ativos'!$A$2:$C$1000,3,0),"")</f>
        <v/>
      </c>
      <c r="E368" s="150"/>
      <c r="F368" s="150"/>
      <c r="G368" s="151"/>
      <c r="H368" s="46" t="str">
        <f>if($D368="Ações Americanas", HLOOKUP("PTAX",'Histórico'!$A$1:$EL$983,(MATCH(B368,'Histórico'!A:A))-1,""),
if($D368="Ações Europeias", HLOOKUP("EUR/BRL",'Histórico'!$A$1:$EL$983,(MATCH(B368,'Histórico'!A:A))-1,""),""))</f>
        <v/>
      </c>
      <c r="I368" s="150" t="str">
        <f t="array" ref="I368">IF(ISTEXT(C368),xlookup(C368,'Cadastro dos Ativos'!$A$2:$A$1000,'Cadastro dos Ativos'!$D$2:$D$1000),"")</f>
        <v/>
      </c>
      <c r="J368" s="150"/>
      <c r="K368" s="47" t="str">
        <f t="array" ref="K368">if(and(J368&lt;&gt;"",D368&lt;&gt;"Futuros"),
if(F368=Controle!$C$2, M368/xlookup(workday(B368,-1,Feriados!A:A),Controle!$B$10:$B$1000,Controle!$C$10:$C$1000),
if(F368=Controle!$F$2, M368/xlookup(workday(B368,-1,Feriados!A:A),Controle!$B$10:$B$1000,Controle!$F$10:$F$1000),
if(F368=Controle!$I$2, M368/xlookup(workday(B368,-1,Feriados!A:A),Controle!$B$10:$B$1000,Controle!$I$10:$I$1000),
if(F368=Controle!$L$2, M368/xlookup(workday(B368,-1,Feriados!A:A),Controle!$B$10:$B$1000,Controle!$L$10:$L$1000),
)))),
if(and(J368&lt;&gt;"",D368="Futuros"),
if(F368=Controle!$C$2, N368/xlookup(workday(B368,-1,Feriados!A:A),Controle!$B$10:$B$1000,Controle!$C$10:$C$1000),
if(F368=Controle!$F$2, N368/xlookup(workday(B368,-1,Feriados!A:A),Controle!$B$10:$B$1000,Controle!$F$10:$F$1000),
if(F368=Controle!$I$2, N368/xlookup(workday(B368,-1,Feriados!A:A),Controle!$B$10:$B$1000,Controle!$I$10:$I$1000),
if(F368=Controle!$L$2, N368/xlookup(workday(B368,-1,Feriados!A:A),Controle!$B$10:$B$1000,Controle!$L$10:$L$1000),
)))),""))</f>
        <v/>
      </c>
      <c r="L368" s="47" t="str">
        <f t="array" ref="L368">IF($J368&lt;&gt;"", IF($D368 = "Futuros" , $N368/xlookup(WORKDAY(B368,-1,Feriados!A:A),Controle!$B$10:$B$1000,Controle!$T$10:$T$1000) , $M368/xlookup(WORKDAY(B368,-1,Feriados!A:A),Controle!$B$10:$B$1000,Controle!$T$10:$T$1000)),"")</f>
        <v/>
      </c>
      <c r="M368" s="48" t="str">
        <f t="shared" si="4"/>
        <v/>
      </c>
      <c r="N368" s="48" t="str">
        <f>IFERROR(IF(D368="Futuros",
IF(LEFT(C368,3)="DI1",G368*O368,
IF(LEFT(C368,3)="ISP",G368*O368*HLOOKUP("PTAX",'Histórico'!$A$1:$EL$983,MATCH(B368,'Histórico'!A:A),FALSE)*50,
IF(LEFT(C368,3)="WDO",10*G368*O368*HLOOKUP("PTAX",'Histórico'!$A$1:$EL$983,MATCH(B368,'Histórico'!A:A),FALSE),
IF(LEFT(C368,3)="DOL",50*G368*O368,
IF(LEFT(C368,3)="EUR",G368*O368*50,
IF(LEFT(C368,3)="WEU",G368*O368*10,
IF(LEFT(C368,3)="IND",G368*O368,
IF(LEFT(C368,3)="WIN",G368*O368*0.2,
IF(LEFT(C368,3)="T10",G368*O368*1000*HLOOKUP("PTAX",'Histórico'!$A$1:$EL$983,MATCH(B368,'Histórico'!A:A),FALSE),
IF(LEFT(C368,3)="CCM",G368*O368*450,
IF(LEFT(C368,3)="SJC",G368*O368*HLOOKUP("PTAX",'Histórico'!$A$1:$EL$983,MATCH(B368,'Histórico'!A:A),FALSE)*450,
IF(LEFT(C368,3)="BGI",G368*O368*330,
IF(LEFT(C368,3)="OZ1",G368*O368*250,
IF(LEFT(C368,3)="CLP",G368*O368*25,
IF(LEFT(C368,3)="EUP", O368*10000*HLOOKUP("EUR/BRL",'Histórico'!$A$1:$EL$983,MATCH(B368,'Histórico'!A:A),FALSE),
IF(LEFT(C368,3)="JSE", G368*O368*0.4,
IF(LEFT(C368,3)="GBP", O368*10000*HLOOKUP("GBP/BRL",'Histórico'!$A$1:$FG$983,MATCH(B368,'Histórico'!A:A),FALSE),
IF(LEFT(C368,3)="JAP",O368*10000*HLOOKUP("PTAX",'Histórico'!$A$1:$FG$983,MATCH(B368,'Histórico'!A:A),FALSE),
IF(LEFT(C368,3)="CNH",O368*10000*HLOOKUP("PTAX",'Histórico'!$A$1:$FG$983,MATCH(B368,'Histórico'!A:A),FALSE),
IF(LEFT(C368,3)="AUS",O368*10000*HLOOKUP("PTAX",'Histórico'!$A$1:$FG$983,MATCH(B368,'Histórico'!A:A),FALSE),
IF(LEFT(C368,3)="CAN",O368*10000*HLOOKUP("PTAX",'Histórico'!$A$1:$FG$983,MATCH(B368,'Histórico'!A:A),FALSE),
IF(LEFT(C368,3)="GBR",O368*10000*HLOOKUP("GBP/BRL",'Histórico'!$A$1:$FG$983,MATCH(B368,'Histórico'!A:A),FALSE),
IF(LEFT(C368,3)="MEX",O368*10000*HLOOKUP("PTAX",'Histórico'!$A$1:$FG$983,MATCH(B368,'Histórico'!A:A),FALSE),
IF(LEFT(C368,3)="CHL",O368*10000*HLOOKUP("PTAX",'Histórico'!$A$1:$FG$983,MATCH(B368,'Histórico'!A:A),FALSE)
)))))))))))))))))))))))),""))</f>
        <v/>
      </c>
      <c r="O368" s="49" t="str">
        <f t="shared" si="2"/>
        <v/>
      </c>
      <c r="P368" s="49" t="str">
        <f t="shared" si="5"/>
        <v/>
      </c>
      <c r="Q368" s="51" t="str">
        <f>IF($C368&lt;&gt;"",SUMIFS($O$3:$O$401, $C$3:$C$401 ,$C368,$B$3:$B$401,"&lt;="&amp;Controle!$B$6),"")</f>
        <v/>
      </c>
      <c r="R368" s="51" t="str">
        <f>IF($D368&lt;&gt;"",SUMIFS($O$3:$O$401, $C$3:$C$401 ,$C368,$B$3:$B$401,"&lt;="&amp;Controle!$B$6,$F$3:$F$401,$F368),"")</f>
        <v/>
      </c>
      <c r="S368" s="51" t="str">
        <f>IF($D368&lt;&gt;"",SUMIFS($O$3:$O$401, $C$3:$C$401 ,$C368,$B$3:$B$401,"&lt;="&amp;'Controle D-1'!$B$6,$F$3:$F$401,$F368),"")</f>
        <v/>
      </c>
      <c r="T368" s="40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146"/>
      <c r="B369" s="149"/>
      <c r="C369" s="150"/>
      <c r="D369" s="150" t="str">
        <f>IF(ISTEXT(C369),VLOOKUP(C369,'Cadastro dos Ativos'!$A$2:$C$1000,3,0),"")</f>
        <v/>
      </c>
      <c r="E369" s="150"/>
      <c r="F369" s="150"/>
      <c r="G369" s="151"/>
      <c r="H369" s="101" t="str">
        <f>if($D369="Ações Americanas", HLOOKUP("PTAX",'Histórico'!$A$1:$EL$983,(MATCH(B369,'Histórico'!A:A))-1,""),
if($D369="Ações Europeias", HLOOKUP("EUR/BRL",'Histórico'!$A$1:$EL$983,(MATCH(B369,'Histórico'!A:A))-1,""),""))</f>
        <v/>
      </c>
      <c r="I369" s="150" t="str">
        <f t="array" ref="I369">IF(ISTEXT(C369),xlookup(C369,'Cadastro dos Ativos'!$A$2:$A$1000,'Cadastro dos Ativos'!$D$2:$D$1000),"")</f>
        <v/>
      </c>
      <c r="J369" s="150"/>
      <c r="K369" s="47" t="str">
        <f t="array" ref="K369">if(and(J369&lt;&gt;"",D369&lt;&gt;"Futuros"),
if(F369=Controle!$C$2, M369/xlookup(workday(B369,-1,Feriados!A:A),Controle!$B$10:$B$1000,Controle!$C$10:$C$1000),
if(F369=Controle!$F$2, M369/xlookup(workday(B369,-1,Feriados!A:A),Controle!$B$10:$B$1000,Controle!$F$10:$F$1000),
if(F369=Controle!$I$2, M369/xlookup(workday(B369,-1,Feriados!A:A),Controle!$B$10:$B$1000,Controle!$I$10:$I$1000),
if(F369=Controle!$L$2, M369/xlookup(workday(B369,-1,Feriados!A:A),Controle!$B$10:$B$1000,Controle!$L$10:$L$1000),
)))),
if(and(J369&lt;&gt;"",D369="Futuros"),
if(F369=Controle!$C$2, N369/xlookup(workday(B369,-1,Feriados!A:A),Controle!$B$10:$B$1000,Controle!$C$10:$C$1000),
if(F369=Controle!$F$2, N369/xlookup(workday(B369,-1,Feriados!A:A),Controle!$B$10:$B$1000,Controle!$F$10:$F$1000),
if(F369=Controle!$I$2, N369/xlookup(workday(B369,-1,Feriados!A:A),Controle!$B$10:$B$1000,Controle!$I$10:$I$1000),
if(F369=Controle!$L$2, N369/xlookup(workday(B369,-1,Feriados!A:A),Controle!$B$10:$B$1000,Controle!$L$10:$L$1000),
)))),""))</f>
        <v/>
      </c>
      <c r="L369" s="47" t="str">
        <f t="array" ref="L369">IF($J369&lt;&gt;"", IF($D369 = "Futuros" , $N369/xlookup(WORKDAY(B369,-1,Feriados!A:A),Controle!$B$10:$B$1000,Controle!$T$10:$T$1000) , $M369/xlookup(WORKDAY(B369,-1,Feriados!A:A),Controle!$B$10:$B$1000,Controle!$T$10:$T$1000)),"")</f>
        <v/>
      </c>
      <c r="M369" s="48" t="str">
        <f t="shared" si="4"/>
        <v/>
      </c>
      <c r="N369" s="48" t="str">
        <f>IFERROR(IF(D369="Futuros",
IF(LEFT(C369,3)="DI1",G369*O369,
IF(LEFT(C369,3)="ISP",G369*O369*HLOOKUP("PTAX",'Histórico'!$A$1:$EL$983,MATCH(B369,'Histórico'!A:A),FALSE)*50,
IF(LEFT(C369,3)="WDO",10*G369*O369*HLOOKUP("PTAX",'Histórico'!$A$1:$EL$983,MATCH(B369,'Histórico'!A:A),FALSE),
IF(LEFT(C369,3)="DOL",50*G369*O369,
IF(LEFT(C369,3)="EUR",G369*O369*50,
IF(LEFT(C369,3)="WEU",G369*O369*10,
IF(LEFT(C369,3)="IND",G369*O369,
IF(LEFT(C369,3)="WIN",G369*O369*0.2,
IF(LEFT(C369,3)="T10",G369*O369*1000*HLOOKUP("PTAX",'Histórico'!$A$1:$EL$983,MATCH(B369,'Histórico'!A:A),FALSE),
IF(LEFT(C369,3)="CCM",G369*O369*450,
IF(LEFT(C369,3)="SJC",G369*O369*HLOOKUP("PTAX",'Histórico'!$A$1:$EL$983,MATCH(B369,'Histórico'!A:A),FALSE)*450,
IF(LEFT(C369,3)="BGI",G369*O369*330,
IF(LEFT(C369,3)="OZ1",G369*O369*250,
IF(LEFT(C369,3)="CLP",G369*O369*25,
IF(LEFT(C369,3)="EUP", O369*10000*HLOOKUP("EUR/BRL",'Histórico'!$A$1:$EL$983,MATCH(B369,'Histórico'!A:A),FALSE),
IF(LEFT(C369,3)="JSE", G369*O369*0.4,
IF(LEFT(C369,3)="GBP", O369*10000*HLOOKUP("GBP/BRL",'Histórico'!$A$1:$FG$983,MATCH(B369,'Histórico'!A:A),FALSE),
IF(LEFT(C369,3)="JAP",O369*10000*HLOOKUP("PTAX",'Histórico'!$A$1:$FG$983,MATCH(B369,'Histórico'!A:A),FALSE),
IF(LEFT(C369,3)="CNH",O369*10000*HLOOKUP("PTAX",'Histórico'!$A$1:$FG$983,MATCH(B369,'Histórico'!A:A),FALSE),
IF(LEFT(C369,3)="AUS",O369*10000*HLOOKUP("PTAX",'Histórico'!$A$1:$FG$983,MATCH(B369,'Histórico'!A:A),FALSE),
IF(LEFT(C369,3)="CAN",O369*10000*HLOOKUP("PTAX",'Histórico'!$A$1:$FG$983,MATCH(B369,'Histórico'!A:A),FALSE),
IF(LEFT(C369,3)="GBR",O369*10000*HLOOKUP("GBP/BRL",'Histórico'!$A$1:$FG$983,MATCH(B369,'Histórico'!A:A),FALSE),
IF(LEFT(C369,3)="MEX",O369*10000*HLOOKUP("PTAX",'Histórico'!$A$1:$FG$983,MATCH(B369,'Histórico'!A:A),FALSE),
IF(LEFT(C369,3)="CHL",O369*10000*HLOOKUP("PTAX",'Histórico'!$A$1:$FG$983,MATCH(B369,'Histórico'!A:A),FALSE)
)))))))))))))))))))))))),""))</f>
        <v/>
      </c>
      <c r="O369" s="49" t="str">
        <f t="shared" si="2"/>
        <v/>
      </c>
      <c r="P369" s="49" t="str">
        <f t="shared" si="5"/>
        <v/>
      </c>
      <c r="Q369" s="51" t="str">
        <f>IF($C369&lt;&gt;"",SUMIFS($O$3:$O$401, $C$3:$C$401 ,$C369,$B$3:$B$401,"&lt;="&amp;Controle!$B$6),"")</f>
        <v/>
      </c>
      <c r="R369" s="51" t="str">
        <f>IF($D369&lt;&gt;"",SUMIFS($O$3:$O$401, $C$3:$C$401 ,$C369,$B$3:$B$401,"&lt;="&amp;Controle!$B$6,$F$3:$F$401,$F369),"")</f>
        <v/>
      </c>
      <c r="S369" s="51" t="str">
        <f>IF($D369&lt;&gt;"",SUMIFS($O$3:$O$401, $C$3:$C$401 ,$C369,$B$3:$B$401,"&lt;="&amp;'Controle D-1'!$B$6,$F$3:$F$401,$F369),"")</f>
        <v/>
      </c>
      <c r="T369" s="40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146"/>
      <c r="B370" s="149"/>
      <c r="C370" s="150"/>
      <c r="D370" s="150" t="str">
        <f>IF(ISTEXT(C370),VLOOKUP(C370,'Cadastro dos Ativos'!$A$2:$C$1000,3,0),"")</f>
        <v/>
      </c>
      <c r="E370" s="150"/>
      <c r="F370" s="150"/>
      <c r="G370" s="151"/>
      <c r="H370" s="46" t="str">
        <f>if($D370="Ações Americanas", HLOOKUP("PTAX",'Histórico'!$A$1:$EL$983,(MATCH(B370,'Histórico'!A:A))-1,""),
if($D370="Ações Europeias", HLOOKUP("EUR/BRL",'Histórico'!$A$1:$EL$983,(MATCH(B370,'Histórico'!A:A))-1,""),""))</f>
        <v/>
      </c>
      <c r="I370" s="150" t="str">
        <f t="array" ref="I370">IF(ISTEXT(C370),xlookup(C370,'Cadastro dos Ativos'!$A$2:$A$1000,'Cadastro dos Ativos'!$D$2:$D$1000),"")</f>
        <v/>
      </c>
      <c r="J370" s="150"/>
      <c r="K370" s="47" t="str">
        <f t="array" ref="K370">if(and(J370&lt;&gt;"",D370&lt;&gt;"Futuros"),
if(F370=Controle!$C$2, M370/xlookup(workday(B370,-1,Feriados!A:A),Controle!$B$10:$B$1000,Controle!$C$10:$C$1000),
if(F370=Controle!$F$2, M370/xlookup(workday(B370,-1,Feriados!A:A),Controle!$B$10:$B$1000,Controle!$F$10:$F$1000),
if(F370=Controle!$I$2, M370/xlookup(workday(B370,-1,Feriados!A:A),Controle!$B$10:$B$1000,Controle!$I$10:$I$1000),
if(F370=Controle!$L$2, M370/xlookup(workday(B370,-1,Feriados!A:A),Controle!$B$10:$B$1000,Controle!$L$10:$L$1000),
)))),
if(and(J370&lt;&gt;"",D370="Futuros"),
if(F370=Controle!$C$2, N370/xlookup(workday(B370,-1,Feriados!A:A),Controle!$B$10:$B$1000,Controle!$C$10:$C$1000),
if(F370=Controle!$F$2, N370/xlookup(workday(B370,-1,Feriados!A:A),Controle!$B$10:$B$1000,Controle!$F$10:$F$1000),
if(F370=Controle!$I$2, N370/xlookup(workday(B370,-1,Feriados!A:A),Controle!$B$10:$B$1000,Controle!$I$10:$I$1000),
if(F370=Controle!$L$2, N370/xlookup(workday(B370,-1,Feriados!A:A),Controle!$B$10:$B$1000,Controle!$L$10:$L$1000),
)))),""))</f>
        <v/>
      </c>
      <c r="L370" s="47" t="str">
        <f t="array" ref="L370">IF($J370&lt;&gt;"", IF($D370 = "Futuros" , $N370/xlookup(WORKDAY(B370,-1,Feriados!A:A),Controle!$B$10:$B$1000,Controle!$T$10:$T$1000) , $M370/xlookup(WORKDAY(B370,-1,Feriados!A:A),Controle!$B$10:$B$1000,Controle!$T$10:$T$1000)),"")</f>
        <v/>
      </c>
      <c r="M370" s="48" t="str">
        <f t="shared" si="4"/>
        <v/>
      </c>
      <c r="N370" s="48" t="str">
        <f>IFERROR(IF(D370="Futuros",
IF(LEFT(C370,3)="DI1",G370*O370,
IF(LEFT(C370,3)="ISP",G370*O370*HLOOKUP("PTAX",'Histórico'!$A$1:$EL$983,MATCH(B370,'Histórico'!A:A),FALSE)*50,
IF(LEFT(C370,3)="WDO",10*G370*O370*HLOOKUP("PTAX",'Histórico'!$A$1:$EL$983,MATCH(B370,'Histórico'!A:A),FALSE),
IF(LEFT(C370,3)="DOL",50*G370*O370,
IF(LEFT(C370,3)="EUR",G370*O370*50,
IF(LEFT(C370,3)="WEU",G370*O370*10,
IF(LEFT(C370,3)="IND",G370*O370,
IF(LEFT(C370,3)="WIN",G370*O370*0.2,
IF(LEFT(C370,3)="T10",G370*O370*1000*HLOOKUP("PTAX",'Histórico'!$A$1:$EL$983,MATCH(B370,'Histórico'!A:A),FALSE),
IF(LEFT(C370,3)="CCM",G370*O370*450,
IF(LEFT(C370,3)="SJC",G370*O370*HLOOKUP("PTAX",'Histórico'!$A$1:$EL$983,MATCH(B370,'Histórico'!A:A),FALSE)*450,
IF(LEFT(C370,3)="BGI",G370*O370*330,
IF(LEFT(C370,3)="OZ1",G370*O370*250,
IF(LEFT(C370,3)="CLP",G370*O370*25,
IF(LEFT(C370,3)="EUP", O370*10000*HLOOKUP("EUR/BRL",'Histórico'!$A$1:$EL$983,MATCH(B370,'Histórico'!A:A),FALSE),
IF(LEFT(C370,3)="JSE", G370*O370*0.4,
IF(LEFT(C370,3)="GBP", O370*10000*HLOOKUP("GBP/BRL",'Histórico'!$A$1:$FG$983,MATCH(B370,'Histórico'!A:A),FALSE),
IF(LEFT(C370,3)="JAP",O370*10000*HLOOKUP("PTAX",'Histórico'!$A$1:$FG$983,MATCH(B370,'Histórico'!A:A),FALSE),
IF(LEFT(C370,3)="CNH",O370*10000*HLOOKUP("PTAX",'Histórico'!$A$1:$FG$983,MATCH(B370,'Histórico'!A:A),FALSE),
IF(LEFT(C370,3)="AUS",O370*10000*HLOOKUP("PTAX",'Histórico'!$A$1:$FG$983,MATCH(B370,'Histórico'!A:A),FALSE),
IF(LEFT(C370,3)="CAN",O370*10000*HLOOKUP("PTAX",'Histórico'!$A$1:$FG$983,MATCH(B370,'Histórico'!A:A),FALSE),
IF(LEFT(C370,3)="GBR",O370*10000*HLOOKUP("GBP/BRL",'Histórico'!$A$1:$FG$983,MATCH(B370,'Histórico'!A:A),FALSE),
IF(LEFT(C370,3)="MEX",O370*10000*HLOOKUP("PTAX",'Histórico'!$A$1:$FG$983,MATCH(B370,'Histórico'!A:A),FALSE),
IF(LEFT(C370,3)="CHL",O370*10000*HLOOKUP("PTAX",'Histórico'!$A$1:$FG$983,MATCH(B370,'Histórico'!A:A),FALSE)
)))))))))))))))))))))))),""))</f>
        <v/>
      </c>
      <c r="O370" s="49" t="str">
        <f t="shared" si="2"/>
        <v/>
      </c>
      <c r="P370" s="49" t="str">
        <f t="shared" si="5"/>
        <v/>
      </c>
      <c r="Q370" s="51" t="str">
        <f>IF($C370&lt;&gt;"",SUMIFS($O$3:$O$401, $C$3:$C$401 ,$C370,$B$3:$B$401,"&lt;="&amp;Controle!$B$6),"")</f>
        <v/>
      </c>
      <c r="R370" s="51" t="str">
        <f>IF($D370&lt;&gt;"",SUMIFS($O$3:$O$401, $C$3:$C$401 ,$C370,$B$3:$B$401,"&lt;="&amp;Controle!$B$6,$F$3:$F$401,$F370),"")</f>
        <v/>
      </c>
      <c r="S370" s="51" t="str">
        <f>IF($D370&lt;&gt;"",SUMIFS($O$3:$O$401, $C$3:$C$401 ,$C370,$B$3:$B$401,"&lt;="&amp;'Controle D-1'!$B$6,$F$3:$F$401,$F370),"")</f>
        <v/>
      </c>
      <c r="T370" s="40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146"/>
      <c r="B371" s="149"/>
      <c r="C371" s="150"/>
      <c r="D371" s="150" t="str">
        <f>IF(ISTEXT(C371),VLOOKUP(C371,'Cadastro dos Ativos'!$A$2:$C$1000,3,0),"")</f>
        <v/>
      </c>
      <c r="E371" s="150"/>
      <c r="F371" s="150"/>
      <c r="G371" s="151"/>
      <c r="H371" s="101" t="str">
        <f>if($D371="Ações Americanas", HLOOKUP("PTAX",'Histórico'!$A$1:$EL$983,(MATCH(B371,'Histórico'!A:A))-1,""),
if($D371="Ações Europeias", HLOOKUP("EUR/BRL",'Histórico'!$A$1:$EL$983,(MATCH(B371,'Histórico'!A:A))-1,""),""))</f>
        <v/>
      </c>
      <c r="I371" s="150" t="str">
        <f t="array" ref="I371">IF(ISTEXT(C371),xlookup(C371,'Cadastro dos Ativos'!$A$2:$A$1000,'Cadastro dos Ativos'!$D$2:$D$1000),"")</f>
        <v/>
      </c>
      <c r="J371" s="150"/>
      <c r="K371" s="47" t="str">
        <f t="array" ref="K371">if(and(J371&lt;&gt;"",D371&lt;&gt;"Futuros"),
if(F371=Controle!$C$2, M371/xlookup(workday(B371,-1,Feriados!A:A),Controle!$B$10:$B$1000,Controle!$C$10:$C$1000),
if(F371=Controle!$F$2, M371/xlookup(workday(B371,-1,Feriados!A:A),Controle!$B$10:$B$1000,Controle!$F$10:$F$1000),
if(F371=Controle!$I$2, M371/xlookup(workday(B371,-1,Feriados!A:A),Controle!$B$10:$B$1000,Controle!$I$10:$I$1000),
if(F371=Controle!$L$2, M371/xlookup(workday(B371,-1,Feriados!A:A),Controle!$B$10:$B$1000,Controle!$L$10:$L$1000),
)))),
if(and(J371&lt;&gt;"",D371="Futuros"),
if(F371=Controle!$C$2, N371/xlookup(workday(B371,-1,Feriados!A:A),Controle!$B$10:$B$1000,Controle!$C$10:$C$1000),
if(F371=Controle!$F$2, N371/xlookup(workday(B371,-1,Feriados!A:A),Controle!$B$10:$B$1000,Controle!$F$10:$F$1000),
if(F371=Controle!$I$2, N371/xlookup(workday(B371,-1,Feriados!A:A),Controle!$B$10:$B$1000,Controle!$I$10:$I$1000),
if(F371=Controle!$L$2, N371/xlookup(workday(B371,-1,Feriados!A:A),Controle!$B$10:$B$1000,Controle!$L$10:$L$1000),
)))),""))</f>
        <v/>
      </c>
      <c r="L371" s="47" t="str">
        <f t="array" ref="L371">IF($J371&lt;&gt;"", IF($D371 = "Futuros" , $N371/xlookup(WORKDAY(B371,-1,Feriados!A:A),Controle!$B$10:$B$1000,Controle!$T$10:$T$1000) , $M371/xlookup(WORKDAY(B371,-1,Feriados!A:A),Controle!$B$10:$B$1000,Controle!$T$10:$T$1000)),"")</f>
        <v/>
      </c>
      <c r="M371" s="48" t="str">
        <f t="shared" si="4"/>
        <v/>
      </c>
      <c r="N371" s="48" t="str">
        <f>IFERROR(IF(D371="Futuros",
IF(LEFT(C371,3)="DI1",G371*O371,
IF(LEFT(C371,3)="ISP",G371*O371*HLOOKUP("PTAX",'Histórico'!$A$1:$EL$983,MATCH(B371,'Histórico'!A:A),FALSE)*50,
IF(LEFT(C371,3)="WDO",10*G371*O371*HLOOKUP("PTAX",'Histórico'!$A$1:$EL$983,MATCH(B371,'Histórico'!A:A),FALSE),
IF(LEFT(C371,3)="DOL",50*G371*O371,
IF(LEFT(C371,3)="EUR",G371*O371*50,
IF(LEFT(C371,3)="WEU",G371*O371*10,
IF(LEFT(C371,3)="IND",G371*O371,
IF(LEFT(C371,3)="WIN",G371*O371*0.2,
IF(LEFT(C371,3)="T10",G371*O371*1000*HLOOKUP("PTAX",'Histórico'!$A$1:$EL$983,MATCH(B371,'Histórico'!A:A),FALSE),
IF(LEFT(C371,3)="CCM",G371*O371*450,
IF(LEFT(C371,3)="SJC",G371*O371*HLOOKUP("PTAX",'Histórico'!$A$1:$EL$983,MATCH(B371,'Histórico'!A:A),FALSE)*450,
IF(LEFT(C371,3)="BGI",G371*O371*330,
IF(LEFT(C371,3)="OZ1",G371*O371*250,
IF(LEFT(C371,3)="CLP",G371*O371*25,
IF(LEFT(C371,3)="EUP", O371*10000*HLOOKUP("EUR/BRL",'Histórico'!$A$1:$EL$983,MATCH(B371,'Histórico'!A:A),FALSE),
IF(LEFT(C371,3)="JSE", G371*O371*0.4,
IF(LEFT(C371,3)="GBP", O371*10000*HLOOKUP("GBP/BRL",'Histórico'!$A$1:$FG$983,MATCH(B371,'Histórico'!A:A),FALSE),
IF(LEFT(C371,3)="JAP",O371*10000*HLOOKUP("PTAX",'Histórico'!$A$1:$FG$983,MATCH(B371,'Histórico'!A:A),FALSE),
IF(LEFT(C371,3)="CNH",O371*10000*HLOOKUP("PTAX",'Histórico'!$A$1:$FG$983,MATCH(B371,'Histórico'!A:A),FALSE),
IF(LEFT(C371,3)="AUS",O371*10000*HLOOKUP("PTAX",'Histórico'!$A$1:$FG$983,MATCH(B371,'Histórico'!A:A),FALSE),
IF(LEFT(C371,3)="CAN",O371*10000*HLOOKUP("PTAX",'Histórico'!$A$1:$FG$983,MATCH(B371,'Histórico'!A:A),FALSE),
IF(LEFT(C371,3)="GBR",O371*10000*HLOOKUP("GBP/BRL",'Histórico'!$A$1:$FG$983,MATCH(B371,'Histórico'!A:A),FALSE),
IF(LEFT(C371,3)="MEX",O371*10000*HLOOKUP("PTAX",'Histórico'!$A$1:$FG$983,MATCH(B371,'Histórico'!A:A),FALSE),
IF(LEFT(C371,3)="CHL",O371*10000*HLOOKUP("PTAX",'Histórico'!$A$1:$FG$983,MATCH(B371,'Histórico'!A:A),FALSE)
)))))))))))))))))))))))),""))</f>
        <v/>
      </c>
      <c r="O371" s="49" t="str">
        <f t="shared" si="2"/>
        <v/>
      </c>
      <c r="P371" s="49" t="str">
        <f t="shared" si="5"/>
        <v/>
      </c>
      <c r="Q371" s="51" t="str">
        <f>IF($C371&lt;&gt;"",SUMIFS($O$3:$O$401, $C$3:$C$401 ,$C371,$B$3:$B$401,"&lt;="&amp;Controle!$B$6),"")</f>
        <v/>
      </c>
      <c r="R371" s="51" t="str">
        <f>IF($D371&lt;&gt;"",SUMIFS($O$3:$O$401, $C$3:$C$401 ,$C371,$B$3:$B$401,"&lt;="&amp;Controle!$B$6,$F$3:$F$401,$F371),"")</f>
        <v/>
      </c>
      <c r="S371" s="51" t="str">
        <f>IF($D371&lt;&gt;"",SUMIFS($O$3:$O$401, $C$3:$C$401 ,$C371,$B$3:$B$401,"&lt;="&amp;'Controle D-1'!$B$6,$F$3:$F$401,$F371),"")</f>
        <v/>
      </c>
      <c r="T371" s="40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146"/>
      <c r="B372" s="149"/>
      <c r="C372" s="150"/>
      <c r="D372" s="150" t="str">
        <f>IF(ISTEXT(C372),VLOOKUP(C372,'Cadastro dos Ativos'!$A$2:$C$1000,3,0),"")</f>
        <v/>
      </c>
      <c r="E372" s="150"/>
      <c r="F372" s="150"/>
      <c r="G372" s="151"/>
      <c r="H372" s="46" t="str">
        <f>if($D372="Ações Americanas", HLOOKUP("PTAX",'Histórico'!$A$1:$EL$983,(MATCH(B372,'Histórico'!A:A))-1,""),
if($D372="Ações Europeias", HLOOKUP("EUR/BRL",'Histórico'!$A$1:$EL$983,(MATCH(B372,'Histórico'!A:A))-1,""),""))</f>
        <v/>
      </c>
      <c r="I372" s="150" t="str">
        <f t="array" ref="I372">IF(ISTEXT(C372),xlookup(C372,'Cadastro dos Ativos'!$A$2:$A$1000,'Cadastro dos Ativos'!$D$2:$D$1000),"")</f>
        <v/>
      </c>
      <c r="J372" s="150"/>
      <c r="K372" s="47" t="str">
        <f t="array" ref="K372">if(and(J372&lt;&gt;"",D372&lt;&gt;"Futuros"),
if(F372=Controle!$C$2, M372/xlookup(workday(B372,-1,Feriados!A:A),Controle!$B$10:$B$1000,Controle!$C$10:$C$1000),
if(F372=Controle!$F$2, M372/xlookup(workday(B372,-1,Feriados!A:A),Controle!$B$10:$B$1000,Controle!$F$10:$F$1000),
if(F372=Controle!$I$2, M372/xlookup(workday(B372,-1,Feriados!A:A),Controle!$B$10:$B$1000,Controle!$I$10:$I$1000),
if(F372=Controle!$L$2, M372/xlookup(workday(B372,-1,Feriados!A:A),Controle!$B$10:$B$1000,Controle!$L$10:$L$1000),
)))),
if(and(J372&lt;&gt;"",D372="Futuros"),
if(F372=Controle!$C$2, N372/xlookup(workday(B372,-1,Feriados!A:A),Controle!$B$10:$B$1000,Controle!$C$10:$C$1000),
if(F372=Controle!$F$2, N372/xlookup(workday(B372,-1,Feriados!A:A),Controle!$B$10:$B$1000,Controle!$F$10:$F$1000),
if(F372=Controle!$I$2, N372/xlookup(workday(B372,-1,Feriados!A:A),Controle!$B$10:$B$1000,Controle!$I$10:$I$1000),
if(F372=Controle!$L$2, N372/xlookup(workday(B372,-1,Feriados!A:A),Controle!$B$10:$B$1000,Controle!$L$10:$L$1000),
)))),""))</f>
        <v/>
      </c>
      <c r="L372" s="47" t="str">
        <f t="array" ref="L372">IF($J372&lt;&gt;"", IF($D372 = "Futuros" , $N372/xlookup(WORKDAY(B372,-1,Feriados!A:A),Controle!$B$10:$B$1000,Controle!$T$10:$T$1000) , $M372/xlookup(WORKDAY(B372,-1,Feriados!A:A),Controle!$B$10:$B$1000,Controle!$T$10:$T$1000)),"")</f>
        <v/>
      </c>
      <c r="M372" s="48" t="str">
        <f t="shared" si="4"/>
        <v/>
      </c>
      <c r="N372" s="48" t="str">
        <f>IFERROR(IF(D372="Futuros",
IF(LEFT(C372,3)="DI1",G372*O372,
IF(LEFT(C372,3)="ISP",G372*O372*HLOOKUP("PTAX",'Histórico'!$A$1:$EL$983,MATCH(B372,'Histórico'!A:A),FALSE)*50,
IF(LEFT(C372,3)="WDO",10*G372*O372*HLOOKUP("PTAX",'Histórico'!$A$1:$EL$983,MATCH(B372,'Histórico'!A:A),FALSE),
IF(LEFT(C372,3)="DOL",50*G372*O372,
IF(LEFT(C372,3)="EUR",G372*O372*50,
IF(LEFT(C372,3)="WEU",G372*O372*10,
IF(LEFT(C372,3)="IND",G372*O372,
IF(LEFT(C372,3)="WIN",G372*O372*0.2,
IF(LEFT(C372,3)="T10",G372*O372*1000*HLOOKUP("PTAX",'Histórico'!$A$1:$EL$983,MATCH(B372,'Histórico'!A:A),FALSE),
IF(LEFT(C372,3)="CCM",G372*O372*450,
IF(LEFT(C372,3)="SJC",G372*O372*HLOOKUP("PTAX",'Histórico'!$A$1:$EL$983,MATCH(B372,'Histórico'!A:A),FALSE)*450,
IF(LEFT(C372,3)="BGI",G372*O372*330,
IF(LEFT(C372,3)="OZ1",G372*O372*250,
IF(LEFT(C372,3)="CLP",G372*O372*25,
IF(LEFT(C372,3)="EUP", O372*10000*HLOOKUP("EUR/BRL",'Histórico'!$A$1:$EL$983,MATCH(B372,'Histórico'!A:A),FALSE),
IF(LEFT(C372,3)="JSE", G372*O372*0.4,
IF(LEFT(C372,3)="GBP", O372*10000*HLOOKUP("GBP/BRL",'Histórico'!$A$1:$FG$983,MATCH(B372,'Histórico'!A:A),FALSE),
IF(LEFT(C372,3)="JAP",O372*10000*HLOOKUP("PTAX",'Histórico'!$A$1:$FG$983,MATCH(B372,'Histórico'!A:A),FALSE),
IF(LEFT(C372,3)="CNH",O372*10000*HLOOKUP("PTAX",'Histórico'!$A$1:$FG$983,MATCH(B372,'Histórico'!A:A),FALSE),
IF(LEFT(C372,3)="AUS",O372*10000*HLOOKUP("PTAX",'Histórico'!$A$1:$FG$983,MATCH(B372,'Histórico'!A:A),FALSE),
IF(LEFT(C372,3)="CAN",O372*10000*HLOOKUP("PTAX",'Histórico'!$A$1:$FG$983,MATCH(B372,'Histórico'!A:A),FALSE),
IF(LEFT(C372,3)="GBR",O372*10000*HLOOKUP("GBP/BRL",'Histórico'!$A$1:$FG$983,MATCH(B372,'Histórico'!A:A),FALSE),
IF(LEFT(C372,3)="MEX",O372*10000*HLOOKUP("PTAX",'Histórico'!$A$1:$FG$983,MATCH(B372,'Histórico'!A:A),FALSE),
IF(LEFT(C372,3)="CHL",O372*10000*HLOOKUP("PTAX",'Histórico'!$A$1:$FG$983,MATCH(B372,'Histórico'!A:A),FALSE)
)))))))))))))))))))))))),""))</f>
        <v/>
      </c>
      <c r="O372" s="49" t="str">
        <f t="shared" si="2"/>
        <v/>
      </c>
      <c r="P372" s="49" t="str">
        <f t="shared" si="5"/>
        <v/>
      </c>
      <c r="Q372" s="51" t="str">
        <f>IF($C372&lt;&gt;"",SUMIFS($O$3:$O$401, $C$3:$C$401 ,$C372,$B$3:$B$401,"&lt;="&amp;Controle!$B$6),"")</f>
        <v/>
      </c>
      <c r="R372" s="51" t="str">
        <f>IF($D372&lt;&gt;"",SUMIFS($O$3:$O$401, $C$3:$C$401 ,$C372,$B$3:$B$401,"&lt;="&amp;Controle!$B$6,$F$3:$F$401,$F372),"")</f>
        <v/>
      </c>
      <c r="S372" s="51" t="str">
        <f>IF($D372&lt;&gt;"",SUMIFS($O$3:$O$401, $C$3:$C$401 ,$C372,$B$3:$B$401,"&lt;="&amp;'Controle D-1'!$B$6,$F$3:$F$401,$F372),"")</f>
        <v/>
      </c>
      <c r="T372" s="40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146"/>
      <c r="B373" s="149"/>
      <c r="C373" s="150"/>
      <c r="D373" s="150" t="str">
        <f>IF(ISTEXT(C373),VLOOKUP(C373,'Cadastro dos Ativos'!$A$2:$C$1000,3,0),"")</f>
        <v/>
      </c>
      <c r="E373" s="150"/>
      <c r="F373" s="150"/>
      <c r="G373" s="151"/>
      <c r="H373" s="101" t="str">
        <f>if($D373="Ações Americanas", HLOOKUP("PTAX",'Histórico'!$A$1:$EL$983,(MATCH(B373,'Histórico'!A:A))-1,""),
if($D373="Ações Europeias", HLOOKUP("EUR/BRL",'Histórico'!$A$1:$EL$983,(MATCH(B373,'Histórico'!A:A))-1,""),""))</f>
        <v/>
      </c>
      <c r="I373" s="150" t="str">
        <f t="array" ref="I373">IF(ISTEXT(C373),xlookup(C373,'Cadastro dos Ativos'!$A$2:$A$1000,'Cadastro dos Ativos'!$D$2:$D$1000),"")</f>
        <v/>
      </c>
      <c r="J373" s="150"/>
      <c r="K373" s="47" t="str">
        <f t="array" ref="K373">if(and(J373&lt;&gt;"",D373&lt;&gt;"Futuros"),
if(F373=Controle!$C$2, M373/xlookup(workday(B373,-1,Feriados!A:A),Controle!$B$10:$B$1000,Controle!$C$10:$C$1000),
if(F373=Controle!$F$2, M373/xlookup(workday(B373,-1,Feriados!A:A),Controle!$B$10:$B$1000,Controle!$F$10:$F$1000),
if(F373=Controle!$I$2, M373/xlookup(workday(B373,-1,Feriados!A:A),Controle!$B$10:$B$1000,Controle!$I$10:$I$1000),
if(F373=Controle!$L$2, M373/xlookup(workday(B373,-1,Feriados!A:A),Controle!$B$10:$B$1000,Controle!$L$10:$L$1000),
)))),
if(and(J373&lt;&gt;"",D373="Futuros"),
if(F373=Controle!$C$2, N373/xlookup(workday(B373,-1,Feriados!A:A),Controle!$B$10:$B$1000,Controle!$C$10:$C$1000),
if(F373=Controle!$F$2, N373/xlookup(workday(B373,-1,Feriados!A:A),Controle!$B$10:$B$1000,Controle!$F$10:$F$1000),
if(F373=Controle!$I$2, N373/xlookup(workday(B373,-1,Feriados!A:A),Controle!$B$10:$B$1000,Controle!$I$10:$I$1000),
if(F373=Controle!$L$2, N373/xlookup(workday(B373,-1,Feriados!A:A),Controle!$B$10:$B$1000,Controle!$L$10:$L$1000),
)))),""))</f>
        <v/>
      </c>
      <c r="L373" s="47" t="str">
        <f t="array" ref="L373">IF($J373&lt;&gt;"", IF($D373 = "Futuros" , $N373/xlookup(WORKDAY(B373,-1,Feriados!A:A),Controle!$B$10:$B$1000,Controle!$T$10:$T$1000) , $M373/xlookup(WORKDAY(B373,-1,Feriados!A:A),Controle!$B$10:$B$1000,Controle!$T$10:$T$1000)),"")</f>
        <v/>
      </c>
      <c r="M373" s="48" t="str">
        <f t="shared" si="4"/>
        <v/>
      </c>
      <c r="N373" s="48" t="str">
        <f>IFERROR(IF(D373="Futuros",
IF(LEFT(C373,3)="DI1",G373*O373,
IF(LEFT(C373,3)="ISP",G373*O373*HLOOKUP("PTAX",'Histórico'!$A$1:$EL$983,MATCH(B373,'Histórico'!A:A),FALSE)*50,
IF(LEFT(C373,3)="WDO",10*G373*O373*HLOOKUP("PTAX",'Histórico'!$A$1:$EL$983,MATCH(B373,'Histórico'!A:A),FALSE),
IF(LEFT(C373,3)="DOL",50*G373*O373,
IF(LEFT(C373,3)="EUR",G373*O373*50,
IF(LEFT(C373,3)="WEU",G373*O373*10,
IF(LEFT(C373,3)="IND",G373*O373,
IF(LEFT(C373,3)="WIN",G373*O373*0.2,
IF(LEFT(C373,3)="T10",G373*O373*1000*HLOOKUP("PTAX",'Histórico'!$A$1:$EL$983,MATCH(B373,'Histórico'!A:A),FALSE),
IF(LEFT(C373,3)="CCM",G373*O373*450,
IF(LEFT(C373,3)="SJC",G373*O373*HLOOKUP("PTAX",'Histórico'!$A$1:$EL$983,MATCH(B373,'Histórico'!A:A),FALSE)*450,
IF(LEFT(C373,3)="BGI",G373*O373*330,
IF(LEFT(C373,3)="OZ1",G373*O373*250,
IF(LEFT(C373,3)="CLP",G373*O373*25,
IF(LEFT(C373,3)="EUP", O373*10000*HLOOKUP("EUR/BRL",'Histórico'!$A$1:$EL$983,MATCH(B373,'Histórico'!A:A),FALSE),
IF(LEFT(C373,3)="JSE", G373*O373*0.4,
IF(LEFT(C373,3)="GBP", O373*10000*HLOOKUP("GBP/BRL",'Histórico'!$A$1:$FG$983,MATCH(B373,'Histórico'!A:A),FALSE),
IF(LEFT(C373,3)="JAP",O373*10000*HLOOKUP("PTAX",'Histórico'!$A$1:$FG$983,MATCH(B373,'Histórico'!A:A),FALSE),
IF(LEFT(C373,3)="CNH",O373*10000*HLOOKUP("PTAX",'Histórico'!$A$1:$FG$983,MATCH(B373,'Histórico'!A:A),FALSE),
IF(LEFT(C373,3)="AUS",O373*10000*HLOOKUP("PTAX",'Histórico'!$A$1:$FG$983,MATCH(B373,'Histórico'!A:A),FALSE),
IF(LEFT(C373,3)="CAN",O373*10000*HLOOKUP("PTAX",'Histórico'!$A$1:$FG$983,MATCH(B373,'Histórico'!A:A),FALSE),
IF(LEFT(C373,3)="GBR",O373*10000*HLOOKUP("GBP/BRL",'Histórico'!$A$1:$FG$983,MATCH(B373,'Histórico'!A:A),FALSE),
IF(LEFT(C373,3)="MEX",O373*10000*HLOOKUP("PTAX",'Histórico'!$A$1:$FG$983,MATCH(B373,'Histórico'!A:A),FALSE),
IF(LEFT(C373,3)="CHL",O373*10000*HLOOKUP("PTAX",'Histórico'!$A$1:$FG$983,MATCH(B373,'Histórico'!A:A),FALSE)
)))))))))))))))))))))))),""))</f>
        <v/>
      </c>
      <c r="O373" s="49" t="str">
        <f t="shared" si="2"/>
        <v/>
      </c>
      <c r="P373" s="49" t="str">
        <f t="shared" si="5"/>
        <v/>
      </c>
      <c r="Q373" s="51" t="str">
        <f>IF($C373&lt;&gt;"",SUMIFS($O$3:$O$401, $C$3:$C$401 ,$C373,$B$3:$B$401,"&lt;="&amp;Controle!$B$6),"")</f>
        <v/>
      </c>
      <c r="R373" s="51" t="str">
        <f>IF($D373&lt;&gt;"",SUMIFS($O$3:$O$401, $C$3:$C$401 ,$C373,$B$3:$B$401,"&lt;="&amp;Controle!$B$6,$F$3:$F$401,$F373),"")</f>
        <v/>
      </c>
      <c r="S373" s="51" t="str">
        <f>IF($D373&lt;&gt;"",SUMIFS($O$3:$O$401, $C$3:$C$401 ,$C373,$B$3:$B$401,"&lt;="&amp;'Controle D-1'!$B$6,$F$3:$F$401,$F373),"")</f>
        <v/>
      </c>
      <c r="T373" s="40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146"/>
      <c r="B374" s="149"/>
      <c r="C374" s="150"/>
      <c r="D374" s="150" t="str">
        <f>IF(ISTEXT(C374),VLOOKUP(C374,'Cadastro dos Ativos'!$A$2:$C$1000,3,0),"")</f>
        <v/>
      </c>
      <c r="E374" s="150"/>
      <c r="F374" s="150"/>
      <c r="G374" s="151"/>
      <c r="H374" s="46" t="str">
        <f>if($D374="Ações Americanas", HLOOKUP("PTAX",'Histórico'!$A$1:$EL$983,(MATCH(B374,'Histórico'!A:A))-1,""),
if($D374="Ações Europeias", HLOOKUP("EUR/BRL",'Histórico'!$A$1:$EL$983,(MATCH(B374,'Histórico'!A:A))-1,""),""))</f>
        <v/>
      </c>
      <c r="I374" s="150" t="str">
        <f t="array" ref="I374">IF(ISTEXT(C374),xlookup(C374,'Cadastro dos Ativos'!$A$2:$A$1000,'Cadastro dos Ativos'!$D$2:$D$1000),"")</f>
        <v/>
      </c>
      <c r="J374" s="150"/>
      <c r="K374" s="47" t="str">
        <f t="array" ref="K374">if(and(J374&lt;&gt;"",D374&lt;&gt;"Futuros"),
if(F374=Controle!$C$2, M374/xlookup(workday(B374,-1,Feriados!A:A),Controle!$B$10:$B$1000,Controle!$C$10:$C$1000),
if(F374=Controle!$F$2, M374/xlookup(workday(B374,-1,Feriados!A:A),Controle!$B$10:$B$1000,Controle!$F$10:$F$1000),
if(F374=Controle!$I$2, M374/xlookup(workday(B374,-1,Feriados!A:A),Controle!$B$10:$B$1000,Controle!$I$10:$I$1000),
if(F374=Controle!$L$2, M374/xlookup(workday(B374,-1,Feriados!A:A),Controle!$B$10:$B$1000,Controle!$L$10:$L$1000),
)))),
if(and(J374&lt;&gt;"",D374="Futuros"),
if(F374=Controle!$C$2, N374/xlookup(workday(B374,-1,Feriados!A:A),Controle!$B$10:$B$1000,Controle!$C$10:$C$1000),
if(F374=Controle!$F$2, N374/xlookup(workday(B374,-1,Feriados!A:A),Controle!$B$10:$B$1000,Controle!$F$10:$F$1000),
if(F374=Controle!$I$2, N374/xlookup(workday(B374,-1,Feriados!A:A),Controle!$B$10:$B$1000,Controle!$I$10:$I$1000),
if(F374=Controle!$L$2, N374/xlookup(workday(B374,-1,Feriados!A:A),Controle!$B$10:$B$1000,Controle!$L$10:$L$1000),
)))),""))</f>
        <v/>
      </c>
      <c r="L374" s="47" t="str">
        <f t="array" ref="L374">IF($J374&lt;&gt;"", IF($D374 = "Futuros" , $N374/xlookup(WORKDAY(B374,-1,Feriados!A:A),Controle!$B$10:$B$1000,Controle!$T$10:$T$1000) , $M374/xlookup(WORKDAY(B374,-1,Feriados!A:A),Controle!$B$10:$B$1000,Controle!$T$10:$T$1000)),"")</f>
        <v/>
      </c>
      <c r="M374" s="48" t="str">
        <f t="shared" si="4"/>
        <v/>
      </c>
      <c r="N374" s="48" t="str">
        <f>IFERROR(IF(D374="Futuros",
IF(LEFT(C374,3)="DI1",G374*O374,
IF(LEFT(C374,3)="ISP",G374*O374*HLOOKUP("PTAX",'Histórico'!$A$1:$EL$983,MATCH(B374,'Histórico'!A:A),FALSE)*50,
IF(LEFT(C374,3)="WDO",10*G374*O374*HLOOKUP("PTAX",'Histórico'!$A$1:$EL$983,MATCH(B374,'Histórico'!A:A),FALSE),
IF(LEFT(C374,3)="DOL",50*G374*O374,
IF(LEFT(C374,3)="EUR",G374*O374*50,
IF(LEFT(C374,3)="WEU",G374*O374*10,
IF(LEFT(C374,3)="IND",G374*O374,
IF(LEFT(C374,3)="WIN",G374*O374*0.2,
IF(LEFT(C374,3)="T10",G374*O374*1000*HLOOKUP("PTAX",'Histórico'!$A$1:$EL$983,MATCH(B374,'Histórico'!A:A),FALSE),
IF(LEFT(C374,3)="CCM",G374*O374*450,
IF(LEFT(C374,3)="SJC",G374*O374*HLOOKUP("PTAX",'Histórico'!$A$1:$EL$983,MATCH(B374,'Histórico'!A:A),FALSE)*450,
IF(LEFT(C374,3)="BGI",G374*O374*330,
IF(LEFT(C374,3)="OZ1",G374*O374*250,
IF(LEFT(C374,3)="CLP",G374*O374*25,
IF(LEFT(C374,3)="EUP", O374*10000*HLOOKUP("EUR/BRL",'Histórico'!$A$1:$EL$983,MATCH(B374,'Histórico'!A:A),FALSE),
IF(LEFT(C374,3)="JSE", G374*O374*0.4,
IF(LEFT(C374,3)="GBP", O374*10000*HLOOKUP("GBP/BRL",'Histórico'!$A$1:$FG$983,MATCH(B374,'Histórico'!A:A),FALSE),
IF(LEFT(C374,3)="JAP",O374*10000*HLOOKUP("PTAX",'Histórico'!$A$1:$FG$983,MATCH(B374,'Histórico'!A:A),FALSE),
IF(LEFT(C374,3)="CNH",O374*10000*HLOOKUP("PTAX",'Histórico'!$A$1:$FG$983,MATCH(B374,'Histórico'!A:A),FALSE),
IF(LEFT(C374,3)="AUS",O374*10000*HLOOKUP("PTAX",'Histórico'!$A$1:$FG$983,MATCH(B374,'Histórico'!A:A),FALSE),
IF(LEFT(C374,3)="CAN",O374*10000*HLOOKUP("PTAX",'Histórico'!$A$1:$FG$983,MATCH(B374,'Histórico'!A:A),FALSE),
IF(LEFT(C374,3)="GBR",O374*10000*HLOOKUP("GBP/BRL",'Histórico'!$A$1:$FG$983,MATCH(B374,'Histórico'!A:A),FALSE),
IF(LEFT(C374,3)="MEX",O374*10000*HLOOKUP("PTAX",'Histórico'!$A$1:$FG$983,MATCH(B374,'Histórico'!A:A),FALSE),
IF(LEFT(C374,3)="CHL",O374*10000*HLOOKUP("PTAX",'Histórico'!$A$1:$FG$983,MATCH(B374,'Histórico'!A:A),FALSE)
)))))))))))))))))))))))),""))</f>
        <v/>
      </c>
      <c r="O374" s="49" t="str">
        <f t="shared" si="2"/>
        <v/>
      </c>
      <c r="P374" s="49" t="str">
        <f t="shared" si="5"/>
        <v/>
      </c>
      <c r="Q374" s="51" t="str">
        <f>IF($C374&lt;&gt;"",SUMIFS($O$3:$O$401, $C$3:$C$401 ,$C374,$B$3:$B$401,"&lt;="&amp;Controle!$B$6),"")</f>
        <v/>
      </c>
      <c r="R374" s="51" t="str">
        <f>IF($D374&lt;&gt;"",SUMIFS($O$3:$O$401, $C$3:$C$401 ,$C374,$B$3:$B$401,"&lt;="&amp;Controle!$B$6,$F$3:$F$401,$F374),"")</f>
        <v/>
      </c>
      <c r="S374" s="51" t="str">
        <f>IF($D374&lt;&gt;"",SUMIFS($O$3:$O$401, $C$3:$C$401 ,$C374,$B$3:$B$401,"&lt;="&amp;'Controle D-1'!$B$6,$F$3:$F$401,$F374),"")</f>
        <v/>
      </c>
      <c r="T374" s="40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146"/>
      <c r="B375" s="149"/>
      <c r="C375" s="150"/>
      <c r="D375" s="150" t="str">
        <f>IF(ISTEXT(C375),VLOOKUP(C375,'Cadastro dos Ativos'!$A$2:$C$1000,3,0),"")</f>
        <v/>
      </c>
      <c r="E375" s="150"/>
      <c r="F375" s="150"/>
      <c r="G375" s="151"/>
      <c r="H375" s="101" t="str">
        <f>if($D375="Ações Americanas", HLOOKUP("PTAX",'Histórico'!$A$1:$EL$983,(MATCH(B375,'Histórico'!A:A))-1,""),
if($D375="Ações Europeias", HLOOKUP("EUR/BRL",'Histórico'!$A$1:$EL$983,(MATCH(B375,'Histórico'!A:A))-1,""),""))</f>
        <v/>
      </c>
      <c r="I375" s="150" t="str">
        <f t="array" ref="I375">IF(ISTEXT(C375),xlookup(C375,'Cadastro dos Ativos'!$A$2:$A$1000,'Cadastro dos Ativos'!$D$2:$D$1000),"")</f>
        <v/>
      </c>
      <c r="J375" s="150"/>
      <c r="K375" s="47" t="str">
        <f t="array" ref="K375">if(and(J375&lt;&gt;"",D375&lt;&gt;"Futuros"),
if(F375=Controle!$C$2, M375/xlookup(workday(B375,-1,Feriados!A:A),Controle!$B$10:$B$1000,Controle!$C$10:$C$1000),
if(F375=Controle!$F$2, M375/xlookup(workday(B375,-1,Feriados!A:A),Controle!$B$10:$B$1000,Controle!$F$10:$F$1000),
if(F375=Controle!$I$2, M375/xlookup(workday(B375,-1,Feriados!A:A),Controle!$B$10:$B$1000,Controle!$I$10:$I$1000),
if(F375=Controle!$L$2, M375/xlookup(workday(B375,-1,Feriados!A:A),Controle!$B$10:$B$1000,Controle!$L$10:$L$1000),
)))),
if(and(J375&lt;&gt;"",D375="Futuros"),
if(F375=Controle!$C$2, N375/xlookup(workday(B375,-1,Feriados!A:A),Controle!$B$10:$B$1000,Controle!$C$10:$C$1000),
if(F375=Controle!$F$2, N375/xlookup(workday(B375,-1,Feriados!A:A),Controle!$B$10:$B$1000,Controle!$F$10:$F$1000),
if(F375=Controle!$I$2, N375/xlookup(workday(B375,-1,Feriados!A:A),Controle!$B$10:$B$1000,Controle!$I$10:$I$1000),
if(F375=Controle!$L$2, N375/xlookup(workday(B375,-1,Feriados!A:A),Controle!$B$10:$B$1000,Controle!$L$10:$L$1000),
)))),""))</f>
        <v/>
      </c>
      <c r="L375" s="47" t="str">
        <f t="array" ref="L375">IF($J375&lt;&gt;"", IF($D375 = "Futuros" , $N375/xlookup(WORKDAY(B375,-1,Feriados!A:A),Controle!$B$10:$B$1000,Controle!$T$10:$T$1000) , $M375/xlookup(WORKDAY(B375,-1,Feriados!A:A),Controle!$B$10:$B$1000,Controle!$T$10:$T$1000)),"")</f>
        <v/>
      </c>
      <c r="M375" s="48" t="str">
        <f t="shared" si="4"/>
        <v/>
      </c>
      <c r="N375" s="48" t="str">
        <f>IFERROR(IF(D375="Futuros",
IF(LEFT(C375,3)="DI1",G375*O375,
IF(LEFT(C375,3)="ISP",G375*O375*HLOOKUP("PTAX",'Histórico'!$A$1:$EL$983,MATCH(B375,'Histórico'!A:A),FALSE)*50,
IF(LEFT(C375,3)="WDO",10*G375*O375*HLOOKUP("PTAX",'Histórico'!$A$1:$EL$983,MATCH(B375,'Histórico'!A:A),FALSE),
IF(LEFT(C375,3)="DOL",50*G375*O375,
IF(LEFT(C375,3)="EUR",G375*O375*50,
IF(LEFT(C375,3)="WEU",G375*O375*10,
IF(LEFT(C375,3)="IND",G375*O375,
IF(LEFT(C375,3)="WIN",G375*O375*0.2,
IF(LEFT(C375,3)="T10",G375*O375*1000*HLOOKUP("PTAX",'Histórico'!$A$1:$EL$983,MATCH(B375,'Histórico'!A:A),FALSE),
IF(LEFT(C375,3)="CCM",G375*O375*450,
IF(LEFT(C375,3)="SJC",G375*O375*HLOOKUP("PTAX",'Histórico'!$A$1:$EL$983,MATCH(B375,'Histórico'!A:A),FALSE)*450,
IF(LEFT(C375,3)="BGI",G375*O375*330,
IF(LEFT(C375,3)="OZ1",G375*O375*250,
IF(LEFT(C375,3)="CLP",G375*O375*25,
IF(LEFT(C375,3)="EUP", O375*10000*HLOOKUP("EUR/BRL",'Histórico'!$A$1:$EL$983,MATCH(B375,'Histórico'!A:A),FALSE),
IF(LEFT(C375,3)="JSE", G375*O375*0.4,
IF(LEFT(C375,3)="GBP", O375*10000*HLOOKUP("GBP/BRL",'Histórico'!$A$1:$FG$983,MATCH(B375,'Histórico'!A:A),FALSE),
IF(LEFT(C375,3)="JAP",O375*10000*HLOOKUP("PTAX",'Histórico'!$A$1:$FG$983,MATCH(B375,'Histórico'!A:A),FALSE),
IF(LEFT(C375,3)="CNH",O375*10000*HLOOKUP("PTAX",'Histórico'!$A$1:$FG$983,MATCH(B375,'Histórico'!A:A),FALSE),
IF(LEFT(C375,3)="AUS",O375*10000*HLOOKUP("PTAX",'Histórico'!$A$1:$FG$983,MATCH(B375,'Histórico'!A:A),FALSE),
IF(LEFT(C375,3)="CAN",O375*10000*HLOOKUP("PTAX",'Histórico'!$A$1:$FG$983,MATCH(B375,'Histórico'!A:A),FALSE),
IF(LEFT(C375,3)="GBR",O375*10000*HLOOKUP("GBP/BRL",'Histórico'!$A$1:$FG$983,MATCH(B375,'Histórico'!A:A),FALSE),
IF(LEFT(C375,3)="MEX",O375*10000*HLOOKUP("PTAX",'Histórico'!$A$1:$FG$983,MATCH(B375,'Histórico'!A:A),FALSE),
IF(LEFT(C375,3)="CHL",O375*10000*HLOOKUP("PTAX",'Histórico'!$A$1:$FG$983,MATCH(B375,'Histórico'!A:A),FALSE)
)))))))))))))))))))))))),""))</f>
        <v/>
      </c>
      <c r="O375" s="49" t="str">
        <f t="shared" si="2"/>
        <v/>
      </c>
      <c r="P375" s="49" t="str">
        <f t="shared" si="5"/>
        <v/>
      </c>
      <c r="Q375" s="51" t="str">
        <f>IF($C375&lt;&gt;"",SUMIFS($O$3:$O$401, $C$3:$C$401 ,$C375,$B$3:$B$401,"&lt;="&amp;Controle!$B$6),"")</f>
        <v/>
      </c>
      <c r="R375" s="51" t="str">
        <f>IF($D375&lt;&gt;"",SUMIFS($O$3:$O$401, $C$3:$C$401 ,$C375,$B$3:$B$401,"&lt;="&amp;Controle!$B$6,$F$3:$F$401,$F375),"")</f>
        <v/>
      </c>
      <c r="S375" s="51" t="str">
        <f>IF($D375&lt;&gt;"",SUMIFS($O$3:$O$401, $C$3:$C$401 ,$C375,$B$3:$B$401,"&lt;="&amp;'Controle D-1'!$B$6,$F$3:$F$401,$F375),"")</f>
        <v/>
      </c>
      <c r="T375" s="40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146"/>
      <c r="B376" s="149"/>
      <c r="C376" s="150"/>
      <c r="D376" s="150" t="str">
        <f>IF(ISTEXT(C376),VLOOKUP(C376,'Cadastro dos Ativos'!$A$2:$C$1000,3,0),"")</f>
        <v/>
      </c>
      <c r="E376" s="150"/>
      <c r="F376" s="150"/>
      <c r="G376" s="151"/>
      <c r="H376" s="46" t="str">
        <f>if($D376="Ações Americanas", HLOOKUP("PTAX",'Histórico'!$A$1:$EL$983,(MATCH(B376,'Histórico'!A:A))-1,""),
if($D376="Ações Europeias", HLOOKUP("EUR/BRL",'Histórico'!$A$1:$EL$983,(MATCH(B376,'Histórico'!A:A))-1,""),""))</f>
        <v/>
      </c>
      <c r="I376" s="150" t="str">
        <f t="array" ref="I376">IF(ISTEXT(C376),xlookup(C376,'Cadastro dos Ativos'!$A$2:$A$1000,'Cadastro dos Ativos'!$D$2:$D$1000),"")</f>
        <v/>
      </c>
      <c r="J376" s="150"/>
      <c r="K376" s="47" t="str">
        <f t="array" ref="K376">if(and(J376&lt;&gt;"",D376&lt;&gt;"Futuros"),
if(F376=Controle!$C$2, M376/xlookup(workday(B376,-1,Feriados!A:A),Controle!$B$10:$B$1000,Controle!$C$10:$C$1000),
if(F376=Controle!$F$2, M376/xlookup(workday(B376,-1,Feriados!A:A),Controle!$B$10:$B$1000,Controle!$F$10:$F$1000),
if(F376=Controle!$I$2, M376/xlookup(workday(B376,-1,Feriados!A:A),Controle!$B$10:$B$1000,Controle!$I$10:$I$1000),
if(F376=Controle!$L$2, M376/xlookup(workday(B376,-1,Feriados!A:A),Controle!$B$10:$B$1000,Controle!$L$10:$L$1000),
)))),
if(and(J376&lt;&gt;"",D376="Futuros"),
if(F376=Controle!$C$2, N376/xlookup(workday(B376,-1,Feriados!A:A),Controle!$B$10:$B$1000,Controle!$C$10:$C$1000),
if(F376=Controle!$F$2, N376/xlookup(workday(B376,-1,Feriados!A:A),Controle!$B$10:$B$1000,Controle!$F$10:$F$1000),
if(F376=Controle!$I$2, N376/xlookup(workday(B376,-1,Feriados!A:A),Controle!$B$10:$B$1000,Controle!$I$10:$I$1000),
if(F376=Controle!$L$2, N376/xlookup(workday(B376,-1,Feriados!A:A),Controle!$B$10:$B$1000,Controle!$L$10:$L$1000),
)))),""))</f>
        <v/>
      </c>
      <c r="L376" s="47" t="str">
        <f t="array" ref="L376">IF($J376&lt;&gt;"", IF($D376 = "Futuros" , $N376/xlookup(WORKDAY(B376,-1,Feriados!A:A),Controle!$B$10:$B$1000,Controle!$T$10:$T$1000) , $M376/xlookup(WORKDAY(B376,-1,Feriados!A:A),Controle!$B$10:$B$1000,Controle!$T$10:$T$1000)),"")</f>
        <v/>
      </c>
      <c r="M376" s="48" t="str">
        <f t="shared" si="4"/>
        <v/>
      </c>
      <c r="N376" s="48" t="str">
        <f>IFERROR(IF(D376="Futuros",
IF(LEFT(C376,3)="DI1",G376*O376,
IF(LEFT(C376,3)="ISP",G376*O376*HLOOKUP("PTAX",'Histórico'!$A$1:$EL$983,MATCH(B376,'Histórico'!A:A),FALSE)*50,
IF(LEFT(C376,3)="WDO",10*G376*O376*HLOOKUP("PTAX",'Histórico'!$A$1:$EL$983,MATCH(B376,'Histórico'!A:A),FALSE),
IF(LEFT(C376,3)="DOL",50*G376*O376,
IF(LEFT(C376,3)="EUR",G376*O376*50,
IF(LEFT(C376,3)="WEU",G376*O376*10,
IF(LEFT(C376,3)="IND",G376*O376,
IF(LEFT(C376,3)="WIN",G376*O376*0.2,
IF(LEFT(C376,3)="T10",G376*O376*1000*HLOOKUP("PTAX",'Histórico'!$A$1:$EL$983,MATCH(B376,'Histórico'!A:A),FALSE),
IF(LEFT(C376,3)="CCM",G376*O376*450,
IF(LEFT(C376,3)="SJC",G376*O376*HLOOKUP("PTAX",'Histórico'!$A$1:$EL$983,MATCH(B376,'Histórico'!A:A),FALSE)*450,
IF(LEFT(C376,3)="BGI",G376*O376*330,
IF(LEFT(C376,3)="OZ1",G376*O376*250,
IF(LEFT(C376,3)="CLP",G376*O376*25,
IF(LEFT(C376,3)="EUP", O376*10000*HLOOKUP("EUR/BRL",'Histórico'!$A$1:$EL$983,MATCH(B376,'Histórico'!A:A),FALSE),
IF(LEFT(C376,3)="JSE", G376*O376*0.4,
IF(LEFT(C376,3)="GBP", O376*10000*HLOOKUP("GBP/BRL",'Histórico'!$A$1:$FG$983,MATCH(B376,'Histórico'!A:A),FALSE),
IF(LEFT(C376,3)="JAP",O376*10000*HLOOKUP("PTAX",'Histórico'!$A$1:$FG$983,MATCH(B376,'Histórico'!A:A),FALSE),
IF(LEFT(C376,3)="CNH",O376*10000*HLOOKUP("PTAX",'Histórico'!$A$1:$FG$983,MATCH(B376,'Histórico'!A:A),FALSE),
IF(LEFT(C376,3)="AUS",O376*10000*HLOOKUP("PTAX",'Histórico'!$A$1:$FG$983,MATCH(B376,'Histórico'!A:A),FALSE),
IF(LEFT(C376,3)="CAN",O376*10000*HLOOKUP("PTAX",'Histórico'!$A$1:$FG$983,MATCH(B376,'Histórico'!A:A),FALSE),
IF(LEFT(C376,3)="GBR",O376*10000*HLOOKUP("GBP/BRL",'Histórico'!$A$1:$FG$983,MATCH(B376,'Histórico'!A:A),FALSE),
IF(LEFT(C376,3)="MEX",O376*10000*HLOOKUP("PTAX",'Histórico'!$A$1:$FG$983,MATCH(B376,'Histórico'!A:A),FALSE),
IF(LEFT(C376,3)="CHL",O376*10000*HLOOKUP("PTAX",'Histórico'!$A$1:$FG$983,MATCH(B376,'Histórico'!A:A),FALSE)
)))))))))))))))))))))))),""))</f>
        <v/>
      </c>
      <c r="O376" s="49" t="str">
        <f t="shared" si="2"/>
        <v/>
      </c>
      <c r="P376" s="49" t="str">
        <f t="shared" si="5"/>
        <v/>
      </c>
      <c r="Q376" s="51" t="str">
        <f>IF($C376&lt;&gt;"",SUMIFS($O$3:$O$401, $C$3:$C$401 ,$C376,$B$3:$B$401,"&lt;="&amp;Controle!$B$6),"")</f>
        <v/>
      </c>
      <c r="R376" s="51" t="str">
        <f>IF($D376&lt;&gt;"",SUMIFS($O$3:$O$401, $C$3:$C$401 ,$C376,$B$3:$B$401,"&lt;="&amp;Controle!$B$6,$F$3:$F$401,$F376),"")</f>
        <v/>
      </c>
      <c r="S376" s="51" t="str">
        <f>IF($D376&lt;&gt;"",SUMIFS($O$3:$O$401, $C$3:$C$401 ,$C376,$B$3:$B$401,"&lt;="&amp;'Controle D-1'!$B$6,$F$3:$F$401,$F376),"")</f>
        <v/>
      </c>
      <c r="T376" s="40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146"/>
      <c r="B377" s="149"/>
      <c r="C377" s="150"/>
      <c r="D377" s="150" t="str">
        <f>IF(ISTEXT(C377),VLOOKUP(C377,'Cadastro dos Ativos'!$A$2:$C$1000,3,0),"")</f>
        <v/>
      </c>
      <c r="E377" s="150"/>
      <c r="F377" s="150"/>
      <c r="G377" s="151"/>
      <c r="H377" s="101" t="str">
        <f>if($D377="Ações Americanas", HLOOKUP("PTAX",'Histórico'!$A$1:$EL$983,(MATCH(B377,'Histórico'!A:A))-1,""),
if($D377="Ações Europeias", HLOOKUP("EUR/BRL",'Histórico'!$A$1:$EL$983,(MATCH(B377,'Histórico'!A:A))-1,""),""))</f>
        <v/>
      </c>
      <c r="I377" s="150" t="str">
        <f t="array" ref="I377">IF(ISTEXT(C377),xlookup(C377,'Cadastro dos Ativos'!$A$2:$A$1000,'Cadastro dos Ativos'!$D$2:$D$1000),"")</f>
        <v/>
      </c>
      <c r="J377" s="150"/>
      <c r="K377" s="47" t="str">
        <f t="array" ref="K377">if(and(J377&lt;&gt;"",D377&lt;&gt;"Futuros"),
if(F377=Controle!$C$2, M377/xlookup(workday(B377,-1,Feriados!A:A),Controle!$B$10:$B$1000,Controle!$C$10:$C$1000),
if(F377=Controle!$F$2, M377/xlookup(workday(B377,-1,Feriados!A:A),Controle!$B$10:$B$1000,Controle!$F$10:$F$1000),
if(F377=Controle!$I$2, M377/xlookup(workday(B377,-1,Feriados!A:A),Controle!$B$10:$B$1000,Controle!$I$10:$I$1000),
if(F377=Controle!$L$2, M377/xlookup(workday(B377,-1,Feriados!A:A),Controle!$B$10:$B$1000,Controle!$L$10:$L$1000),
)))),
if(and(J377&lt;&gt;"",D377="Futuros"),
if(F377=Controle!$C$2, N377/xlookup(workday(B377,-1,Feriados!A:A),Controle!$B$10:$B$1000,Controle!$C$10:$C$1000),
if(F377=Controle!$F$2, N377/xlookup(workday(B377,-1,Feriados!A:A),Controle!$B$10:$B$1000,Controle!$F$10:$F$1000),
if(F377=Controle!$I$2, N377/xlookup(workday(B377,-1,Feriados!A:A),Controle!$B$10:$B$1000,Controle!$I$10:$I$1000),
if(F377=Controle!$L$2, N377/xlookup(workday(B377,-1,Feriados!A:A),Controle!$B$10:$B$1000,Controle!$L$10:$L$1000),
)))),""))</f>
        <v/>
      </c>
      <c r="L377" s="47" t="str">
        <f t="array" ref="L377">IF($J377&lt;&gt;"", IF($D377 = "Futuros" , $N377/xlookup(WORKDAY(B377,-1,Feriados!A:A),Controle!$B$10:$B$1000,Controle!$T$10:$T$1000) , $M377/xlookup(WORKDAY(B377,-1,Feriados!A:A),Controle!$B$10:$B$1000,Controle!$T$10:$T$1000)),"")</f>
        <v/>
      </c>
      <c r="M377" s="48" t="str">
        <f t="shared" si="4"/>
        <v/>
      </c>
      <c r="N377" s="48" t="str">
        <f>IFERROR(IF(D377="Futuros",
IF(LEFT(C377,3)="DI1",G377*O377,
IF(LEFT(C377,3)="ISP",G377*O377*HLOOKUP("PTAX",'Histórico'!$A$1:$EL$983,MATCH(B377,'Histórico'!A:A),FALSE)*50,
IF(LEFT(C377,3)="WDO",10*G377*O377*HLOOKUP("PTAX",'Histórico'!$A$1:$EL$983,MATCH(B377,'Histórico'!A:A),FALSE),
IF(LEFT(C377,3)="DOL",50*G377*O377,
IF(LEFT(C377,3)="EUR",G377*O377*50,
IF(LEFT(C377,3)="WEU",G377*O377*10,
IF(LEFT(C377,3)="IND",G377*O377,
IF(LEFT(C377,3)="WIN",G377*O377*0.2,
IF(LEFT(C377,3)="T10",G377*O377*1000*HLOOKUP("PTAX",'Histórico'!$A$1:$EL$983,MATCH(B377,'Histórico'!A:A),FALSE),
IF(LEFT(C377,3)="CCM",G377*O377*450,
IF(LEFT(C377,3)="SJC",G377*O377*HLOOKUP("PTAX",'Histórico'!$A$1:$EL$983,MATCH(B377,'Histórico'!A:A),FALSE)*450,
IF(LEFT(C377,3)="BGI",G377*O377*330,
IF(LEFT(C377,3)="OZ1",G377*O377*250,
IF(LEFT(C377,3)="CLP",G377*O377*25,
IF(LEFT(C377,3)="EUP", O377*10000*HLOOKUP("EUR/BRL",'Histórico'!$A$1:$EL$983,MATCH(B377,'Histórico'!A:A),FALSE),
IF(LEFT(C377,3)="JSE", G377*O377*0.4,
IF(LEFT(C377,3)="GBP", O377*10000*HLOOKUP("GBP/BRL",'Histórico'!$A$1:$FG$983,MATCH(B377,'Histórico'!A:A),FALSE),
IF(LEFT(C377,3)="JAP",O377*10000*HLOOKUP("PTAX",'Histórico'!$A$1:$FG$983,MATCH(B377,'Histórico'!A:A),FALSE),
IF(LEFT(C377,3)="CNH",O377*10000*HLOOKUP("PTAX",'Histórico'!$A$1:$FG$983,MATCH(B377,'Histórico'!A:A),FALSE),
IF(LEFT(C377,3)="AUS",O377*10000*HLOOKUP("PTAX",'Histórico'!$A$1:$FG$983,MATCH(B377,'Histórico'!A:A),FALSE),
IF(LEFT(C377,3)="CAN",O377*10000*HLOOKUP("PTAX",'Histórico'!$A$1:$FG$983,MATCH(B377,'Histórico'!A:A),FALSE),
IF(LEFT(C377,3)="GBR",O377*10000*HLOOKUP("GBP/BRL",'Histórico'!$A$1:$FG$983,MATCH(B377,'Histórico'!A:A),FALSE),
IF(LEFT(C377,3)="MEX",O377*10000*HLOOKUP("PTAX",'Histórico'!$A$1:$FG$983,MATCH(B377,'Histórico'!A:A),FALSE),
IF(LEFT(C377,3)="CHL",O377*10000*HLOOKUP("PTAX",'Histórico'!$A$1:$FG$983,MATCH(B377,'Histórico'!A:A),FALSE)
)))))))))))))))))))))))),""))</f>
        <v/>
      </c>
      <c r="O377" s="49" t="str">
        <f t="shared" si="2"/>
        <v/>
      </c>
      <c r="P377" s="49" t="str">
        <f t="shared" si="5"/>
        <v/>
      </c>
      <c r="Q377" s="51" t="str">
        <f>IF($C377&lt;&gt;"",SUMIFS($O$3:$O$401, $C$3:$C$401 ,$C377,$B$3:$B$401,"&lt;="&amp;Controle!$B$6),"")</f>
        <v/>
      </c>
      <c r="R377" s="51" t="str">
        <f>IF($D377&lt;&gt;"",SUMIFS($O$3:$O$401, $C$3:$C$401 ,$C377,$B$3:$B$401,"&lt;="&amp;Controle!$B$6,$F$3:$F$401,$F377),"")</f>
        <v/>
      </c>
      <c r="S377" s="51" t="str">
        <f>IF($D377&lt;&gt;"",SUMIFS($O$3:$O$401, $C$3:$C$401 ,$C377,$B$3:$B$401,"&lt;="&amp;'Controle D-1'!$B$6,$F$3:$F$401,$F377),"")</f>
        <v/>
      </c>
      <c r="T377" s="40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146"/>
      <c r="B378" s="149"/>
      <c r="C378" s="150"/>
      <c r="D378" s="150" t="str">
        <f>IF(ISTEXT(C378),VLOOKUP(C378,'Cadastro dos Ativos'!$A$2:$C$1000,3,0),"")</f>
        <v/>
      </c>
      <c r="E378" s="150"/>
      <c r="F378" s="150"/>
      <c r="G378" s="151"/>
      <c r="H378" s="46" t="str">
        <f>if($D378="Ações Americanas", HLOOKUP("PTAX",'Histórico'!$A$1:$EL$983,(MATCH(B378,'Histórico'!A:A))-1,""),
if($D378="Ações Europeias", HLOOKUP("EUR/BRL",'Histórico'!$A$1:$EL$983,(MATCH(B378,'Histórico'!A:A))-1,""),""))</f>
        <v/>
      </c>
      <c r="I378" s="150" t="str">
        <f t="array" ref="I378">IF(ISTEXT(C378),xlookup(C378,'Cadastro dos Ativos'!$A$2:$A$1000,'Cadastro dos Ativos'!$D$2:$D$1000),"")</f>
        <v/>
      </c>
      <c r="J378" s="150"/>
      <c r="K378" s="47" t="str">
        <f t="array" ref="K378">if(and(J378&lt;&gt;"",D378&lt;&gt;"Futuros"),
if(F378=Controle!$C$2, M378/xlookup(workday(B378,-1,Feriados!A:A),Controle!$B$10:$B$1000,Controle!$C$10:$C$1000),
if(F378=Controle!$F$2, M378/xlookup(workday(B378,-1,Feriados!A:A),Controle!$B$10:$B$1000,Controle!$F$10:$F$1000),
if(F378=Controle!$I$2, M378/xlookup(workday(B378,-1,Feriados!A:A),Controle!$B$10:$B$1000,Controle!$I$10:$I$1000),
if(F378=Controle!$L$2, M378/xlookup(workday(B378,-1,Feriados!A:A),Controle!$B$10:$B$1000,Controle!$L$10:$L$1000),
)))),
if(and(J378&lt;&gt;"",D378="Futuros"),
if(F378=Controle!$C$2, N378/xlookup(workday(B378,-1,Feriados!A:A),Controle!$B$10:$B$1000,Controle!$C$10:$C$1000),
if(F378=Controle!$F$2, N378/xlookup(workday(B378,-1,Feriados!A:A),Controle!$B$10:$B$1000,Controle!$F$10:$F$1000),
if(F378=Controle!$I$2, N378/xlookup(workday(B378,-1,Feriados!A:A),Controle!$B$10:$B$1000,Controle!$I$10:$I$1000),
if(F378=Controle!$L$2, N378/xlookup(workday(B378,-1,Feriados!A:A),Controle!$B$10:$B$1000,Controle!$L$10:$L$1000),
)))),""))</f>
        <v/>
      </c>
      <c r="L378" s="47" t="str">
        <f t="array" ref="L378">IF($J378&lt;&gt;"", IF($D378 = "Futuros" , $N378/xlookup(WORKDAY(B378,-1,Feriados!A:A),Controle!$B$10:$B$1000,Controle!$T$10:$T$1000) , $M378/xlookup(WORKDAY(B378,-1,Feriados!A:A),Controle!$B$10:$B$1000,Controle!$T$10:$T$1000)),"")</f>
        <v/>
      </c>
      <c r="M378" s="48" t="str">
        <f t="shared" si="4"/>
        <v/>
      </c>
      <c r="N378" s="48" t="str">
        <f>IFERROR(IF(D378="Futuros",
IF(LEFT(C378,3)="DI1",G378*O378,
IF(LEFT(C378,3)="ISP",G378*O378*HLOOKUP("PTAX",'Histórico'!$A$1:$EL$983,MATCH(B378,'Histórico'!A:A),FALSE)*50,
IF(LEFT(C378,3)="WDO",10*G378*O378*HLOOKUP("PTAX",'Histórico'!$A$1:$EL$983,MATCH(B378,'Histórico'!A:A),FALSE),
IF(LEFT(C378,3)="DOL",50*G378*O378,
IF(LEFT(C378,3)="EUR",G378*O378*50,
IF(LEFT(C378,3)="WEU",G378*O378*10,
IF(LEFT(C378,3)="IND",G378*O378,
IF(LEFT(C378,3)="WIN",G378*O378*0.2,
IF(LEFT(C378,3)="T10",G378*O378*1000*HLOOKUP("PTAX",'Histórico'!$A$1:$EL$983,MATCH(B378,'Histórico'!A:A),FALSE),
IF(LEFT(C378,3)="CCM",G378*O378*450,
IF(LEFT(C378,3)="SJC",G378*O378*HLOOKUP("PTAX",'Histórico'!$A$1:$EL$983,MATCH(B378,'Histórico'!A:A),FALSE)*450,
IF(LEFT(C378,3)="BGI",G378*O378*330,
IF(LEFT(C378,3)="OZ1",G378*O378*250,
IF(LEFT(C378,3)="CLP",G378*O378*25,
IF(LEFT(C378,3)="EUP", O378*10000*HLOOKUP("EUR/BRL",'Histórico'!$A$1:$EL$983,MATCH(B378,'Histórico'!A:A),FALSE),
IF(LEFT(C378,3)="JSE", G378*O378*0.4,
IF(LEFT(C378,3)="GBP", O378*10000*HLOOKUP("GBP/BRL",'Histórico'!$A$1:$FG$983,MATCH(B378,'Histórico'!A:A),FALSE),
IF(LEFT(C378,3)="JAP",O378*10000*HLOOKUP("PTAX",'Histórico'!$A$1:$FG$983,MATCH(B378,'Histórico'!A:A),FALSE),
IF(LEFT(C378,3)="CNH",O378*10000*HLOOKUP("PTAX",'Histórico'!$A$1:$FG$983,MATCH(B378,'Histórico'!A:A),FALSE),
IF(LEFT(C378,3)="AUS",O378*10000*HLOOKUP("PTAX",'Histórico'!$A$1:$FG$983,MATCH(B378,'Histórico'!A:A),FALSE),
IF(LEFT(C378,3)="CAN",O378*10000*HLOOKUP("PTAX",'Histórico'!$A$1:$FG$983,MATCH(B378,'Histórico'!A:A),FALSE),
IF(LEFT(C378,3)="GBR",O378*10000*HLOOKUP("GBP/BRL",'Histórico'!$A$1:$FG$983,MATCH(B378,'Histórico'!A:A),FALSE),
IF(LEFT(C378,3)="MEX",O378*10000*HLOOKUP("PTAX",'Histórico'!$A$1:$FG$983,MATCH(B378,'Histórico'!A:A),FALSE),
IF(LEFT(C378,3)="CHL",O378*10000*HLOOKUP("PTAX",'Histórico'!$A$1:$FG$983,MATCH(B378,'Histórico'!A:A),FALSE)
)))))))))))))))))))))))),""))</f>
        <v/>
      </c>
      <c r="O378" s="49" t="str">
        <f t="shared" si="2"/>
        <v/>
      </c>
      <c r="P378" s="49" t="str">
        <f t="shared" si="5"/>
        <v/>
      </c>
      <c r="Q378" s="51" t="str">
        <f>IF($C378&lt;&gt;"",SUMIFS($O$3:$O$401, $C$3:$C$401 ,$C378,$B$3:$B$401,"&lt;="&amp;Controle!$B$6),"")</f>
        <v/>
      </c>
      <c r="R378" s="51" t="str">
        <f>IF($D378&lt;&gt;"",SUMIFS($O$3:$O$401, $C$3:$C$401 ,$C378,$B$3:$B$401,"&lt;="&amp;Controle!$B$6,$F$3:$F$401,$F378),"")</f>
        <v/>
      </c>
      <c r="S378" s="51" t="str">
        <f>IF($D378&lt;&gt;"",SUMIFS($O$3:$O$401, $C$3:$C$401 ,$C378,$B$3:$B$401,"&lt;="&amp;'Controle D-1'!$B$6,$F$3:$F$401,$F378),"")</f>
        <v/>
      </c>
      <c r="T378" s="40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146"/>
      <c r="B379" s="149"/>
      <c r="C379" s="150"/>
      <c r="D379" s="150" t="str">
        <f>IF(ISTEXT(C379),VLOOKUP(C379,'Cadastro dos Ativos'!$A$2:$C$1000,3,0),"")</f>
        <v/>
      </c>
      <c r="E379" s="150"/>
      <c r="F379" s="150"/>
      <c r="G379" s="151"/>
      <c r="H379" s="101" t="str">
        <f>if($D379="Ações Americanas", HLOOKUP("PTAX",'Histórico'!$A$1:$EL$983,(MATCH(B379,'Histórico'!A:A))-1,""),
if($D379="Ações Europeias", HLOOKUP("EUR/BRL",'Histórico'!$A$1:$EL$983,(MATCH(B379,'Histórico'!A:A))-1,""),""))</f>
        <v/>
      </c>
      <c r="I379" s="150" t="str">
        <f t="array" ref="I379">IF(ISTEXT(C379),xlookup(C379,'Cadastro dos Ativos'!$A$2:$A$1000,'Cadastro dos Ativos'!$D$2:$D$1000),"")</f>
        <v/>
      </c>
      <c r="J379" s="150"/>
      <c r="K379" s="47" t="str">
        <f t="array" ref="K379">if(and(J379&lt;&gt;"",D379&lt;&gt;"Futuros"),
if(F379=Controle!$C$2, M379/xlookup(workday(B379,-1,Feriados!A:A),Controle!$B$10:$B$1000,Controle!$C$10:$C$1000),
if(F379=Controle!$F$2, M379/xlookup(workday(B379,-1,Feriados!A:A),Controle!$B$10:$B$1000,Controle!$F$10:$F$1000),
if(F379=Controle!$I$2, M379/xlookup(workday(B379,-1,Feriados!A:A),Controle!$B$10:$B$1000,Controle!$I$10:$I$1000),
if(F379=Controle!$L$2, M379/xlookup(workday(B379,-1,Feriados!A:A),Controle!$B$10:$B$1000,Controle!$L$10:$L$1000),
)))),
if(and(J379&lt;&gt;"",D379="Futuros"),
if(F379=Controle!$C$2, N379/xlookup(workday(B379,-1,Feriados!A:A),Controle!$B$10:$B$1000,Controle!$C$10:$C$1000),
if(F379=Controle!$F$2, N379/xlookup(workday(B379,-1,Feriados!A:A),Controle!$B$10:$B$1000,Controle!$F$10:$F$1000),
if(F379=Controle!$I$2, N379/xlookup(workday(B379,-1,Feriados!A:A),Controle!$B$10:$B$1000,Controle!$I$10:$I$1000),
if(F379=Controle!$L$2, N379/xlookup(workday(B379,-1,Feriados!A:A),Controle!$B$10:$B$1000,Controle!$L$10:$L$1000),
)))),""))</f>
        <v/>
      </c>
      <c r="L379" s="47" t="str">
        <f t="array" ref="L379">IF($J379&lt;&gt;"", IF($D379 = "Futuros" , $N379/xlookup(WORKDAY(B379,-1,Feriados!A:A),Controle!$B$10:$B$1000,Controle!$T$10:$T$1000) , $M379/xlookup(WORKDAY(B379,-1,Feriados!A:A),Controle!$B$10:$B$1000,Controle!$T$10:$T$1000)),"")</f>
        <v/>
      </c>
      <c r="M379" s="48" t="str">
        <f t="shared" si="4"/>
        <v/>
      </c>
      <c r="N379" s="48" t="str">
        <f>IFERROR(IF(D379="Futuros",
IF(LEFT(C379,3)="DI1",G379*O379,
IF(LEFT(C379,3)="ISP",G379*O379*HLOOKUP("PTAX",'Histórico'!$A$1:$EL$983,MATCH(B379,'Histórico'!A:A),FALSE)*50,
IF(LEFT(C379,3)="WDO",10*G379*O379*HLOOKUP("PTAX",'Histórico'!$A$1:$EL$983,MATCH(B379,'Histórico'!A:A),FALSE),
IF(LEFT(C379,3)="DOL",50*G379*O379,
IF(LEFT(C379,3)="EUR",G379*O379*50,
IF(LEFT(C379,3)="WEU",G379*O379*10,
IF(LEFT(C379,3)="IND",G379*O379,
IF(LEFT(C379,3)="WIN",G379*O379*0.2,
IF(LEFT(C379,3)="T10",G379*O379*1000*HLOOKUP("PTAX",'Histórico'!$A$1:$EL$983,MATCH(B379,'Histórico'!A:A),FALSE),
IF(LEFT(C379,3)="CCM",G379*O379*450,
IF(LEFT(C379,3)="SJC",G379*O379*HLOOKUP("PTAX",'Histórico'!$A$1:$EL$983,MATCH(B379,'Histórico'!A:A),FALSE)*450,
IF(LEFT(C379,3)="BGI",G379*O379*330,
IF(LEFT(C379,3)="OZ1",G379*O379*250,
IF(LEFT(C379,3)="CLP",G379*O379*25,
IF(LEFT(C379,3)="EUP", O379*10000*HLOOKUP("EUR/BRL",'Histórico'!$A$1:$EL$983,MATCH(B379,'Histórico'!A:A),FALSE),
IF(LEFT(C379,3)="JSE", G379*O379*0.4,
IF(LEFT(C379,3)="GBP", O379*10000*HLOOKUP("GBP/BRL",'Histórico'!$A$1:$FG$983,MATCH(B379,'Histórico'!A:A),FALSE),
IF(LEFT(C379,3)="JAP",O379*10000*HLOOKUP("PTAX",'Histórico'!$A$1:$FG$983,MATCH(B379,'Histórico'!A:A),FALSE),
IF(LEFT(C379,3)="CNH",O379*10000*HLOOKUP("PTAX",'Histórico'!$A$1:$FG$983,MATCH(B379,'Histórico'!A:A),FALSE),
IF(LEFT(C379,3)="AUS",O379*10000*HLOOKUP("PTAX",'Histórico'!$A$1:$FG$983,MATCH(B379,'Histórico'!A:A),FALSE),
IF(LEFT(C379,3)="CAN",O379*10000*HLOOKUP("PTAX",'Histórico'!$A$1:$FG$983,MATCH(B379,'Histórico'!A:A),FALSE),
IF(LEFT(C379,3)="GBR",O379*10000*HLOOKUP("GBP/BRL",'Histórico'!$A$1:$FG$983,MATCH(B379,'Histórico'!A:A),FALSE),
IF(LEFT(C379,3)="MEX",O379*10000*HLOOKUP("PTAX",'Histórico'!$A$1:$FG$983,MATCH(B379,'Histórico'!A:A),FALSE),
IF(LEFT(C379,3)="CHL",O379*10000*HLOOKUP("PTAX",'Histórico'!$A$1:$FG$983,MATCH(B379,'Histórico'!A:A),FALSE)
)))))))))))))))))))))))),""))</f>
        <v/>
      </c>
      <c r="O379" s="49" t="str">
        <f t="shared" si="2"/>
        <v/>
      </c>
      <c r="P379" s="49" t="str">
        <f t="shared" si="5"/>
        <v/>
      </c>
      <c r="Q379" s="51" t="str">
        <f>IF($C379&lt;&gt;"",SUMIFS($O$3:$O$401, $C$3:$C$401 ,$C379,$B$3:$B$401,"&lt;="&amp;Controle!$B$6),"")</f>
        <v/>
      </c>
      <c r="R379" s="51" t="str">
        <f>IF($D379&lt;&gt;"",SUMIFS($O$3:$O$401, $C$3:$C$401 ,$C379,$B$3:$B$401,"&lt;="&amp;Controle!$B$6,$F$3:$F$401,$F379),"")</f>
        <v/>
      </c>
      <c r="S379" s="51" t="str">
        <f>IF($D379&lt;&gt;"",SUMIFS($O$3:$O$401, $C$3:$C$401 ,$C379,$B$3:$B$401,"&lt;="&amp;'Controle D-1'!$B$6,$F$3:$F$401,$F379),"")</f>
        <v/>
      </c>
      <c r="T379" s="40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146"/>
      <c r="B380" s="149"/>
      <c r="C380" s="150"/>
      <c r="D380" s="150" t="str">
        <f>IF(ISTEXT(C380),VLOOKUP(C380,'Cadastro dos Ativos'!$A$2:$C$1000,3,0),"")</f>
        <v/>
      </c>
      <c r="E380" s="150"/>
      <c r="F380" s="150"/>
      <c r="G380" s="151"/>
      <c r="H380" s="46" t="str">
        <f>if($D380="Ações Americanas", HLOOKUP("PTAX",'Histórico'!$A$1:$EL$983,(MATCH(B380,'Histórico'!A:A))-1,""),
if($D380="Ações Europeias", HLOOKUP("EUR/BRL",'Histórico'!$A$1:$EL$983,(MATCH(B380,'Histórico'!A:A))-1,""),""))</f>
        <v/>
      </c>
      <c r="I380" s="150" t="str">
        <f t="array" ref="I380">IF(ISTEXT(C380),xlookup(C380,'Cadastro dos Ativos'!$A$2:$A$1000,'Cadastro dos Ativos'!$D$2:$D$1000),"")</f>
        <v/>
      </c>
      <c r="J380" s="150"/>
      <c r="K380" s="47" t="str">
        <f t="array" ref="K380">if(and(J380&lt;&gt;"",D380&lt;&gt;"Futuros"),
if(F380=Controle!$C$2, M380/xlookup(workday(B380,-1,Feriados!A:A),Controle!$B$10:$B$1000,Controle!$C$10:$C$1000),
if(F380=Controle!$F$2, M380/xlookup(workday(B380,-1,Feriados!A:A),Controle!$B$10:$B$1000,Controle!$F$10:$F$1000),
if(F380=Controle!$I$2, M380/xlookup(workday(B380,-1,Feriados!A:A),Controle!$B$10:$B$1000,Controle!$I$10:$I$1000),
if(F380=Controle!$L$2, M380/xlookup(workday(B380,-1,Feriados!A:A),Controle!$B$10:$B$1000,Controle!$L$10:$L$1000),
)))),
if(and(J380&lt;&gt;"",D380="Futuros"),
if(F380=Controle!$C$2, N380/xlookup(workday(B380,-1,Feriados!A:A),Controle!$B$10:$B$1000,Controle!$C$10:$C$1000),
if(F380=Controle!$F$2, N380/xlookup(workday(B380,-1,Feriados!A:A),Controle!$B$10:$B$1000,Controle!$F$10:$F$1000),
if(F380=Controle!$I$2, N380/xlookup(workday(B380,-1,Feriados!A:A),Controle!$B$10:$B$1000,Controle!$I$10:$I$1000),
if(F380=Controle!$L$2, N380/xlookup(workday(B380,-1,Feriados!A:A),Controle!$B$10:$B$1000,Controle!$L$10:$L$1000),
)))),""))</f>
        <v/>
      </c>
      <c r="L380" s="47" t="str">
        <f t="array" ref="L380">IF($J380&lt;&gt;"", IF($D380 = "Futuros" , $N380/xlookup(WORKDAY(B380,-1,Feriados!A:A),Controle!$B$10:$B$1000,Controle!$T$10:$T$1000) , $M380/xlookup(WORKDAY(B380,-1,Feriados!A:A),Controle!$B$10:$B$1000,Controle!$T$10:$T$1000)),"")</f>
        <v/>
      </c>
      <c r="M380" s="48" t="str">
        <f t="shared" si="4"/>
        <v/>
      </c>
      <c r="N380" s="48" t="str">
        <f>IFERROR(IF(D380="Futuros",
IF(LEFT(C380,3)="DI1",G380*O380,
IF(LEFT(C380,3)="ISP",G380*O380*HLOOKUP("PTAX",'Histórico'!$A$1:$EL$983,MATCH(B380,'Histórico'!A:A),FALSE)*50,
IF(LEFT(C380,3)="WDO",10*G380*O380*HLOOKUP("PTAX",'Histórico'!$A$1:$EL$983,MATCH(B380,'Histórico'!A:A),FALSE),
IF(LEFT(C380,3)="DOL",50*G380*O380,
IF(LEFT(C380,3)="EUR",G380*O380*50,
IF(LEFT(C380,3)="WEU",G380*O380*10,
IF(LEFT(C380,3)="IND",G380*O380,
IF(LEFT(C380,3)="WIN",G380*O380*0.2,
IF(LEFT(C380,3)="T10",G380*O380*1000*HLOOKUP("PTAX",'Histórico'!$A$1:$EL$983,MATCH(B380,'Histórico'!A:A),FALSE),
IF(LEFT(C380,3)="CCM",G380*O380*450,
IF(LEFT(C380,3)="SJC",G380*O380*HLOOKUP("PTAX",'Histórico'!$A$1:$EL$983,MATCH(B380,'Histórico'!A:A),FALSE)*450,
IF(LEFT(C380,3)="BGI",G380*O380*330,
IF(LEFT(C380,3)="OZ1",G380*O380*250,
IF(LEFT(C380,3)="CLP",G380*O380*25,
IF(LEFT(C380,3)="EUP", O380*10000*HLOOKUP("EUR/BRL",'Histórico'!$A$1:$EL$983,MATCH(B380,'Histórico'!A:A),FALSE),
IF(LEFT(C380,3)="JSE", G380*O380*0.4,
IF(LEFT(C380,3)="GBP", O380*10000*HLOOKUP("GBP/BRL",'Histórico'!$A$1:$FG$983,MATCH(B380,'Histórico'!A:A),FALSE),
IF(LEFT(C380,3)="JAP",O380*10000*HLOOKUP("PTAX",'Histórico'!$A$1:$FG$983,MATCH(B380,'Histórico'!A:A),FALSE),
IF(LEFT(C380,3)="CNH",O380*10000*HLOOKUP("PTAX",'Histórico'!$A$1:$FG$983,MATCH(B380,'Histórico'!A:A),FALSE),
IF(LEFT(C380,3)="AUS",O380*10000*HLOOKUP("PTAX",'Histórico'!$A$1:$FG$983,MATCH(B380,'Histórico'!A:A),FALSE),
IF(LEFT(C380,3)="CAN",O380*10000*HLOOKUP("PTAX",'Histórico'!$A$1:$FG$983,MATCH(B380,'Histórico'!A:A),FALSE),
IF(LEFT(C380,3)="GBR",O380*10000*HLOOKUP("GBP/BRL",'Histórico'!$A$1:$FG$983,MATCH(B380,'Histórico'!A:A),FALSE),
IF(LEFT(C380,3)="MEX",O380*10000*HLOOKUP("PTAX",'Histórico'!$A$1:$FG$983,MATCH(B380,'Histórico'!A:A),FALSE),
IF(LEFT(C380,3)="CHL",O380*10000*HLOOKUP("PTAX",'Histórico'!$A$1:$FG$983,MATCH(B380,'Histórico'!A:A),FALSE)
)))))))))))))))))))))))),""))</f>
        <v/>
      </c>
      <c r="O380" s="49" t="str">
        <f t="shared" si="2"/>
        <v/>
      </c>
      <c r="P380" s="49" t="str">
        <f t="shared" si="5"/>
        <v/>
      </c>
      <c r="Q380" s="51" t="str">
        <f>IF($C380&lt;&gt;"",SUMIFS($O$3:$O$401, $C$3:$C$401 ,$C380,$B$3:$B$401,"&lt;="&amp;Controle!$B$6),"")</f>
        <v/>
      </c>
      <c r="R380" s="51" t="str">
        <f>IF($D380&lt;&gt;"",SUMIFS($O$3:$O$401, $C$3:$C$401 ,$C380,$B$3:$B$401,"&lt;="&amp;Controle!$B$6,$F$3:$F$401,$F380),"")</f>
        <v/>
      </c>
      <c r="S380" s="51" t="str">
        <f>IF($D380&lt;&gt;"",SUMIFS($O$3:$O$401, $C$3:$C$401 ,$C380,$B$3:$B$401,"&lt;="&amp;'Controle D-1'!$B$6,$F$3:$F$401,$F380),"")</f>
        <v/>
      </c>
      <c r="T380" s="40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146"/>
      <c r="B381" s="149"/>
      <c r="C381" s="150"/>
      <c r="D381" s="150" t="str">
        <f>IF(ISTEXT(C381),VLOOKUP(C381,'Cadastro dos Ativos'!$A$2:$C$1000,3,0),"")</f>
        <v/>
      </c>
      <c r="E381" s="150"/>
      <c r="F381" s="150"/>
      <c r="G381" s="151"/>
      <c r="H381" s="101" t="str">
        <f>if($D381="Ações Americanas", HLOOKUP("PTAX",'Histórico'!$A$1:$EL$983,(MATCH(B381,'Histórico'!A:A))-1,""),
if($D381="Ações Europeias", HLOOKUP("EUR/BRL",'Histórico'!$A$1:$EL$983,(MATCH(B381,'Histórico'!A:A))-1,""),""))</f>
        <v/>
      </c>
      <c r="I381" s="150" t="str">
        <f t="array" ref="I381">IF(ISTEXT(C381),xlookup(C381,'Cadastro dos Ativos'!$A$2:$A$1000,'Cadastro dos Ativos'!$D$2:$D$1000),"")</f>
        <v/>
      </c>
      <c r="J381" s="150"/>
      <c r="K381" s="47" t="str">
        <f t="array" ref="K381">if(and(J381&lt;&gt;"",D381&lt;&gt;"Futuros"),
if(F381=Controle!$C$2, M381/xlookup(workday(B381,-1,Feriados!A:A),Controle!$B$10:$B$1000,Controle!$C$10:$C$1000),
if(F381=Controle!$F$2, M381/xlookup(workday(B381,-1,Feriados!A:A),Controle!$B$10:$B$1000,Controle!$F$10:$F$1000),
if(F381=Controle!$I$2, M381/xlookup(workday(B381,-1,Feriados!A:A),Controle!$B$10:$B$1000,Controle!$I$10:$I$1000),
if(F381=Controle!$L$2, M381/xlookup(workday(B381,-1,Feriados!A:A),Controle!$B$10:$B$1000,Controle!$L$10:$L$1000),
)))),
if(and(J381&lt;&gt;"",D381="Futuros"),
if(F381=Controle!$C$2, N381/xlookup(workday(B381,-1,Feriados!A:A),Controle!$B$10:$B$1000,Controle!$C$10:$C$1000),
if(F381=Controle!$F$2, N381/xlookup(workday(B381,-1,Feriados!A:A),Controle!$B$10:$B$1000,Controle!$F$10:$F$1000),
if(F381=Controle!$I$2, N381/xlookup(workday(B381,-1,Feriados!A:A),Controle!$B$10:$B$1000,Controle!$I$10:$I$1000),
if(F381=Controle!$L$2, N381/xlookup(workday(B381,-1,Feriados!A:A),Controle!$B$10:$B$1000,Controle!$L$10:$L$1000),
)))),""))</f>
        <v/>
      </c>
      <c r="L381" s="47" t="str">
        <f t="array" ref="L381">IF($J381&lt;&gt;"", IF($D381 = "Futuros" , $N381/xlookup(WORKDAY(B381,-1,Feriados!A:A),Controle!$B$10:$B$1000,Controle!$T$10:$T$1000) , $M381/xlookup(WORKDAY(B381,-1,Feriados!A:A),Controle!$B$10:$B$1000,Controle!$T$10:$T$1000)),"")</f>
        <v/>
      </c>
      <c r="M381" s="48" t="str">
        <f t="shared" si="4"/>
        <v/>
      </c>
      <c r="N381" s="48" t="str">
        <f>IFERROR(IF(D381="Futuros",
IF(LEFT(C381,3)="DI1",G381*O381,
IF(LEFT(C381,3)="ISP",G381*O381*HLOOKUP("PTAX",'Histórico'!$A$1:$EL$983,MATCH(B381,'Histórico'!A:A),FALSE)*50,
IF(LEFT(C381,3)="WDO",10*G381*O381*HLOOKUP("PTAX",'Histórico'!$A$1:$EL$983,MATCH(B381,'Histórico'!A:A),FALSE),
IF(LEFT(C381,3)="DOL",50*G381*O381,
IF(LEFT(C381,3)="EUR",G381*O381*50,
IF(LEFT(C381,3)="WEU",G381*O381*10,
IF(LEFT(C381,3)="IND",G381*O381,
IF(LEFT(C381,3)="WIN",G381*O381*0.2,
IF(LEFT(C381,3)="T10",G381*O381*1000*HLOOKUP("PTAX",'Histórico'!$A$1:$EL$983,MATCH(B381,'Histórico'!A:A),FALSE),
IF(LEFT(C381,3)="CCM",G381*O381*450,
IF(LEFT(C381,3)="SJC",G381*O381*HLOOKUP("PTAX",'Histórico'!$A$1:$EL$983,MATCH(B381,'Histórico'!A:A),FALSE)*450,
IF(LEFT(C381,3)="BGI",G381*O381*330,
IF(LEFT(C381,3)="OZ1",G381*O381*250,
IF(LEFT(C381,3)="CLP",G381*O381*25,
IF(LEFT(C381,3)="EUP", O381*10000*HLOOKUP("EUR/BRL",'Histórico'!$A$1:$EL$983,MATCH(B381,'Histórico'!A:A),FALSE),
IF(LEFT(C381,3)="JSE", G381*O381*0.4,
IF(LEFT(C381,3)="GBP", O381*10000*HLOOKUP("GBP/BRL",'Histórico'!$A$1:$FG$983,MATCH(B381,'Histórico'!A:A),FALSE),
IF(LEFT(C381,3)="JAP",O381*10000*HLOOKUP("PTAX",'Histórico'!$A$1:$FG$983,MATCH(B381,'Histórico'!A:A),FALSE),
IF(LEFT(C381,3)="CNH",O381*10000*HLOOKUP("PTAX",'Histórico'!$A$1:$FG$983,MATCH(B381,'Histórico'!A:A),FALSE),
IF(LEFT(C381,3)="AUS",O381*10000*HLOOKUP("PTAX",'Histórico'!$A$1:$FG$983,MATCH(B381,'Histórico'!A:A),FALSE),
IF(LEFT(C381,3)="CAN",O381*10000*HLOOKUP("PTAX",'Histórico'!$A$1:$FG$983,MATCH(B381,'Histórico'!A:A),FALSE),
IF(LEFT(C381,3)="GBR",O381*10000*HLOOKUP("GBP/BRL",'Histórico'!$A$1:$FG$983,MATCH(B381,'Histórico'!A:A),FALSE),
IF(LEFT(C381,3)="MEX",O381*10000*HLOOKUP("PTAX",'Histórico'!$A$1:$FG$983,MATCH(B381,'Histórico'!A:A),FALSE),
IF(LEFT(C381,3)="CHL",O381*10000*HLOOKUP("PTAX",'Histórico'!$A$1:$FG$983,MATCH(B381,'Histórico'!A:A),FALSE)
)))))))))))))))))))))))),""))</f>
        <v/>
      </c>
      <c r="O381" s="49" t="str">
        <f t="shared" si="2"/>
        <v/>
      </c>
      <c r="P381" s="49" t="str">
        <f t="shared" si="5"/>
        <v/>
      </c>
      <c r="Q381" s="51" t="str">
        <f>IF($C381&lt;&gt;"",SUMIFS($O$3:$O$401, $C$3:$C$401 ,$C381,$B$3:$B$401,"&lt;="&amp;Controle!$B$6),"")</f>
        <v/>
      </c>
      <c r="R381" s="51" t="str">
        <f>IF($D381&lt;&gt;"",SUMIFS($O$3:$O$401, $C$3:$C$401 ,$C381,$B$3:$B$401,"&lt;="&amp;Controle!$B$6,$F$3:$F$401,$F381),"")</f>
        <v/>
      </c>
      <c r="S381" s="51" t="str">
        <f>IF($D381&lt;&gt;"",SUMIFS($O$3:$O$401, $C$3:$C$401 ,$C381,$B$3:$B$401,"&lt;="&amp;'Controle D-1'!$B$6,$F$3:$F$401,$F381),"")</f>
        <v/>
      </c>
      <c r="T381" s="40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146"/>
      <c r="B382" s="149"/>
      <c r="C382" s="150"/>
      <c r="D382" s="150" t="str">
        <f>IF(ISTEXT(C382),VLOOKUP(C382,'Cadastro dos Ativos'!$A$2:$C$1000,3,0),"")</f>
        <v/>
      </c>
      <c r="E382" s="150"/>
      <c r="F382" s="150"/>
      <c r="G382" s="151"/>
      <c r="H382" s="46" t="str">
        <f>if($D382="Ações Americanas", HLOOKUP("PTAX",'Histórico'!$A$1:$EL$983,(MATCH(B382,'Histórico'!A:A))-1,""),
if($D382="Ações Europeias", HLOOKUP("EUR/BRL",'Histórico'!$A$1:$EL$983,(MATCH(B382,'Histórico'!A:A))-1,""),""))</f>
        <v/>
      </c>
      <c r="I382" s="150" t="str">
        <f t="array" ref="I382">IF(ISTEXT(C382),xlookup(C382,'Cadastro dos Ativos'!$A$2:$A$1000,'Cadastro dos Ativos'!$D$2:$D$1000),"")</f>
        <v/>
      </c>
      <c r="J382" s="150"/>
      <c r="K382" s="47" t="str">
        <f t="array" ref="K382">if(and(J382&lt;&gt;"",D382&lt;&gt;"Futuros"),
if(F382=Controle!$C$2, M382/xlookup(workday(B382,-1,Feriados!A:A),Controle!$B$10:$B$1000,Controle!$C$10:$C$1000),
if(F382=Controle!$F$2, M382/xlookup(workday(B382,-1,Feriados!A:A),Controle!$B$10:$B$1000,Controle!$F$10:$F$1000),
if(F382=Controle!$I$2, M382/xlookup(workday(B382,-1,Feriados!A:A),Controle!$B$10:$B$1000,Controle!$I$10:$I$1000),
if(F382=Controle!$L$2, M382/xlookup(workday(B382,-1,Feriados!A:A),Controle!$B$10:$B$1000,Controle!$L$10:$L$1000),
)))),
if(and(J382&lt;&gt;"",D382="Futuros"),
if(F382=Controle!$C$2, N382/xlookup(workday(B382,-1,Feriados!A:A),Controle!$B$10:$B$1000,Controle!$C$10:$C$1000),
if(F382=Controle!$F$2, N382/xlookup(workday(B382,-1,Feriados!A:A),Controle!$B$10:$B$1000,Controle!$F$10:$F$1000),
if(F382=Controle!$I$2, N382/xlookup(workday(B382,-1,Feriados!A:A),Controle!$B$10:$B$1000,Controle!$I$10:$I$1000),
if(F382=Controle!$L$2, N382/xlookup(workday(B382,-1,Feriados!A:A),Controle!$B$10:$B$1000,Controle!$L$10:$L$1000),
)))),""))</f>
        <v/>
      </c>
      <c r="L382" s="47" t="str">
        <f t="array" ref="L382">IF($J382&lt;&gt;"", IF($D382 = "Futuros" , $N382/xlookup(WORKDAY(B382,-1,Feriados!A:A),Controle!$B$10:$B$1000,Controle!$T$10:$T$1000) , $M382/xlookup(WORKDAY(B382,-1,Feriados!A:A),Controle!$B$10:$B$1000,Controle!$T$10:$T$1000)),"")</f>
        <v/>
      </c>
      <c r="M382" s="48" t="str">
        <f t="shared" si="4"/>
        <v/>
      </c>
      <c r="N382" s="48" t="str">
        <f>IFERROR(IF(D382="Futuros",
IF(LEFT(C382,3)="DI1",G382*O382,
IF(LEFT(C382,3)="ISP",G382*O382*HLOOKUP("PTAX",'Histórico'!$A$1:$EL$983,MATCH(B382,'Histórico'!A:A),FALSE)*50,
IF(LEFT(C382,3)="WDO",10*G382*O382*HLOOKUP("PTAX",'Histórico'!$A$1:$EL$983,MATCH(B382,'Histórico'!A:A),FALSE),
IF(LEFT(C382,3)="DOL",50*G382*O382,
IF(LEFT(C382,3)="EUR",G382*O382*50,
IF(LEFT(C382,3)="WEU",G382*O382*10,
IF(LEFT(C382,3)="IND",G382*O382,
IF(LEFT(C382,3)="WIN",G382*O382*0.2,
IF(LEFT(C382,3)="T10",G382*O382*1000*HLOOKUP("PTAX",'Histórico'!$A$1:$EL$983,MATCH(B382,'Histórico'!A:A),FALSE),
IF(LEFT(C382,3)="CCM",G382*O382*450,
IF(LEFT(C382,3)="SJC",G382*O382*HLOOKUP("PTAX",'Histórico'!$A$1:$EL$983,MATCH(B382,'Histórico'!A:A),FALSE)*450,
IF(LEFT(C382,3)="BGI",G382*O382*330,
IF(LEFT(C382,3)="OZ1",G382*O382*250,
IF(LEFT(C382,3)="CLP",G382*O382*25,
IF(LEFT(C382,3)="EUP", O382*10000*HLOOKUP("EUR/BRL",'Histórico'!$A$1:$EL$983,MATCH(B382,'Histórico'!A:A),FALSE),
IF(LEFT(C382,3)="JSE", G382*O382*0.4,
IF(LEFT(C382,3)="GBP", O382*10000*HLOOKUP("GBP/BRL",'Histórico'!$A$1:$FG$983,MATCH(B382,'Histórico'!A:A),FALSE),
IF(LEFT(C382,3)="JAP",O382*10000*HLOOKUP("PTAX",'Histórico'!$A$1:$FG$983,MATCH(B382,'Histórico'!A:A),FALSE),
IF(LEFT(C382,3)="CNH",O382*10000*HLOOKUP("PTAX",'Histórico'!$A$1:$FG$983,MATCH(B382,'Histórico'!A:A),FALSE),
IF(LEFT(C382,3)="AUS",O382*10000*HLOOKUP("PTAX",'Histórico'!$A$1:$FG$983,MATCH(B382,'Histórico'!A:A),FALSE),
IF(LEFT(C382,3)="CAN",O382*10000*HLOOKUP("PTAX",'Histórico'!$A$1:$FG$983,MATCH(B382,'Histórico'!A:A),FALSE),
IF(LEFT(C382,3)="GBR",O382*10000*HLOOKUP("GBP/BRL",'Histórico'!$A$1:$FG$983,MATCH(B382,'Histórico'!A:A),FALSE),
IF(LEFT(C382,3)="MEX",O382*10000*HLOOKUP("PTAX",'Histórico'!$A$1:$FG$983,MATCH(B382,'Histórico'!A:A),FALSE),
IF(LEFT(C382,3)="CHL",O382*10000*HLOOKUP("PTAX",'Histórico'!$A$1:$FG$983,MATCH(B382,'Histórico'!A:A),FALSE)
)))))))))))))))))))))))),""))</f>
        <v/>
      </c>
      <c r="O382" s="49" t="str">
        <f t="shared" si="2"/>
        <v/>
      </c>
      <c r="P382" s="49" t="str">
        <f t="shared" si="5"/>
        <v/>
      </c>
      <c r="Q382" s="51" t="str">
        <f>IF($C382&lt;&gt;"",SUMIFS($O$3:$O$401, $C$3:$C$401 ,$C382,$B$3:$B$401,"&lt;="&amp;Controle!$B$6),"")</f>
        <v/>
      </c>
      <c r="R382" s="51" t="str">
        <f>IF($D382&lt;&gt;"",SUMIFS($O$3:$O$401, $C$3:$C$401 ,$C382,$B$3:$B$401,"&lt;="&amp;Controle!$B$6,$F$3:$F$401,$F382),"")</f>
        <v/>
      </c>
      <c r="S382" s="51" t="str">
        <f>IF($D382&lt;&gt;"",SUMIFS($O$3:$O$401, $C$3:$C$401 ,$C382,$B$3:$B$401,"&lt;="&amp;'Controle D-1'!$B$6,$F$3:$F$401,$F382),"")</f>
        <v/>
      </c>
      <c r="T382" s="40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146"/>
      <c r="B383" s="149"/>
      <c r="C383" s="150"/>
      <c r="D383" s="150" t="str">
        <f>IF(ISTEXT(C383),VLOOKUP(C383,'Cadastro dos Ativos'!$A$2:$C$1000,3,0),"")</f>
        <v/>
      </c>
      <c r="E383" s="150"/>
      <c r="F383" s="150"/>
      <c r="G383" s="151"/>
      <c r="H383" s="101" t="str">
        <f>if($D383="Ações Americanas", HLOOKUP("PTAX",'Histórico'!$A$1:$EL$983,(MATCH(B383,'Histórico'!A:A))-1,""),
if($D383="Ações Europeias", HLOOKUP("EUR/BRL",'Histórico'!$A$1:$EL$983,(MATCH(B383,'Histórico'!A:A))-1,""),""))</f>
        <v/>
      </c>
      <c r="I383" s="150" t="str">
        <f t="array" ref="I383">IF(ISTEXT(C383),xlookup(C383,'Cadastro dos Ativos'!$A$2:$A$1000,'Cadastro dos Ativos'!$D$2:$D$1000),"")</f>
        <v/>
      </c>
      <c r="J383" s="150"/>
      <c r="K383" s="47" t="str">
        <f t="array" ref="K383">if(and(J383&lt;&gt;"",D383&lt;&gt;"Futuros"),
if(F383=Controle!$C$2, M383/xlookup(workday(B383,-1,Feriados!A:A),Controle!$B$10:$B$1000,Controle!$C$10:$C$1000),
if(F383=Controle!$F$2, M383/xlookup(workday(B383,-1,Feriados!A:A),Controle!$B$10:$B$1000,Controle!$F$10:$F$1000),
if(F383=Controle!$I$2, M383/xlookup(workday(B383,-1,Feriados!A:A),Controle!$B$10:$B$1000,Controle!$I$10:$I$1000),
if(F383=Controle!$L$2, M383/xlookup(workday(B383,-1,Feriados!A:A),Controle!$B$10:$B$1000,Controle!$L$10:$L$1000),
)))),
if(and(J383&lt;&gt;"",D383="Futuros"),
if(F383=Controle!$C$2, N383/xlookup(workday(B383,-1,Feriados!A:A),Controle!$B$10:$B$1000,Controle!$C$10:$C$1000),
if(F383=Controle!$F$2, N383/xlookup(workday(B383,-1,Feriados!A:A),Controle!$B$10:$B$1000,Controle!$F$10:$F$1000),
if(F383=Controle!$I$2, N383/xlookup(workday(B383,-1,Feriados!A:A),Controle!$B$10:$B$1000,Controle!$I$10:$I$1000),
if(F383=Controle!$L$2, N383/xlookup(workday(B383,-1,Feriados!A:A),Controle!$B$10:$B$1000,Controle!$L$10:$L$1000),
)))),""))</f>
        <v/>
      </c>
      <c r="L383" s="47" t="str">
        <f t="array" ref="L383">IF($J383&lt;&gt;"", IF($D383 = "Futuros" , $N383/xlookup(WORKDAY(B383,-1,Feriados!A:A),Controle!$B$10:$B$1000,Controle!$T$10:$T$1000) , $M383/xlookup(WORKDAY(B383,-1,Feriados!A:A),Controle!$B$10:$B$1000,Controle!$T$10:$T$1000)),"")</f>
        <v/>
      </c>
      <c r="M383" s="48" t="str">
        <f t="shared" si="4"/>
        <v/>
      </c>
      <c r="N383" s="48" t="str">
        <f>IFERROR(IF(D383="Futuros",
IF(LEFT(C383,3)="DI1",G383*O383,
IF(LEFT(C383,3)="ISP",G383*O383*HLOOKUP("PTAX",'Histórico'!$A$1:$EL$983,MATCH(B383,'Histórico'!A:A),FALSE)*50,
IF(LEFT(C383,3)="WDO",10*G383*O383*HLOOKUP("PTAX",'Histórico'!$A$1:$EL$983,MATCH(B383,'Histórico'!A:A),FALSE),
IF(LEFT(C383,3)="DOL",50*G383*O383,
IF(LEFT(C383,3)="EUR",G383*O383*50,
IF(LEFT(C383,3)="WEU",G383*O383*10,
IF(LEFT(C383,3)="IND",G383*O383,
IF(LEFT(C383,3)="WIN",G383*O383*0.2,
IF(LEFT(C383,3)="T10",G383*O383*1000*HLOOKUP("PTAX",'Histórico'!$A$1:$EL$983,MATCH(B383,'Histórico'!A:A),FALSE),
IF(LEFT(C383,3)="CCM",G383*O383*450,
IF(LEFT(C383,3)="SJC",G383*O383*HLOOKUP("PTAX",'Histórico'!$A$1:$EL$983,MATCH(B383,'Histórico'!A:A),FALSE)*450,
IF(LEFT(C383,3)="BGI",G383*O383*330,
IF(LEFT(C383,3)="OZ1",G383*O383*250,
IF(LEFT(C383,3)="CLP",G383*O383*25,
IF(LEFT(C383,3)="EUP", O383*10000*HLOOKUP("EUR/BRL",'Histórico'!$A$1:$EL$983,MATCH(B383,'Histórico'!A:A),FALSE),
IF(LEFT(C383,3)="JSE", G383*O383*0.4,
IF(LEFT(C383,3)="GBP", O383*10000*HLOOKUP("GBP/BRL",'Histórico'!$A$1:$FG$983,MATCH(B383,'Histórico'!A:A),FALSE),
IF(LEFT(C383,3)="JAP",O383*10000*HLOOKUP("PTAX",'Histórico'!$A$1:$FG$983,MATCH(B383,'Histórico'!A:A),FALSE),
IF(LEFT(C383,3)="CNH",O383*10000*HLOOKUP("PTAX",'Histórico'!$A$1:$FG$983,MATCH(B383,'Histórico'!A:A),FALSE),
IF(LEFT(C383,3)="AUS",O383*10000*HLOOKUP("PTAX",'Histórico'!$A$1:$FG$983,MATCH(B383,'Histórico'!A:A),FALSE),
IF(LEFT(C383,3)="CAN",O383*10000*HLOOKUP("PTAX",'Histórico'!$A$1:$FG$983,MATCH(B383,'Histórico'!A:A),FALSE),
IF(LEFT(C383,3)="GBR",O383*10000*HLOOKUP("GBP/BRL",'Histórico'!$A$1:$FG$983,MATCH(B383,'Histórico'!A:A),FALSE),
IF(LEFT(C383,3)="MEX",O383*10000*HLOOKUP("PTAX",'Histórico'!$A$1:$FG$983,MATCH(B383,'Histórico'!A:A),FALSE),
IF(LEFT(C383,3)="CHL",O383*10000*HLOOKUP("PTAX",'Histórico'!$A$1:$FG$983,MATCH(B383,'Histórico'!A:A),FALSE)
)))))))))))))))))))))))),""))</f>
        <v/>
      </c>
      <c r="O383" s="49" t="str">
        <f t="shared" si="2"/>
        <v/>
      </c>
      <c r="P383" s="49" t="str">
        <f t="shared" si="5"/>
        <v/>
      </c>
      <c r="Q383" s="51" t="str">
        <f>IF($C383&lt;&gt;"",SUMIFS($O$3:$O$401, $C$3:$C$401 ,$C383,$B$3:$B$401,"&lt;="&amp;Controle!$B$6),"")</f>
        <v/>
      </c>
      <c r="R383" s="51" t="str">
        <f>IF($D383&lt;&gt;"",SUMIFS($O$3:$O$401, $C$3:$C$401 ,$C383,$B$3:$B$401,"&lt;="&amp;Controle!$B$6,$F$3:$F$401,$F383),"")</f>
        <v/>
      </c>
      <c r="S383" s="51" t="str">
        <f>IF($D383&lt;&gt;"",SUMIFS($O$3:$O$401, $C$3:$C$401 ,$C383,$B$3:$B$401,"&lt;="&amp;'Controle D-1'!$B$6,$F$3:$F$401,$F383),"")</f>
        <v/>
      </c>
      <c r="T383" s="40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146"/>
      <c r="B384" s="149"/>
      <c r="C384" s="150"/>
      <c r="D384" s="150" t="str">
        <f>IF(ISTEXT(C384),VLOOKUP(C384,'Cadastro dos Ativos'!$A$2:$C$1000,3,0),"")</f>
        <v/>
      </c>
      <c r="E384" s="150"/>
      <c r="F384" s="150"/>
      <c r="G384" s="151"/>
      <c r="H384" s="46" t="str">
        <f>if($D384="Ações Americanas", HLOOKUP("PTAX",'Histórico'!$A$1:$EL$983,(MATCH(B384,'Histórico'!A:A))-1,""),
if($D384="Ações Europeias", HLOOKUP("EUR/BRL",'Histórico'!$A$1:$EL$983,(MATCH(B384,'Histórico'!A:A))-1,""),""))</f>
        <v/>
      </c>
      <c r="I384" s="150" t="str">
        <f t="array" ref="I384">IF(ISTEXT(C384),xlookup(C384,'Cadastro dos Ativos'!$A$2:$A$1000,'Cadastro dos Ativos'!$D$2:$D$1000),"")</f>
        <v/>
      </c>
      <c r="J384" s="150"/>
      <c r="K384" s="47" t="str">
        <f t="array" ref="K384">if(and(J384&lt;&gt;"",D384&lt;&gt;"Futuros"),
if(F384=Controle!$C$2, M384/xlookup(workday(B384,-1,Feriados!A:A),Controle!$B$10:$B$1000,Controle!$C$10:$C$1000),
if(F384=Controle!$F$2, M384/xlookup(workday(B384,-1,Feriados!A:A),Controle!$B$10:$B$1000,Controle!$F$10:$F$1000),
if(F384=Controle!$I$2, M384/xlookup(workday(B384,-1,Feriados!A:A),Controle!$B$10:$B$1000,Controle!$I$10:$I$1000),
if(F384=Controle!$L$2, M384/xlookup(workday(B384,-1,Feriados!A:A),Controle!$B$10:$B$1000,Controle!$L$10:$L$1000),
)))),
if(and(J384&lt;&gt;"",D384="Futuros"),
if(F384=Controle!$C$2, N384/xlookup(workday(B384,-1,Feriados!A:A),Controle!$B$10:$B$1000,Controle!$C$10:$C$1000),
if(F384=Controle!$F$2, N384/xlookup(workday(B384,-1,Feriados!A:A),Controle!$B$10:$B$1000,Controle!$F$10:$F$1000),
if(F384=Controle!$I$2, N384/xlookup(workday(B384,-1,Feriados!A:A),Controle!$B$10:$B$1000,Controle!$I$10:$I$1000),
if(F384=Controle!$L$2, N384/xlookup(workday(B384,-1,Feriados!A:A),Controle!$B$10:$B$1000,Controle!$L$10:$L$1000),
)))),""))</f>
        <v/>
      </c>
      <c r="L384" s="47" t="str">
        <f t="array" ref="L384">IF($J384&lt;&gt;"", IF($D384 = "Futuros" , $N384/xlookup(WORKDAY(B384,-1,Feriados!A:A),Controle!$B$10:$B$1000,Controle!$T$10:$T$1000) , $M384/xlookup(WORKDAY(B384,-1,Feriados!A:A),Controle!$B$10:$B$1000,Controle!$T$10:$T$1000)),"")</f>
        <v/>
      </c>
      <c r="M384" s="48" t="str">
        <f t="shared" si="4"/>
        <v/>
      </c>
      <c r="N384" s="48" t="str">
        <f>IFERROR(IF(D384="Futuros",
IF(LEFT(C384,3)="DI1",G384*O384,
IF(LEFT(C384,3)="ISP",G384*O384*HLOOKUP("PTAX",'Histórico'!$A$1:$EL$983,MATCH(B384,'Histórico'!A:A),FALSE)*50,
IF(LEFT(C384,3)="WDO",10*G384*O384*HLOOKUP("PTAX",'Histórico'!$A$1:$EL$983,MATCH(B384,'Histórico'!A:A),FALSE),
IF(LEFT(C384,3)="DOL",50*G384*O384,
IF(LEFT(C384,3)="EUR",G384*O384*50,
IF(LEFT(C384,3)="WEU",G384*O384*10,
IF(LEFT(C384,3)="IND",G384*O384,
IF(LEFT(C384,3)="WIN",G384*O384*0.2,
IF(LEFT(C384,3)="T10",G384*O384*1000*HLOOKUP("PTAX",'Histórico'!$A$1:$EL$983,MATCH(B384,'Histórico'!A:A),FALSE),
IF(LEFT(C384,3)="CCM",G384*O384*450,
IF(LEFT(C384,3)="SJC",G384*O384*HLOOKUP("PTAX",'Histórico'!$A$1:$EL$983,MATCH(B384,'Histórico'!A:A),FALSE)*450,
IF(LEFT(C384,3)="BGI",G384*O384*330,
IF(LEFT(C384,3)="OZ1",G384*O384*250,
IF(LEFT(C384,3)="CLP",G384*O384*25,
IF(LEFT(C384,3)="EUP", O384*10000*HLOOKUP("EUR/BRL",'Histórico'!$A$1:$EL$983,MATCH(B384,'Histórico'!A:A),FALSE),
IF(LEFT(C384,3)="JSE", G384*O384*0.4,
IF(LEFT(C384,3)="GBP", O384*10000*HLOOKUP("GBP/BRL",'Histórico'!$A$1:$FG$983,MATCH(B384,'Histórico'!A:A),FALSE),
IF(LEFT(C384,3)="JAP",O384*10000*HLOOKUP("PTAX",'Histórico'!$A$1:$FG$983,MATCH(B384,'Histórico'!A:A),FALSE),
IF(LEFT(C384,3)="CNH",O384*10000*HLOOKUP("PTAX",'Histórico'!$A$1:$FG$983,MATCH(B384,'Histórico'!A:A),FALSE),
IF(LEFT(C384,3)="AUS",O384*10000*HLOOKUP("PTAX",'Histórico'!$A$1:$FG$983,MATCH(B384,'Histórico'!A:A),FALSE),
IF(LEFT(C384,3)="CAN",O384*10000*HLOOKUP("PTAX",'Histórico'!$A$1:$FG$983,MATCH(B384,'Histórico'!A:A),FALSE),
IF(LEFT(C384,3)="GBR",O384*10000*HLOOKUP("GBP/BRL",'Histórico'!$A$1:$FG$983,MATCH(B384,'Histórico'!A:A),FALSE),
IF(LEFT(C384,3)="MEX",O384*10000*HLOOKUP("PTAX",'Histórico'!$A$1:$FG$983,MATCH(B384,'Histórico'!A:A),FALSE),
IF(LEFT(C384,3)="CHL",O384*10000*HLOOKUP("PTAX",'Histórico'!$A$1:$FG$983,MATCH(B384,'Histórico'!A:A),FALSE)
)))))))))))))))))))))))),""))</f>
        <v/>
      </c>
      <c r="O384" s="49" t="str">
        <f t="shared" si="2"/>
        <v/>
      </c>
      <c r="P384" s="49" t="str">
        <f t="shared" si="5"/>
        <v/>
      </c>
      <c r="Q384" s="51" t="str">
        <f>IF($C384&lt;&gt;"",SUMIFS($O$3:$O$401, $C$3:$C$401 ,$C384,$B$3:$B$401,"&lt;="&amp;Controle!$B$6),"")</f>
        <v/>
      </c>
      <c r="R384" s="51" t="str">
        <f>IF($D384&lt;&gt;"",SUMIFS($O$3:$O$401, $C$3:$C$401 ,$C384,$B$3:$B$401,"&lt;="&amp;Controle!$B$6,$F$3:$F$401,$F384),"")</f>
        <v/>
      </c>
      <c r="S384" s="51" t="str">
        <f>IF($D384&lt;&gt;"",SUMIFS($O$3:$O$401, $C$3:$C$401 ,$C384,$B$3:$B$401,"&lt;="&amp;'Controle D-1'!$B$6,$F$3:$F$401,$F384),"")</f>
        <v/>
      </c>
      <c r="T384" s="40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146"/>
      <c r="B385" s="149"/>
      <c r="C385" s="150"/>
      <c r="D385" s="150" t="str">
        <f>IF(ISTEXT(C385),VLOOKUP(C385,'Cadastro dos Ativos'!$A$2:$C$1000,3,0),"")</f>
        <v/>
      </c>
      <c r="E385" s="150"/>
      <c r="F385" s="150"/>
      <c r="G385" s="151"/>
      <c r="H385" s="101" t="str">
        <f>if($D385="Ações Americanas", HLOOKUP("PTAX",'Histórico'!$A$1:$EL$983,(MATCH(B385,'Histórico'!A:A))-1,""),
if($D385="Ações Europeias", HLOOKUP("EUR/BRL",'Histórico'!$A$1:$EL$983,(MATCH(B385,'Histórico'!A:A))-1,""),""))</f>
        <v/>
      </c>
      <c r="I385" s="150" t="str">
        <f t="array" ref="I385">IF(ISTEXT(C385),xlookup(C385,'Cadastro dos Ativos'!$A$2:$A$1000,'Cadastro dos Ativos'!$D$2:$D$1000),"")</f>
        <v/>
      </c>
      <c r="J385" s="150"/>
      <c r="K385" s="47" t="str">
        <f t="array" ref="K385">if(and(J385&lt;&gt;"",D385&lt;&gt;"Futuros"),
if(F385=Controle!$C$2, M385/xlookup(workday(B385,-1,Feriados!A:A),Controle!$B$10:$B$1000,Controle!$C$10:$C$1000),
if(F385=Controle!$F$2, M385/xlookup(workday(B385,-1,Feriados!A:A),Controle!$B$10:$B$1000,Controle!$F$10:$F$1000),
if(F385=Controle!$I$2, M385/xlookup(workday(B385,-1,Feriados!A:A),Controle!$B$10:$B$1000,Controle!$I$10:$I$1000),
if(F385=Controle!$L$2, M385/xlookup(workday(B385,-1,Feriados!A:A),Controle!$B$10:$B$1000,Controle!$L$10:$L$1000),
)))),
if(and(J385&lt;&gt;"",D385="Futuros"),
if(F385=Controle!$C$2, N385/xlookup(workday(B385,-1,Feriados!A:A),Controle!$B$10:$B$1000,Controle!$C$10:$C$1000),
if(F385=Controle!$F$2, N385/xlookup(workday(B385,-1,Feriados!A:A),Controle!$B$10:$B$1000,Controle!$F$10:$F$1000),
if(F385=Controle!$I$2, N385/xlookup(workday(B385,-1,Feriados!A:A),Controle!$B$10:$B$1000,Controle!$I$10:$I$1000),
if(F385=Controle!$L$2, N385/xlookup(workday(B385,-1,Feriados!A:A),Controle!$B$10:$B$1000,Controle!$L$10:$L$1000),
)))),""))</f>
        <v/>
      </c>
      <c r="L385" s="47" t="str">
        <f t="array" ref="L385">IF($J385&lt;&gt;"", IF($D385 = "Futuros" , $N385/xlookup(WORKDAY(B385,-1,Feriados!A:A),Controle!$B$10:$B$1000,Controle!$T$10:$T$1000) , $M385/xlookup(WORKDAY(B385,-1,Feriados!A:A),Controle!$B$10:$B$1000,Controle!$T$10:$T$1000)),"")</f>
        <v/>
      </c>
      <c r="M385" s="48" t="str">
        <f t="shared" si="4"/>
        <v/>
      </c>
      <c r="N385" s="48" t="str">
        <f>IFERROR(IF(D385="Futuros",
IF(LEFT(C385,3)="DI1",G385*O385,
IF(LEFT(C385,3)="ISP",G385*O385*HLOOKUP("PTAX",'Histórico'!$A$1:$EL$983,MATCH(B385,'Histórico'!A:A),FALSE)*50,
IF(LEFT(C385,3)="WDO",10*G385*O385*HLOOKUP("PTAX",'Histórico'!$A$1:$EL$983,MATCH(B385,'Histórico'!A:A),FALSE),
IF(LEFT(C385,3)="DOL",50*G385*O385,
IF(LEFT(C385,3)="EUR",G385*O385*50,
IF(LEFT(C385,3)="WEU",G385*O385*10,
IF(LEFT(C385,3)="IND",G385*O385,
IF(LEFT(C385,3)="WIN",G385*O385*0.2,
IF(LEFT(C385,3)="T10",G385*O385*1000*HLOOKUP("PTAX",'Histórico'!$A$1:$EL$983,MATCH(B385,'Histórico'!A:A),FALSE),
IF(LEFT(C385,3)="CCM",G385*O385*450,
IF(LEFT(C385,3)="SJC",G385*O385*HLOOKUP("PTAX",'Histórico'!$A$1:$EL$983,MATCH(B385,'Histórico'!A:A),FALSE)*450,
IF(LEFT(C385,3)="BGI",G385*O385*330,
IF(LEFT(C385,3)="OZ1",G385*O385*250,
IF(LEFT(C385,3)="CLP",G385*O385*25,
IF(LEFT(C385,3)="EUP", O385*10000*HLOOKUP("EUR/BRL",'Histórico'!$A$1:$EL$983,MATCH(B385,'Histórico'!A:A),FALSE),
IF(LEFT(C385,3)="JSE", G385*O385*0.4,
IF(LEFT(C385,3)="GBP", O385*10000*HLOOKUP("GBP/BRL",'Histórico'!$A$1:$FG$983,MATCH(B385,'Histórico'!A:A),FALSE),
IF(LEFT(C385,3)="JAP",O385*10000*HLOOKUP("PTAX",'Histórico'!$A$1:$FG$983,MATCH(B385,'Histórico'!A:A),FALSE),
IF(LEFT(C385,3)="CNH",O385*10000*HLOOKUP("PTAX",'Histórico'!$A$1:$FG$983,MATCH(B385,'Histórico'!A:A),FALSE),
IF(LEFT(C385,3)="AUS",O385*10000*HLOOKUP("PTAX",'Histórico'!$A$1:$FG$983,MATCH(B385,'Histórico'!A:A),FALSE),
IF(LEFT(C385,3)="CAN",O385*10000*HLOOKUP("PTAX",'Histórico'!$A$1:$FG$983,MATCH(B385,'Histórico'!A:A),FALSE),
IF(LEFT(C385,3)="GBR",O385*10000*HLOOKUP("GBP/BRL",'Histórico'!$A$1:$FG$983,MATCH(B385,'Histórico'!A:A),FALSE),
IF(LEFT(C385,3)="MEX",O385*10000*HLOOKUP("PTAX",'Histórico'!$A$1:$FG$983,MATCH(B385,'Histórico'!A:A),FALSE),
IF(LEFT(C385,3)="CHL",O385*10000*HLOOKUP("PTAX",'Histórico'!$A$1:$FG$983,MATCH(B385,'Histórico'!A:A),FALSE)
)))))))))))))))))))))))),""))</f>
        <v/>
      </c>
      <c r="O385" s="49" t="str">
        <f t="shared" si="2"/>
        <v/>
      </c>
      <c r="P385" s="49" t="str">
        <f t="shared" si="5"/>
        <v/>
      </c>
      <c r="Q385" s="51" t="str">
        <f>IF($C385&lt;&gt;"",SUMIFS($O$3:$O$401, $C$3:$C$401 ,$C385,$B$3:$B$401,"&lt;="&amp;Controle!$B$6),"")</f>
        <v/>
      </c>
      <c r="R385" s="51" t="str">
        <f>IF($D385&lt;&gt;"",SUMIFS($O$3:$O$401, $C$3:$C$401 ,$C385,$B$3:$B$401,"&lt;="&amp;Controle!$B$6,$F$3:$F$401,$F385),"")</f>
        <v/>
      </c>
      <c r="S385" s="51" t="str">
        <f>IF($D385&lt;&gt;"",SUMIFS($O$3:$O$401, $C$3:$C$401 ,$C385,$B$3:$B$401,"&lt;="&amp;'Controle D-1'!$B$6,$F$3:$F$401,$F385),"")</f>
        <v/>
      </c>
      <c r="T385" s="40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146"/>
      <c r="B386" s="149"/>
      <c r="C386" s="150"/>
      <c r="D386" s="150" t="str">
        <f>IF(ISTEXT(C386),VLOOKUP(C386,'Cadastro dos Ativos'!$A$2:$C$1000,3,0),"")</f>
        <v/>
      </c>
      <c r="E386" s="150"/>
      <c r="F386" s="150"/>
      <c r="G386" s="151"/>
      <c r="H386" s="46" t="str">
        <f>if($D386="Ações Americanas", HLOOKUP("PTAX",'Histórico'!$A$1:$EL$983,(MATCH(B386,'Histórico'!A:A))-1,""),
if($D386="Ações Europeias", HLOOKUP("EUR/BRL",'Histórico'!$A$1:$EL$983,(MATCH(B386,'Histórico'!A:A))-1,""),""))</f>
        <v/>
      </c>
      <c r="I386" s="150" t="str">
        <f t="array" ref="I386">IF(ISTEXT(C386),xlookup(C386,'Cadastro dos Ativos'!$A$2:$A$1000,'Cadastro dos Ativos'!$D$2:$D$1000),"")</f>
        <v/>
      </c>
      <c r="J386" s="150"/>
      <c r="K386" s="47" t="str">
        <f t="array" ref="K386">if(and(J386&lt;&gt;"",D386&lt;&gt;"Futuros"),
if(F386=Controle!$C$2, M386/xlookup(workday(B386,-1,Feriados!A:A),Controle!$B$10:$B$1000,Controle!$C$10:$C$1000),
if(F386=Controle!$F$2, M386/xlookup(workday(B386,-1,Feriados!A:A),Controle!$B$10:$B$1000,Controle!$F$10:$F$1000),
if(F386=Controle!$I$2, M386/xlookup(workday(B386,-1,Feriados!A:A),Controle!$B$10:$B$1000,Controle!$I$10:$I$1000),
if(F386=Controle!$L$2, M386/xlookup(workday(B386,-1,Feriados!A:A),Controle!$B$10:$B$1000,Controle!$L$10:$L$1000),
)))),
if(and(J386&lt;&gt;"",D386="Futuros"),
if(F386=Controle!$C$2, N386/xlookup(workday(B386,-1,Feriados!A:A),Controle!$B$10:$B$1000,Controle!$C$10:$C$1000),
if(F386=Controle!$F$2, N386/xlookup(workday(B386,-1,Feriados!A:A),Controle!$B$10:$B$1000,Controle!$F$10:$F$1000),
if(F386=Controle!$I$2, N386/xlookup(workday(B386,-1,Feriados!A:A),Controle!$B$10:$B$1000,Controle!$I$10:$I$1000),
if(F386=Controle!$L$2, N386/xlookup(workday(B386,-1,Feriados!A:A),Controle!$B$10:$B$1000,Controle!$L$10:$L$1000),
)))),""))</f>
        <v/>
      </c>
      <c r="L386" s="47" t="str">
        <f t="array" ref="L386">IF($J386&lt;&gt;"", IF($D386 = "Futuros" , $N386/xlookup(WORKDAY(B386,-1,Feriados!A:A),Controle!$B$10:$B$1000,Controle!$T$10:$T$1000) , $M386/xlookup(WORKDAY(B386,-1,Feriados!A:A),Controle!$B$10:$B$1000,Controle!$T$10:$T$1000)),"")</f>
        <v/>
      </c>
      <c r="M386" s="48" t="str">
        <f t="shared" si="4"/>
        <v/>
      </c>
      <c r="N386" s="48" t="str">
        <f>IFERROR(IF(D386="Futuros",
IF(LEFT(C386,3)="DI1",G386*O386,
IF(LEFT(C386,3)="ISP",G386*O386*HLOOKUP("PTAX",'Histórico'!$A$1:$EL$983,MATCH(B386,'Histórico'!A:A),FALSE)*50,
IF(LEFT(C386,3)="WDO",10*G386*O386*HLOOKUP("PTAX",'Histórico'!$A$1:$EL$983,MATCH(B386,'Histórico'!A:A),FALSE),
IF(LEFT(C386,3)="DOL",50*G386*O386,
IF(LEFT(C386,3)="EUR",G386*O386*50,
IF(LEFT(C386,3)="WEU",G386*O386*10,
IF(LEFT(C386,3)="IND",G386*O386,
IF(LEFT(C386,3)="WIN",G386*O386*0.2,
IF(LEFT(C386,3)="T10",G386*O386*1000*HLOOKUP("PTAX",'Histórico'!$A$1:$EL$983,MATCH(B386,'Histórico'!A:A),FALSE),
IF(LEFT(C386,3)="CCM",G386*O386*450,
IF(LEFT(C386,3)="SJC",G386*O386*HLOOKUP("PTAX",'Histórico'!$A$1:$EL$983,MATCH(B386,'Histórico'!A:A),FALSE)*450,
IF(LEFT(C386,3)="BGI",G386*O386*330,
IF(LEFT(C386,3)="OZ1",G386*O386*250,
IF(LEFT(C386,3)="CLP",G386*O386*25,
IF(LEFT(C386,3)="EUP", O386*10000*HLOOKUP("EUR/BRL",'Histórico'!$A$1:$EL$983,MATCH(B386,'Histórico'!A:A),FALSE),
IF(LEFT(C386,3)="JSE", G386*O386*0.4,
IF(LEFT(C386,3)="GBP", O386*10000*HLOOKUP("GBP/BRL",'Histórico'!$A$1:$FG$983,MATCH(B386,'Histórico'!A:A),FALSE),
IF(LEFT(C386,3)="JAP",O386*10000*HLOOKUP("PTAX",'Histórico'!$A$1:$FG$983,MATCH(B386,'Histórico'!A:A),FALSE),
IF(LEFT(C386,3)="CNH",O386*10000*HLOOKUP("PTAX",'Histórico'!$A$1:$FG$983,MATCH(B386,'Histórico'!A:A),FALSE),
IF(LEFT(C386,3)="AUS",O386*10000*HLOOKUP("PTAX",'Histórico'!$A$1:$FG$983,MATCH(B386,'Histórico'!A:A),FALSE),
IF(LEFT(C386,3)="CAN",O386*10000*HLOOKUP("PTAX",'Histórico'!$A$1:$FG$983,MATCH(B386,'Histórico'!A:A),FALSE),
IF(LEFT(C386,3)="GBR",O386*10000*HLOOKUP("GBP/BRL",'Histórico'!$A$1:$FG$983,MATCH(B386,'Histórico'!A:A),FALSE),
IF(LEFT(C386,3)="MEX",O386*10000*HLOOKUP("PTAX",'Histórico'!$A$1:$FG$983,MATCH(B386,'Histórico'!A:A),FALSE),
IF(LEFT(C386,3)="CHL",O386*10000*HLOOKUP("PTAX",'Histórico'!$A$1:$FG$983,MATCH(B386,'Histórico'!A:A),FALSE)
)))))))))))))))))))))))),""))</f>
        <v/>
      </c>
      <c r="O386" s="49" t="str">
        <f t="shared" si="2"/>
        <v/>
      </c>
      <c r="P386" s="49" t="str">
        <f t="shared" si="5"/>
        <v/>
      </c>
      <c r="Q386" s="51" t="str">
        <f>IF($C386&lt;&gt;"",SUMIFS($O$3:$O$401, $C$3:$C$401 ,$C386,$B$3:$B$401,"&lt;="&amp;Controle!$B$6),"")</f>
        <v/>
      </c>
      <c r="R386" s="51" t="str">
        <f>IF($D386&lt;&gt;"",SUMIFS($O$3:$O$401, $C$3:$C$401 ,$C386,$B$3:$B$401,"&lt;="&amp;Controle!$B$6,$F$3:$F$401,$F386),"")</f>
        <v/>
      </c>
      <c r="S386" s="51" t="str">
        <f>IF($D386&lt;&gt;"",SUMIFS($O$3:$O$401, $C$3:$C$401 ,$C386,$B$3:$B$401,"&lt;="&amp;'Controle D-1'!$B$6,$F$3:$F$401,$F386),"")</f>
        <v/>
      </c>
      <c r="T386" s="40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146"/>
      <c r="B387" s="149"/>
      <c r="C387" s="150"/>
      <c r="D387" s="150" t="str">
        <f>IF(ISTEXT(C387),VLOOKUP(C387,'Cadastro dos Ativos'!$A$2:$C$1000,3,0),"")</f>
        <v/>
      </c>
      <c r="E387" s="150"/>
      <c r="F387" s="150"/>
      <c r="G387" s="151"/>
      <c r="H387" s="101" t="str">
        <f>if($D387="Ações Americanas", HLOOKUP("PTAX",'Histórico'!$A$1:$EL$983,(MATCH(B387,'Histórico'!A:A))-1,""),
if($D387="Ações Europeias", HLOOKUP("EUR/BRL",'Histórico'!$A$1:$EL$983,(MATCH(B387,'Histórico'!A:A))-1,""),""))</f>
        <v/>
      </c>
      <c r="I387" s="150" t="str">
        <f t="array" ref="I387">IF(ISTEXT(C387),xlookup(C387,'Cadastro dos Ativos'!$A$2:$A$1000,'Cadastro dos Ativos'!$D$2:$D$1000),"")</f>
        <v/>
      </c>
      <c r="J387" s="150"/>
      <c r="K387" s="47" t="str">
        <f t="array" ref="K387">if(and(J387&lt;&gt;"",D387&lt;&gt;"Futuros"),
if(F387=Controle!$C$2, M387/xlookup(workday(B387,-1,Feriados!A:A),Controle!$B$10:$B$1000,Controle!$C$10:$C$1000),
if(F387=Controle!$F$2, M387/xlookup(workday(B387,-1,Feriados!A:A),Controle!$B$10:$B$1000,Controle!$F$10:$F$1000),
if(F387=Controle!$I$2, M387/xlookup(workday(B387,-1,Feriados!A:A),Controle!$B$10:$B$1000,Controle!$I$10:$I$1000),
if(F387=Controle!$L$2, M387/xlookup(workday(B387,-1,Feriados!A:A),Controle!$B$10:$B$1000,Controle!$L$10:$L$1000),
)))),
if(and(J387&lt;&gt;"",D387="Futuros"),
if(F387=Controle!$C$2, N387/xlookup(workday(B387,-1,Feriados!A:A),Controle!$B$10:$B$1000,Controle!$C$10:$C$1000),
if(F387=Controle!$F$2, N387/xlookup(workday(B387,-1,Feriados!A:A),Controle!$B$10:$B$1000,Controle!$F$10:$F$1000),
if(F387=Controle!$I$2, N387/xlookup(workday(B387,-1,Feriados!A:A),Controle!$B$10:$B$1000,Controle!$I$10:$I$1000),
if(F387=Controle!$L$2, N387/xlookup(workday(B387,-1,Feriados!A:A),Controle!$B$10:$B$1000,Controle!$L$10:$L$1000),
)))),""))</f>
        <v/>
      </c>
      <c r="L387" s="47" t="str">
        <f t="array" ref="L387">IF($J387&lt;&gt;"", IF($D387 = "Futuros" , $N387/xlookup(WORKDAY(B387,-1,Feriados!A:A),Controle!$B$10:$B$1000,Controle!$T$10:$T$1000) , $M387/xlookup(WORKDAY(B387,-1,Feriados!A:A),Controle!$B$10:$B$1000,Controle!$T$10:$T$1000)),"")</f>
        <v/>
      </c>
      <c r="M387" s="48" t="str">
        <f t="shared" si="4"/>
        <v/>
      </c>
      <c r="N387" s="48" t="str">
        <f>IFERROR(IF(D387="Futuros",
IF(LEFT(C387,3)="DI1",G387*O387,
IF(LEFT(C387,3)="ISP",G387*O387*HLOOKUP("PTAX",'Histórico'!$A$1:$EL$983,MATCH(B387,'Histórico'!A:A),FALSE)*50,
IF(LEFT(C387,3)="WDO",10*G387*O387*HLOOKUP("PTAX",'Histórico'!$A$1:$EL$983,MATCH(B387,'Histórico'!A:A),FALSE),
IF(LEFT(C387,3)="DOL",50*G387*O387,
IF(LEFT(C387,3)="EUR",G387*O387*50,
IF(LEFT(C387,3)="WEU",G387*O387*10,
IF(LEFT(C387,3)="IND",G387*O387,
IF(LEFT(C387,3)="WIN",G387*O387*0.2,
IF(LEFT(C387,3)="T10",G387*O387*1000*HLOOKUP("PTAX",'Histórico'!$A$1:$EL$983,MATCH(B387,'Histórico'!A:A),FALSE),
IF(LEFT(C387,3)="CCM",G387*O387*450,
IF(LEFT(C387,3)="SJC",G387*O387*HLOOKUP("PTAX",'Histórico'!$A$1:$EL$983,MATCH(B387,'Histórico'!A:A),FALSE)*450,
IF(LEFT(C387,3)="BGI",G387*O387*330,
IF(LEFT(C387,3)="OZ1",G387*O387*250,
IF(LEFT(C387,3)="CLP",G387*O387*25,
IF(LEFT(C387,3)="EUP", O387*10000*HLOOKUP("EUR/BRL",'Histórico'!$A$1:$EL$983,MATCH(B387,'Histórico'!A:A),FALSE),
IF(LEFT(C387,3)="JSE", G387*O387*0.4,
IF(LEFT(C387,3)="GBP", O387*10000*HLOOKUP("GBP/BRL",'Histórico'!$A$1:$FG$983,MATCH(B387,'Histórico'!A:A),FALSE),
IF(LEFT(C387,3)="JAP",O387*10000*HLOOKUP("PTAX",'Histórico'!$A$1:$FG$983,MATCH(B387,'Histórico'!A:A),FALSE),
IF(LEFT(C387,3)="CNH",O387*10000*HLOOKUP("PTAX",'Histórico'!$A$1:$FG$983,MATCH(B387,'Histórico'!A:A),FALSE),
IF(LEFT(C387,3)="AUS",O387*10000*HLOOKUP("PTAX",'Histórico'!$A$1:$FG$983,MATCH(B387,'Histórico'!A:A),FALSE),
IF(LEFT(C387,3)="CAN",O387*10000*HLOOKUP("PTAX",'Histórico'!$A$1:$FG$983,MATCH(B387,'Histórico'!A:A),FALSE),
IF(LEFT(C387,3)="GBR",O387*10000*HLOOKUP("GBP/BRL",'Histórico'!$A$1:$FG$983,MATCH(B387,'Histórico'!A:A),FALSE),
IF(LEFT(C387,3)="MEX",O387*10000*HLOOKUP("PTAX",'Histórico'!$A$1:$FG$983,MATCH(B387,'Histórico'!A:A),FALSE),
IF(LEFT(C387,3)="CHL",O387*10000*HLOOKUP("PTAX",'Histórico'!$A$1:$FG$983,MATCH(B387,'Histórico'!A:A),FALSE)
)))))))))))))))))))))))),""))</f>
        <v/>
      </c>
      <c r="O387" s="49" t="str">
        <f t="shared" si="2"/>
        <v/>
      </c>
      <c r="P387" s="49" t="str">
        <f t="shared" si="5"/>
        <v/>
      </c>
      <c r="Q387" s="51" t="str">
        <f>IF($C387&lt;&gt;"",SUMIFS($O$3:$O$401, $C$3:$C$401 ,$C387,$B$3:$B$401,"&lt;="&amp;Controle!$B$6),"")</f>
        <v/>
      </c>
      <c r="R387" s="51" t="str">
        <f>IF($D387&lt;&gt;"",SUMIFS($O$3:$O$401, $C$3:$C$401 ,$C387,$B$3:$B$401,"&lt;="&amp;Controle!$B$6,$F$3:$F$401,$F387),"")</f>
        <v/>
      </c>
      <c r="S387" s="51" t="str">
        <f>IF($D387&lt;&gt;"",SUMIFS($O$3:$O$401, $C$3:$C$401 ,$C387,$B$3:$B$401,"&lt;="&amp;'Controle D-1'!$B$6,$F$3:$F$401,$F387),"")</f>
        <v/>
      </c>
      <c r="T387" s="40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146"/>
      <c r="B388" s="149"/>
      <c r="C388" s="150"/>
      <c r="D388" s="150" t="str">
        <f>IF(ISTEXT(C388),VLOOKUP(C388,'Cadastro dos Ativos'!$A$2:$C$1000,3,0),"")</f>
        <v/>
      </c>
      <c r="E388" s="150"/>
      <c r="F388" s="150"/>
      <c r="G388" s="151"/>
      <c r="H388" s="46" t="str">
        <f>if($D388="Ações Americanas", HLOOKUP("PTAX",'Histórico'!$A$1:$EL$983,(MATCH(B388,'Histórico'!A:A))-1,""),
if($D388="Ações Europeias", HLOOKUP("EUR/BRL",'Histórico'!$A$1:$EL$983,(MATCH(B388,'Histórico'!A:A))-1,""),""))</f>
        <v/>
      </c>
      <c r="I388" s="150" t="str">
        <f t="array" ref="I388">IF(ISTEXT(C388),xlookup(C388,'Cadastro dos Ativos'!$A$2:$A$1000,'Cadastro dos Ativos'!$D$2:$D$1000),"")</f>
        <v/>
      </c>
      <c r="J388" s="150"/>
      <c r="K388" s="47" t="str">
        <f t="array" ref="K388">if(and(J388&lt;&gt;"",D388&lt;&gt;"Futuros"),
if(F388=Controle!$C$2, M388/xlookup(workday(B388,-1,Feriados!A:A),Controle!$B$10:$B$1000,Controle!$C$10:$C$1000),
if(F388=Controle!$F$2, M388/xlookup(workday(B388,-1,Feriados!A:A),Controle!$B$10:$B$1000,Controle!$F$10:$F$1000),
if(F388=Controle!$I$2, M388/xlookup(workday(B388,-1,Feriados!A:A),Controle!$B$10:$B$1000,Controle!$I$10:$I$1000),
if(F388=Controle!$L$2, M388/xlookup(workday(B388,-1,Feriados!A:A),Controle!$B$10:$B$1000,Controle!$L$10:$L$1000),
)))),
if(and(J388&lt;&gt;"",D388="Futuros"),
if(F388=Controle!$C$2, N388/xlookup(workday(B388,-1,Feriados!A:A),Controle!$B$10:$B$1000,Controle!$C$10:$C$1000),
if(F388=Controle!$F$2, N388/xlookup(workday(B388,-1,Feriados!A:A),Controle!$B$10:$B$1000,Controle!$F$10:$F$1000),
if(F388=Controle!$I$2, N388/xlookup(workday(B388,-1,Feriados!A:A),Controle!$B$10:$B$1000,Controle!$I$10:$I$1000),
if(F388=Controle!$L$2, N388/xlookup(workday(B388,-1,Feriados!A:A),Controle!$B$10:$B$1000,Controle!$L$10:$L$1000),
)))),""))</f>
        <v/>
      </c>
      <c r="L388" s="47" t="str">
        <f t="array" ref="L388">IF($J388&lt;&gt;"", IF($D388 = "Futuros" , $N388/xlookup(WORKDAY(B388,-1,Feriados!A:A),Controle!$B$10:$B$1000,Controle!$T$10:$T$1000) , $M388/xlookup(WORKDAY(B388,-1,Feriados!A:A),Controle!$B$10:$B$1000,Controle!$T$10:$T$1000)),"")</f>
        <v/>
      </c>
      <c r="M388" s="48" t="str">
        <f t="shared" si="4"/>
        <v/>
      </c>
      <c r="N388" s="48" t="str">
        <f>IFERROR(IF(D388="Futuros",
IF(LEFT(C388,3)="DI1",G388*O388,
IF(LEFT(C388,3)="ISP",G388*O388*HLOOKUP("PTAX",'Histórico'!$A$1:$EL$983,MATCH(B388,'Histórico'!A:A),FALSE)*50,
IF(LEFT(C388,3)="WDO",10*G388*O388*HLOOKUP("PTAX",'Histórico'!$A$1:$EL$983,MATCH(B388,'Histórico'!A:A),FALSE),
IF(LEFT(C388,3)="DOL",50*G388*O388,
IF(LEFT(C388,3)="EUR",G388*O388*50,
IF(LEFT(C388,3)="WEU",G388*O388*10,
IF(LEFT(C388,3)="IND",G388*O388,
IF(LEFT(C388,3)="WIN",G388*O388*0.2,
IF(LEFT(C388,3)="T10",G388*O388*1000*HLOOKUP("PTAX",'Histórico'!$A$1:$EL$983,MATCH(B388,'Histórico'!A:A),FALSE),
IF(LEFT(C388,3)="CCM",G388*O388*450,
IF(LEFT(C388,3)="SJC",G388*O388*HLOOKUP("PTAX",'Histórico'!$A$1:$EL$983,MATCH(B388,'Histórico'!A:A),FALSE)*450,
IF(LEFT(C388,3)="BGI",G388*O388*330,
IF(LEFT(C388,3)="OZ1",G388*O388*250,
IF(LEFT(C388,3)="CLP",G388*O388*25,
IF(LEFT(C388,3)="EUP", O388*10000*HLOOKUP("EUR/BRL",'Histórico'!$A$1:$EL$983,MATCH(B388,'Histórico'!A:A),FALSE),
IF(LEFT(C388,3)="JSE", G388*O388*0.4,
IF(LEFT(C388,3)="GBP", O388*10000*HLOOKUP("GBP/BRL",'Histórico'!$A$1:$FG$983,MATCH(B388,'Histórico'!A:A),FALSE),
IF(LEFT(C388,3)="JAP",O388*10000*HLOOKUP("PTAX",'Histórico'!$A$1:$FG$983,MATCH(B388,'Histórico'!A:A),FALSE),
IF(LEFT(C388,3)="CNH",O388*10000*HLOOKUP("PTAX",'Histórico'!$A$1:$FG$983,MATCH(B388,'Histórico'!A:A),FALSE),
IF(LEFT(C388,3)="AUS",O388*10000*HLOOKUP("PTAX",'Histórico'!$A$1:$FG$983,MATCH(B388,'Histórico'!A:A),FALSE),
IF(LEFT(C388,3)="CAN",O388*10000*HLOOKUP("PTAX",'Histórico'!$A$1:$FG$983,MATCH(B388,'Histórico'!A:A),FALSE),
IF(LEFT(C388,3)="GBR",O388*10000*HLOOKUP("GBP/BRL",'Histórico'!$A$1:$FG$983,MATCH(B388,'Histórico'!A:A),FALSE),
IF(LEFT(C388,3)="MEX",O388*10000*HLOOKUP("PTAX",'Histórico'!$A$1:$FG$983,MATCH(B388,'Histórico'!A:A),FALSE),
IF(LEFT(C388,3)="CHL",O388*10000*HLOOKUP("PTAX",'Histórico'!$A$1:$FG$983,MATCH(B388,'Histórico'!A:A),FALSE)
)))))))))))))))))))))))),""))</f>
        <v/>
      </c>
      <c r="O388" s="49" t="str">
        <f t="shared" si="2"/>
        <v/>
      </c>
      <c r="P388" s="49" t="str">
        <f t="shared" si="5"/>
        <v/>
      </c>
      <c r="Q388" s="51" t="str">
        <f>IF($C388&lt;&gt;"",SUMIFS($O$3:$O$401, $C$3:$C$401 ,$C388,$B$3:$B$401,"&lt;="&amp;Controle!$B$6),"")</f>
        <v/>
      </c>
      <c r="R388" s="51" t="str">
        <f>IF($D388&lt;&gt;"",SUMIFS($O$3:$O$401, $C$3:$C$401 ,$C388,$B$3:$B$401,"&lt;="&amp;Controle!$B$6,$F$3:$F$401,$F388),"")</f>
        <v/>
      </c>
      <c r="S388" s="51" t="str">
        <f>IF($D388&lt;&gt;"",SUMIFS($O$3:$O$401, $C$3:$C$401 ,$C388,$B$3:$B$401,"&lt;="&amp;'Controle D-1'!$B$6,$F$3:$F$401,$F388),"")</f>
        <v/>
      </c>
      <c r="T388" s="40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146"/>
      <c r="B389" s="149"/>
      <c r="C389" s="150"/>
      <c r="D389" s="150" t="str">
        <f>IF(ISTEXT(C389),VLOOKUP(C389,'Cadastro dos Ativos'!$A$2:$C$1000,3,0),"")</f>
        <v/>
      </c>
      <c r="E389" s="150"/>
      <c r="F389" s="150"/>
      <c r="G389" s="151"/>
      <c r="H389" s="101" t="str">
        <f>if($D389="Ações Americanas", HLOOKUP("PTAX",'Histórico'!$A$1:$EL$983,(MATCH(B389,'Histórico'!A:A))-1,""),
if($D389="Ações Europeias", HLOOKUP("EUR/BRL",'Histórico'!$A$1:$EL$983,(MATCH(B389,'Histórico'!A:A))-1,""),""))</f>
        <v/>
      </c>
      <c r="I389" s="150" t="str">
        <f t="array" ref="I389">IF(ISTEXT(C389),xlookup(C389,'Cadastro dos Ativos'!$A$2:$A$1000,'Cadastro dos Ativos'!$D$2:$D$1000),"")</f>
        <v/>
      </c>
      <c r="J389" s="150"/>
      <c r="K389" s="47" t="str">
        <f t="array" ref="K389">if(and(J389&lt;&gt;"",D389&lt;&gt;"Futuros"),
if(F389=Controle!$C$2, M389/xlookup(workday(B389,-1,Feriados!A:A),Controle!$B$10:$B$1000,Controle!$C$10:$C$1000),
if(F389=Controle!$F$2, M389/xlookup(workday(B389,-1,Feriados!A:A),Controle!$B$10:$B$1000,Controle!$F$10:$F$1000),
if(F389=Controle!$I$2, M389/xlookup(workday(B389,-1,Feriados!A:A),Controle!$B$10:$B$1000,Controle!$I$10:$I$1000),
if(F389=Controle!$L$2, M389/xlookup(workday(B389,-1,Feriados!A:A),Controle!$B$10:$B$1000,Controle!$L$10:$L$1000),
)))),
if(and(J389&lt;&gt;"",D389="Futuros"),
if(F389=Controle!$C$2, N389/xlookup(workday(B389,-1,Feriados!A:A),Controle!$B$10:$B$1000,Controle!$C$10:$C$1000),
if(F389=Controle!$F$2, N389/xlookup(workday(B389,-1,Feriados!A:A),Controle!$B$10:$B$1000,Controle!$F$10:$F$1000),
if(F389=Controle!$I$2, N389/xlookup(workday(B389,-1,Feriados!A:A),Controle!$B$10:$B$1000,Controle!$I$10:$I$1000),
if(F389=Controle!$L$2, N389/xlookup(workday(B389,-1,Feriados!A:A),Controle!$B$10:$B$1000,Controle!$L$10:$L$1000),
)))),""))</f>
        <v/>
      </c>
      <c r="L389" s="47" t="str">
        <f t="array" ref="L389">IF($J389&lt;&gt;"", IF($D389 = "Futuros" , $N389/xlookup(WORKDAY(B389,-1,Feriados!A:A),Controle!$B$10:$B$1000,Controle!$T$10:$T$1000) , $M389/xlookup(WORKDAY(B389,-1,Feriados!A:A),Controle!$B$10:$B$1000,Controle!$T$10:$T$1000)),"")</f>
        <v/>
      </c>
      <c r="M389" s="48" t="str">
        <f t="shared" si="4"/>
        <v/>
      </c>
      <c r="N389" s="48" t="str">
        <f>IFERROR(IF(D389="Futuros",
IF(LEFT(C389,3)="DI1",G389*O389,
IF(LEFT(C389,3)="ISP",G389*O389*HLOOKUP("PTAX",'Histórico'!$A$1:$EL$983,MATCH(B389,'Histórico'!A:A),FALSE)*50,
IF(LEFT(C389,3)="WDO",10*G389*O389*HLOOKUP("PTAX",'Histórico'!$A$1:$EL$983,MATCH(B389,'Histórico'!A:A),FALSE),
IF(LEFT(C389,3)="DOL",50*G389*O389,
IF(LEFT(C389,3)="EUR",G389*O389*50,
IF(LEFT(C389,3)="WEU",G389*O389*10,
IF(LEFT(C389,3)="IND",G389*O389,
IF(LEFT(C389,3)="WIN",G389*O389*0.2,
IF(LEFT(C389,3)="T10",G389*O389*1000*HLOOKUP("PTAX",'Histórico'!$A$1:$EL$983,MATCH(B389,'Histórico'!A:A),FALSE),
IF(LEFT(C389,3)="CCM",G389*O389*450,
IF(LEFT(C389,3)="SJC",G389*O389*HLOOKUP("PTAX",'Histórico'!$A$1:$EL$983,MATCH(B389,'Histórico'!A:A),FALSE)*450,
IF(LEFT(C389,3)="BGI",G389*O389*330,
IF(LEFT(C389,3)="OZ1",G389*O389*250,
IF(LEFT(C389,3)="CLP",G389*O389*25,
IF(LEFT(C389,3)="EUP", O389*10000*HLOOKUP("EUR/BRL",'Histórico'!$A$1:$EL$983,MATCH(B389,'Histórico'!A:A),FALSE),
IF(LEFT(C389,3)="JSE", G389*O389*0.4,
IF(LEFT(C389,3)="GBP", O389*10000*HLOOKUP("GBP/BRL",'Histórico'!$A$1:$FG$983,MATCH(B389,'Histórico'!A:A),FALSE),
IF(LEFT(C389,3)="JAP",O389*10000*HLOOKUP("PTAX",'Histórico'!$A$1:$FG$983,MATCH(B389,'Histórico'!A:A),FALSE),
IF(LEFT(C389,3)="CNH",O389*10000*HLOOKUP("PTAX",'Histórico'!$A$1:$FG$983,MATCH(B389,'Histórico'!A:A),FALSE),
IF(LEFT(C389,3)="AUS",O389*10000*HLOOKUP("PTAX",'Histórico'!$A$1:$FG$983,MATCH(B389,'Histórico'!A:A),FALSE),
IF(LEFT(C389,3)="CAN",O389*10000*HLOOKUP("PTAX",'Histórico'!$A$1:$FG$983,MATCH(B389,'Histórico'!A:A),FALSE),
IF(LEFT(C389,3)="GBR",O389*10000*HLOOKUP("GBP/BRL",'Histórico'!$A$1:$FG$983,MATCH(B389,'Histórico'!A:A),FALSE),
IF(LEFT(C389,3)="MEX",O389*10000*HLOOKUP("PTAX",'Histórico'!$A$1:$FG$983,MATCH(B389,'Histórico'!A:A),FALSE),
IF(LEFT(C389,3)="CHL",O389*10000*HLOOKUP("PTAX",'Histórico'!$A$1:$FG$983,MATCH(B389,'Histórico'!A:A),FALSE)
)))))))))))))))))))))))),""))</f>
        <v/>
      </c>
      <c r="O389" s="49" t="str">
        <f t="shared" si="2"/>
        <v/>
      </c>
      <c r="P389" s="49" t="str">
        <f t="shared" si="5"/>
        <v/>
      </c>
      <c r="Q389" s="51" t="str">
        <f>IF($C389&lt;&gt;"",SUMIFS($O$3:$O$401, $C$3:$C$401 ,$C389,$B$3:$B$401,"&lt;="&amp;Controle!$B$6),"")</f>
        <v/>
      </c>
      <c r="R389" s="51" t="str">
        <f>IF($D389&lt;&gt;"",SUMIFS($O$3:$O$401, $C$3:$C$401 ,$C389,$B$3:$B$401,"&lt;="&amp;Controle!$B$6,$F$3:$F$401,$F389),"")</f>
        <v/>
      </c>
      <c r="S389" s="51" t="str">
        <f>IF($D389&lt;&gt;"",SUMIFS($O$3:$O$401, $C$3:$C$401 ,$C389,$B$3:$B$401,"&lt;="&amp;'Controle D-1'!$B$6,$F$3:$F$401,$F389),"")</f>
        <v/>
      </c>
      <c r="T389" s="40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146"/>
      <c r="B390" s="149"/>
      <c r="C390" s="150"/>
      <c r="D390" s="150" t="str">
        <f>IF(ISTEXT(C390),VLOOKUP(C390,'Cadastro dos Ativos'!$A$2:$C$1000,3,0),"")</f>
        <v/>
      </c>
      <c r="E390" s="150"/>
      <c r="F390" s="150"/>
      <c r="G390" s="151"/>
      <c r="H390" s="46" t="str">
        <f>if($D390="Ações Americanas", HLOOKUP("PTAX",'Histórico'!$A$1:$EL$983,(MATCH(B390,'Histórico'!A:A))-1,""),
if($D390="Ações Europeias", HLOOKUP("EUR/BRL",'Histórico'!$A$1:$EL$983,(MATCH(B390,'Histórico'!A:A))-1,""),""))</f>
        <v/>
      </c>
      <c r="I390" s="150" t="str">
        <f t="array" ref="I390">IF(ISTEXT(C390),xlookup(C390,'Cadastro dos Ativos'!$A$2:$A$1000,'Cadastro dos Ativos'!$D$2:$D$1000),"")</f>
        <v/>
      </c>
      <c r="J390" s="150"/>
      <c r="K390" s="47" t="str">
        <f t="array" ref="K390">if(and(J390&lt;&gt;"",D390&lt;&gt;"Futuros"),
if(F390=Controle!$C$2, M390/xlookup(workday(B390,-1,Feriados!A:A),Controle!$B$10:$B$1000,Controle!$C$10:$C$1000),
if(F390=Controle!$F$2, M390/xlookup(workday(B390,-1,Feriados!A:A),Controle!$B$10:$B$1000,Controle!$F$10:$F$1000),
if(F390=Controle!$I$2, M390/xlookup(workday(B390,-1,Feriados!A:A),Controle!$B$10:$B$1000,Controle!$I$10:$I$1000),
if(F390=Controle!$L$2, M390/xlookup(workday(B390,-1,Feriados!A:A),Controle!$B$10:$B$1000,Controle!$L$10:$L$1000),
)))),
if(and(J390&lt;&gt;"",D390="Futuros"),
if(F390=Controle!$C$2, N390/xlookup(workday(B390,-1,Feriados!A:A),Controle!$B$10:$B$1000,Controle!$C$10:$C$1000),
if(F390=Controle!$F$2, N390/xlookup(workday(B390,-1,Feriados!A:A),Controle!$B$10:$B$1000,Controle!$F$10:$F$1000),
if(F390=Controle!$I$2, N390/xlookup(workday(B390,-1,Feriados!A:A),Controle!$B$10:$B$1000,Controle!$I$10:$I$1000),
if(F390=Controle!$L$2, N390/xlookup(workday(B390,-1,Feriados!A:A),Controle!$B$10:$B$1000,Controle!$L$10:$L$1000),
)))),""))</f>
        <v/>
      </c>
      <c r="L390" s="47" t="str">
        <f t="array" ref="L390">IF($J390&lt;&gt;"", IF($D390 = "Futuros" , $N390/xlookup(WORKDAY(B390,-1,Feriados!A:A),Controle!$B$10:$B$1000,Controle!$T$10:$T$1000) , $M390/xlookup(WORKDAY(B390,-1,Feriados!A:A),Controle!$B$10:$B$1000,Controle!$T$10:$T$1000)),"")</f>
        <v/>
      </c>
      <c r="M390" s="48" t="str">
        <f t="shared" si="4"/>
        <v/>
      </c>
      <c r="N390" s="48" t="str">
        <f>IFERROR(IF(D390="Futuros",
IF(LEFT(C390,3)="DI1",G390*O390,
IF(LEFT(C390,3)="ISP",G390*O390*HLOOKUP("PTAX",'Histórico'!$A$1:$EL$983,MATCH(B390,'Histórico'!A:A),FALSE)*50,
IF(LEFT(C390,3)="WDO",10*G390*O390*HLOOKUP("PTAX",'Histórico'!$A$1:$EL$983,MATCH(B390,'Histórico'!A:A),FALSE),
IF(LEFT(C390,3)="DOL",50*G390*O390,
IF(LEFT(C390,3)="EUR",G390*O390*50,
IF(LEFT(C390,3)="WEU",G390*O390*10,
IF(LEFT(C390,3)="IND",G390*O390,
IF(LEFT(C390,3)="WIN",G390*O390*0.2,
IF(LEFT(C390,3)="T10",G390*O390*1000*HLOOKUP("PTAX",'Histórico'!$A$1:$EL$983,MATCH(B390,'Histórico'!A:A),FALSE),
IF(LEFT(C390,3)="CCM",G390*O390*450,
IF(LEFT(C390,3)="SJC",G390*O390*HLOOKUP("PTAX",'Histórico'!$A$1:$EL$983,MATCH(B390,'Histórico'!A:A),FALSE)*450,
IF(LEFT(C390,3)="BGI",G390*O390*330,
IF(LEFT(C390,3)="OZ1",G390*O390*250,
IF(LEFT(C390,3)="CLP",G390*O390*25,
IF(LEFT(C390,3)="EUP", O390*10000*HLOOKUP("EUR/BRL",'Histórico'!$A$1:$EL$983,MATCH(B390,'Histórico'!A:A),FALSE),
IF(LEFT(C390,3)="JSE", G390*O390*0.4,
IF(LEFT(C390,3)="GBP", O390*10000*HLOOKUP("GBP/BRL",'Histórico'!$A$1:$FG$983,MATCH(B390,'Histórico'!A:A),FALSE),
IF(LEFT(C390,3)="JAP",O390*10000*HLOOKUP("PTAX",'Histórico'!$A$1:$FG$983,MATCH(B390,'Histórico'!A:A),FALSE),
IF(LEFT(C390,3)="CNH",O390*10000*HLOOKUP("PTAX",'Histórico'!$A$1:$FG$983,MATCH(B390,'Histórico'!A:A),FALSE),
IF(LEFT(C390,3)="AUS",O390*10000*HLOOKUP("PTAX",'Histórico'!$A$1:$FG$983,MATCH(B390,'Histórico'!A:A),FALSE),
IF(LEFT(C390,3)="CAN",O390*10000*HLOOKUP("PTAX",'Histórico'!$A$1:$FG$983,MATCH(B390,'Histórico'!A:A),FALSE),
IF(LEFT(C390,3)="GBR",O390*10000*HLOOKUP("GBP/BRL",'Histórico'!$A$1:$FG$983,MATCH(B390,'Histórico'!A:A),FALSE),
IF(LEFT(C390,3)="MEX",O390*10000*HLOOKUP("PTAX",'Histórico'!$A$1:$FG$983,MATCH(B390,'Histórico'!A:A),FALSE),
IF(LEFT(C390,3)="CHL",O390*10000*HLOOKUP("PTAX",'Histórico'!$A$1:$FG$983,MATCH(B390,'Histórico'!A:A),FALSE)
)))))))))))))))))))))))),""))</f>
        <v/>
      </c>
      <c r="O390" s="49" t="str">
        <f t="shared" si="2"/>
        <v/>
      </c>
      <c r="P390" s="49" t="str">
        <f t="shared" si="5"/>
        <v/>
      </c>
      <c r="Q390" s="51" t="str">
        <f>IF($C390&lt;&gt;"",SUMIFS($O$3:$O$401, $C$3:$C$401 ,$C390,$B$3:$B$401,"&lt;="&amp;Controle!$B$6),"")</f>
        <v/>
      </c>
      <c r="R390" s="51" t="str">
        <f>IF($D390&lt;&gt;"",SUMIFS($O$3:$O$401, $C$3:$C$401 ,$C390,$B$3:$B$401,"&lt;="&amp;Controle!$B$6,$F$3:$F$401,$F390),"")</f>
        <v/>
      </c>
      <c r="S390" s="51" t="str">
        <f>IF($D390&lt;&gt;"",SUMIFS($O$3:$O$401, $C$3:$C$401 ,$C390,$B$3:$B$401,"&lt;="&amp;'Controle D-1'!$B$6,$F$3:$F$401,$F390),"")</f>
        <v/>
      </c>
      <c r="T390" s="40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146"/>
      <c r="B391" s="149"/>
      <c r="C391" s="150"/>
      <c r="D391" s="150" t="str">
        <f>IF(ISTEXT(C391),VLOOKUP(C391,'Cadastro dos Ativos'!$A$2:$C$1000,3,0),"")</f>
        <v/>
      </c>
      <c r="E391" s="150"/>
      <c r="F391" s="150"/>
      <c r="G391" s="151"/>
      <c r="H391" s="101" t="str">
        <f>if($D391="Ações Americanas", HLOOKUP("PTAX",'Histórico'!$A$1:$EL$983,(MATCH(B391,'Histórico'!A:A))-1,""),
if($D391="Ações Europeias", HLOOKUP("EUR/BRL",'Histórico'!$A$1:$EL$983,(MATCH(B391,'Histórico'!A:A))-1,""),""))</f>
        <v/>
      </c>
      <c r="I391" s="150" t="str">
        <f t="array" ref="I391">IF(ISTEXT(C391),xlookup(C391,'Cadastro dos Ativos'!$A$2:$A$1000,'Cadastro dos Ativos'!$D$2:$D$1000),"")</f>
        <v/>
      </c>
      <c r="J391" s="150"/>
      <c r="K391" s="47" t="str">
        <f t="array" ref="K391">if(and(J391&lt;&gt;"",D391&lt;&gt;"Futuros"),
if(F391=Controle!$C$2, M391/xlookup(workday(B391,-1,Feriados!A:A),Controle!$B$10:$B$1000,Controle!$C$10:$C$1000),
if(F391=Controle!$F$2, M391/xlookup(workday(B391,-1,Feriados!A:A),Controle!$B$10:$B$1000,Controle!$F$10:$F$1000),
if(F391=Controle!$I$2, M391/xlookup(workday(B391,-1,Feriados!A:A),Controle!$B$10:$B$1000,Controle!$I$10:$I$1000),
if(F391=Controle!$L$2, M391/xlookup(workday(B391,-1,Feriados!A:A),Controle!$B$10:$B$1000,Controle!$L$10:$L$1000),
)))),
if(and(J391&lt;&gt;"",D391="Futuros"),
if(F391=Controle!$C$2, N391/xlookup(workday(B391,-1,Feriados!A:A),Controle!$B$10:$B$1000,Controle!$C$10:$C$1000),
if(F391=Controle!$F$2, N391/xlookup(workday(B391,-1,Feriados!A:A),Controle!$B$10:$B$1000,Controle!$F$10:$F$1000),
if(F391=Controle!$I$2, N391/xlookup(workday(B391,-1,Feriados!A:A),Controle!$B$10:$B$1000,Controle!$I$10:$I$1000),
if(F391=Controle!$L$2, N391/xlookup(workday(B391,-1,Feriados!A:A),Controle!$B$10:$B$1000,Controle!$L$10:$L$1000),
)))),""))</f>
        <v/>
      </c>
      <c r="L391" s="47" t="str">
        <f t="array" ref="L391">IF($J391&lt;&gt;"", IF($D391 = "Futuros" , $N391/xlookup(WORKDAY(B391,-1,Feriados!A:A),Controle!$B$10:$B$1000,Controle!$T$10:$T$1000) , $M391/xlookup(WORKDAY(B391,-1,Feriados!A:A),Controle!$B$10:$B$1000,Controle!$T$10:$T$1000)),"")</f>
        <v/>
      </c>
      <c r="M391" s="48" t="str">
        <f t="shared" si="4"/>
        <v/>
      </c>
      <c r="N391" s="48" t="str">
        <f>IFERROR(IF(D391="Futuros",
IF(LEFT(C391,3)="DI1",G391*O391,
IF(LEFT(C391,3)="ISP",G391*O391*HLOOKUP("PTAX",'Histórico'!$A$1:$EL$983,MATCH(B391,'Histórico'!A:A),FALSE)*50,
IF(LEFT(C391,3)="WDO",10*G391*O391*HLOOKUP("PTAX",'Histórico'!$A$1:$EL$983,MATCH(B391,'Histórico'!A:A),FALSE),
IF(LEFT(C391,3)="DOL",50*G391*O391,
IF(LEFT(C391,3)="EUR",G391*O391*50,
IF(LEFT(C391,3)="WEU",G391*O391*10,
IF(LEFT(C391,3)="IND",G391*O391,
IF(LEFT(C391,3)="WIN",G391*O391*0.2,
IF(LEFT(C391,3)="T10",G391*O391*1000*HLOOKUP("PTAX",'Histórico'!$A$1:$EL$983,MATCH(B391,'Histórico'!A:A),FALSE),
IF(LEFT(C391,3)="CCM",G391*O391*450,
IF(LEFT(C391,3)="SJC",G391*O391*HLOOKUP("PTAX",'Histórico'!$A$1:$EL$983,MATCH(B391,'Histórico'!A:A),FALSE)*450,
IF(LEFT(C391,3)="BGI",G391*O391*330,
IF(LEFT(C391,3)="OZ1",G391*O391*250,
IF(LEFT(C391,3)="CLP",G391*O391*25,
IF(LEFT(C391,3)="EUP", O391*10000*HLOOKUP("EUR/BRL",'Histórico'!$A$1:$EL$983,MATCH(B391,'Histórico'!A:A),FALSE),
IF(LEFT(C391,3)="JSE", G391*O391*0.4,
IF(LEFT(C391,3)="GBP", O391*10000*HLOOKUP("GBP/BRL",'Histórico'!$A$1:$FG$983,MATCH(B391,'Histórico'!A:A),FALSE),
IF(LEFT(C391,3)="JAP",O391*10000*HLOOKUP("PTAX",'Histórico'!$A$1:$FG$983,MATCH(B391,'Histórico'!A:A),FALSE),
IF(LEFT(C391,3)="CNH",O391*10000*HLOOKUP("PTAX",'Histórico'!$A$1:$FG$983,MATCH(B391,'Histórico'!A:A),FALSE),
IF(LEFT(C391,3)="AUS",O391*10000*HLOOKUP("PTAX",'Histórico'!$A$1:$FG$983,MATCH(B391,'Histórico'!A:A),FALSE),
IF(LEFT(C391,3)="CAN",O391*10000*HLOOKUP("PTAX",'Histórico'!$A$1:$FG$983,MATCH(B391,'Histórico'!A:A),FALSE),
IF(LEFT(C391,3)="GBR",O391*10000*HLOOKUP("GBP/BRL",'Histórico'!$A$1:$FG$983,MATCH(B391,'Histórico'!A:A),FALSE),
IF(LEFT(C391,3)="MEX",O391*10000*HLOOKUP("PTAX",'Histórico'!$A$1:$FG$983,MATCH(B391,'Histórico'!A:A),FALSE),
IF(LEFT(C391,3)="CHL",O391*10000*HLOOKUP("PTAX",'Histórico'!$A$1:$FG$983,MATCH(B391,'Histórico'!A:A),FALSE)
)))))))))))))))))))))))),""))</f>
        <v/>
      </c>
      <c r="O391" s="49" t="str">
        <f t="shared" si="2"/>
        <v/>
      </c>
      <c r="P391" s="49" t="str">
        <f t="shared" si="5"/>
        <v/>
      </c>
      <c r="Q391" s="51" t="str">
        <f>IF($C391&lt;&gt;"",SUMIFS($O$3:$O$401, $C$3:$C$401 ,$C391,$B$3:$B$401,"&lt;="&amp;Controle!$B$6),"")</f>
        <v/>
      </c>
      <c r="R391" s="51" t="str">
        <f>IF($D391&lt;&gt;"",SUMIFS($O$3:$O$401, $C$3:$C$401 ,$C391,$B$3:$B$401,"&lt;="&amp;Controle!$B$6,$F$3:$F$401,$F391),"")</f>
        <v/>
      </c>
      <c r="S391" s="51" t="str">
        <f>IF($D391&lt;&gt;"",SUMIFS($O$3:$O$401, $C$3:$C$401 ,$C391,$B$3:$B$401,"&lt;="&amp;'Controle D-1'!$B$6,$F$3:$F$401,$F391),"")</f>
        <v/>
      </c>
      <c r="T391" s="40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146"/>
      <c r="B392" s="149"/>
      <c r="C392" s="150"/>
      <c r="D392" s="150" t="str">
        <f>IF(ISTEXT(C392),VLOOKUP(C392,'Cadastro dos Ativos'!$A$2:$C$1000,3,0),"")</f>
        <v/>
      </c>
      <c r="E392" s="150"/>
      <c r="F392" s="150"/>
      <c r="G392" s="151"/>
      <c r="H392" s="46" t="str">
        <f>if($D392="Ações Americanas", HLOOKUP("PTAX",'Histórico'!$A$1:$EL$983,(MATCH(B392,'Histórico'!A:A))-1,""),
if($D392="Ações Europeias", HLOOKUP("EUR/BRL",'Histórico'!$A$1:$EL$983,(MATCH(B392,'Histórico'!A:A))-1,""),""))</f>
        <v/>
      </c>
      <c r="I392" s="150" t="str">
        <f t="array" ref="I392">IF(ISTEXT(C392),xlookup(C392,'Cadastro dos Ativos'!$A$2:$A$1000,'Cadastro dos Ativos'!$D$2:$D$1000),"")</f>
        <v/>
      </c>
      <c r="J392" s="150"/>
      <c r="K392" s="47" t="str">
        <f t="array" ref="K392">if(and(J392&lt;&gt;"",D392&lt;&gt;"Futuros"),
if(F392=Controle!$C$2, M392/xlookup(workday(B392,-1,Feriados!A:A),Controle!$B$10:$B$1000,Controle!$C$10:$C$1000),
if(F392=Controle!$F$2, M392/xlookup(workday(B392,-1,Feriados!A:A),Controle!$B$10:$B$1000,Controle!$F$10:$F$1000),
if(F392=Controle!$I$2, M392/xlookup(workday(B392,-1,Feriados!A:A),Controle!$B$10:$B$1000,Controle!$I$10:$I$1000),
if(F392=Controle!$L$2, M392/xlookup(workday(B392,-1,Feriados!A:A),Controle!$B$10:$B$1000,Controle!$L$10:$L$1000),
)))),
if(and(J392&lt;&gt;"",D392="Futuros"),
if(F392=Controle!$C$2, N392/xlookup(workday(B392,-1,Feriados!A:A),Controle!$B$10:$B$1000,Controle!$C$10:$C$1000),
if(F392=Controle!$F$2, N392/xlookup(workday(B392,-1,Feriados!A:A),Controle!$B$10:$B$1000,Controle!$F$10:$F$1000),
if(F392=Controle!$I$2, N392/xlookup(workday(B392,-1,Feriados!A:A),Controle!$B$10:$B$1000,Controle!$I$10:$I$1000),
if(F392=Controle!$L$2, N392/xlookup(workday(B392,-1,Feriados!A:A),Controle!$B$10:$B$1000,Controle!$L$10:$L$1000),
)))),""))</f>
        <v/>
      </c>
      <c r="L392" s="47" t="str">
        <f t="array" ref="L392">IF($J392&lt;&gt;"", IF($D392 = "Futuros" , $N392/xlookup(WORKDAY(B392,-1,Feriados!A:A),Controle!$B$10:$B$1000,Controle!$T$10:$T$1000) , $M392/xlookup(WORKDAY(B392,-1,Feriados!A:A),Controle!$B$10:$B$1000,Controle!$T$10:$T$1000)),"")</f>
        <v/>
      </c>
      <c r="M392" s="48" t="str">
        <f t="shared" si="4"/>
        <v/>
      </c>
      <c r="N392" s="48" t="str">
        <f>IFERROR(IF(D392="Futuros",
IF(LEFT(C392,3)="DI1",G392*O392,
IF(LEFT(C392,3)="ISP",G392*O392*HLOOKUP("PTAX",'Histórico'!$A$1:$EL$983,MATCH(B392,'Histórico'!A:A),FALSE)*50,
IF(LEFT(C392,3)="WDO",10*G392*O392*HLOOKUP("PTAX",'Histórico'!$A$1:$EL$983,MATCH(B392,'Histórico'!A:A),FALSE),
IF(LEFT(C392,3)="DOL",50*G392*O392,
IF(LEFT(C392,3)="EUR",G392*O392*50,
IF(LEFT(C392,3)="WEU",G392*O392*10,
IF(LEFT(C392,3)="IND",G392*O392,
IF(LEFT(C392,3)="WIN",G392*O392*0.2,
IF(LEFT(C392,3)="T10",G392*O392*1000*HLOOKUP("PTAX",'Histórico'!$A$1:$EL$983,MATCH(B392,'Histórico'!A:A),FALSE),
IF(LEFT(C392,3)="CCM",G392*O392*450,
IF(LEFT(C392,3)="SJC",G392*O392*HLOOKUP("PTAX",'Histórico'!$A$1:$EL$983,MATCH(B392,'Histórico'!A:A),FALSE)*450,
IF(LEFT(C392,3)="BGI",G392*O392*330,
IF(LEFT(C392,3)="OZ1",G392*O392*250,
IF(LEFT(C392,3)="CLP",G392*O392*25,
IF(LEFT(C392,3)="EUP", O392*10000*HLOOKUP("EUR/BRL",'Histórico'!$A$1:$EL$983,MATCH(B392,'Histórico'!A:A),FALSE),
IF(LEFT(C392,3)="JSE", G392*O392*0.4,
IF(LEFT(C392,3)="GBP", O392*10000*HLOOKUP("GBP/BRL",'Histórico'!$A$1:$FG$983,MATCH(B392,'Histórico'!A:A),FALSE),
IF(LEFT(C392,3)="JAP",O392*10000*HLOOKUP("PTAX",'Histórico'!$A$1:$FG$983,MATCH(B392,'Histórico'!A:A),FALSE),
IF(LEFT(C392,3)="CNH",O392*10000*HLOOKUP("PTAX",'Histórico'!$A$1:$FG$983,MATCH(B392,'Histórico'!A:A),FALSE),
IF(LEFT(C392,3)="AUS",O392*10000*HLOOKUP("PTAX",'Histórico'!$A$1:$FG$983,MATCH(B392,'Histórico'!A:A),FALSE),
IF(LEFT(C392,3)="CAN",O392*10000*HLOOKUP("PTAX",'Histórico'!$A$1:$FG$983,MATCH(B392,'Histórico'!A:A),FALSE),
IF(LEFT(C392,3)="GBR",O392*10000*HLOOKUP("GBP/BRL",'Histórico'!$A$1:$FG$983,MATCH(B392,'Histórico'!A:A),FALSE),
IF(LEFT(C392,3)="MEX",O392*10000*HLOOKUP("PTAX",'Histórico'!$A$1:$FG$983,MATCH(B392,'Histórico'!A:A),FALSE),
IF(LEFT(C392,3)="CHL",O392*10000*HLOOKUP("PTAX",'Histórico'!$A$1:$FG$983,MATCH(B392,'Histórico'!A:A),FALSE)
)))))))))))))))))))))))),""))</f>
        <v/>
      </c>
      <c r="O392" s="49" t="str">
        <f t="shared" si="2"/>
        <v/>
      </c>
      <c r="P392" s="49" t="str">
        <f t="shared" si="5"/>
        <v/>
      </c>
      <c r="Q392" s="51" t="str">
        <f>IF($C392&lt;&gt;"",SUMIFS($O$3:$O$401, $C$3:$C$401 ,$C392,$B$3:$B$401,"&lt;="&amp;Controle!$B$6),"")</f>
        <v/>
      </c>
      <c r="R392" s="51" t="str">
        <f>IF($D392&lt;&gt;"",SUMIFS($O$3:$O$401, $C$3:$C$401 ,$C392,$B$3:$B$401,"&lt;="&amp;Controle!$B$6,$F$3:$F$401,$F392),"")</f>
        <v/>
      </c>
      <c r="S392" s="51" t="str">
        <f>IF($D392&lt;&gt;"",SUMIFS($O$3:$O$401, $C$3:$C$401 ,$C392,$B$3:$B$401,"&lt;="&amp;'Controle D-1'!$B$6,$F$3:$F$401,$F392),"")</f>
        <v/>
      </c>
      <c r="T392" s="40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146"/>
      <c r="B393" s="149"/>
      <c r="C393" s="150"/>
      <c r="D393" s="150" t="str">
        <f>IF(ISTEXT(C393),VLOOKUP(C393,'Cadastro dos Ativos'!$A$2:$C$1000,3,0),"")</f>
        <v/>
      </c>
      <c r="E393" s="150"/>
      <c r="F393" s="150"/>
      <c r="G393" s="151"/>
      <c r="H393" s="101" t="str">
        <f>if($D393="Ações Americanas", HLOOKUP("PTAX",'Histórico'!$A$1:$EL$983,(MATCH(B393,'Histórico'!A:A))-1,""),
if($D393="Ações Europeias", HLOOKUP("EUR/BRL",'Histórico'!$A$1:$EL$983,(MATCH(B393,'Histórico'!A:A))-1,""),""))</f>
        <v/>
      </c>
      <c r="I393" s="150" t="str">
        <f t="array" ref="I393">IF(ISTEXT(C393),xlookup(C393,'Cadastro dos Ativos'!$A$2:$A$1000,'Cadastro dos Ativos'!$D$2:$D$1000),"")</f>
        <v/>
      </c>
      <c r="J393" s="150"/>
      <c r="K393" s="47" t="str">
        <f t="array" ref="K393">if(and(J393&lt;&gt;"",D393&lt;&gt;"Futuros"),
if(F393=Controle!$C$2, M393/xlookup(workday(B393,-1,Feriados!A:A),Controle!$B$10:$B$1000,Controle!$C$10:$C$1000),
if(F393=Controle!$F$2, M393/xlookup(workday(B393,-1,Feriados!A:A),Controle!$B$10:$B$1000,Controle!$F$10:$F$1000),
if(F393=Controle!$I$2, M393/xlookup(workday(B393,-1,Feriados!A:A),Controle!$B$10:$B$1000,Controle!$I$10:$I$1000),
if(F393=Controle!$L$2, M393/xlookup(workday(B393,-1,Feriados!A:A),Controle!$B$10:$B$1000,Controle!$L$10:$L$1000),
)))),
if(and(J393&lt;&gt;"",D393="Futuros"),
if(F393=Controle!$C$2, N393/xlookup(workday(B393,-1,Feriados!A:A),Controle!$B$10:$B$1000,Controle!$C$10:$C$1000),
if(F393=Controle!$F$2, N393/xlookup(workday(B393,-1,Feriados!A:A),Controle!$B$10:$B$1000,Controle!$F$10:$F$1000),
if(F393=Controle!$I$2, N393/xlookup(workday(B393,-1,Feriados!A:A),Controle!$B$10:$B$1000,Controle!$I$10:$I$1000),
if(F393=Controle!$L$2, N393/xlookup(workday(B393,-1,Feriados!A:A),Controle!$B$10:$B$1000,Controle!$L$10:$L$1000),
)))),""))</f>
        <v/>
      </c>
      <c r="L393" s="47" t="str">
        <f t="array" ref="L393">IF($J393&lt;&gt;"", IF($D393 = "Futuros" , $N393/xlookup(WORKDAY(B393,-1,Feriados!A:A),Controle!$B$10:$B$1000,Controle!$T$10:$T$1000) , $M393/xlookup(WORKDAY(B393,-1,Feriados!A:A),Controle!$B$10:$B$1000,Controle!$T$10:$T$1000)),"")</f>
        <v/>
      </c>
      <c r="M393" s="48" t="str">
        <f t="shared" si="4"/>
        <v/>
      </c>
      <c r="N393" s="48" t="str">
        <f>IFERROR(IF(D393="Futuros",
IF(LEFT(C393,3)="DI1",G393*O393,
IF(LEFT(C393,3)="ISP",G393*O393*HLOOKUP("PTAX",'Histórico'!$A$1:$EL$983,MATCH(B393,'Histórico'!A:A),FALSE)*50,
IF(LEFT(C393,3)="WDO",10*G393*O393*HLOOKUP("PTAX",'Histórico'!$A$1:$EL$983,MATCH(B393,'Histórico'!A:A),FALSE),
IF(LEFT(C393,3)="DOL",50*G393*O393,
IF(LEFT(C393,3)="EUR",G393*O393*50,
IF(LEFT(C393,3)="WEU",G393*O393*10,
IF(LEFT(C393,3)="IND",G393*O393,
IF(LEFT(C393,3)="WIN",G393*O393*0.2,
IF(LEFT(C393,3)="T10",G393*O393*1000*HLOOKUP("PTAX",'Histórico'!$A$1:$EL$983,MATCH(B393,'Histórico'!A:A),FALSE),
IF(LEFT(C393,3)="CCM",G393*O393*450,
IF(LEFT(C393,3)="SJC",G393*O393*HLOOKUP("PTAX",'Histórico'!$A$1:$EL$983,MATCH(B393,'Histórico'!A:A),FALSE)*450,
IF(LEFT(C393,3)="BGI",G393*O393*330,
IF(LEFT(C393,3)="OZ1",G393*O393*250,
IF(LEFT(C393,3)="CLP",G393*O393*25,
IF(LEFT(C393,3)="EUP", O393*10000*HLOOKUP("EUR/BRL",'Histórico'!$A$1:$EL$983,MATCH(B393,'Histórico'!A:A),FALSE),
IF(LEFT(C393,3)="JSE", G393*O393*0.4,
IF(LEFT(C393,3)="GBP", O393*10000*HLOOKUP("GBP/BRL",'Histórico'!$A$1:$FG$983,MATCH(B393,'Histórico'!A:A),FALSE),
IF(LEFT(C393,3)="JAP",O393*10000*HLOOKUP("PTAX",'Histórico'!$A$1:$FG$983,MATCH(B393,'Histórico'!A:A),FALSE),
IF(LEFT(C393,3)="CNH",O393*10000*HLOOKUP("PTAX",'Histórico'!$A$1:$FG$983,MATCH(B393,'Histórico'!A:A),FALSE),
IF(LEFT(C393,3)="AUS",O393*10000*HLOOKUP("PTAX",'Histórico'!$A$1:$FG$983,MATCH(B393,'Histórico'!A:A),FALSE),
IF(LEFT(C393,3)="CAN",O393*10000*HLOOKUP("PTAX",'Histórico'!$A$1:$FG$983,MATCH(B393,'Histórico'!A:A),FALSE),
IF(LEFT(C393,3)="GBR",O393*10000*HLOOKUP("GBP/BRL",'Histórico'!$A$1:$FG$983,MATCH(B393,'Histórico'!A:A),FALSE),
IF(LEFT(C393,3)="MEX",O393*10000*HLOOKUP("PTAX",'Histórico'!$A$1:$FG$983,MATCH(B393,'Histórico'!A:A),FALSE),
IF(LEFT(C393,3)="CHL",O393*10000*HLOOKUP("PTAX",'Histórico'!$A$1:$FG$983,MATCH(B393,'Histórico'!A:A),FALSE)
)))))))))))))))))))))))),""))</f>
        <v/>
      </c>
      <c r="O393" s="49" t="str">
        <f t="shared" si="2"/>
        <v/>
      </c>
      <c r="P393" s="49" t="str">
        <f t="shared" si="5"/>
        <v/>
      </c>
      <c r="Q393" s="51" t="str">
        <f>IF($C393&lt;&gt;"",SUMIFS($O$3:$O$401, $C$3:$C$401 ,$C393,$B$3:$B$401,"&lt;="&amp;Controle!$B$6),"")</f>
        <v/>
      </c>
      <c r="R393" s="51" t="str">
        <f>IF($D393&lt;&gt;"",SUMIFS($O$3:$O$401, $C$3:$C$401 ,$C393,$B$3:$B$401,"&lt;="&amp;Controle!$B$6,$F$3:$F$401,$F393),"")</f>
        <v/>
      </c>
      <c r="S393" s="51" t="str">
        <f>IF($D393&lt;&gt;"",SUMIFS($O$3:$O$401, $C$3:$C$401 ,$C393,$B$3:$B$401,"&lt;="&amp;'Controle D-1'!$B$6,$F$3:$F$401,$F393),"")</f>
        <v/>
      </c>
      <c r="T393" s="40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146"/>
      <c r="B394" s="149"/>
      <c r="C394" s="150"/>
      <c r="D394" s="150" t="str">
        <f>IF(ISTEXT(C394),VLOOKUP(C394,'Cadastro dos Ativos'!$A$2:$C$1000,3,0),"")</f>
        <v/>
      </c>
      <c r="E394" s="150"/>
      <c r="F394" s="150"/>
      <c r="G394" s="151"/>
      <c r="H394" s="46" t="str">
        <f>if($D394="Ações Americanas", HLOOKUP("PTAX",'Histórico'!$A$1:$EL$983,(MATCH(B394,'Histórico'!A:A))-1,""),
if($D394="Ações Europeias", HLOOKUP("EUR/BRL",'Histórico'!$A$1:$EL$983,(MATCH(B394,'Histórico'!A:A))-1,""),""))</f>
        <v/>
      </c>
      <c r="I394" s="150" t="str">
        <f t="array" ref="I394">IF(ISTEXT(C394),xlookup(C394,'Cadastro dos Ativos'!$A$2:$A$1000,'Cadastro dos Ativos'!$D$2:$D$1000),"")</f>
        <v/>
      </c>
      <c r="J394" s="150"/>
      <c r="K394" s="47" t="str">
        <f t="array" ref="K394">if(and(J394&lt;&gt;"",D394&lt;&gt;"Futuros"),
if(F394=Controle!$C$2, M394/xlookup(workday(B394,-1,Feriados!A:A),Controle!$B$10:$B$1000,Controle!$C$10:$C$1000),
if(F394=Controle!$F$2, M394/xlookup(workday(B394,-1,Feriados!A:A),Controle!$B$10:$B$1000,Controle!$F$10:$F$1000),
if(F394=Controle!$I$2, M394/xlookup(workday(B394,-1,Feriados!A:A),Controle!$B$10:$B$1000,Controle!$I$10:$I$1000),
if(F394=Controle!$L$2, M394/xlookup(workday(B394,-1,Feriados!A:A),Controle!$B$10:$B$1000,Controle!$L$10:$L$1000),
)))),
if(and(J394&lt;&gt;"",D394="Futuros"),
if(F394=Controle!$C$2, N394/xlookup(workday(B394,-1,Feriados!A:A),Controle!$B$10:$B$1000,Controle!$C$10:$C$1000),
if(F394=Controle!$F$2, N394/xlookup(workday(B394,-1,Feriados!A:A),Controle!$B$10:$B$1000,Controle!$F$10:$F$1000),
if(F394=Controle!$I$2, N394/xlookup(workday(B394,-1,Feriados!A:A),Controle!$B$10:$B$1000,Controle!$I$10:$I$1000),
if(F394=Controle!$L$2, N394/xlookup(workday(B394,-1,Feriados!A:A),Controle!$B$10:$B$1000,Controle!$L$10:$L$1000),
)))),""))</f>
        <v/>
      </c>
      <c r="L394" s="47" t="str">
        <f t="array" ref="L394">IF($J394&lt;&gt;"", IF($D394 = "Futuros" , $N394/xlookup(WORKDAY(B394,-1,Feriados!A:A),Controle!$B$10:$B$1000,Controle!$T$10:$T$1000) , $M394/xlookup(WORKDAY(B394,-1,Feriados!A:A),Controle!$B$10:$B$1000,Controle!$T$10:$T$1000)),"")</f>
        <v/>
      </c>
      <c r="M394" s="48" t="str">
        <f t="shared" si="4"/>
        <v/>
      </c>
      <c r="N394" s="48" t="str">
        <f>IFERROR(IF(D394="Futuros",
IF(LEFT(C394,3)="DI1",G394*O394,
IF(LEFT(C394,3)="ISP",G394*O394*HLOOKUP("PTAX",'Histórico'!$A$1:$EL$983,MATCH(B394,'Histórico'!A:A),FALSE)*50,
IF(LEFT(C394,3)="WDO",10*G394*O394*HLOOKUP("PTAX",'Histórico'!$A$1:$EL$983,MATCH(B394,'Histórico'!A:A),FALSE),
IF(LEFT(C394,3)="DOL",50*G394*O394,
IF(LEFT(C394,3)="EUR",G394*O394*50,
IF(LEFT(C394,3)="WEU",G394*O394*10,
IF(LEFT(C394,3)="IND",G394*O394,
IF(LEFT(C394,3)="WIN",G394*O394*0.2,
IF(LEFT(C394,3)="T10",G394*O394*1000*HLOOKUP("PTAX",'Histórico'!$A$1:$EL$983,MATCH(B394,'Histórico'!A:A),FALSE),
IF(LEFT(C394,3)="CCM",G394*O394*450,
IF(LEFT(C394,3)="SJC",G394*O394*HLOOKUP("PTAX",'Histórico'!$A$1:$EL$983,MATCH(B394,'Histórico'!A:A),FALSE)*450,
IF(LEFT(C394,3)="BGI",G394*O394*330,
IF(LEFT(C394,3)="OZ1",G394*O394*250,
IF(LEFT(C394,3)="CLP",G394*O394*25,
IF(LEFT(C394,3)="EUP", O394*10000*HLOOKUP("EUR/BRL",'Histórico'!$A$1:$EL$983,MATCH(B394,'Histórico'!A:A),FALSE),
IF(LEFT(C394,3)="JSE", G394*O394*0.4,
IF(LEFT(C394,3)="GBP", O394*10000*HLOOKUP("GBP/BRL",'Histórico'!$A$1:$FG$983,MATCH(B394,'Histórico'!A:A),FALSE),
IF(LEFT(C394,3)="JAP",O394*10000*HLOOKUP("PTAX",'Histórico'!$A$1:$FG$983,MATCH(B394,'Histórico'!A:A),FALSE),
IF(LEFT(C394,3)="CNH",O394*10000*HLOOKUP("PTAX",'Histórico'!$A$1:$FG$983,MATCH(B394,'Histórico'!A:A),FALSE),
IF(LEFT(C394,3)="AUS",O394*10000*HLOOKUP("PTAX",'Histórico'!$A$1:$FG$983,MATCH(B394,'Histórico'!A:A),FALSE),
IF(LEFT(C394,3)="CAN",O394*10000*HLOOKUP("PTAX",'Histórico'!$A$1:$FG$983,MATCH(B394,'Histórico'!A:A),FALSE),
IF(LEFT(C394,3)="GBR",O394*10000*HLOOKUP("GBP/BRL",'Histórico'!$A$1:$FG$983,MATCH(B394,'Histórico'!A:A),FALSE),
IF(LEFT(C394,3)="MEX",O394*10000*HLOOKUP("PTAX",'Histórico'!$A$1:$FG$983,MATCH(B394,'Histórico'!A:A),FALSE),
IF(LEFT(C394,3)="CHL",O394*10000*HLOOKUP("PTAX",'Histórico'!$A$1:$FG$983,MATCH(B394,'Histórico'!A:A),FALSE)
)))))))))))))))))))))))),""))</f>
        <v/>
      </c>
      <c r="O394" s="49" t="str">
        <f t="shared" si="2"/>
        <v/>
      </c>
      <c r="P394" s="49" t="str">
        <f t="shared" si="5"/>
        <v/>
      </c>
      <c r="Q394" s="51" t="str">
        <f>IF($C394&lt;&gt;"",SUMIFS($O$3:$O$401, $C$3:$C$401 ,$C394,$B$3:$B$401,"&lt;="&amp;Controle!$B$6),"")</f>
        <v/>
      </c>
      <c r="R394" s="51" t="str">
        <f>IF($D394&lt;&gt;"",SUMIFS($O$3:$O$401, $C$3:$C$401 ,$C394,$B$3:$B$401,"&lt;="&amp;Controle!$B$6,$F$3:$F$401,$F394),"")</f>
        <v/>
      </c>
      <c r="S394" s="51" t="str">
        <f>IF($D394&lt;&gt;"",SUMIFS($O$3:$O$401, $C$3:$C$401 ,$C394,$B$3:$B$401,"&lt;="&amp;'Controle D-1'!$B$6,$F$3:$F$401,$F394),"")</f>
        <v/>
      </c>
      <c r="T394" s="40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146"/>
      <c r="B395" s="149"/>
      <c r="C395" s="150"/>
      <c r="D395" s="150" t="str">
        <f>IF(ISTEXT(C395),VLOOKUP(C395,'Cadastro dos Ativos'!$A$2:$C$1000,3,0),"")</f>
        <v/>
      </c>
      <c r="E395" s="150"/>
      <c r="F395" s="150"/>
      <c r="G395" s="151"/>
      <c r="H395" s="101" t="str">
        <f>if($D395="Ações Americanas", HLOOKUP("PTAX",'Histórico'!$A$1:$EL$983,(MATCH(B395,'Histórico'!A:A))-1,""),
if($D395="Ações Europeias", HLOOKUP("EUR/BRL",'Histórico'!$A$1:$EL$983,(MATCH(B395,'Histórico'!A:A))-1,""),""))</f>
        <v/>
      </c>
      <c r="I395" s="150" t="str">
        <f t="array" ref="I395">IF(ISTEXT(C395),xlookup(C395,'Cadastro dos Ativos'!$A$2:$A$1000,'Cadastro dos Ativos'!$D$2:$D$1000),"")</f>
        <v/>
      </c>
      <c r="J395" s="150"/>
      <c r="K395" s="47" t="str">
        <f t="array" ref="K395">if(and(J395&lt;&gt;"",D395&lt;&gt;"Futuros"),
if(F395=Controle!$C$2, M395/xlookup(workday(B395,-1,Feriados!A:A),Controle!$B$10:$B$1000,Controle!$C$10:$C$1000),
if(F395=Controle!$F$2, M395/xlookup(workday(B395,-1,Feriados!A:A),Controle!$B$10:$B$1000,Controle!$F$10:$F$1000),
if(F395=Controle!$I$2, M395/xlookup(workday(B395,-1,Feriados!A:A),Controle!$B$10:$B$1000,Controle!$I$10:$I$1000),
if(F395=Controle!$L$2, M395/xlookup(workday(B395,-1,Feriados!A:A),Controle!$B$10:$B$1000,Controle!$L$10:$L$1000),
)))),
if(and(J395&lt;&gt;"",D395="Futuros"),
if(F395=Controle!$C$2, N395/xlookup(workday(B395,-1,Feriados!A:A),Controle!$B$10:$B$1000,Controle!$C$10:$C$1000),
if(F395=Controle!$F$2, N395/xlookup(workday(B395,-1,Feriados!A:A),Controle!$B$10:$B$1000,Controle!$F$10:$F$1000),
if(F395=Controle!$I$2, N395/xlookup(workday(B395,-1,Feriados!A:A),Controle!$B$10:$B$1000,Controle!$I$10:$I$1000),
if(F395=Controle!$L$2, N395/xlookup(workday(B395,-1,Feriados!A:A),Controle!$B$10:$B$1000,Controle!$L$10:$L$1000),
)))),""))</f>
        <v/>
      </c>
      <c r="L395" s="47" t="str">
        <f t="array" ref="L395">IF($J395&lt;&gt;"", IF($D395 = "Futuros" , $N395/xlookup(WORKDAY(B395,-1,Feriados!A:A),Controle!$B$10:$B$1000,Controle!$T$10:$T$1000) , $M395/xlookup(WORKDAY(B395,-1,Feriados!A:A),Controle!$B$10:$B$1000,Controle!$T$10:$T$1000)),"")</f>
        <v/>
      </c>
      <c r="M395" s="48" t="str">
        <f t="shared" si="4"/>
        <v/>
      </c>
      <c r="N395" s="48" t="str">
        <f>IFERROR(IF(D395="Futuros",
IF(LEFT(C395,3)="DI1",G395*O395,
IF(LEFT(C395,3)="ISP",G395*O395*HLOOKUP("PTAX",'Histórico'!$A$1:$EL$983,MATCH(B395,'Histórico'!A:A),FALSE)*50,
IF(LEFT(C395,3)="WDO",10*G395*O395*HLOOKUP("PTAX",'Histórico'!$A$1:$EL$983,MATCH(B395,'Histórico'!A:A),FALSE),
IF(LEFT(C395,3)="DOL",50*G395*O395,
IF(LEFT(C395,3)="EUR",G395*O395*50,
IF(LEFT(C395,3)="WEU",G395*O395*10,
IF(LEFT(C395,3)="IND",G395*O395,
IF(LEFT(C395,3)="WIN",G395*O395*0.2,
IF(LEFT(C395,3)="T10",G395*O395*1000*HLOOKUP("PTAX",'Histórico'!$A$1:$EL$983,MATCH(B395,'Histórico'!A:A),FALSE),
IF(LEFT(C395,3)="CCM",G395*O395*450,
IF(LEFT(C395,3)="SJC",G395*O395*HLOOKUP("PTAX",'Histórico'!$A$1:$EL$983,MATCH(B395,'Histórico'!A:A),FALSE)*450,
IF(LEFT(C395,3)="BGI",G395*O395*330,
IF(LEFT(C395,3)="OZ1",G395*O395*250,
IF(LEFT(C395,3)="CLP",G395*O395*25,
IF(LEFT(C395,3)="EUP", O395*10000*HLOOKUP("EUR/BRL",'Histórico'!$A$1:$EL$983,MATCH(B395,'Histórico'!A:A),FALSE),
IF(LEFT(C395,3)="JSE", G395*O395*0.4,
IF(LEFT(C395,3)="GBP", O395*10000*HLOOKUP("GBP/BRL",'Histórico'!$A$1:$FG$983,MATCH(B395,'Histórico'!A:A),FALSE),
IF(LEFT(C395,3)="JAP",O395*10000*HLOOKUP("PTAX",'Histórico'!$A$1:$FG$983,MATCH(B395,'Histórico'!A:A),FALSE),
IF(LEFT(C395,3)="CNH",O395*10000*HLOOKUP("PTAX",'Histórico'!$A$1:$FG$983,MATCH(B395,'Histórico'!A:A),FALSE),
IF(LEFT(C395,3)="AUS",O395*10000*HLOOKUP("PTAX",'Histórico'!$A$1:$FG$983,MATCH(B395,'Histórico'!A:A),FALSE),
IF(LEFT(C395,3)="CAN",O395*10000*HLOOKUP("PTAX",'Histórico'!$A$1:$FG$983,MATCH(B395,'Histórico'!A:A),FALSE),
IF(LEFT(C395,3)="GBR",O395*10000*HLOOKUP("GBP/BRL",'Histórico'!$A$1:$FG$983,MATCH(B395,'Histórico'!A:A),FALSE),
IF(LEFT(C395,3)="MEX",O395*10000*HLOOKUP("PTAX",'Histórico'!$A$1:$FG$983,MATCH(B395,'Histórico'!A:A),FALSE),
IF(LEFT(C395,3)="CHL",O395*10000*HLOOKUP("PTAX",'Histórico'!$A$1:$FG$983,MATCH(B395,'Histórico'!A:A),FALSE)
)))))))))))))))))))))))),""))</f>
        <v/>
      </c>
      <c r="O395" s="49" t="str">
        <f t="shared" si="2"/>
        <v/>
      </c>
      <c r="P395" s="49" t="str">
        <f t="shared" si="5"/>
        <v/>
      </c>
      <c r="Q395" s="51" t="str">
        <f>IF($C395&lt;&gt;"",SUMIFS($O$3:$O$401, $C$3:$C$401 ,$C395,$B$3:$B$401,"&lt;="&amp;Controle!$B$6),"")</f>
        <v/>
      </c>
      <c r="R395" s="51" t="str">
        <f>IF($D395&lt;&gt;"",SUMIFS($O$3:$O$401, $C$3:$C$401 ,$C395,$B$3:$B$401,"&lt;="&amp;Controle!$B$6,$F$3:$F$401,$F395),"")</f>
        <v/>
      </c>
      <c r="S395" s="51" t="str">
        <f>IF($D395&lt;&gt;"",SUMIFS($O$3:$O$401, $C$3:$C$401 ,$C395,$B$3:$B$401,"&lt;="&amp;'Controle D-1'!$B$6,$F$3:$F$401,$F395),"")</f>
        <v/>
      </c>
      <c r="T395" s="40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146"/>
      <c r="B396" s="149"/>
      <c r="C396" s="150"/>
      <c r="D396" s="150" t="str">
        <f>IF(ISTEXT(C396),VLOOKUP(C396,'Cadastro dos Ativos'!$A$2:$C$1000,3,0),"")</f>
        <v/>
      </c>
      <c r="E396" s="150"/>
      <c r="F396" s="150"/>
      <c r="G396" s="151"/>
      <c r="H396" s="46" t="str">
        <f>if($D396="Ações Americanas", HLOOKUP("PTAX",'Histórico'!$A$1:$EL$983,(MATCH(B396,'Histórico'!A:A))-1,""),
if($D396="Ações Europeias", HLOOKUP("EUR/BRL",'Histórico'!$A$1:$EL$983,(MATCH(B396,'Histórico'!A:A))-1,""),""))</f>
        <v/>
      </c>
      <c r="I396" s="150" t="str">
        <f t="array" ref="I396">IF(ISTEXT(C396),xlookup(C396,'Cadastro dos Ativos'!$A$2:$A$1000,'Cadastro dos Ativos'!$D$2:$D$1000),"")</f>
        <v/>
      </c>
      <c r="J396" s="150"/>
      <c r="K396" s="47" t="str">
        <f t="array" ref="K396">if(and(J396&lt;&gt;"",D396&lt;&gt;"Futuros"),
if(F396=Controle!$C$2, M396/xlookup(workday(B396,-1,Feriados!A:A),Controle!$B$10:$B$1000,Controle!$C$10:$C$1000),
if(F396=Controle!$F$2, M396/xlookup(workday(B396,-1,Feriados!A:A),Controle!$B$10:$B$1000,Controle!$F$10:$F$1000),
if(F396=Controle!$I$2, M396/xlookup(workday(B396,-1,Feriados!A:A),Controle!$B$10:$B$1000,Controle!$I$10:$I$1000),
if(F396=Controle!$L$2, M396/xlookup(workday(B396,-1,Feriados!A:A),Controle!$B$10:$B$1000,Controle!$L$10:$L$1000),
)))),
if(and(J396&lt;&gt;"",D396="Futuros"),
if(F396=Controle!$C$2, N396/xlookup(workday(B396,-1,Feriados!A:A),Controle!$B$10:$B$1000,Controle!$C$10:$C$1000),
if(F396=Controle!$F$2, N396/xlookup(workday(B396,-1,Feriados!A:A),Controle!$B$10:$B$1000,Controle!$F$10:$F$1000),
if(F396=Controle!$I$2, N396/xlookup(workday(B396,-1,Feriados!A:A),Controle!$B$10:$B$1000,Controle!$I$10:$I$1000),
if(F396=Controle!$L$2, N396/xlookup(workday(B396,-1,Feriados!A:A),Controle!$B$10:$B$1000,Controle!$L$10:$L$1000),
)))),""))</f>
        <v/>
      </c>
      <c r="L396" s="47" t="str">
        <f t="array" ref="L396">IF($J396&lt;&gt;"", IF($D396 = "Futuros" , $N396/xlookup(WORKDAY(B396,-1,Feriados!A:A),Controle!$B$10:$B$1000,Controle!$T$10:$T$1000) , $M396/xlookup(WORKDAY(B396,-1,Feriados!A:A),Controle!$B$10:$B$1000,Controle!$T$10:$T$1000)),"")</f>
        <v/>
      </c>
      <c r="M396" s="48" t="str">
        <f t="shared" si="4"/>
        <v/>
      </c>
      <c r="N396" s="48" t="str">
        <f>IFERROR(IF(D396="Futuros",
IF(LEFT(C396,3)="DI1",G396*O396,
IF(LEFT(C396,3)="ISP",G396*O396*HLOOKUP("PTAX",'Histórico'!$A$1:$EL$983,MATCH(B396,'Histórico'!A:A),FALSE)*50,
IF(LEFT(C396,3)="WDO",10*G396*O396*HLOOKUP("PTAX",'Histórico'!$A$1:$EL$983,MATCH(B396,'Histórico'!A:A),FALSE),
IF(LEFT(C396,3)="DOL",50*G396*O396,
IF(LEFT(C396,3)="EUR",G396*O396*50,
IF(LEFT(C396,3)="WEU",G396*O396*10,
IF(LEFT(C396,3)="IND",G396*O396,
IF(LEFT(C396,3)="WIN",G396*O396*0.2,
IF(LEFT(C396,3)="T10",G396*O396*1000*HLOOKUP("PTAX",'Histórico'!$A$1:$EL$983,MATCH(B396,'Histórico'!A:A),FALSE),
IF(LEFT(C396,3)="CCM",G396*O396*450,
IF(LEFT(C396,3)="SJC",G396*O396*HLOOKUP("PTAX",'Histórico'!$A$1:$EL$983,MATCH(B396,'Histórico'!A:A),FALSE)*450,
IF(LEFT(C396,3)="BGI",G396*O396*330,
IF(LEFT(C396,3)="OZ1",G396*O396*250,
IF(LEFT(C396,3)="CLP",G396*O396*25,
IF(LEFT(C396,3)="EUP", O396*10000*HLOOKUP("EUR/BRL",'Histórico'!$A$1:$EL$983,MATCH(B396,'Histórico'!A:A),FALSE),
IF(LEFT(C396,3)="JSE", G396*O396*0.4,
IF(LEFT(C396,3)="GBP", O396*10000*HLOOKUP("GBP/BRL",'Histórico'!$A$1:$FG$983,MATCH(B396,'Histórico'!A:A),FALSE),
IF(LEFT(C396,3)="JAP",O396*10000*HLOOKUP("PTAX",'Histórico'!$A$1:$FG$983,MATCH(B396,'Histórico'!A:A),FALSE),
IF(LEFT(C396,3)="CNH",O396*10000*HLOOKUP("PTAX",'Histórico'!$A$1:$FG$983,MATCH(B396,'Histórico'!A:A),FALSE),
IF(LEFT(C396,3)="AUS",O396*10000*HLOOKUP("PTAX",'Histórico'!$A$1:$FG$983,MATCH(B396,'Histórico'!A:A),FALSE),
IF(LEFT(C396,3)="CAN",O396*10000*HLOOKUP("PTAX",'Histórico'!$A$1:$FG$983,MATCH(B396,'Histórico'!A:A),FALSE),
IF(LEFT(C396,3)="GBR",O396*10000*HLOOKUP("GBP/BRL",'Histórico'!$A$1:$FG$983,MATCH(B396,'Histórico'!A:A),FALSE),
IF(LEFT(C396,3)="MEX",O396*10000*HLOOKUP("PTAX",'Histórico'!$A$1:$FG$983,MATCH(B396,'Histórico'!A:A),FALSE),
IF(LEFT(C396,3)="CHL",O396*10000*HLOOKUP("PTAX",'Histórico'!$A$1:$FG$983,MATCH(B396,'Histórico'!A:A),FALSE)
)))))))))))))))))))))))),""))</f>
        <v/>
      </c>
      <c r="O396" s="49" t="str">
        <f t="shared" si="2"/>
        <v/>
      </c>
      <c r="P396" s="49" t="str">
        <f t="shared" si="5"/>
        <v/>
      </c>
      <c r="Q396" s="51" t="str">
        <f>IF($C396&lt;&gt;"",SUMIFS($O$3:$O$401, $C$3:$C$401 ,$C396,$B$3:$B$401,"&lt;="&amp;Controle!$B$6),"")</f>
        <v/>
      </c>
      <c r="R396" s="51" t="str">
        <f>IF($D396&lt;&gt;"",SUMIFS($O$3:$O$401, $C$3:$C$401 ,$C396,$B$3:$B$401,"&lt;="&amp;Controle!$B$6,$F$3:$F$401,$F396),"")</f>
        <v/>
      </c>
      <c r="S396" s="51" t="str">
        <f>IF($D396&lt;&gt;"",SUMIFS($O$3:$O$401, $C$3:$C$401 ,$C396,$B$3:$B$401,"&lt;="&amp;'Controle D-1'!$B$6,$F$3:$F$401,$F396),"")</f>
        <v/>
      </c>
      <c r="T396" s="40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146"/>
      <c r="B397" s="149"/>
      <c r="C397" s="150"/>
      <c r="D397" s="150" t="str">
        <f>IF(ISTEXT(C397),VLOOKUP(C397,'Cadastro dos Ativos'!$A$2:$C$1000,3,0),"")</f>
        <v/>
      </c>
      <c r="E397" s="150"/>
      <c r="F397" s="150"/>
      <c r="G397" s="151"/>
      <c r="H397" s="101" t="str">
        <f>if($D397="Ações Americanas", HLOOKUP("PTAX",'Histórico'!$A$1:$EL$983,(MATCH(B397,'Histórico'!A:A))-1,""),
if($D397="Ações Europeias", HLOOKUP("EUR/BRL",'Histórico'!$A$1:$EL$983,(MATCH(B397,'Histórico'!A:A))-1,""),""))</f>
        <v/>
      </c>
      <c r="I397" s="150" t="str">
        <f t="array" ref="I397">IF(ISTEXT(C397),xlookup(C397,'Cadastro dos Ativos'!$A$2:$A$1000,'Cadastro dos Ativos'!$D$2:$D$1000),"")</f>
        <v/>
      </c>
      <c r="J397" s="150"/>
      <c r="K397" s="47" t="str">
        <f t="array" ref="K397">if(and(J397&lt;&gt;"",D397&lt;&gt;"Futuros"),
if(F397=Controle!$C$2, M397/xlookup(workday(B397,-1,Feriados!A:A),Controle!$B$10:$B$1000,Controle!$C$10:$C$1000),
if(F397=Controle!$F$2, M397/xlookup(workday(B397,-1,Feriados!A:A),Controle!$B$10:$B$1000,Controle!$F$10:$F$1000),
if(F397=Controle!$I$2, M397/xlookup(workday(B397,-1,Feriados!A:A),Controle!$B$10:$B$1000,Controle!$I$10:$I$1000),
if(F397=Controle!$L$2, M397/xlookup(workday(B397,-1,Feriados!A:A),Controle!$B$10:$B$1000,Controle!$L$10:$L$1000),
)))),
if(and(J397&lt;&gt;"",D397="Futuros"),
if(F397=Controle!$C$2, N397/xlookup(workday(B397,-1,Feriados!A:A),Controle!$B$10:$B$1000,Controle!$C$10:$C$1000),
if(F397=Controle!$F$2, N397/xlookup(workday(B397,-1,Feriados!A:A),Controle!$B$10:$B$1000,Controle!$F$10:$F$1000),
if(F397=Controle!$I$2, N397/xlookup(workday(B397,-1,Feriados!A:A),Controle!$B$10:$B$1000,Controle!$I$10:$I$1000),
if(F397=Controle!$L$2, N397/xlookup(workday(B397,-1,Feriados!A:A),Controle!$B$10:$B$1000,Controle!$L$10:$L$1000),
)))),""))</f>
        <v/>
      </c>
      <c r="L397" s="47" t="str">
        <f t="array" ref="L397">IF($J397&lt;&gt;"", IF($D397 = "Futuros" , $N397/xlookup(WORKDAY(B397,-1,Feriados!A:A),Controle!$B$10:$B$1000,Controle!$T$10:$T$1000) , $M397/xlookup(WORKDAY(B397,-1,Feriados!A:A),Controle!$B$10:$B$1000,Controle!$T$10:$T$1000)),"")</f>
        <v/>
      </c>
      <c r="M397" s="48" t="str">
        <f t="shared" si="4"/>
        <v/>
      </c>
      <c r="N397" s="48" t="str">
        <f>IFERROR(IF(D397="Futuros",
IF(LEFT(C397,3)="DI1",G397*O397,
IF(LEFT(C397,3)="ISP",G397*O397*HLOOKUP("PTAX",'Histórico'!$A$1:$EL$983,MATCH(B397,'Histórico'!A:A),FALSE)*50,
IF(LEFT(C397,3)="WDO",10*G397*O397*HLOOKUP("PTAX",'Histórico'!$A$1:$EL$983,MATCH(B397,'Histórico'!A:A),FALSE),
IF(LEFT(C397,3)="DOL",50*G397*O397,
IF(LEFT(C397,3)="EUR",G397*O397*50,
IF(LEFT(C397,3)="WEU",G397*O397*10,
IF(LEFT(C397,3)="IND",G397*O397,
IF(LEFT(C397,3)="WIN",G397*O397*0.2,
IF(LEFT(C397,3)="T10",G397*O397*1000*HLOOKUP("PTAX",'Histórico'!$A$1:$EL$983,MATCH(B397,'Histórico'!A:A),FALSE),
IF(LEFT(C397,3)="CCM",G397*O397*450,
IF(LEFT(C397,3)="SJC",G397*O397*HLOOKUP("PTAX",'Histórico'!$A$1:$EL$983,MATCH(B397,'Histórico'!A:A),FALSE)*450,
IF(LEFT(C397,3)="BGI",G397*O397*330,
IF(LEFT(C397,3)="OZ1",G397*O397*250,
IF(LEFT(C397,3)="CLP",G397*O397*25,
IF(LEFT(C397,3)="EUP", O397*10000*HLOOKUP("EUR/BRL",'Histórico'!$A$1:$EL$983,MATCH(B397,'Histórico'!A:A),FALSE),
IF(LEFT(C397,3)="JSE", G397*O397*0.4,
IF(LEFT(C397,3)="GBP", O397*10000*HLOOKUP("GBP/BRL",'Histórico'!$A$1:$FG$983,MATCH(B397,'Histórico'!A:A),FALSE),
IF(LEFT(C397,3)="JAP",O397*10000*HLOOKUP("PTAX",'Histórico'!$A$1:$FG$983,MATCH(B397,'Histórico'!A:A),FALSE),
IF(LEFT(C397,3)="CNH",O397*10000*HLOOKUP("PTAX",'Histórico'!$A$1:$FG$983,MATCH(B397,'Histórico'!A:A),FALSE),
IF(LEFT(C397,3)="AUS",O397*10000*HLOOKUP("PTAX",'Histórico'!$A$1:$FG$983,MATCH(B397,'Histórico'!A:A),FALSE),
IF(LEFT(C397,3)="CAN",O397*10000*HLOOKUP("PTAX",'Histórico'!$A$1:$FG$983,MATCH(B397,'Histórico'!A:A),FALSE),
IF(LEFT(C397,3)="GBR",O397*10000*HLOOKUP("GBP/BRL",'Histórico'!$A$1:$FG$983,MATCH(B397,'Histórico'!A:A),FALSE),
IF(LEFT(C397,3)="MEX",O397*10000*HLOOKUP("PTAX",'Histórico'!$A$1:$FG$983,MATCH(B397,'Histórico'!A:A),FALSE),
IF(LEFT(C397,3)="CHL",O397*10000*HLOOKUP("PTAX",'Histórico'!$A$1:$FG$983,MATCH(B397,'Histórico'!A:A),FALSE)
)))))))))))))))))))))))),""))</f>
        <v/>
      </c>
      <c r="O397" s="49" t="str">
        <f t="shared" si="2"/>
        <v/>
      </c>
      <c r="P397" s="49" t="str">
        <f t="shared" si="5"/>
        <v/>
      </c>
      <c r="Q397" s="51" t="str">
        <f>IF($C397&lt;&gt;"",SUMIFS($O$3:$O$401, $C$3:$C$401 ,$C397,$B$3:$B$401,"&lt;="&amp;Controle!$B$6),"")</f>
        <v/>
      </c>
      <c r="R397" s="51" t="str">
        <f>IF($D397&lt;&gt;"",SUMIFS($O$3:$O$401, $C$3:$C$401 ,$C397,$B$3:$B$401,"&lt;="&amp;Controle!$B$6,$F$3:$F$401,$F397),"")</f>
        <v/>
      </c>
      <c r="S397" s="51" t="str">
        <f>IF($D397&lt;&gt;"",SUMIFS($O$3:$O$401, $C$3:$C$401 ,$C397,$B$3:$B$401,"&lt;="&amp;'Controle D-1'!$B$6,$F$3:$F$401,$F397),"")</f>
        <v/>
      </c>
      <c r="T397" s="40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146"/>
      <c r="B398" s="149"/>
      <c r="C398" s="150"/>
      <c r="D398" s="150" t="str">
        <f>IF(ISTEXT(C398),VLOOKUP(C398,'Cadastro dos Ativos'!$A$2:$C$1000,3,0),"")</f>
        <v/>
      </c>
      <c r="E398" s="150"/>
      <c r="F398" s="150"/>
      <c r="G398" s="151"/>
      <c r="H398" s="46" t="str">
        <f>if($D398="Ações Americanas", HLOOKUP("PTAX",'Histórico'!$A$1:$EL$983,(MATCH(B398,'Histórico'!A:A))-1,""),
if($D398="Ações Europeias", HLOOKUP("EUR/BRL",'Histórico'!$A$1:$EL$983,(MATCH(B398,'Histórico'!A:A))-1,""),""))</f>
        <v/>
      </c>
      <c r="I398" s="150" t="str">
        <f t="array" ref="I398">IF(ISTEXT(C398),xlookup(C398,'Cadastro dos Ativos'!$A$2:$A$1000,'Cadastro dos Ativos'!$D$2:$D$1000),"")</f>
        <v/>
      </c>
      <c r="J398" s="150"/>
      <c r="K398" s="47" t="str">
        <f t="array" ref="K398">if(and(J398&lt;&gt;"",D398&lt;&gt;"Futuros"),
if(F398=Controle!$C$2, M398/xlookup(workday(B398,-1,Feriados!A:A),Controle!$B$10:$B$1000,Controle!$C$10:$C$1000),
if(F398=Controle!$F$2, M398/xlookup(workday(B398,-1,Feriados!A:A),Controle!$B$10:$B$1000,Controle!$F$10:$F$1000),
if(F398=Controle!$I$2, M398/xlookup(workday(B398,-1,Feriados!A:A),Controle!$B$10:$B$1000,Controle!$I$10:$I$1000),
if(F398=Controle!$L$2, M398/xlookup(workday(B398,-1,Feriados!A:A),Controle!$B$10:$B$1000,Controle!$L$10:$L$1000),
)))),
if(and(J398&lt;&gt;"",D398="Futuros"),
if(F398=Controle!$C$2, N398/xlookup(workday(B398,-1,Feriados!A:A),Controle!$B$10:$B$1000,Controle!$C$10:$C$1000),
if(F398=Controle!$F$2, N398/xlookup(workday(B398,-1,Feriados!A:A),Controle!$B$10:$B$1000,Controle!$F$10:$F$1000),
if(F398=Controle!$I$2, N398/xlookup(workday(B398,-1,Feriados!A:A),Controle!$B$10:$B$1000,Controle!$I$10:$I$1000),
if(F398=Controle!$L$2, N398/xlookup(workday(B398,-1,Feriados!A:A),Controle!$B$10:$B$1000,Controle!$L$10:$L$1000),
)))),""))</f>
        <v/>
      </c>
      <c r="L398" s="47" t="str">
        <f t="array" ref="L398">IF($J398&lt;&gt;"", IF($D398 = "Futuros" , $N398/xlookup(WORKDAY(B398,-1,Feriados!A:A),Controle!$B$10:$B$1000,Controle!$T$10:$T$1000) , $M398/xlookup(WORKDAY(B398,-1,Feriados!A:A),Controle!$B$10:$B$1000,Controle!$T$10:$T$1000)),"")</f>
        <v/>
      </c>
      <c r="M398" s="48" t="str">
        <f t="shared" si="4"/>
        <v/>
      </c>
      <c r="N398" s="48" t="str">
        <f>IFERROR(IF(D398="Futuros",
IF(LEFT(C398,3)="DI1",G398*O398,
IF(LEFT(C398,3)="ISP",G398*O398*HLOOKUP("PTAX",'Histórico'!$A$1:$EL$983,MATCH(B398,'Histórico'!A:A),FALSE)*50,
IF(LEFT(C398,3)="WDO",10*G398*O398*HLOOKUP("PTAX",'Histórico'!$A$1:$EL$983,MATCH(B398,'Histórico'!A:A),FALSE),
IF(LEFT(C398,3)="DOL",50*G398*O398,
IF(LEFT(C398,3)="EUR",G398*O398*50,
IF(LEFT(C398,3)="WEU",G398*O398*10,
IF(LEFT(C398,3)="IND",G398*O398,
IF(LEFT(C398,3)="WIN",G398*O398*0.2,
IF(LEFT(C398,3)="T10",G398*O398*1000*HLOOKUP("PTAX",'Histórico'!$A$1:$EL$983,MATCH(B398,'Histórico'!A:A),FALSE),
IF(LEFT(C398,3)="CCM",G398*O398*450,
IF(LEFT(C398,3)="SJC",G398*O398*HLOOKUP("PTAX",'Histórico'!$A$1:$EL$983,MATCH(B398,'Histórico'!A:A),FALSE)*450,
IF(LEFT(C398,3)="BGI",G398*O398*330,
IF(LEFT(C398,3)="OZ1",G398*O398*250,
IF(LEFT(C398,3)="CLP",G398*O398*25,
IF(LEFT(C398,3)="EUP", O398*10000*HLOOKUP("EUR/BRL",'Histórico'!$A$1:$EL$983,MATCH(B398,'Histórico'!A:A),FALSE),
IF(LEFT(C398,3)="JSE", G398*O398*0.4,
IF(LEFT(C398,3)="GBP", O398*10000*HLOOKUP("GBP/BRL",'Histórico'!$A$1:$FG$983,MATCH(B398,'Histórico'!A:A),FALSE),
IF(LEFT(C398,3)="JAP",O398*10000*HLOOKUP("PTAX",'Histórico'!$A$1:$FG$983,MATCH(B398,'Histórico'!A:A),FALSE),
IF(LEFT(C398,3)="CNH",O398*10000*HLOOKUP("PTAX",'Histórico'!$A$1:$FG$983,MATCH(B398,'Histórico'!A:A),FALSE),
IF(LEFT(C398,3)="AUS",O398*10000*HLOOKUP("PTAX",'Histórico'!$A$1:$FG$983,MATCH(B398,'Histórico'!A:A),FALSE),
IF(LEFT(C398,3)="CAN",O398*10000*HLOOKUP("PTAX",'Histórico'!$A$1:$FG$983,MATCH(B398,'Histórico'!A:A),FALSE),
IF(LEFT(C398,3)="GBR",O398*10000*HLOOKUP("GBP/BRL",'Histórico'!$A$1:$FG$983,MATCH(B398,'Histórico'!A:A),FALSE),
IF(LEFT(C398,3)="MEX",O398*10000*HLOOKUP("PTAX",'Histórico'!$A$1:$FG$983,MATCH(B398,'Histórico'!A:A),FALSE),
IF(LEFT(C398,3)="CHL",O398*10000*HLOOKUP("PTAX",'Histórico'!$A$1:$FG$983,MATCH(B398,'Histórico'!A:A),FALSE)
)))))))))))))))))))))))),""))</f>
        <v/>
      </c>
      <c r="O398" s="49" t="str">
        <f t="shared" si="2"/>
        <v/>
      </c>
      <c r="P398" s="49" t="str">
        <f t="shared" si="5"/>
        <v/>
      </c>
      <c r="Q398" s="51" t="str">
        <f>IF($C398&lt;&gt;"",SUMIFS($O$3:$O$401, $C$3:$C$401 ,$C398,$B$3:$B$401,"&lt;="&amp;Controle!$B$6),"")</f>
        <v/>
      </c>
      <c r="R398" s="51" t="str">
        <f>IF($D398&lt;&gt;"",SUMIFS($O$3:$O$401, $C$3:$C$401 ,$C398,$B$3:$B$401,"&lt;="&amp;Controle!$B$6,$F$3:$F$401,$F398),"")</f>
        <v/>
      </c>
      <c r="S398" s="51" t="str">
        <f>IF($D398&lt;&gt;"",SUMIFS($O$3:$O$401, $C$3:$C$401 ,$C398,$B$3:$B$401,"&lt;="&amp;'Controle D-1'!$B$6,$F$3:$F$401,$F398),"")</f>
        <v/>
      </c>
      <c r="T398" s="40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146"/>
      <c r="B399" s="149"/>
      <c r="C399" s="150"/>
      <c r="D399" s="150" t="str">
        <f>IF(ISTEXT(C399),VLOOKUP(C399,'Cadastro dos Ativos'!$A$2:$C$1000,3,0),"")</f>
        <v/>
      </c>
      <c r="E399" s="150"/>
      <c r="F399" s="150"/>
      <c r="G399" s="151"/>
      <c r="H399" s="101" t="str">
        <f>if($D399="Ações Americanas", HLOOKUP("PTAX",'Histórico'!$A$1:$EL$983,(MATCH(B399,'Histórico'!A:A))-1,""),
if($D399="Ações Europeias", HLOOKUP("EUR/BRL",'Histórico'!$A$1:$EL$983,(MATCH(B399,'Histórico'!A:A))-1,""),""))</f>
        <v/>
      </c>
      <c r="I399" s="150" t="str">
        <f t="array" ref="I399">IF(ISTEXT(C399),xlookup(C399,'Cadastro dos Ativos'!$A$2:$A$1000,'Cadastro dos Ativos'!$D$2:$D$1000),"")</f>
        <v/>
      </c>
      <c r="J399" s="150"/>
      <c r="K399" s="47" t="str">
        <f t="array" ref="K399">if(and(J399&lt;&gt;"",D399&lt;&gt;"Futuros"),
if(F399=Controle!$C$2, M399/xlookup(workday(B399,-1,Feriados!A:A),Controle!$B$10:$B$1000,Controle!$C$10:$C$1000),
if(F399=Controle!$F$2, M399/xlookup(workday(B399,-1,Feriados!A:A),Controle!$B$10:$B$1000,Controle!$F$10:$F$1000),
if(F399=Controle!$I$2, M399/xlookup(workday(B399,-1,Feriados!A:A),Controle!$B$10:$B$1000,Controle!$I$10:$I$1000),
if(F399=Controle!$L$2, M399/xlookup(workday(B399,-1,Feriados!A:A),Controle!$B$10:$B$1000,Controle!$L$10:$L$1000),
)))),
if(and(J399&lt;&gt;"",D399="Futuros"),
if(F399=Controle!$C$2, N399/xlookup(workday(B399,-1,Feriados!A:A),Controle!$B$10:$B$1000,Controle!$C$10:$C$1000),
if(F399=Controle!$F$2, N399/xlookup(workday(B399,-1,Feriados!A:A),Controle!$B$10:$B$1000,Controle!$F$10:$F$1000),
if(F399=Controle!$I$2, N399/xlookup(workday(B399,-1,Feriados!A:A),Controle!$B$10:$B$1000,Controle!$I$10:$I$1000),
if(F399=Controle!$L$2, N399/xlookup(workday(B399,-1,Feriados!A:A),Controle!$B$10:$B$1000,Controle!$L$10:$L$1000),
)))),""))</f>
        <v/>
      </c>
      <c r="L399" s="47" t="str">
        <f t="array" ref="L399">IF($J399&lt;&gt;"", IF($D399 = "Futuros" , $N399/xlookup(WORKDAY(B399,-1,Feriados!A:A),Controle!$B$10:$B$1000,Controle!$T$10:$T$1000) , $M399/xlookup(WORKDAY(B399,-1,Feriados!A:A),Controle!$B$10:$B$1000,Controle!$T$10:$T$1000)),"")</f>
        <v/>
      </c>
      <c r="M399" s="48" t="str">
        <f t="shared" si="4"/>
        <v/>
      </c>
      <c r="N399" s="48" t="str">
        <f>IFERROR(IF(D399="Futuros",
IF(LEFT(C399,3)="DI1",G399*O399,
IF(LEFT(C399,3)="ISP",G399*O399*HLOOKUP("PTAX",'Histórico'!$A$1:$EL$983,MATCH(B399,'Histórico'!A:A),FALSE)*50,
IF(LEFT(C399,3)="WDO",10*G399*O399*HLOOKUP("PTAX",'Histórico'!$A$1:$EL$983,MATCH(B399,'Histórico'!A:A),FALSE),
IF(LEFT(C399,3)="DOL",50*G399*O399,
IF(LEFT(C399,3)="EUR",G399*O399*50,
IF(LEFT(C399,3)="WEU",G399*O399*10,
IF(LEFT(C399,3)="IND",G399*O399,
IF(LEFT(C399,3)="WIN",G399*O399*0.2,
IF(LEFT(C399,3)="T10",G399*O399*1000*HLOOKUP("PTAX",'Histórico'!$A$1:$EL$983,MATCH(B399,'Histórico'!A:A),FALSE),
IF(LEFT(C399,3)="CCM",G399*O399*450,
IF(LEFT(C399,3)="SJC",G399*O399*HLOOKUP("PTAX",'Histórico'!$A$1:$EL$983,MATCH(B399,'Histórico'!A:A),FALSE)*450,
IF(LEFT(C399,3)="BGI",G399*O399*330,
IF(LEFT(C399,3)="OZ1",G399*O399*250,
IF(LEFT(C399,3)="CLP",G399*O399*25,
IF(LEFT(C399,3)="EUP", O399*10000*HLOOKUP("EUR/BRL",'Histórico'!$A$1:$EL$983,MATCH(B399,'Histórico'!A:A),FALSE),
IF(LEFT(C399,3)="JSE", G399*O399*0.4,
IF(LEFT(C399,3)="GBP", O399*10000*HLOOKUP("GBP/BRL",'Histórico'!$A$1:$FG$983,MATCH(B399,'Histórico'!A:A),FALSE),
IF(LEFT(C399,3)="JAP",O399*10000*HLOOKUP("PTAX",'Histórico'!$A$1:$FG$983,MATCH(B399,'Histórico'!A:A),FALSE),
IF(LEFT(C399,3)="CNH",O399*10000*HLOOKUP("PTAX",'Histórico'!$A$1:$FG$983,MATCH(B399,'Histórico'!A:A),FALSE),
IF(LEFT(C399,3)="AUS",O399*10000*HLOOKUP("PTAX",'Histórico'!$A$1:$FG$983,MATCH(B399,'Histórico'!A:A),FALSE),
IF(LEFT(C399,3)="CAN",O399*10000*HLOOKUP("PTAX",'Histórico'!$A$1:$FG$983,MATCH(B399,'Histórico'!A:A),FALSE),
IF(LEFT(C399,3)="GBR",O399*10000*HLOOKUP("GBP/BRL",'Histórico'!$A$1:$FG$983,MATCH(B399,'Histórico'!A:A),FALSE),
IF(LEFT(C399,3)="MEX",O399*10000*HLOOKUP("PTAX",'Histórico'!$A$1:$FG$983,MATCH(B399,'Histórico'!A:A),FALSE),
IF(LEFT(C399,3)="CHL",O399*10000*HLOOKUP("PTAX",'Histórico'!$A$1:$FG$983,MATCH(B399,'Histórico'!A:A),FALSE)
)))))))))))))))))))))))),""))</f>
        <v/>
      </c>
      <c r="O399" s="49" t="str">
        <f t="shared" si="2"/>
        <v/>
      </c>
      <c r="P399" s="49" t="str">
        <f t="shared" si="5"/>
        <v/>
      </c>
      <c r="Q399" s="51" t="str">
        <f>IF($C399&lt;&gt;"",SUMIFS($O$3:$O$401, $C$3:$C$401 ,$C399,$B$3:$B$401,"&lt;="&amp;Controle!$B$6),"")</f>
        <v/>
      </c>
      <c r="R399" s="51" t="str">
        <f>IF($D399&lt;&gt;"",SUMIFS($O$3:$O$401, $C$3:$C$401 ,$C399,$B$3:$B$401,"&lt;="&amp;Controle!$B$6,$F$3:$F$401,$F399),"")</f>
        <v/>
      </c>
      <c r="S399" s="51" t="str">
        <f>IF($D399&lt;&gt;"",SUMIFS($O$3:$O$401, $C$3:$C$401 ,$C399,$B$3:$B$401,"&lt;="&amp;'Controle D-1'!$B$6,$F$3:$F$401,$F399),"")</f>
        <v/>
      </c>
      <c r="T399" s="40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146"/>
      <c r="B400" s="149"/>
      <c r="C400" s="150"/>
      <c r="D400" s="150" t="str">
        <f>IF(ISTEXT(C400),VLOOKUP(C400,'Cadastro dos Ativos'!$A$2:$C$1000,3,0),"")</f>
        <v/>
      </c>
      <c r="E400" s="150"/>
      <c r="F400" s="150"/>
      <c r="G400" s="151"/>
      <c r="H400" s="46" t="str">
        <f>if($D400="Ações Americanas", HLOOKUP("PTAX",'Histórico'!$A$1:$EL$983,(MATCH(B400,'Histórico'!A:A))-1,""),
if($D400="Ações Europeias", HLOOKUP("EUR/BRL",'Histórico'!$A$1:$EL$983,(MATCH(B400,'Histórico'!A:A))-1,""),""))</f>
        <v/>
      </c>
      <c r="I400" s="150" t="str">
        <f t="array" ref="I400">IF(ISTEXT(C400),xlookup(C400,'Cadastro dos Ativos'!$A$2:$A$1000,'Cadastro dos Ativos'!$D$2:$D$1000),"")</f>
        <v/>
      </c>
      <c r="J400" s="150"/>
      <c r="K400" s="47" t="str">
        <f t="array" ref="K400">if(and(J400&lt;&gt;"",D400&lt;&gt;"Futuros"),
if(F400=Controle!$C$2, M400/xlookup(workday(B400,-1,Feriados!A:A),Controle!$B$10:$B$1000,Controle!$C$10:$C$1000),
if(F400=Controle!$F$2, M400/xlookup(workday(B400,-1,Feriados!A:A),Controle!$B$10:$B$1000,Controle!$F$10:$F$1000),
if(F400=Controle!$I$2, M400/xlookup(workday(B400,-1,Feriados!A:A),Controle!$B$10:$B$1000,Controle!$I$10:$I$1000),
if(F400=Controle!$L$2, M400/xlookup(workday(B400,-1,Feriados!A:A),Controle!$B$10:$B$1000,Controle!$L$10:$L$1000),
)))),
if(and(J400&lt;&gt;"",D400="Futuros"),
if(F400=Controle!$C$2, N400/xlookup(workday(B400,-1,Feriados!A:A),Controle!$B$10:$B$1000,Controle!$C$10:$C$1000),
if(F400=Controle!$F$2, N400/xlookup(workday(B400,-1,Feriados!A:A),Controle!$B$10:$B$1000,Controle!$F$10:$F$1000),
if(F400=Controle!$I$2, N400/xlookup(workday(B400,-1,Feriados!A:A),Controle!$B$10:$B$1000,Controle!$I$10:$I$1000),
if(F400=Controle!$L$2, N400/xlookup(workday(B400,-1,Feriados!A:A),Controle!$B$10:$B$1000,Controle!$L$10:$L$1000),
)))),""))</f>
        <v/>
      </c>
      <c r="L400" s="47" t="str">
        <f t="array" ref="L400">IF($J400&lt;&gt;"", IF($D400 = "Futuros" , $N400/xlookup(WORKDAY(B400,-1,Feriados!A:A),Controle!$B$10:$B$1000,Controle!$T$10:$T$1000) , $M400/xlookup(WORKDAY(B400,-1,Feriados!A:A),Controle!$B$10:$B$1000,Controle!$T$10:$T$1000)),"")</f>
        <v/>
      </c>
      <c r="M400" s="48" t="str">
        <f t="shared" si="4"/>
        <v/>
      </c>
      <c r="N400" s="48" t="str">
        <f>IFERROR(IF(D400="Futuros",
IF(LEFT(C400,3)="DI1",G400*O400,
IF(LEFT(C400,3)="ISP",G400*O400*HLOOKUP("PTAX",'Histórico'!$A$1:$EL$983,MATCH(B400,'Histórico'!A:A),FALSE)*50,
IF(LEFT(C400,3)="WDO",10*G400*O400*HLOOKUP("PTAX",'Histórico'!$A$1:$EL$983,MATCH(B400,'Histórico'!A:A),FALSE),
IF(LEFT(C400,3)="DOL",50*G400*O400,
IF(LEFT(C400,3)="EUR",G400*O400*50,
IF(LEFT(C400,3)="WEU",G400*O400*10,
IF(LEFT(C400,3)="IND",G400*O400,
IF(LEFT(C400,3)="WIN",G400*O400*0.2,
IF(LEFT(C400,3)="T10",G400*O400*1000*HLOOKUP("PTAX",'Histórico'!$A$1:$EL$983,MATCH(B400,'Histórico'!A:A),FALSE),
IF(LEFT(C400,3)="CCM",G400*O400*450,
IF(LEFT(C400,3)="SJC",G400*O400*HLOOKUP("PTAX",'Histórico'!$A$1:$EL$983,MATCH(B400,'Histórico'!A:A),FALSE)*450,
IF(LEFT(C400,3)="BGI",G400*O400*330,
IF(LEFT(C400,3)="OZ1",G400*O400*250,
IF(LEFT(C400,3)="CLP",G400*O400*25,
IF(LEFT(C400,3)="EUP", O400*10000*HLOOKUP("EUR/BRL",'Histórico'!$A$1:$EL$983,MATCH(B400,'Histórico'!A:A),FALSE),
IF(LEFT(C400,3)="JSE", G400*O400*0.4,
IF(LEFT(C400,3)="GBP", O400*10000*HLOOKUP("GBP/BRL",'Histórico'!$A$1:$FG$983,MATCH(B400,'Histórico'!A:A),FALSE),
IF(LEFT(C400,3)="JAP",O400*10000*HLOOKUP("PTAX",'Histórico'!$A$1:$FG$983,MATCH(B400,'Histórico'!A:A),FALSE),
IF(LEFT(C400,3)="CNH",O400*10000*HLOOKUP("PTAX",'Histórico'!$A$1:$FG$983,MATCH(B400,'Histórico'!A:A),FALSE),
IF(LEFT(C400,3)="AUS",O400*10000*HLOOKUP("PTAX",'Histórico'!$A$1:$FG$983,MATCH(B400,'Histórico'!A:A),FALSE),
IF(LEFT(C400,3)="CAN",O400*10000*HLOOKUP("PTAX",'Histórico'!$A$1:$FG$983,MATCH(B400,'Histórico'!A:A),FALSE),
IF(LEFT(C400,3)="GBR",O400*10000*HLOOKUP("GBP/BRL",'Histórico'!$A$1:$FG$983,MATCH(B400,'Histórico'!A:A),FALSE),
IF(LEFT(C400,3)="MEX",O400*10000*HLOOKUP("PTAX",'Histórico'!$A$1:$FG$983,MATCH(B400,'Histórico'!A:A),FALSE),
IF(LEFT(C400,3)="CHL",O400*10000*HLOOKUP("PTAX",'Histórico'!$A$1:$FG$983,MATCH(B400,'Histórico'!A:A),FALSE)
)))))))))))))))))))))))),""))</f>
        <v/>
      </c>
      <c r="O400" s="49" t="str">
        <f t="shared" si="2"/>
        <v/>
      </c>
      <c r="P400" s="49" t="str">
        <f t="shared" si="5"/>
        <v/>
      </c>
      <c r="Q400" s="51" t="str">
        <f>IF($C400&lt;&gt;"",SUMIFS($O$3:$O$401, $C$3:$C$401 ,$C400,$B$3:$B$401,"&lt;="&amp;Controle!$B$6),"")</f>
        <v/>
      </c>
      <c r="R400" s="51" t="str">
        <f>IF($D400&lt;&gt;"",SUMIFS($O$3:$O$401, $C$3:$C$401 ,$C400,$B$3:$B$401,"&lt;="&amp;Controle!$B$6,$F$3:$F$401,$F400),"")</f>
        <v/>
      </c>
      <c r="S400" s="51" t="str">
        <f>IF($D400&lt;&gt;"",SUMIFS($O$3:$O$401, $C$3:$C$401 ,$C400,$B$3:$B$401,"&lt;="&amp;'Controle D-1'!$B$6,$F$3:$F$401,$F400),"")</f>
        <v/>
      </c>
      <c r="T400" s="40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146"/>
      <c r="B401" s="149"/>
      <c r="C401" s="150"/>
      <c r="D401" s="152" t="str">
        <f>IF(ISTEXT(C401),VLOOKUP(C401,'Cadastro dos Ativos'!$A$2:$C$1000,3,0),"")</f>
        <v/>
      </c>
      <c r="E401" s="150"/>
      <c r="F401" s="150"/>
      <c r="G401" s="153"/>
      <c r="H401" s="101" t="str">
        <f>if($D401="Ações Americanas", HLOOKUP("PTAX",'Histórico'!$A$1:$EL$983,(MATCH(B401,'Histórico'!A:A))-1,""),
if($D401="Ações Europeias", HLOOKUP("EUR/BRL",'Histórico'!$A$1:$EL$983,(MATCH(B401,'Histórico'!A:A))-1,""),""))</f>
        <v/>
      </c>
      <c r="I401" s="152" t="str">
        <f t="array" ref="I401">IF(ISTEXT(C401),xlookup(C401,'Cadastro dos Ativos'!$A$2:$A$1000,'Cadastro dos Ativos'!$D$2:$D$1000),"")</f>
        <v/>
      </c>
      <c r="J401" s="152"/>
      <c r="K401" s="47" t="str">
        <f t="array" ref="K401">if(and(J401&lt;&gt;"",D401&lt;&gt;"Futuros"),
if(F401=Controle!$C$2, M401/xlookup(workday(B401,-1,Feriados!A:A),Controle!$B$10:$B$1000,Controle!$C$10:$C$1000),
if(F401=Controle!$F$2, M401/xlookup(workday(B401,-1,Feriados!A:A),Controle!$B$10:$B$1000,Controle!$F$10:$F$1000),
if(F401=Controle!$I$2, M401/xlookup(workday(B401,-1,Feriados!A:A),Controle!$B$10:$B$1000,Controle!$I$10:$I$1000),
if(F401=Controle!$L$2, M401/xlookup(workday(B401,-1,Feriados!A:A),Controle!$B$10:$B$1000,Controle!$L$10:$L$1000),
)))),
if(and(J401&lt;&gt;"",D401="Futuros"),
if(F401=Controle!$C$2, N401/xlookup(workday(B401,-1,Feriados!A:A),Controle!$B$10:$B$1000,Controle!$C$10:$C$1000),
if(F401=Controle!$F$2, N401/xlookup(workday(B401,-1,Feriados!A:A),Controle!$B$10:$B$1000,Controle!$F$10:$F$1000),
if(F401=Controle!$I$2, N401/xlookup(workday(B401,-1,Feriados!A:A),Controle!$B$10:$B$1000,Controle!$I$10:$I$1000),
if(F401=Controle!$L$2, N401/xlookup(workday(B401,-1,Feriados!A:A),Controle!$B$10:$B$1000,Controle!$L$10:$L$1000),
)))),""))</f>
        <v/>
      </c>
      <c r="L401" s="47" t="str">
        <f t="array" ref="L401">IF($J401&lt;&gt;"", IF($D401 = "Futuros" , $N401/xlookup(WORKDAY(B401,-1,Feriados!A:A),Controle!$B$10:$B$1000,Controle!$T$10:$T$1000) , $M401/xlookup(WORKDAY(B401,-1,Feriados!A:A),Controle!$B$10:$B$1000,Controle!$T$10:$T$1000)),"")</f>
        <v/>
      </c>
      <c r="M401" s="48" t="str">
        <f t="shared" si="4"/>
        <v/>
      </c>
      <c r="N401" s="48" t="str">
        <f>IFERROR(IF(D401="Futuros",
IF(LEFT(C401,3)="DI1",G401*O401,
IF(LEFT(C401,3)="ISP",G401*O401*HLOOKUP("PTAX",'Histórico'!$A$1:$EL$983,MATCH(B401,'Histórico'!A:A),FALSE)*50,
IF(LEFT(C401,3)="WDO",10*G401*O401*HLOOKUP("PTAX",'Histórico'!$A$1:$EL$983,MATCH(B401,'Histórico'!A:A),FALSE),
IF(LEFT(C401,3)="DOL",50*G401*O401,
IF(LEFT(C401,3)="EUR",G401*O401*50,
IF(LEFT(C401,3)="WEU",G401*O401*10,
IF(LEFT(C401,3)="IND",G401*O401,
IF(LEFT(C401,3)="WIN",G401*O401*0.2,
IF(LEFT(C401,3)="T10",G401*O401*1000*HLOOKUP("PTAX",'Histórico'!$A$1:$EL$983,MATCH(B401,'Histórico'!A:A),FALSE),
IF(LEFT(C401,3)="CCM",G401*O401*450,
IF(LEFT(C401,3)="SJC",G401*O401*HLOOKUP("PTAX",'Histórico'!$A$1:$EL$983,MATCH(B401,'Histórico'!A:A),FALSE)*450,
IF(LEFT(C401,3)="BGI",G401*O401*330,
IF(LEFT(C401,3)="OZ1",G401*O401*250,
IF(LEFT(C401,3)="CLP",G401*O401*25,
IF(LEFT(C401,3)="EUP", O401*10000*HLOOKUP("EUR/BRL",'Histórico'!$A$1:$EL$983,MATCH(B401,'Histórico'!A:A),FALSE),
IF(LEFT(C401,3)="JSE", G401*O401*0.4,
IF(LEFT(C401,3)="GBP", O401*10000*HLOOKUP("GBP/BRL",'Histórico'!$A$1:$FG$983,MATCH(B401,'Histórico'!A:A),FALSE),
IF(LEFT(C401,3)="JAP",O401*10000*HLOOKUP("PTAX",'Histórico'!$A$1:$FG$983,MATCH(B401,'Histórico'!A:A),FALSE),
IF(LEFT(C401,3)="CNH",O401*10000*HLOOKUP("PTAX",'Histórico'!$A$1:$FG$983,MATCH(B401,'Histórico'!A:A),FALSE),
IF(LEFT(C401,3)="AUS",O401*10000*HLOOKUP("PTAX",'Histórico'!$A$1:$FG$983,MATCH(B401,'Histórico'!A:A),FALSE),
IF(LEFT(C401,3)="CAN",O401*10000*HLOOKUP("PTAX",'Histórico'!$A$1:$FG$983,MATCH(B401,'Histórico'!A:A),FALSE),
IF(LEFT(C401,3)="GBR",O401*10000*HLOOKUP("GBP/BRL",'Histórico'!$A$1:$FG$983,MATCH(B401,'Histórico'!A:A),FALSE),
IF(LEFT(C401,3)="MEX",O401*10000*HLOOKUP("PTAX",'Histórico'!$A$1:$FG$983,MATCH(B401,'Histórico'!A:A),FALSE),
IF(LEFT(C401,3)="CHL",O401*10000*HLOOKUP("PTAX",'Histórico'!$A$1:$FG$983,MATCH(B401,'Histórico'!A:A),FALSE)
)))))))))))))))))))))))),""))</f>
        <v/>
      </c>
      <c r="O401" s="49" t="str">
        <f t="shared" si="2"/>
        <v/>
      </c>
      <c r="P401" s="49" t="str">
        <f t="shared" si="5"/>
        <v/>
      </c>
      <c r="Q401" s="51" t="str">
        <f>IF($C401&lt;&gt;"",SUMIFS($O$3:$O$401, $C$3:$C$401 ,$C401,$B$3:$B$401,"&lt;="&amp;Controle!$B$6),"")</f>
        <v/>
      </c>
      <c r="R401" s="51" t="str">
        <f>IF($D401&lt;&gt;"",SUMIFS($O$3:$O$401, $C$3:$C$401 ,$C401,$B$3:$B$401,"&lt;="&amp;Controle!$B$6,$F$3:$F$401,$F401),"")</f>
        <v/>
      </c>
      <c r="S401" s="51" t="str">
        <f>IF($D401&lt;&gt;"",SUMIFS($O$3:$O$401, $C$3:$C$401 ,$C401,$B$3:$B$401,"&lt;="&amp;'Controle D-1'!$B$6,$F$3:$F$401,$F401),"")</f>
        <v/>
      </c>
      <c r="T401" s="40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146"/>
      <c r="B402" s="154"/>
      <c r="C402" s="154"/>
      <c r="D402" s="154"/>
      <c r="E402" s="154"/>
      <c r="F402" s="154"/>
      <c r="G402" s="154"/>
      <c r="H402" s="154"/>
      <c r="I402" s="154"/>
      <c r="J402" s="154"/>
      <c r="K402" s="154"/>
      <c r="L402" s="154"/>
      <c r="M402" s="154"/>
      <c r="N402" s="154"/>
      <c r="O402" s="154"/>
      <c r="P402" s="154"/>
      <c r="Q402" s="154"/>
      <c r="R402" s="154"/>
      <c r="S402" s="154"/>
      <c r="T402" s="154"/>
      <c r="U402" s="154"/>
      <c r="V402" s="154"/>
      <c r="W402" s="154"/>
      <c r="X402" s="154"/>
      <c r="Y402" s="154"/>
      <c r="Z402" s="154"/>
      <c r="AA402" s="154"/>
      <c r="AB402" s="154"/>
      <c r="AC402" s="154"/>
    </row>
    <row r="403" ht="15.75" customHeight="1">
      <c r="A403" s="146"/>
      <c r="B403" s="154"/>
      <c r="C403" s="154"/>
      <c r="D403" s="154"/>
      <c r="E403" s="154"/>
      <c r="F403" s="154"/>
      <c r="G403" s="154"/>
      <c r="H403" s="154"/>
      <c r="I403" s="154"/>
      <c r="J403" s="154"/>
      <c r="K403" s="154"/>
      <c r="L403" s="154"/>
      <c r="M403" s="154"/>
      <c r="N403" s="154"/>
      <c r="O403" s="154"/>
      <c r="P403" s="154"/>
      <c r="Q403" s="154"/>
      <c r="R403" s="154"/>
      <c r="S403" s="154"/>
      <c r="T403" s="154"/>
      <c r="U403" s="154"/>
      <c r="V403" s="154"/>
      <c r="W403" s="154"/>
      <c r="X403" s="154"/>
      <c r="Y403" s="154"/>
      <c r="Z403" s="154"/>
      <c r="AA403" s="154"/>
      <c r="AB403" s="154"/>
      <c r="AC403" s="154"/>
    </row>
    <row r="404" ht="15.75" customHeight="1">
      <c r="A404" s="146"/>
      <c r="B404" s="154"/>
      <c r="C404" s="154"/>
      <c r="D404" s="154"/>
      <c r="E404" s="154"/>
      <c r="F404" s="154"/>
      <c r="G404" s="154"/>
      <c r="H404" s="154"/>
      <c r="I404" s="154"/>
      <c r="J404" s="154"/>
      <c r="K404" s="154"/>
      <c r="L404" s="154"/>
      <c r="M404" s="154"/>
      <c r="N404" s="154"/>
      <c r="O404" s="154"/>
      <c r="P404" s="154"/>
      <c r="Q404" s="154"/>
      <c r="R404" s="154"/>
      <c r="S404" s="154"/>
      <c r="T404" s="154"/>
      <c r="U404" s="154"/>
      <c r="V404" s="154"/>
      <c r="W404" s="154"/>
      <c r="X404" s="154"/>
      <c r="Y404" s="154"/>
      <c r="Z404" s="154"/>
      <c r="AA404" s="154"/>
      <c r="AB404" s="154"/>
      <c r="AC404" s="154"/>
    </row>
    <row r="405" ht="15.75" customHeight="1">
      <c r="A405" s="146"/>
      <c r="B405" s="154"/>
      <c r="C405" s="154"/>
      <c r="D405" s="154"/>
      <c r="E405" s="154"/>
      <c r="F405" s="154"/>
      <c r="G405" s="154"/>
      <c r="H405" s="154"/>
      <c r="I405" s="154"/>
      <c r="J405" s="154"/>
      <c r="K405" s="154"/>
      <c r="L405" s="154"/>
      <c r="M405" s="154"/>
      <c r="N405" s="154"/>
      <c r="O405" s="154"/>
      <c r="P405" s="154"/>
      <c r="Q405" s="154"/>
      <c r="R405" s="154"/>
      <c r="S405" s="154"/>
      <c r="T405" s="154"/>
      <c r="U405" s="154"/>
      <c r="V405" s="154"/>
      <c r="W405" s="154"/>
      <c r="X405" s="154"/>
      <c r="Y405" s="154"/>
      <c r="Z405" s="154"/>
      <c r="AA405" s="154"/>
      <c r="AB405" s="154"/>
      <c r="AC405" s="154"/>
    </row>
    <row r="406" ht="15.75" customHeight="1">
      <c r="A406" s="146"/>
      <c r="B406" s="154"/>
      <c r="C406" s="154"/>
      <c r="D406" s="154"/>
      <c r="E406" s="154"/>
      <c r="F406" s="154"/>
      <c r="G406" s="154"/>
      <c r="H406" s="154"/>
      <c r="I406" s="154"/>
      <c r="J406" s="154"/>
      <c r="K406" s="154"/>
      <c r="L406" s="154"/>
      <c r="M406" s="154"/>
      <c r="N406" s="154"/>
      <c r="O406" s="154"/>
      <c r="P406" s="154"/>
      <c r="Q406" s="154"/>
      <c r="R406" s="154"/>
      <c r="S406" s="154"/>
      <c r="T406" s="154"/>
      <c r="U406" s="154"/>
      <c r="V406" s="154"/>
      <c r="W406" s="154"/>
      <c r="X406" s="154"/>
      <c r="Y406" s="154"/>
      <c r="Z406" s="154"/>
      <c r="AA406" s="154"/>
      <c r="AB406" s="154"/>
      <c r="AC406" s="154"/>
    </row>
    <row r="407" ht="15.75" customHeight="1">
      <c r="A407" s="146"/>
      <c r="B407" s="154"/>
      <c r="C407" s="154"/>
      <c r="D407" s="154"/>
      <c r="E407" s="154"/>
      <c r="F407" s="154"/>
      <c r="G407" s="154"/>
      <c r="H407" s="154"/>
      <c r="I407" s="154"/>
      <c r="J407" s="154"/>
      <c r="K407" s="154"/>
      <c r="L407" s="154"/>
      <c r="M407" s="154"/>
      <c r="N407" s="154"/>
      <c r="O407" s="154"/>
      <c r="P407" s="154"/>
      <c r="Q407" s="154"/>
      <c r="R407" s="154"/>
      <c r="S407" s="154"/>
      <c r="T407" s="154"/>
      <c r="U407" s="154"/>
      <c r="V407" s="154"/>
      <c r="W407" s="154"/>
      <c r="X407" s="154"/>
      <c r="Y407" s="154"/>
      <c r="Z407" s="154"/>
      <c r="AA407" s="154"/>
      <c r="AB407" s="154"/>
      <c r="AC407" s="154"/>
    </row>
    <row r="408" ht="15.75" customHeight="1">
      <c r="A408" s="146"/>
      <c r="B408" s="154"/>
      <c r="C408" s="154"/>
      <c r="D408" s="154"/>
      <c r="E408" s="154"/>
      <c r="F408" s="154"/>
      <c r="G408" s="154"/>
      <c r="H408" s="154"/>
      <c r="I408" s="154"/>
      <c r="J408" s="154"/>
      <c r="K408" s="154"/>
      <c r="L408" s="154"/>
      <c r="M408" s="154"/>
      <c r="N408" s="154"/>
      <c r="O408" s="154"/>
      <c r="P408" s="154"/>
      <c r="Q408" s="154"/>
      <c r="R408" s="154"/>
      <c r="S408" s="154"/>
      <c r="T408" s="154"/>
      <c r="U408" s="154"/>
      <c r="V408" s="154"/>
      <c r="W408" s="154"/>
      <c r="X408" s="154"/>
      <c r="Y408" s="154"/>
      <c r="Z408" s="154"/>
      <c r="AA408" s="154"/>
      <c r="AB408" s="154"/>
      <c r="AC408" s="154"/>
    </row>
    <row r="409" ht="15.75" customHeight="1">
      <c r="A409" s="146"/>
      <c r="B409" s="154"/>
      <c r="C409" s="154"/>
      <c r="D409" s="154"/>
      <c r="E409" s="154"/>
      <c r="F409" s="154"/>
      <c r="G409" s="154"/>
      <c r="H409" s="154"/>
      <c r="I409" s="154"/>
      <c r="J409" s="154"/>
      <c r="K409" s="154"/>
      <c r="L409" s="154"/>
      <c r="M409" s="154"/>
      <c r="N409" s="154"/>
      <c r="O409" s="154"/>
      <c r="P409" s="154"/>
      <c r="Q409" s="154"/>
      <c r="R409" s="154"/>
      <c r="S409" s="154"/>
      <c r="T409" s="154"/>
      <c r="U409" s="154"/>
      <c r="V409" s="154"/>
      <c r="W409" s="154"/>
      <c r="X409" s="154"/>
      <c r="Y409" s="154"/>
      <c r="Z409" s="154"/>
      <c r="AA409" s="154"/>
      <c r="AB409" s="154"/>
      <c r="AC409" s="154"/>
    </row>
    <row r="410" ht="15.75" customHeight="1">
      <c r="A410" s="146"/>
      <c r="B410" s="154"/>
      <c r="C410" s="154"/>
      <c r="D410" s="154"/>
      <c r="E410" s="154"/>
      <c r="F410" s="154"/>
      <c r="G410" s="154"/>
      <c r="H410" s="154"/>
      <c r="I410" s="154"/>
      <c r="J410" s="154"/>
      <c r="K410" s="154"/>
      <c r="L410" s="154"/>
      <c r="M410" s="154"/>
      <c r="N410" s="154"/>
      <c r="O410" s="154"/>
      <c r="P410" s="154"/>
      <c r="Q410" s="154"/>
      <c r="R410" s="154"/>
      <c r="S410" s="154"/>
      <c r="T410" s="154"/>
      <c r="U410" s="154"/>
      <c r="V410" s="154"/>
      <c r="W410" s="154"/>
      <c r="X410" s="154"/>
      <c r="Y410" s="154"/>
      <c r="Z410" s="154"/>
      <c r="AA410" s="154"/>
      <c r="AB410" s="154"/>
      <c r="AC410" s="154"/>
    </row>
    <row r="411" ht="15.75" customHeight="1">
      <c r="A411" s="146"/>
      <c r="B411" s="154"/>
      <c r="C411" s="154"/>
      <c r="D411" s="154"/>
      <c r="E411" s="154"/>
      <c r="F411" s="154"/>
      <c r="G411" s="154"/>
      <c r="H411" s="154"/>
      <c r="I411" s="154"/>
      <c r="J411" s="154"/>
      <c r="K411" s="154"/>
      <c r="L411" s="154"/>
      <c r="M411" s="154"/>
      <c r="N411" s="154"/>
      <c r="O411" s="154"/>
      <c r="P411" s="154"/>
      <c r="Q411" s="154"/>
      <c r="R411" s="154"/>
      <c r="S411" s="154"/>
      <c r="T411" s="154"/>
      <c r="U411" s="154"/>
      <c r="V411" s="154"/>
      <c r="W411" s="154"/>
      <c r="X411" s="154"/>
      <c r="Y411" s="154"/>
      <c r="Z411" s="154"/>
      <c r="AA411" s="154"/>
      <c r="AB411" s="154"/>
      <c r="AC411" s="154"/>
    </row>
    <row r="412" ht="15.75" customHeight="1">
      <c r="A412" s="146"/>
      <c r="B412" s="154"/>
      <c r="C412" s="154"/>
      <c r="D412" s="154"/>
      <c r="E412" s="154"/>
      <c r="F412" s="154"/>
      <c r="G412" s="154"/>
      <c r="H412" s="154"/>
      <c r="I412" s="154"/>
      <c r="J412" s="154"/>
      <c r="K412" s="154"/>
      <c r="L412" s="154"/>
      <c r="M412" s="154"/>
      <c r="N412" s="154"/>
      <c r="O412" s="154"/>
      <c r="P412" s="154"/>
      <c r="Q412" s="154"/>
      <c r="R412" s="154"/>
      <c r="S412" s="154"/>
      <c r="T412" s="154"/>
      <c r="U412" s="154"/>
      <c r="V412" s="154"/>
      <c r="W412" s="154"/>
      <c r="X412" s="154"/>
      <c r="Y412" s="154"/>
      <c r="Z412" s="154"/>
      <c r="AA412" s="154"/>
      <c r="AB412" s="154"/>
      <c r="AC412" s="154"/>
    </row>
    <row r="413" ht="15.75" customHeight="1">
      <c r="A413" s="146"/>
      <c r="B413" s="154"/>
      <c r="C413" s="154"/>
      <c r="D413" s="154"/>
      <c r="E413" s="154"/>
      <c r="F413" s="154"/>
      <c r="G413" s="154"/>
      <c r="H413" s="154"/>
      <c r="I413" s="154"/>
      <c r="J413" s="154"/>
      <c r="K413" s="154"/>
      <c r="L413" s="154"/>
      <c r="M413" s="154"/>
      <c r="N413" s="154"/>
      <c r="O413" s="154"/>
      <c r="P413" s="154"/>
      <c r="Q413" s="154"/>
      <c r="R413" s="154"/>
      <c r="S413" s="154"/>
      <c r="T413" s="154"/>
      <c r="U413" s="154"/>
      <c r="V413" s="154"/>
      <c r="W413" s="154"/>
      <c r="X413" s="154"/>
      <c r="Y413" s="154"/>
      <c r="Z413" s="154"/>
      <c r="AA413" s="154"/>
      <c r="AB413" s="154"/>
      <c r="AC413" s="154"/>
    </row>
    <row r="414" ht="15.75" customHeight="1">
      <c r="A414" s="146"/>
      <c r="B414" s="154"/>
      <c r="C414" s="154"/>
      <c r="D414" s="154"/>
      <c r="E414" s="154"/>
      <c r="F414" s="154"/>
      <c r="G414" s="154"/>
      <c r="H414" s="154"/>
      <c r="I414" s="154"/>
      <c r="J414" s="154"/>
      <c r="K414" s="154"/>
      <c r="L414" s="154"/>
      <c r="M414" s="154"/>
      <c r="N414" s="154"/>
      <c r="O414" s="154"/>
      <c r="P414" s="154"/>
      <c r="Q414" s="154"/>
      <c r="R414" s="154"/>
      <c r="S414" s="154"/>
      <c r="T414" s="154"/>
      <c r="U414" s="154"/>
      <c r="V414" s="154"/>
      <c r="W414" s="154"/>
      <c r="X414" s="154"/>
      <c r="Y414" s="154"/>
      <c r="Z414" s="154"/>
      <c r="AA414" s="154"/>
      <c r="AB414" s="154"/>
      <c r="AC414" s="154"/>
    </row>
    <row r="415" ht="15.75" customHeight="1">
      <c r="A415" s="146"/>
      <c r="B415" s="154"/>
      <c r="C415" s="154"/>
      <c r="D415" s="154"/>
      <c r="E415" s="154"/>
      <c r="F415" s="154"/>
      <c r="G415" s="154"/>
      <c r="H415" s="154"/>
      <c r="I415" s="154"/>
      <c r="J415" s="154"/>
      <c r="K415" s="154"/>
      <c r="L415" s="154"/>
      <c r="M415" s="154"/>
      <c r="N415" s="154"/>
      <c r="O415" s="154"/>
      <c r="P415" s="154"/>
      <c r="Q415" s="154"/>
      <c r="R415" s="154"/>
      <c r="S415" s="154"/>
      <c r="T415" s="154"/>
      <c r="U415" s="154"/>
      <c r="V415" s="154"/>
      <c r="W415" s="154"/>
      <c r="X415" s="154"/>
      <c r="Y415" s="154"/>
      <c r="Z415" s="154"/>
      <c r="AA415" s="154"/>
      <c r="AB415" s="154"/>
      <c r="AC415" s="154"/>
    </row>
    <row r="416" ht="15.75" customHeight="1">
      <c r="A416" s="146"/>
      <c r="B416" s="154"/>
      <c r="C416" s="154"/>
      <c r="D416" s="154"/>
      <c r="E416" s="154"/>
      <c r="F416" s="154"/>
      <c r="G416" s="154"/>
      <c r="H416" s="154"/>
      <c r="I416" s="154"/>
      <c r="J416" s="154"/>
      <c r="K416" s="154"/>
      <c r="L416" s="154"/>
      <c r="M416" s="154"/>
      <c r="N416" s="154"/>
      <c r="O416" s="154"/>
      <c r="P416" s="154"/>
      <c r="Q416" s="154"/>
      <c r="R416" s="154"/>
      <c r="S416" s="154"/>
      <c r="T416" s="154"/>
      <c r="U416" s="154"/>
      <c r="V416" s="154"/>
      <c r="W416" s="154"/>
      <c r="X416" s="154"/>
      <c r="Y416" s="154"/>
      <c r="Z416" s="154"/>
      <c r="AA416" s="154"/>
      <c r="AB416" s="154"/>
      <c r="AC416" s="154"/>
    </row>
    <row r="417" ht="15.75" customHeight="1">
      <c r="A417" s="146"/>
      <c r="B417" s="154"/>
      <c r="C417" s="154"/>
      <c r="D417" s="154"/>
      <c r="E417" s="154"/>
      <c r="F417" s="154"/>
      <c r="G417" s="154"/>
      <c r="H417" s="154"/>
      <c r="I417" s="154"/>
      <c r="J417" s="154"/>
      <c r="K417" s="154"/>
      <c r="L417" s="154"/>
      <c r="M417" s="154"/>
      <c r="N417" s="154"/>
      <c r="O417" s="154"/>
      <c r="P417" s="154"/>
      <c r="Q417" s="154"/>
      <c r="R417" s="154"/>
      <c r="S417" s="154"/>
      <c r="T417" s="154"/>
      <c r="U417" s="154"/>
      <c r="V417" s="154"/>
      <c r="W417" s="154"/>
      <c r="X417" s="154"/>
      <c r="Y417" s="154"/>
      <c r="Z417" s="154"/>
      <c r="AA417" s="154"/>
      <c r="AB417" s="154"/>
      <c r="AC417" s="154"/>
    </row>
    <row r="418" ht="15.75" customHeight="1">
      <c r="A418" s="146"/>
      <c r="B418" s="154"/>
      <c r="C418" s="154"/>
      <c r="D418" s="154"/>
      <c r="E418" s="154"/>
      <c r="F418" s="154"/>
      <c r="G418" s="154"/>
      <c r="H418" s="154"/>
      <c r="I418" s="154"/>
      <c r="J418" s="154"/>
      <c r="K418" s="154"/>
      <c r="L418" s="154"/>
      <c r="M418" s="154"/>
      <c r="N418" s="154"/>
      <c r="O418" s="154"/>
      <c r="P418" s="154"/>
      <c r="Q418" s="154"/>
      <c r="R418" s="154"/>
      <c r="S418" s="154"/>
      <c r="T418" s="154"/>
      <c r="U418" s="154"/>
      <c r="V418" s="154"/>
      <c r="W418" s="154"/>
      <c r="X418" s="154"/>
      <c r="Y418" s="154"/>
      <c r="Z418" s="154"/>
      <c r="AA418" s="154"/>
      <c r="AB418" s="154"/>
      <c r="AC418" s="154"/>
    </row>
    <row r="419" ht="15.75" customHeight="1">
      <c r="A419" s="146"/>
      <c r="B419" s="154"/>
      <c r="C419" s="154"/>
      <c r="D419" s="154"/>
      <c r="E419" s="154"/>
      <c r="F419" s="154"/>
      <c r="G419" s="154"/>
      <c r="H419" s="154"/>
      <c r="I419" s="154"/>
      <c r="J419" s="154"/>
      <c r="K419" s="154"/>
      <c r="L419" s="154"/>
      <c r="M419" s="154"/>
      <c r="N419" s="154"/>
      <c r="O419" s="154"/>
      <c r="P419" s="154"/>
      <c r="Q419" s="154"/>
      <c r="R419" s="154"/>
      <c r="S419" s="154"/>
      <c r="T419" s="154"/>
      <c r="U419" s="154"/>
      <c r="V419" s="154"/>
      <c r="W419" s="154"/>
      <c r="X419" s="154"/>
      <c r="Y419" s="154"/>
      <c r="Z419" s="154"/>
      <c r="AA419" s="154"/>
      <c r="AB419" s="154"/>
      <c r="AC419" s="154"/>
    </row>
    <row r="420" ht="15.75" customHeight="1">
      <c r="A420" s="146"/>
      <c r="B420" s="154"/>
      <c r="C420" s="154"/>
      <c r="D420" s="154"/>
      <c r="E420" s="154"/>
      <c r="F420" s="154"/>
      <c r="G420" s="154"/>
      <c r="H420" s="154"/>
      <c r="I420" s="154"/>
      <c r="J420" s="154"/>
      <c r="K420" s="154"/>
      <c r="L420" s="154"/>
      <c r="M420" s="154"/>
      <c r="N420" s="154"/>
      <c r="O420" s="154"/>
      <c r="P420" s="154"/>
      <c r="Q420" s="154"/>
      <c r="R420" s="154"/>
      <c r="S420" s="154"/>
      <c r="T420" s="154"/>
      <c r="U420" s="154"/>
      <c r="V420" s="154"/>
      <c r="W420" s="154"/>
      <c r="X420" s="154"/>
      <c r="Y420" s="154"/>
      <c r="Z420" s="154"/>
      <c r="AA420" s="154"/>
      <c r="AB420" s="154"/>
      <c r="AC420" s="154"/>
    </row>
    <row r="421" ht="15.75" customHeight="1">
      <c r="A421" s="146"/>
      <c r="B421" s="154"/>
      <c r="C421" s="154"/>
      <c r="D421" s="154"/>
      <c r="E421" s="154"/>
      <c r="F421" s="154"/>
      <c r="G421" s="154"/>
      <c r="H421" s="154"/>
      <c r="I421" s="154"/>
      <c r="J421" s="154"/>
      <c r="K421" s="154"/>
      <c r="L421" s="154"/>
      <c r="M421" s="154"/>
      <c r="N421" s="154"/>
      <c r="O421" s="154"/>
      <c r="P421" s="154"/>
      <c r="Q421" s="154"/>
      <c r="R421" s="154"/>
      <c r="S421" s="154"/>
      <c r="T421" s="154"/>
      <c r="U421" s="154"/>
      <c r="V421" s="154"/>
      <c r="W421" s="154"/>
      <c r="X421" s="154"/>
      <c r="Y421" s="154"/>
      <c r="Z421" s="154"/>
      <c r="AA421" s="154"/>
      <c r="AB421" s="154"/>
      <c r="AC421" s="154"/>
    </row>
    <row r="422" ht="15.75" customHeight="1">
      <c r="A422" s="146"/>
      <c r="B422" s="154"/>
      <c r="C422" s="154"/>
      <c r="D422" s="154"/>
      <c r="E422" s="154"/>
      <c r="F422" s="154"/>
      <c r="G422" s="154"/>
      <c r="H422" s="154"/>
      <c r="I422" s="154"/>
      <c r="J422" s="154"/>
      <c r="K422" s="154"/>
      <c r="L422" s="154"/>
      <c r="M422" s="154"/>
      <c r="N422" s="154"/>
      <c r="O422" s="154"/>
      <c r="P422" s="154"/>
      <c r="Q422" s="154"/>
      <c r="R422" s="154"/>
      <c r="S422" s="154"/>
      <c r="T422" s="154"/>
      <c r="U422" s="154"/>
      <c r="V422" s="154"/>
      <c r="W422" s="154"/>
      <c r="X422" s="154"/>
      <c r="Y422" s="154"/>
      <c r="Z422" s="154"/>
      <c r="AA422" s="154"/>
      <c r="AB422" s="154"/>
      <c r="AC422" s="154"/>
    </row>
    <row r="423" ht="15.75" customHeight="1">
      <c r="A423" s="146"/>
      <c r="B423" s="154"/>
      <c r="C423" s="154"/>
      <c r="D423" s="154"/>
      <c r="E423" s="154"/>
      <c r="F423" s="154"/>
      <c r="G423" s="154"/>
      <c r="H423" s="154"/>
      <c r="I423" s="154"/>
      <c r="J423" s="154"/>
      <c r="K423" s="154"/>
      <c r="L423" s="154"/>
      <c r="M423" s="154"/>
      <c r="N423" s="154"/>
      <c r="O423" s="154"/>
      <c r="P423" s="154"/>
      <c r="Q423" s="154"/>
      <c r="R423" s="154"/>
      <c r="S423" s="154"/>
      <c r="T423" s="154"/>
      <c r="U423" s="154"/>
      <c r="V423" s="154"/>
      <c r="W423" s="154"/>
      <c r="X423" s="154"/>
      <c r="Y423" s="154"/>
      <c r="Z423" s="154"/>
      <c r="AA423" s="154"/>
      <c r="AB423" s="154"/>
      <c r="AC423" s="154"/>
    </row>
    <row r="424" ht="15.75" customHeight="1">
      <c r="A424" s="146"/>
      <c r="B424" s="154"/>
      <c r="C424" s="154"/>
      <c r="D424" s="154"/>
      <c r="E424" s="154"/>
      <c r="F424" s="154"/>
      <c r="G424" s="154"/>
      <c r="H424" s="154"/>
      <c r="I424" s="154"/>
      <c r="J424" s="154"/>
      <c r="K424" s="154"/>
      <c r="L424" s="154"/>
      <c r="M424" s="154"/>
      <c r="N424" s="154"/>
      <c r="O424" s="154"/>
      <c r="P424" s="154"/>
      <c r="Q424" s="154"/>
      <c r="R424" s="154"/>
      <c r="S424" s="154"/>
      <c r="T424" s="154"/>
      <c r="U424" s="154"/>
      <c r="V424" s="154"/>
      <c r="W424" s="154"/>
      <c r="X424" s="154"/>
      <c r="Y424" s="154"/>
      <c r="Z424" s="154"/>
      <c r="AA424" s="154"/>
      <c r="AB424" s="154"/>
      <c r="AC424" s="154"/>
    </row>
    <row r="425" ht="15.75" customHeight="1">
      <c r="A425" s="146"/>
      <c r="B425" s="154"/>
      <c r="C425" s="154"/>
      <c r="D425" s="154"/>
      <c r="E425" s="154"/>
      <c r="F425" s="154"/>
      <c r="G425" s="154"/>
      <c r="H425" s="154"/>
      <c r="I425" s="154"/>
      <c r="J425" s="154"/>
      <c r="K425" s="154"/>
      <c r="L425" s="154"/>
      <c r="M425" s="154"/>
      <c r="N425" s="154"/>
      <c r="O425" s="154"/>
      <c r="P425" s="154"/>
      <c r="Q425" s="154"/>
      <c r="R425" s="154"/>
      <c r="S425" s="154"/>
      <c r="T425" s="154"/>
      <c r="U425" s="154"/>
      <c r="V425" s="154"/>
      <c r="W425" s="154"/>
      <c r="X425" s="154"/>
      <c r="Y425" s="154"/>
      <c r="Z425" s="154"/>
      <c r="AA425" s="154"/>
      <c r="AB425" s="154"/>
      <c r="AC425" s="154"/>
    </row>
    <row r="426" ht="15.75" customHeight="1">
      <c r="A426" s="146"/>
      <c r="B426" s="154"/>
      <c r="C426" s="154"/>
      <c r="D426" s="154"/>
      <c r="E426" s="154"/>
      <c r="F426" s="154"/>
      <c r="G426" s="154"/>
      <c r="H426" s="154"/>
      <c r="I426" s="154"/>
      <c r="J426" s="154"/>
      <c r="K426" s="154"/>
      <c r="L426" s="154"/>
      <c r="M426" s="154"/>
      <c r="N426" s="154"/>
      <c r="O426" s="154"/>
      <c r="P426" s="154"/>
      <c r="Q426" s="154"/>
      <c r="R426" s="154"/>
      <c r="S426" s="154"/>
      <c r="T426" s="154"/>
      <c r="U426" s="154"/>
      <c r="V426" s="154"/>
      <c r="W426" s="154"/>
      <c r="X426" s="154"/>
      <c r="Y426" s="154"/>
      <c r="Z426" s="154"/>
      <c r="AA426" s="154"/>
      <c r="AB426" s="154"/>
      <c r="AC426" s="154"/>
    </row>
    <row r="427" ht="15.75" customHeight="1">
      <c r="A427" s="146"/>
      <c r="B427" s="154"/>
      <c r="C427" s="154"/>
      <c r="D427" s="154"/>
      <c r="E427" s="154"/>
      <c r="F427" s="154"/>
      <c r="G427" s="154"/>
      <c r="H427" s="154"/>
      <c r="I427" s="154"/>
      <c r="J427" s="154"/>
      <c r="K427" s="154"/>
      <c r="L427" s="154"/>
      <c r="M427" s="154"/>
      <c r="N427" s="154"/>
      <c r="O427" s="154"/>
      <c r="P427" s="154"/>
      <c r="Q427" s="154"/>
      <c r="R427" s="154"/>
      <c r="S427" s="154"/>
      <c r="T427" s="154"/>
      <c r="U427" s="154"/>
      <c r="V427" s="154"/>
      <c r="W427" s="154"/>
      <c r="X427" s="154"/>
      <c r="Y427" s="154"/>
      <c r="Z427" s="154"/>
      <c r="AA427" s="154"/>
      <c r="AB427" s="154"/>
      <c r="AC427" s="154"/>
    </row>
    <row r="428" ht="15.75" customHeight="1">
      <c r="A428" s="146"/>
      <c r="B428" s="154"/>
      <c r="C428" s="154"/>
      <c r="D428" s="154"/>
      <c r="E428" s="154"/>
      <c r="F428" s="154"/>
      <c r="G428" s="154"/>
      <c r="H428" s="154"/>
      <c r="I428" s="154"/>
      <c r="J428" s="154"/>
      <c r="K428" s="154"/>
      <c r="L428" s="154"/>
      <c r="M428" s="154"/>
      <c r="N428" s="154"/>
      <c r="O428" s="154"/>
      <c r="P428" s="154"/>
      <c r="Q428" s="154"/>
      <c r="R428" s="154"/>
      <c r="S428" s="154"/>
      <c r="T428" s="154"/>
      <c r="U428" s="154"/>
      <c r="V428" s="154"/>
      <c r="W428" s="154"/>
      <c r="X428" s="154"/>
      <c r="Y428" s="154"/>
      <c r="Z428" s="154"/>
      <c r="AA428" s="154"/>
      <c r="AB428" s="154"/>
      <c r="AC428" s="154"/>
    </row>
    <row r="429" ht="15.75" customHeight="1">
      <c r="A429" s="146"/>
      <c r="B429" s="154"/>
      <c r="C429" s="154"/>
      <c r="D429" s="154"/>
      <c r="E429" s="154"/>
      <c r="F429" s="154"/>
      <c r="G429" s="154"/>
      <c r="H429" s="154"/>
      <c r="I429" s="154"/>
      <c r="J429" s="154"/>
      <c r="K429" s="154"/>
      <c r="L429" s="154"/>
      <c r="M429" s="154"/>
      <c r="N429" s="154"/>
      <c r="O429" s="154"/>
      <c r="P429" s="154"/>
      <c r="Q429" s="154"/>
      <c r="R429" s="154"/>
      <c r="S429" s="154"/>
      <c r="T429" s="154"/>
      <c r="U429" s="154"/>
      <c r="V429" s="154"/>
      <c r="W429" s="154"/>
      <c r="X429" s="154"/>
      <c r="Y429" s="154"/>
      <c r="Z429" s="154"/>
      <c r="AA429" s="154"/>
      <c r="AB429" s="154"/>
      <c r="AC429" s="154"/>
    </row>
    <row r="430" ht="15.75" customHeight="1">
      <c r="A430" s="146"/>
      <c r="B430" s="154"/>
      <c r="C430" s="154"/>
      <c r="D430" s="154"/>
      <c r="E430" s="154"/>
      <c r="F430" s="154"/>
      <c r="G430" s="154"/>
      <c r="H430" s="154"/>
      <c r="I430" s="154"/>
      <c r="J430" s="154"/>
      <c r="K430" s="154"/>
      <c r="L430" s="154"/>
      <c r="M430" s="154"/>
      <c r="N430" s="154"/>
      <c r="O430" s="154"/>
      <c r="P430" s="154"/>
      <c r="Q430" s="154"/>
      <c r="R430" s="154"/>
      <c r="S430" s="154"/>
      <c r="T430" s="154"/>
      <c r="U430" s="154"/>
      <c r="V430" s="154"/>
      <c r="W430" s="154"/>
      <c r="X430" s="154"/>
      <c r="Y430" s="154"/>
      <c r="Z430" s="154"/>
      <c r="AA430" s="154"/>
      <c r="AB430" s="154"/>
      <c r="AC430" s="154"/>
    </row>
    <row r="431" ht="15.75" customHeight="1">
      <c r="A431" s="146"/>
      <c r="B431" s="154"/>
      <c r="C431" s="154"/>
      <c r="D431" s="154"/>
      <c r="E431" s="154"/>
      <c r="F431" s="154"/>
      <c r="G431" s="154"/>
      <c r="H431" s="154"/>
      <c r="I431" s="154"/>
      <c r="J431" s="154"/>
      <c r="K431" s="154"/>
      <c r="L431" s="154"/>
      <c r="M431" s="154"/>
      <c r="N431" s="154"/>
      <c r="O431" s="154"/>
      <c r="P431" s="154"/>
      <c r="Q431" s="154"/>
      <c r="R431" s="154"/>
      <c r="S431" s="154"/>
      <c r="T431" s="154"/>
      <c r="U431" s="154"/>
      <c r="V431" s="154"/>
      <c r="W431" s="154"/>
      <c r="X431" s="154"/>
      <c r="Y431" s="154"/>
      <c r="Z431" s="154"/>
      <c r="AA431" s="154"/>
      <c r="AB431" s="154"/>
      <c r="AC431" s="154"/>
    </row>
    <row r="432" ht="15.75" customHeight="1">
      <c r="A432" s="146"/>
      <c r="B432" s="154"/>
      <c r="C432" s="154"/>
      <c r="D432" s="154"/>
      <c r="E432" s="154"/>
      <c r="F432" s="154"/>
      <c r="G432" s="154"/>
      <c r="H432" s="154"/>
      <c r="I432" s="154"/>
      <c r="J432" s="154"/>
      <c r="K432" s="154"/>
      <c r="L432" s="154"/>
      <c r="M432" s="154"/>
      <c r="N432" s="154"/>
      <c r="O432" s="154"/>
      <c r="P432" s="154"/>
      <c r="Q432" s="154"/>
      <c r="R432" s="154"/>
      <c r="S432" s="154"/>
      <c r="T432" s="154"/>
      <c r="U432" s="154"/>
      <c r="V432" s="154"/>
      <c r="W432" s="154"/>
      <c r="X432" s="154"/>
      <c r="Y432" s="154"/>
      <c r="Z432" s="154"/>
      <c r="AA432" s="154"/>
      <c r="AB432" s="154"/>
      <c r="AC432" s="154"/>
    </row>
    <row r="433" ht="15.75" customHeight="1">
      <c r="A433" s="146"/>
      <c r="B433" s="154"/>
      <c r="C433" s="154"/>
      <c r="D433" s="154"/>
      <c r="E433" s="154"/>
      <c r="F433" s="154"/>
      <c r="G433" s="154"/>
      <c r="H433" s="154"/>
      <c r="I433" s="154"/>
      <c r="J433" s="154"/>
      <c r="K433" s="154"/>
      <c r="L433" s="154"/>
      <c r="M433" s="154"/>
      <c r="N433" s="154"/>
      <c r="O433" s="154"/>
      <c r="P433" s="154"/>
      <c r="Q433" s="154"/>
      <c r="R433" s="154"/>
      <c r="S433" s="154"/>
      <c r="T433" s="154"/>
      <c r="U433" s="154"/>
      <c r="V433" s="154"/>
      <c r="W433" s="154"/>
      <c r="X433" s="154"/>
      <c r="Y433" s="154"/>
      <c r="Z433" s="154"/>
      <c r="AA433" s="154"/>
      <c r="AB433" s="154"/>
      <c r="AC433" s="154"/>
    </row>
    <row r="434" ht="15.75" customHeight="1">
      <c r="A434" s="146"/>
      <c r="B434" s="154"/>
      <c r="C434" s="154"/>
      <c r="D434" s="154"/>
      <c r="E434" s="154"/>
      <c r="F434" s="154"/>
      <c r="G434" s="154"/>
      <c r="H434" s="154"/>
      <c r="I434" s="154"/>
      <c r="J434" s="154"/>
      <c r="K434" s="154"/>
      <c r="L434" s="154"/>
      <c r="M434" s="154"/>
      <c r="N434" s="154"/>
      <c r="O434" s="154"/>
      <c r="P434" s="154"/>
      <c r="Q434" s="154"/>
      <c r="R434" s="154"/>
      <c r="S434" s="154"/>
      <c r="T434" s="154"/>
      <c r="U434" s="154"/>
      <c r="V434" s="154"/>
      <c r="W434" s="154"/>
      <c r="X434" s="154"/>
      <c r="Y434" s="154"/>
      <c r="Z434" s="154"/>
      <c r="AA434" s="154"/>
      <c r="AB434" s="154"/>
      <c r="AC434" s="154"/>
    </row>
    <row r="435" ht="15.75" customHeight="1">
      <c r="A435" s="146"/>
      <c r="B435" s="154"/>
      <c r="C435" s="154"/>
      <c r="D435" s="154"/>
      <c r="E435" s="154"/>
      <c r="F435" s="154"/>
      <c r="G435" s="154"/>
      <c r="H435" s="154"/>
      <c r="I435" s="154"/>
      <c r="J435" s="154"/>
      <c r="K435" s="154"/>
      <c r="L435" s="154"/>
      <c r="M435" s="154"/>
      <c r="N435" s="154"/>
      <c r="O435" s="154"/>
      <c r="P435" s="154"/>
      <c r="Q435" s="154"/>
      <c r="R435" s="154"/>
      <c r="S435" s="154"/>
      <c r="T435" s="154"/>
      <c r="U435" s="154"/>
      <c r="V435" s="154"/>
      <c r="W435" s="154"/>
      <c r="X435" s="154"/>
      <c r="Y435" s="154"/>
      <c r="Z435" s="154"/>
      <c r="AA435" s="154"/>
      <c r="AB435" s="154"/>
      <c r="AC435" s="154"/>
    </row>
    <row r="436" ht="15.75" customHeight="1">
      <c r="A436" s="146"/>
      <c r="B436" s="154"/>
      <c r="C436" s="154"/>
      <c r="D436" s="154"/>
      <c r="E436" s="154"/>
      <c r="F436" s="154"/>
      <c r="G436" s="154"/>
      <c r="H436" s="154"/>
      <c r="I436" s="154"/>
      <c r="J436" s="154"/>
      <c r="K436" s="154"/>
      <c r="L436" s="154"/>
      <c r="M436" s="154"/>
      <c r="N436" s="154"/>
      <c r="O436" s="154"/>
      <c r="P436" s="154"/>
      <c r="Q436" s="154"/>
      <c r="R436" s="154"/>
      <c r="S436" s="154"/>
      <c r="T436" s="154"/>
      <c r="U436" s="154"/>
      <c r="V436" s="154"/>
      <c r="W436" s="154"/>
      <c r="X436" s="154"/>
      <c r="Y436" s="154"/>
      <c r="Z436" s="154"/>
      <c r="AA436" s="154"/>
      <c r="AB436" s="154"/>
      <c r="AC436" s="154"/>
    </row>
    <row r="437" ht="15.75" customHeight="1">
      <c r="A437" s="146"/>
      <c r="B437" s="154"/>
      <c r="C437" s="154"/>
      <c r="D437" s="154"/>
      <c r="E437" s="154"/>
      <c r="F437" s="154"/>
      <c r="G437" s="154"/>
      <c r="H437" s="154"/>
      <c r="I437" s="154"/>
      <c r="J437" s="154"/>
      <c r="K437" s="154"/>
      <c r="L437" s="154"/>
      <c r="M437" s="154"/>
      <c r="N437" s="154"/>
      <c r="O437" s="154"/>
      <c r="P437" s="154"/>
      <c r="Q437" s="154"/>
      <c r="R437" s="154"/>
      <c r="S437" s="154"/>
      <c r="T437" s="154"/>
      <c r="U437" s="154"/>
      <c r="V437" s="154"/>
      <c r="W437" s="154"/>
      <c r="X437" s="154"/>
      <c r="Y437" s="154"/>
      <c r="Z437" s="154"/>
      <c r="AA437" s="154"/>
      <c r="AB437" s="154"/>
      <c r="AC437" s="154"/>
    </row>
    <row r="438" ht="15.75" customHeight="1">
      <c r="A438" s="146"/>
      <c r="B438" s="154"/>
      <c r="C438" s="154"/>
      <c r="D438" s="154"/>
      <c r="E438" s="154"/>
      <c r="F438" s="154"/>
      <c r="G438" s="154"/>
      <c r="H438" s="154"/>
      <c r="I438" s="154"/>
      <c r="J438" s="154"/>
      <c r="K438" s="154"/>
      <c r="L438" s="154"/>
      <c r="M438" s="154"/>
      <c r="N438" s="154"/>
      <c r="O438" s="154"/>
      <c r="P438" s="154"/>
      <c r="Q438" s="154"/>
      <c r="R438" s="154"/>
      <c r="S438" s="154"/>
      <c r="T438" s="154"/>
      <c r="U438" s="154"/>
      <c r="V438" s="154"/>
      <c r="W438" s="154"/>
      <c r="X438" s="154"/>
      <c r="Y438" s="154"/>
      <c r="Z438" s="154"/>
      <c r="AA438" s="154"/>
      <c r="AB438" s="154"/>
      <c r="AC438" s="154"/>
    </row>
    <row r="439" ht="15.75" customHeight="1">
      <c r="A439" s="146"/>
      <c r="B439" s="154"/>
      <c r="C439" s="154"/>
      <c r="D439" s="154"/>
      <c r="E439" s="154"/>
      <c r="F439" s="154"/>
      <c r="G439" s="154"/>
      <c r="H439" s="154"/>
      <c r="I439" s="154"/>
      <c r="J439" s="154"/>
      <c r="K439" s="154"/>
      <c r="L439" s="154"/>
      <c r="M439" s="154"/>
      <c r="N439" s="154"/>
      <c r="O439" s="154"/>
      <c r="P439" s="154"/>
      <c r="Q439" s="154"/>
      <c r="R439" s="154"/>
      <c r="S439" s="154"/>
      <c r="T439" s="154"/>
      <c r="U439" s="154"/>
      <c r="V439" s="154"/>
      <c r="W439" s="154"/>
      <c r="X439" s="154"/>
      <c r="Y439" s="154"/>
      <c r="Z439" s="154"/>
      <c r="AA439" s="154"/>
      <c r="AB439" s="154"/>
      <c r="AC439" s="154"/>
    </row>
    <row r="440" ht="15.75" customHeight="1">
      <c r="A440" s="146"/>
      <c r="B440" s="154"/>
      <c r="C440" s="154"/>
      <c r="D440" s="154"/>
      <c r="E440" s="154"/>
      <c r="F440" s="154"/>
      <c r="G440" s="154"/>
      <c r="H440" s="154"/>
      <c r="I440" s="154"/>
      <c r="J440" s="154"/>
      <c r="K440" s="154"/>
      <c r="L440" s="154"/>
      <c r="M440" s="154"/>
      <c r="N440" s="154"/>
      <c r="O440" s="154"/>
      <c r="P440" s="154"/>
      <c r="Q440" s="154"/>
      <c r="R440" s="154"/>
      <c r="S440" s="154"/>
      <c r="T440" s="154"/>
      <c r="U440" s="154"/>
      <c r="V440" s="154"/>
      <c r="W440" s="154"/>
      <c r="X440" s="154"/>
      <c r="Y440" s="154"/>
      <c r="Z440" s="154"/>
      <c r="AA440" s="154"/>
      <c r="AB440" s="154"/>
      <c r="AC440" s="154"/>
    </row>
    <row r="441" ht="15.75" customHeight="1">
      <c r="A441" s="146"/>
      <c r="B441" s="154"/>
      <c r="C441" s="154"/>
      <c r="D441" s="154"/>
      <c r="E441" s="154"/>
      <c r="F441" s="154"/>
      <c r="G441" s="154"/>
      <c r="H441" s="154"/>
      <c r="I441" s="154"/>
      <c r="J441" s="154"/>
      <c r="K441" s="154"/>
      <c r="L441" s="154"/>
      <c r="M441" s="154"/>
      <c r="N441" s="154"/>
      <c r="O441" s="154"/>
      <c r="P441" s="154"/>
      <c r="Q441" s="154"/>
      <c r="R441" s="154"/>
      <c r="S441" s="154"/>
      <c r="T441" s="154"/>
      <c r="U441" s="154"/>
      <c r="V441" s="154"/>
      <c r="W441" s="154"/>
      <c r="X441" s="154"/>
      <c r="Y441" s="154"/>
      <c r="Z441" s="154"/>
      <c r="AA441" s="154"/>
      <c r="AB441" s="154"/>
      <c r="AC441" s="154"/>
    </row>
    <row r="442" ht="15.75" customHeight="1">
      <c r="A442" s="146"/>
      <c r="B442" s="154"/>
      <c r="C442" s="154"/>
      <c r="D442" s="154"/>
      <c r="E442" s="154"/>
      <c r="F442" s="154"/>
      <c r="G442" s="154"/>
      <c r="H442" s="154"/>
      <c r="I442" s="154"/>
      <c r="J442" s="154"/>
      <c r="K442" s="154"/>
      <c r="L442" s="154"/>
      <c r="M442" s="154"/>
      <c r="N442" s="154"/>
      <c r="O442" s="154"/>
      <c r="P442" s="154"/>
      <c r="Q442" s="154"/>
      <c r="R442" s="154"/>
      <c r="S442" s="154"/>
      <c r="T442" s="154"/>
      <c r="U442" s="154"/>
      <c r="V442" s="154"/>
      <c r="W442" s="154"/>
      <c r="X442" s="154"/>
      <c r="Y442" s="154"/>
      <c r="Z442" s="154"/>
      <c r="AA442" s="154"/>
      <c r="AB442" s="154"/>
      <c r="AC442" s="154"/>
    </row>
    <row r="443" ht="15.75" customHeight="1">
      <c r="A443" s="146"/>
      <c r="B443" s="154"/>
      <c r="C443" s="154"/>
      <c r="D443" s="154"/>
      <c r="E443" s="154"/>
      <c r="F443" s="154"/>
      <c r="G443" s="154"/>
      <c r="H443" s="154"/>
      <c r="I443" s="154"/>
      <c r="J443" s="154"/>
      <c r="K443" s="154"/>
      <c r="L443" s="154"/>
      <c r="M443" s="154"/>
      <c r="N443" s="154"/>
      <c r="O443" s="154"/>
      <c r="P443" s="154"/>
      <c r="Q443" s="154"/>
      <c r="R443" s="154"/>
      <c r="S443" s="154"/>
      <c r="T443" s="154"/>
      <c r="U443" s="154"/>
      <c r="V443" s="154"/>
      <c r="W443" s="154"/>
      <c r="X443" s="154"/>
      <c r="Y443" s="154"/>
      <c r="Z443" s="154"/>
      <c r="AA443" s="154"/>
      <c r="AB443" s="154"/>
      <c r="AC443" s="154"/>
    </row>
    <row r="444" ht="15.75" customHeight="1">
      <c r="A444" s="146"/>
      <c r="B444" s="154"/>
      <c r="C444" s="154"/>
      <c r="D444" s="154"/>
      <c r="E444" s="154"/>
      <c r="F444" s="154"/>
      <c r="G444" s="154"/>
      <c r="H444" s="154"/>
      <c r="I444" s="154"/>
      <c r="J444" s="154"/>
      <c r="K444" s="154"/>
      <c r="L444" s="154"/>
      <c r="M444" s="154"/>
      <c r="N444" s="154"/>
      <c r="O444" s="154"/>
      <c r="P444" s="154"/>
      <c r="Q444" s="154"/>
      <c r="R444" s="154"/>
      <c r="S444" s="154"/>
      <c r="T444" s="154"/>
      <c r="U444" s="154"/>
      <c r="V444" s="154"/>
      <c r="W444" s="154"/>
      <c r="X444" s="154"/>
      <c r="Y444" s="154"/>
      <c r="Z444" s="154"/>
      <c r="AA444" s="154"/>
      <c r="AB444" s="154"/>
      <c r="AC444" s="154"/>
    </row>
    <row r="445" ht="15.75" customHeight="1">
      <c r="A445" s="146"/>
      <c r="B445" s="154"/>
      <c r="C445" s="154"/>
      <c r="D445" s="154"/>
      <c r="E445" s="154"/>
      <c r="F445" s="154"/>
      <c r="G445" s="154"/>
      <c r="H445" s="154"/>
      <c r="I445" s="154"/>
      <c r="J445" s="154"/>
      <c r="K445" s="154"/>
      <c r="L445" s="154"/>
      <c r="M445" s="154"/>
      <c r="N445" s="154"/>
      <c r="O445" s="154"/>
      <c r="P445" s="154"/>
      <c r="Q445" s="154"/>
      <c r="R445" s="154"/>
      <c r="S445" s="154"/>
      <c r="T445" s="154"/>
      <c r="U445" s="154"/>
      <c r="V445" s="154"/>
      <c r="W445" s="154"/>
      <c r="X445" s="154"/>
      <c r="Y445" s="154"/>
      <c r="Z445" s="154"/>
      <c r="AA445" s="154"/>
      <c r="AB445" s="154"/>
      <c r="AC445" s="154"/>
    </row>
    <row r="446" ht="15.75" customHeight="1">
      <c r="A446" s="146"/>
      <c r="B446" s="154"/>
      <c r="C446" s="154"/>
      <c r="D446" s="154"/>
      <c r="E446" s="154"/>
      <c r="F446" s="154"/>
      <c r="G446" s="154"/>
      <c r="H446" s="154"/>
      <c r="I446" s="154"/>
      <c r="J446" s="154"/>
      <c r="K446" s="154"/>
      <c r="L446" s="154"/>
      <c r="M446" s="154"/>
      <c r="N446" s="154"/>
      <c r="O446" s="154"/>
      <c r="P446" s="154"/>
      <c r="Q446" s="154"/>
      <c r="R446" s="154"/>
      <c r="S446" s="154"/>
      <c r="T446" s="154"/>
      <c r="U446" s="154"/>
      <c r="V446" s="154"/>
      <c r="W446" s="154"/>
      <c r="X446" s="154"/>
      <c r="Y446" s="154"/>
      <c r="Z446" s="154"/>
      <c r="AA446" s="154"/>
      <c r="AB446" s="154"/>
      <c r="AC446" s="154"/>
    </row>
    <row r="447" ht="15.75" customHeight="1">
      <c r="A447" s="146"/>
      <c r="B447" s="154"/>
      <c r="C447" s="154"/>
      <c r="D447" s="154"/>
      <c r="E447" s="154"/>
      <c r="F447" s="154"/>
      <c r="G447" s="154"/>
      <c r="H447" s="154"/>
      <c r="I447" s="154"/>
      <c r="J447" s="154"/>
      <c r="K447" s="154"/>
      <c r="L447" s="154"/>
      <c r="M447" s="154"/>
      <c r="N447" s="154"/>
      <c r="O447" s="154"/>
      <c r="P447" s="154"/>
      <c r="Q447" s="154"/>
      <c r="R447" s="154"/>
      <c r="S447" s="154"/>
      <c r="T447" s="154"/>
      <c r="U447" s="154"/>
      <c r="V447" s="154"/>
      <c r="W447" s="154"/>
      <c r="X447" s="154"/>
      <c r="Y447" s="154"/>
      <c r="Z447" s="154"/>
      <c r="AA447" s="154"/>
      <c r="AB447" s="154"/>
      <c r="AC447" s="154"/>
    </row>
    <row r="448" ht="15.75" customHeight="1">
      <c r="A448" s="146"/>
      <c r="B448" s="154"/>
      <c r="C448" s="154"/>
      <c r="D448" s="154"/>
      <c r="E448" s="154"/>
      <c r="F448" s="154"/>
      <c r="G448" s="154"/>
      <c r="H448" s="154"/>
      <c r="I448" s="154"/>
      <c r="J448" s="154"/>
      <c r="K448" s="154"/>
      <c r="L448" s="154"/>
      <c r="M448" s="154"/>
      <c r="N448" s="154"/>
      <c r="O448" s="154"/>
      <c r="P448" s="154"/>
      <c r="Q448" s="154"/>
      <c r="R448" s="154"/>
      <c r="S448" s="154"/>
      <c r="T448" s="154"/>
      <c r="U448" s="154"/>
      <c r="V448" s="154"/>
      <c r="W448" s="154"/>
      <c r="X448" s="154"/>
      <c r="Y448" s="154"/>
      <c r="Z448" s="154"/>
      <c r="AA448" s="154"/>
      <c r="AB448" s="154"/>
      <c r="AC448" s="154"/>
    </row>
    <row r="449" ht="15.75" customHeight="1">
      <c r="A449" s="146"/>
      <c r="B449" s="154"/>
      <c r="C449" s="154"/>
      <c r="D449" s="154"/>
      <c r="E449" s="154"/>
      <c r="F449" s="154"/>
      <c r="G449" s="154"/>
      <c r="H449" s="154"/>
      <c r="I449" s="154"/>
      <c r="J449" s="154"/>
      <c r="K449" s="154"/>
      <c r="L449" s="154"/>
      <c r="M449" s="154"/>
      <c r="N449" s="154"/>
      <c r="O449" s="154"/>
      <c r="P449" s="154"/>
      <c r="Q449" s="154"/>
      <c r="R449" s="154"/>
      <c r="S449" s="154"/>
      <c r="T449" s="154"/>
      <c r="U449" s="154"/>
      <c r="V449" s="154"/>
      <c r="W449" s="154"/>
      <c r="X449" s="154"/>
      <c r="Y449" s="154"/>
      <c r="Z449" s="154"/>
      <c r="AA449" s="154"/>
      <c r="AB449" s="154"/>
      <c r="AC449" s="154"/>
    </row>
    <row r="450" ht="15.75" customHeight="1">
      <c r="A450" s="146"/>
      <c r="B450" s="154"/>
      <c r="C450" s="154"/>
      <c r="D450" s="154"/>
      <c r="E450" s="154"/>
      <c r="F450" s="154"/>
      <c r="G450" s="154"/>
      <c r="H450" s="154"/>
      <c r="I450" s="154"/>
      <c r="J450" s="154"/>
      <c r="K450" s="154"/>
      <c r="L450" s="154"/>
      <c r="M450" s="154"/>
      <c r="N450" s="154"/>
      <c r="O450" s="154"/>
      <c r="P450" s="154"/>
      <c r="Q450" s="154"/>
      <c r="R450" s="154"/>
      <c r="S450" s="154"/>
      <c r="T450" s="154"/>
      <c r="U450" s="154"/>
      <c r="V450" s="154"/>
      <c r="W450" s="154"/>
      <c r="X450" s="154"/>
      <c r="Y450" s="154"/>
      <c r="Z450" s="154"/>
      <c r="AA450" s="154"/>
      <c r="AB450" s="154"/>
      <c r="AC450" s="154"/>
    </row>
    <row r="451" ht="15.75" customHeight="1">
      <c r="A451" s="146"/>
      <c r="B451" s="154"/>
      <c r="C451" s="154"/>
      <c r="D451" s="154"/>
      <c r="E451" s="154"/>
      <c r="F451" s="154"/>
      <c r="G451" s="154"/>
      <c r="H451" s="154"/>
      <c r="I451" s="154"/>
      <c r="J451" s="154"/>
      <c r="K451" s="154"/>
      <c r="L451" s="154"/>
      <c r="M451" s="154"/>
      <c r="N451" s="154"/>
      <c r="O451" s="154"/>
      <c r="P451" s="154"/>
      <c r="Q451" s="154"/>
      <c r="R451" s="154"/>
      <c r="S451" s="154"/>
      <c r="T451" s="154"/>
      <c r="U451" s="154"/>
      <c r="V451" s="154"/>
      <c r="W451" s="154"/>
      <c r="X451" s="154"/>
      <c r="Y451" s="154"/>
      <c r="Z451" s="154"/>
      <c r="AA451" s="154"/>
      <c r="AB451" s="154"/>
      <c r="AC451" s="154"/>
    </row>
    <row r="452" ht="15.75" customHeight="1">
      <c r="A452" s="146"/>
      <c r="B452" s="154"/>
      <c r="C452" s="154"/>
      <c r="D452" s="154"/>
      <c r="E452" s="154"/>
      <c r="F452" s="154"/>
      <c r="G452" s="154"/>
      <c r="H452" s="154"/>
      <c r="I452" s="154"/>
      <c r="J452" s="154"/>
      <c r="K452" s="154"/>
      <c r="L452" s="154"/>
      <c r="M452" s="154"/>
      <c r="N452" s="154"/>
      <c r="O452" s="154"/>
      <c r="P452" s="154"/>
      <c r="Q452" s="154"/>
      <c r="R452" s="154"/>
      <c r="S452" s="154"/>
      <c r="T452" s="154"/>
      <c r="U452" s="154"/>
      <c r="V452" s="154"/>
      <c r="W452" s="154"/>
      <c r="X452" s="154"/>
      <c r="Y452" s="154"/>
      <c r="Z452" s="154"/>
      <c r="AA452" s="154"/>
      <c r="AB452" s="154"/>
      <c r="AC452" s="154"/>
    </row>
    <row r="453" ht="15.75" customHeight="1">
      <c r="A453" s="146"/>
      <c r="B453" s="154"/>
      <c r="C453" s="154"/>
      <c r="D453" s="154"/>
      <c r="E453" s="154"/>
      <c r="F453" s="154"/>
      <c r="G453" s="154"/>
      <c r="H453" s="154"/>
      <c r="I453" s="154"/>
      <c r="J453" s="154"/>
      <c r="K453" s="154"/>
      <c r="L453" s="154"/>
      <c r="M453" s="154"/>
      <c r="N453" s="154"/>
      <c r="O453" s="154"/>
      <c r="P453" s="154"/>
      <c r="Q453" s="154"/>
      <c r="R453" s="154"/>
      <c r="S453" s="154"/>
      <c r="T453" s="154"/>
      <c r="U453" s="154"/>
      <c r="V453" s="154"/>
      <c r="W453" s="154"/>
      <c r="X453" s="154"/>
      <c r="Y453" s="154"/>
      <c r="Z453" s="154"/>
      <c r="AA453" s="154"/>
      <c r="AB453" s="154"/>
      <c r="AC453" s="154"/>
    </row>
    <row r="454" ht="15.75" customHeight="1">
      <c r="A454" s="146"/>
      <c r="B454" s="154"/>
      <c r="C454" s="154"/>
      <c r="D454" s="154"/>
      <c r="E454" s="154"/>
      <c r="F454" s="154"/>
      <c r="G454" s="154"/>
      <c r="H454" s="154"/>
      <c r="I454" s="154"/>
      <c r="J454" s="154"/>
      <c r="K454" s="154"/>
      <c r="L454" s="154"/>
      <c r="M454" s="154"/>
      <c r="N454" s="154"/>
      <c r="O454" s="154"/>
      <c r="P454" s="154"/>
      <c r="Q454" s="154"/>
      <c r="R454" s="154"/>
      <c r="S454" s="154"/>
      <c r="T454" s="154"/>
      <c r="U454" s="154"/>
      <c r="V454" s="154"/>
      <c r="W454" s="154"/>
      <c r="X454" s="154"/>
      <c r="Y454" s="154"/>
      <c r="Z454" s="154"/>
      <c r="AA454" s="154"/>
      <c r="AB454" s="154"/>
      <c r="AC454" s="154"/>
    </row>
    <row r="455" ht="15.75" customHeight="1">
      <c r="A455" s="146"/>
      <c r="B455" s="154"/>
      <c r="C455" s="154"/>
      <c r="D455" s="154"/>
      <c r="E455" s="154"/>
      <c r="F455" s="154"/>
      <c r="G455" s="154"/>
      <c r="H455" s="154"/>
      <c r="I455" s="154"/>
      <c r="J455" s="154"/>
      <c r="K455" s="154"/>
      <c r="L455" s="154"/>
      <c r="M455" s="154"/>
      <c r="N455" s="154"/>
      <c r="O455" s="154"/>
      <c r="P455" s="154"/>
      <c r="Q455" s="154"/>
      <c r="R455" s="154"/>
      <c r="S455" s="154"/>
      <c r="T455" s="154"/>
      <c r="U455" s="154"/>
      <c r="V455" s="154"/>
      <c r="W455" s="154"/>
      <c r="X455" s="154"/>
      <c r="Y455" s="154"/>
      <c r="Z455" s="154"/>
      <c r="AA455" s="154"/>
      <c r="AB455" s="154"/>
      <c r="AC455" s="154"/>
    </row>
    <row r="456" ht="15.75" customHeight="1">
      <c r="A456" s="146"/>
      <c r="B456" s="154"/>
      <c r="C456" s="154"/>
      <c r="D456" s="154"/>
      <c r="E456" s="154"/>
      <c r="F456" s="154"/>
      <c r="G456" s="154"/>
      <c r="H456" s="154"/>
      <c r="I456" s="154"/>
      <c r="J456" s="154"/>
      <c r="K456" s="154"/>
      <c r="L456" s="154"/>
      <c r="M456" s="154"/>
      <c r="N456" s="154"/>
      <c r="O456" s="154"/>
      <c r="P456" s="154"/>
      <c r="Q456" s="154"/>
      <c r="R456" s="154"/>
      <c r="S456" s="154"/>
      <c r="T456" s="154"/>
      <c r="U456" s="154"/>
      <c r="V456" s="154"/>
      <c r="W456" s="154"/>
      <c r="X456" s="154"/>
      <c r="Y456" s="154"/>
      <c r="Z456" s="154"/>
      <c r="AA456" s="154"/>
      <c r="AB456" s="154"/>
      <c r="AC456" s="154"/>
    </row>
    <row r="457" ht="15.75" customHeight="1">
      <c r="A457" s="146"/>
      <c r="B457" s="154"/>
      <c r="C457" s="154"/>
      <c r="D457" s="154"/>
      <c r="E457" s="154"/>
      <c r="F457" s="154"/>
      <c r="G457" s="154"/>
      <c r="H457" s="154"/>
      <c r="I457" s="154"/>
      <c r="J457" s="154"/>
      <c r="K457" s="154"/>
      <c r="L457" s="154"/>
      <c r="M457" s="154"/>
      <c r="N457" s="154"/>
      <c r="O457" s="154"/>
      <c r="P457" s="154"/>
      <c r="Q457" s="154"/>
      <c r="R457" s="154"/>
      <c r="S457" s="154"/>
      <c r="T457" s="154"/>
      <c r="U457" s="154"/>
      <c r="V457" s="154"/>
      <c r="W457" s="154"/>
      <c r="X457" s="154"/>
      <c r="Y457" s="154"/>
      <c r="Z457" s="154"/>
      <c r="AA457" s="154"/>
      <c r="AB457" s="154"/>
      <c r="AC457" s="154"/>
    </row>
    <row r="458" ht="15.75" customHeight="1">
      <c r="A458" s="146"/>
      <c r="B458" s="154"/>
      <c r="C458" s="154"/>
      <c r="D458" s="154"/>
      <c r="E458" s="154"/>
      <c r="F458" s="154"/>
      <c r="G458" s="154"/>
      <c r="H458" s="154"/>
      <c r="I458" s="154"/>
      <c r="J458" s="154"/>
      <c r="K458" s="154"/>
      <c r="L458" s="154"/>
      <c r="M458" s="154"/>
      <c r="N458" s="154"/>
      <c r="O458" s="154"/>
      <c r="P458" s="154"/>
      <c r="Q458" s="154"/>
      <c r="R458" s="154"/>
      <c r="S458" s="154"/>
      <c r="T458" s="154"/>
      <c r="U458" s="154"/>
      <c r="V458" s="154"/>
      <c r="W458" s="154"/>
      <c r="X458" s="154"/>
      <c r="Y458" s="154"/>
      <c r="Z458" s="154"/>
      <c r="AA458" s="154"/>
      <c r="AB458" s="154"/>
      <c r="AC458" s="154"/>
    </row>
    <row r="459" ht="15.75" customHeight="1">
      <c r="A459" s="146"/>
      <c r="B459" s="154"/>
      <c r="C459" s="154"/>
      <c r="D459" s="154"/>
      <c r="E459" s="154"/>
      <c r="F459" s="154"/>
      <c r="G459" s="154"/>
      <c r="H459" s="154"/>
      <c r="I459" s="154"/>
      <c r="J459" s="154"/>
      <c r="K459" s="154"/>
      <c r="L459" s="154"/>
      <c r="M459" s="154"/>
      <c r="N459" s="154"/>
      <c r="O459" s="154"/>
      <c r="P459" s="154"/>
      <c r="Q459" s="154"/>
      <c r="R459" s="154"/>
      <c r="S459" s="154"/>
      <c r="T459" s="154"/>
      <c r="U459" s="154"/>
      <c r="V459" s="154"/>
      <c r="W459" s="154"/>
      <c r="X459" s="154"/>
      <c r="Y459" s="154"/>
      <c r="Z459" s="154"/>
      <c r="AA459" s="154"/>
      <c r="AB459" s="154"/>
      <c r="AC459" s="154"/>
    </row>
    <row r="460" ht="15.75" customHeight="1">
      <c r="A460" s="146"/>
      <c r="B460" s="154"/>
      <c r="C460" s="154"/>
      <c r="D460" s="154"/>
      <c r="E460" s="154"/>
      <c r="F460" s="154"/>
      <c r="G460" s="154"/>
      <c r="H460" s="154"/>
      <c r="I460" s="154"/>
      <c r="J460" s="154"/>
      <c r="K460" s="154"/>
      <c r="L460" s="154"/>
      <c r="M460" s="154"/>
      <c r="N460" s="154"/>
      <c r="O460" s="154"/>
      <c r="P460" s="154"/>
      <c r="Q460" s="154"/>
      <c r="R460" s="154"/>
      <c r="S460" s="154"/>
      <c r="T460" s="154"/>
      <c r="U460" s="154"/>
      <c r="V460" s="154"/>
      <c r="W460" s="154"/>
      <c r="X460" s="154"/>
      <c r="Y460" s="154"/>
      <c r="Z460" s="154"/>
      <c r="AA460" s="154"/>
      <c r="AB460" s="154"/>
      <c r="AC460" s="154"/>
    </row>
    <row r="461" ht="15.75" customHeight="1">
      <c r="A461" s="146"/>
      <c r="B461" s="154"/>
      <c r="C461" s="154"/>
      <c r="D461" s="154"/>
      <c r="E461" s="154"/>
      <c r="F461" s="154"/>
      <c r="G461" s="154"/>
      <c r="H461" s="154"/>
      <c r="I461" s="154"/>
      <c r="J461" s="154"/>
      <c r="K461" s="154"/>
      <c r="L461" s="154"/>
      <c r="M461" s="154"/>
      <c r="N461" s="154"/>
      <c r="O461" s="154"/>
      <c r="P461" s="154"/>
      <c r="Q461" s="154"/>
      <c r="R461" s="154"/>
      <c r="S461" s="154"/>
      <c r="T461" s="154"/>
      <c r="U461" s="154"/>
      <c r="V461" s="154"/>
      <c r="W461" s="154"/>
      <c r="X461" s="154"/>
      <c r="Y461" s="154"/>
      <c r="Z461" s="154"/>
      <c r="AA461" s="154"/>
      <c r="AB461" s="154"/>
      <c r="AC461" s="154"/>
    </row>
    <row r="462" ht="15.75" customHeight="1">
      <c r="A462" s="146"/>
      <c r="B462" s="154"/>
      <c r="C462" s="154"/>
      <c r="D462" s="154"/>
      <c r="E462" s="154"/>
      <c r="F462" s="154"/>
      <c r="G462" s="154"/>
      <c r="H462" s="154"/>
      <c r="I462" s="154"/>
      <c r="J462" s="154"/>
      <c r="K462" s="154"/>
      <c r="L462" s="154"/>
      <c r="M462" s="154"/>
      <c r="N462" s="154"/>
      <c r="O462" s="154"/>
      <c r="P462" s="154"/>
      <c r="Q462" s="154"/>
      <c r="R462" s="154"/>
      <c r="S462" s="154"/>
      <c r="T462" s="154"/>
      <c r="U462" s="154"/>
      <c r="V462" s="154"/>
      <c r="W462" s="154"/>
      <c r="X462" s="154"/>
      <c r="Y462" s="154"/>
      <c r="Z462" s="154"/>
      <c r="AA462" s="154"/>
      <c r="AB462" s="154"/>
      <c r="AC462" s="154"/>
    </row>
    <row r="463" ht="15.75" customHeight="1">
      <c r="A463" s="146"/>
      <c r="B463" s="154"/>
      <c r="C463" s="154"/>
      <c r="D463" s="154"/>
      <c r="E463" s="154"/>
      <c r="F463" s="154"/>
      <c r="G463" s="154"/>
      <c r="H463" s="154"/>
      <c r="I463" s="154"/>
      <c r="J463" s="154"/>
      <c r="K463" s="154"/>
      <c r="L463" s="154"/>
      <c r="M463" s="154"/>
      <c r="N463" s="154"/>
      <c r="O463" s="154"/>
      <c r="P463" s="154"/>
      <c r="Q463" s="154"/>
      <c r="R463" s="154"/>
      <c r="S463" s="154"/>
      <c r="T463" s="154"/>
      <c r="U463" s="154"/>
      <c r="V463" s="154"/>
      <c r="W463" s="154"/>
      <c r="X463" s="154"/>
      <c r="Y463" s="154"/>
      <c r="Z463" s="154"/>
      <c r="AA463" s="154"/>
      <c r="AB463" s="154"/>
      <c r="AC463" s="154"/>
    </row>
    <row r="464" ht="15.75" customHeight="1">
      <c r="A464" s="146"/>
      <c r="B464" s="154"/>
      <c r="C464" s="154"/>
      <c r="D464" s="154"/>
      <c r="E464" s="154"/>
      <c r="F464" s="154"/>
      <c r="G464" s="154"/>
      <c r="H464" s="154"/>
      <c r="I464" s="154"/>
      <c r="J464" s="154"/>
      <c r="K464" s="154"/>
      <c r="L464" s="154"/>
      <c r="M464" s="154"/>
      <c r="N464" s="154"/>
      <c r="O464" s="154"/>
      <c r="P464" s="154"/>
      <c r="Q464" s="154"/>
      <c r="R464" s="154"/>
      <c r="S464" s="154"/>
      <c r="T464" s="154"/>
      <c r="U464" s="154"/>
      <c r="V464" s="154"/>
      <c r="W464" s="154"/>
      <c r="X464" s="154"/>
      <c r="Y464" s="154"/>
      <c r="Z464" s="154"/>
      <c r="AA464" s="154"/>
      <c r="AB464" s="154"/>
      <c r="AC464" s="154"/>
    </row>
    <row r="465" ht="15.75" customHeight="1">
      <c r="A465" s="146"/>
      <c r="B465" s="154"/>
      <c r="C465" s="154"/>
      <c r="D465" s="154"/>
      <c r="E465" s="154"/>
      <c r="F465" s="154"/>
      <c r="G465" s="154"/>
      <c r="H465" s="154"/>
      <c r="I465" s="154"/>
      <c r="J465" s="154"/>
      <c r="K465" s="154"/>
      <c r="L465" s="154"/>
      <c r="M465" s="154"/>
      <c r="N465" s="154"/>
      <c r="O465" s="154"/>
      <c r="P465" s="154"/>
      <c r="Q465" s="154"/>
      <c r="R465" s="154"/>
      <c r="S465" s="154"/>
      <c r="T465" s="154"/>
      <c r="U465" s="154"/>
      <c r="V465" s="154"/>
      <c r="W465" s="154"/>
      <c r="X465" s="154"/>
      <c r="Y465" s="154"/>
      <c r="Z465" s="154"/>
      <c r="AA465" s="154"/>
      <c r="AB465" s="154"/>
      <c r="AC465" s="154"/>
    </row>
    <row r="466" ht="15.75" customHeight="1">
      <c r="A466" s="146"/>
      <c r="B466" s="154"/>
      <c r="C466" s="154"/>
      <c r="D466" s="154"/>
      <c r="E466" s="154"/>
      <c r="F466" s="154"/>
      <c r="G466" s="154"/>
      <c r="H466" s="154"/>
      <c r="I466" s="154"/>
      <c r="J466" s="154"/>
      <c r="K466" s="154"/>
      <c r="L466" s="154"/>
      <c r="M466" s="154"/>
      <c r="N466" s="154"/>
      <c r="O466" s="154"/>
      <c r="P466" s="154"/>
      <c r="Q466" s="154"/>
      <c r="R466" s="154"/>
      <c r="S466" s="154"/>
      <c r="T466" s="154"/>
      <c r="U466" s="154"/>
      <c r="V466" s="154"/>
      <c r="W466" s="154"/>
      <c r="X466" s="154"/>
      <c r="Y466" s="154"/>
      <c r="Z466" s="154"/>
      <c r="AA466" s="154"/>
      <c r="AB466" s="154"/>
      <c r="AC466" s="154"/>
    </row>
    <row r="467" ht="15.75" customHeight="1">
      <c r="A467" s="146"/>
      <c r="B467" s="154"/>
      <c r="C467" s="154"/>
      <c r="D467" s="154"/>
      <c r="E467" s="154"/>
      <c r="F467" s="154"/>
      <c r="G467" s="154"/>
      <c r="H467" s="154"/>
      <c r="I467" s="154"/>
      <c r="J467" s="154"/>
      <c r="K467" s="154"/>
      <c r="L467" s="154"/>
      <c r="M467" s="154"/>
      <c r="N467" s="154"/>
      <c r="O467" s="154"/>
      <c r="P467" s="154"/>
      <c r="Q467" s="154"/>
      <c r="R467" s="154"/>
      <c r="S467" s="154"/>
      <c r="T467" s="154"/>
      <c r="U467" s="154"/>
      <c r="V467" s="154"/>
      <c r="W467" s="154"/>
      <c r="X467" s="154"/>
      <c r="Y467" s="154"/>
      <c r="Z467" s="154"/>
      <c r="AA467" s="154"/>
      <c r="AB467" s="154"/>
      <c r="AC467" s="154"/>
    </row>
    <row r="468" ht="15.75" customHeight="1">
      <c r="A468" s="146"/>
      <c r="B468" s="154"/>
      <c r="C468" s="154"/>
      <c r="D468" s="154"/>
      <c r="E468" s="154"/>
      <c r="F468" s="154"/>
      <c r="G468" s="154"/>
      <c r="H468" s="154"/>
      <c r="I468" s="154"/>
      <c r="J468" s="154"/>
      <c r="K468" s="154"/>
      <c r="L468" s="154"/>
      <c r="M468" s="154"/>
      <c r="N468" s="154"/>
      <c r="O468" s="154"/>
      <c r="P468" s="154"/>
      <c r="Q468" s="154"/>
      <c r="R468" s="154"/>
      <c r="S468" s="154"/>
      <c r="T468" s="154"/>
      <c r="U468" s="154"/>
      <c r="V468" s="154"/>
      <c r="W468" s="154"/>
      <c r="X468" s="154"/>
      <c r="Y468" s="154"/>
      <c r="Z468" s="154"/>
      <c r="AA468" s="154"/>
      <c r="AB468" s="154"/>
      <c r="AC468" s="154"/>
    </row>
    <row r="469" ht="15.75" customHeight="1">
      <c r="A469" s="146"/>
      <c r="B469" s="154"/>
      <c r="C469" s="154"/>
      <c r="D469" s="154"/>
      <c r="E469" s="154"/>
      <c r="F469" s="154"/>
      <c r="G469" s="154"/>
      <c r="H469" s="154"/>
      <c r="I469" s="154"/>
      <c r="J469" s="154"/>
      <c r="K469" s="154"/>
      <c r="L469" s="154"/>
      <c r="M469" s="154"/>
      <c r="N469" s="154"/>
      <c r="O469" s="154"/>
      <c r="P469" s="154"/>
      <c r="Q469" s="154"/>
      <c r="R469" s="154"/>
      <c r="S469" s="154"/>
      <c r="T469" s="154"/>
      <c r="U469" s="154"/>
      <c r="V469" s="154"/>
      <c r="W469" s="154"/>
      <c r="X469" s="154"/>
      <c r="Y469" s="154"/>
      <c r="Z469" s="154"/>
      <c r="AA469" s="154"/>
      <c r="AB469" s="154"/>
      <c r="AC469" s="154"/>
    </row>
    <row r="470" ht="15.75" customHeight="1">
      <c r="A470" s="146"/>
      <c r="B470" s="154"/>
      <c r="C470" s="154"/>
      <c r="D470" s="154"/>
      <c r="E470" s="154"/>
      <c r="F470" s="154"/>
      <c r="G470" s="154"/>
      <c r="H470" s="154"/>
      <c r="I470" s="154"/>
      <c r="J470" s="154"/>
      <c r="K470" s="154"/>
      <c r="L470" s="154"/>
      <c r="M470" s="154"/>
      <c r="N470" s="154"/>
      <c r="O470" s="154"/>
      <c r="P470" s="154"/>
      <c r="Q470" s="154"/>
      <c r="R470" s="154"/>
      <c r="S470" s="154"/>
      <c r="T470" s="154"/>
      <c r="U470" s="154"/>
      <c r="V470" s="154"/>
      <c r="W470" s="154"/>
      <c r="X470" s="154"/>
      <c r="Y470" s="154"/>
      <c r="Z470" s="154"/>
      <c r="AA470" s="154"/>
      <c r="AB470" s="154"/>
      <c r="AC470" s="154"/>
    </row>
    <row r="471" ht="15.75" customHeight="1">
      <c r="A471" s="146"/>
      <c r="B471" s="154"/>
      <c r="C471" s="154"/>
      <c r="D471" s="154"/>
      <c r="E471" s="154"/>
      <c r="F471" s="154"/>
      <c r="G471" s="154"/>
      <c r="H471" s="154"/>
      <c r="I471" s="154"/>
      <c r="J471" s="154"/>
      <c r="K471" s="154"/>
      <c r="L471" s="154"/>
      <c r="M471" s="154"/>
      <c r="N471" s="154"/>
      <c r="O471" s="154"/>
      <c r="P471" s="154"/>
      <c r="Q471" s="154"/>
      <c r="R471" s="154"/>
      <c r="S471" s="154"/>
      <c r="T471" s="154"/>
      <c r="U471" s="154"/>
      <c r="V471" s="154"/>
      <c r="W471" s="154"/>
      <c r="X471" s="154"/>
      <c r="Y471" s="154"/>
      <c r="Z471" s="154"/>
      <c r="AA471" s="154"/>
      <c r="AB471" s="154"/>
      <c r="AC471" s="154"/>
    </row>
    <row r="472" ht="15.75" customHeight="1">
      <c r="A472" s="146"/>
      <c r="B472" s="154"/>
      <c r="C472" s="154"/>
      <c r="D472" s="154"/>
      <c r="E472" s="154"/>
      <c r="F472" s="154"/>
      <c r="G472" s="154"/>
      <c r="H472" s="154"/>
      <c r="I472" s="154"/>
      <c r="J472" s="154"/>
      <c r="K472" s="154"/>
      <c r="L472" s="154"/>
      <c r="M472" s="154"/>
      <c r="N472" s="154"/>
      <c r="O472" s="154"/>
      <c r="P472" s="154"/>
      <c r="Q472" s="154"/>
      <c r="R472" s="154"/>
      <c r="S472" s="154"/>
      <c r="T472" s="154"/>
      <c r="U472" s="154"/>
      <c r="V472" s="154"/>
      <c r="W472" s="154"/>
      <c r="X472" s="154"/>
      <c r="Y472" s="154"/>
      <c r="Z472" s="154"/>
      <c r="AA472" s="154"/>
      <c r="AB472" s="154"/>
      <c r="AC472" s="154"/>
    </row>
    <row r="473" ht="15.75" customHeight="1">
      <c r="A473" s="146"/>
      <c r="B473" s="154"/>
      <c r="C473" s="154"/>
      <c r="D473" s="154"/>
      <c r="E473" s="154"/>
      <c r="F473" s="154"/>
      <c r="G473" s="154"/>
      <c r="H473" s="154"/>
      <c r="I473" s="154"/>
      <c r="J473" s="154"/>
      <c r="K473" s="154"/>
      <c r="L473" s="154"/>
      <c r="M473" s="154"/>
      <c r="N473" s="154"/>
      <c r="O473" s="154"/>
      <c r="P473" s="154"/>
      <c r="Q473" s="154"/>
      <c r="R473" s="154"/>
      <c r="S473" s="154"/>
      <c r="T473" s="154"/>
      <c r="U473" s="154"/>
      <c r="V473" s="154"/>
      <c r="W473" s="154"/>
      <c r="X473" s="154"/>
      <c r="Y473" s="154"/>
      <c r="Z473" s="154"/>
      <c r="AA473" s="154"/>
      <c r="AB473" s="154"/>
      <c r="AC473" s="154"/>
    </row>
    <row r="474" ht="15.75" customHeight="1">
      <c r="A474" s="146"/>
      <c r="B474" s="154"/>
      <c r="C474" s="154"/>
      <c r="D474" s="154"/>
      <c r="E474" s="154"/>
      <c r="F474" s="154"/>
      <c r="G474" s="154"/>
      <c r="H474" s="154"/>
      <c r="I474" s="154"/>
      <c r="J474" s="154"/>
      <c r="K474" s="154"/>
      <c r="L474" s="154"/>
      <c r="M474" s="154"/>
      <c r="N474" s="154"/>
      <c r="O474" s="154"/>
      <c r="P474" s="154"/>
      <c r="Q474" s="154"/>
      <c r="R474" s="154"/>
      <c r="S474" s="154"/>
      <c r="T474" s="154"/>
      <c r="U474" s="154"/>
      <c r="V474" s="154"/>
      <c r="W474" s="154"/>
      <c r="X474" s="154"/>
      <c r="Y474" s="154"/>
      <c r="Z474" s="154"/>
      <c r="AA474" s="154"/>
      <c r="AB474" s="154"/>
      <c r="AC474" s="154"/>
    </row>
    <row r="475" ht="15.75" customHeight="1">
      <c r="A475" s="146"/>
      <c r="B475" s="154"/>
      <c r="C475" s="154"/>
      <c r="D475" s="154"/>
      <c r="E475" s="154"/>
      <c r="F475" s="154"/>
      <c r="G475" s="154"/>
      <c r="H475" s="154"/>
      <c r="I475" s="154"/>
      <c r="J475" s="154"/>
      <c r="K475" s="154"/>
      <c r="L475" s="154"/>
      <c r="M475" s="154"/>
      <c r="N475" s="154"/>
      <c r="O475" s="154"/>
      <c r="P475" s="154"/>
      <c r="Q475" s="154"/>
      <c r="R475" s="154"/>
      <c r="S475" s="154"/>
      <c r="T475" s="154"/>
      <c r="U475" s="154"/>
      <c r="V475" s="154"/>
      <c r="W475" s="154"/>
      <c r="X475" s="154"/>
      <c r="Y475" s="154"/>
      <c r="Z475" s="154"/>
      <c r="AA475" s="154"/>
      <c r="AB475" s="154"/>
      <c r="AC475" s="154"/>
    </row>
    <row r="476" ht="15.75" customHeight="1">
      <c r="A476" s="146"/>
      <c r="B476" s="154"/>
      <c r="C476" s="154"/>
      <c r="D476" s="154"/>
      <c r="E476" s="154"/>
      <c r="F476" s="154"/>
      <c r="G476" s="154"/>
      <c r="H476" s="154"/>
      <c r="I476" s="154"/>
      <c r="J476" s="154"/>
      <c r="K476" s="154"/>
      <c r="L476" s="154"/>
      <c r="M476" s="154"/>
      <c r="N476" s="154"/>
      <c r="O476" s="154"/>
      <c r="P476" s="154"/>
      <c r="Q476" s="154"/>
      <c r="R476" s="154"/>
      <c r="S476" s="154"/>
      <c r="T476" s="154"/>
      <c r="U476" s="154"/>
      <c r="V476" s="154"/>
      <c r="W476" s="154"/>
      <c r="X476" s="154"/>
      <c r="Y476" s="154"/>
      <c r="Z476" s="154"/>
      <c r="AA476" s="154"/>
      <c r="AB476" s="154"/>
      <c r="AC476" s="154"/>
    </row>
    <row r="477" ht="15.75" customHeight="1">
      <c r="A477" s="146"/>
      <c r="B477" s="154"/>
      <c r="C477" s="154"/>
      <c r="D477" s="154"/>
      <c r="E477" s="154"/>
      <c r="F477" s="154"/>
      <c r="G477" s="154"/>
      <c r="H477" s="154"/>
      <c r="I477" s="154"/>
      <c r="J477" s="154"/>
      <c r="K477" s="154"/>
      <c r="L477" s="154"/>
      <c r="M477" s="154"/>
      <c r="N477" s="154"/>
      <c r="O477" s="154"/>
      <c r="P477" s="154"/>
      <c r="Q477" s="154"/>
      <c r="R477" s="154"/>
      <c r="S477" s="154"/>
      <c r="T477" s="154"/>
      <c r="U477" s="154"/>
      <c r="V477" s="154"/>
      <c r="W477" s="154"/>
      <c r="X477" s="154"/>
      <c r="Y477" s="154"/>
      <c r="Z477" s="154"/>
      <c r="AA477" s="154"/>
      <c r="AB477" s="154"/>
      <c r="AC477" s="154"/>
    </row>
    <row r="478" ht="15.75" customHeight="1">
      <c r="A478" s="146"/>
      <c r="B478" s="154"/>
      <c r="C478" s="154"/>
      <c r="D478" s="154"/>
      <c r="E478" s="154"/>
      <c r="F478" s="154"/>
      <c r="G478" s="154"/>
      <c r="H478" s="154"/>
      <c r="I478" s="154"/>
      <c r="J478" s="154"/>
      <c r="K478" s="154"/>
      <c r="L478" s="154"/>
      <c r="M478" s="154"/>
      <c r="N478" s="154"/>
      <c r="O478" s="154"/>
      <c r="P478" s="154"/>
      <c r="Q478" s="154"/>
      <c r="R478" s="154"/>
      <c r="S478" s="154"/>
      <c r="T478" s="154"/>
      <c r="U478" s="154"/>
      <c r="V478" s="154"/>
      <c r="W478" s="154"/>
      <c r="X478" s="154"/>
      <c r="Y478" s="154"/>
      <c r="Z478" s="154"/>
      <c r="AA478" s="154"/>
      <c r="AB478" s="154"/>
      <c r="AC478" s="154"/>
    </row>
    <row r="479" ht="15.75" customHeight="1">
      <c r="A479" s="146"/>
      <c r="B479" s="154"/>
      <c r="C479" s="154"/>
      <c r="D479" s="154"/>
      <c r="E479" s="154"/>
      <c r="F479" s="154"/>
      <c r="G479" s="154"/>
      <c r="H479" s="154"/>
      <c r="I479" s="154"/>
      <c r="J479" s="154"/>
      <c r="K479" s="154"/>
      <c r="L479" s="154"/>
      <c r="M479" s="154"/>
      <c r="N479" s="154"/>
      <c r="O479" s="154"/>
      <c r="P479" s="154"/>
      <c r="Q479" s="154"/>
      <c r="R479" s="154"/>
      <c r="S479" s="154"/>
      <c r="T479" s="154"/>
      <c r="U479" s="154"/>
      <c r="V479" s="154"/>
      <c r="W479" s="154"/>
      <c r="X479" s="154"/>
      <c r="Y479" s="154"/>
      <c r="Z479" s="154"/>
      <c r="AA479" s="154"/>
      <c r="AB479" s="154"/>
      <c r="AC479" s="154"/>
    </row>
    <row r="480" ht="15.75" customHeight="1">
      <c r="A480" s="146"/>
      <c r="B480" s="154"/>
      <c r="C480" s="154"/>
      <c r="D480" s="154"/>
      <c r="E480" s="154"/>
      <c r="F480" s="154"/>
      <c r="G480" s="154"/>
      <c r="H480" s="154"/>
      <c r="I480" s="154"/>
      <c r="J480" s="154"/>
      <c r="K480" s="154"/>
      <c r="L480" s="154"/>
      <c r="M480" s="154"/>
      <c r="N480" s="154"/>
      <c r="O480" s="154"/>
      <c r="P480" s="154"/>
      <c r="Q480" s="154"/>
      <c r="R480" s="154"/>
      <c r="S480" s="154"/>
      <c r="T480" s="154"/>
      <c r="U480" s="154"/>
      <c r="V480" s="154"/>
      <c r="W480" s="154"/>
      <c r="X480" s="154"/>
      <c r="Y480" s="154"/>
      <c r="Z480" s="154"/>
      <c r="AA480" s="154"/>
      <c r="AB480" s="154"/>
      <c r="AC480" s="154"/>
    </row>
    <row r="481" ht="15.75" customHeight="1">
      <c r="A481" s="146"/>
      <c r="B481" s="154"/>
      <c r="C481" s="154"/>
      <c r="D481" s="154"/>
      <c r="E481" s="154"/>
      <c r="F481" s="154"/>
      <c r="G481" s="154"/>
      <c r="H481" s="154"/>
      <c r="I481" s="154"/>
      <c r="J481" s="154"/>
      <c r="K481" s="154"/>
      <c r="L481" s="154"/>
      <c r="M481" s="154"/>
      <c r="N481" s="154"/>
      <c r="O481" s="154"/>
      <c r="P481" s="154"/>
      <c r="Q481" s="154"/>
      <c r="R481" s="154"/>
      <c r="S481" s="154"/>
      <c r="T481" s="154"/>
      <c r="U481" s="154"/>
      <c r="V481" s="154"/>
      <c r="W481" s="154"/>
      <c r="X481" s="154"/>
      <c r="Y481" s="154"/>
      <c r="Z481" s="154"/>
      <c r="AA481" s="154"/>
      <c r="AB481" s="154"/>
      <c r="AC481" s="154"/>
    </row>
    <row r="482" ht="15.75" customHeight="1">
      <c r="A482" s="146"/>
      <c r="B482" s="154"/>
      <c r="C482" s="154"/>
      <c r="D482" s="154"/>
      <c r="E482" s="154"/>
      <c r="F482" s="154"/>
      <c r="G482" s="154"/>
      <c r="H482" s="154"/>
      <c r="I482" s="154"/>
      <c r="J482" s="154"/>
      <c r="K482" s="154"/>
      <c r="L482" s="154"/>
      <c r="M482" s="154"/>
      <c r="N482" s="154"/>
      <c r="O482" s="154"/>
      <c r="P482" s="154"/>
      <c r="Q482" s="154"/>
      <c r="R482" s="154"/>
      <c r="S482" s="154"/>
      <c r="T482" s="154"/>
      <c r="U482" s="154"/>
      <c r="V482" s="154"/>
      <c r="W482" s="154"/>
      <c r="X482" s="154"/>
      <c r="Y482" s="154"/>
      <c r="Z482" s="154"/>
      <c r="AA482" s="154"/>
      <c r="AB482" s="154"/>
      <c r="AC482" s="154"/>
    </row>
    <row r="483" ht="15.75" customHeight="1">
      <c r="A483" s="146"/>
      <c r="B483" s="154"/>
      <c r="C483" s="154"/>
      <c r="D483" s="154"/>
      <c r="E483" s="154"/>
      <c r="F483" s="154"/>
      <c r="G483" s="154"/>
      <c r="H483" s="154"/>
      <c r="I483" s="154"/>
      <c r="J483" s="154"/>
      <c r="K483" s="154"/>
      <c r="L483" s="154"/>
      <c r="M483" s="154"/>
      <c r="N483" s="154"/>
      <c r="O483" s="154"/>
      <c r="P483" s="154"/>
      <c r="Q483" s="154"/>
      <c r="R483" s="154"/>
      <c r="S483" s="154"/>
      <c r="T483" s="154"/>
      <c r="U483" s="154"/>
      <c r="V483" s="154"/>
      <c r="W483" s="154"/>
      <c r="X483" s="154"/>
      <c r="Y483" s="154"/>
      <c r="Z483" s="154"/>
      <c r="AA483" s="154"/>
      <c r="AB483" s="154"/>
      <c r="AC483" s="154"/>
    </row>
    <row r="484" ht="15.75" customHeight="1">
      <c r="A484" s="146"/>
      <c r="B484" s="154"/>
      <c r="C484" s="154"/>
      <c r="D484" s="154"/>
      <c r="E484" s="154"/>
      <c r="F484" s="154"/>
      <c r="G484" s="154"/>
      <c r="H484" s="154"/>
      <c r="I484" s="154"/>
      <c r="J484" s="154"/>
      <c r="K484" s="154"/>
      <c r="L484" s="154"/>
      <c r="M484" s="154"/>
      <c r="N484" s="154"/>
      <c r="O484" s="154"/>
      <c r="P484" s="154"/>
      <c r="Q484" s="154"/>
      <c r="R484" s="154"/>
      <c r="S484" s="154"/>
      <c r="T484" s="154"/>
      <c r="U484" s="154"/>
      <c r="V484" s="154"/>
      <c r="W484" s="154"/>
      <c r="X484" s="154"/>
      <c r="Y484" s="154"/>
      <c r="Z484" s="154"/>
      <c r="AA484" s="154"/>
      <c r="AB484" s="154"/>
      <c r="AC484" s="154"/>
    </row>
    <row r="485" ht="15.75" customHeight="1">
      <c r="A485" s="146"/>
      <c r="B485" s="154"/>
      <c r="C485" s="154"/>
      <c r="D485" s="154"/>
      <c r="E485" s="154"/>
      <c r="F485" s="154"/>
      <c r="G485" s="154"/>
      <c r="H485" s="154"/>
      <c r="I485" s="154"/>
      <c r="J485" s="154"/>
      <c r="K485" s="154"/>
      <c r="L485" s="154"/>
      <c r="M485" s="154"/>
      <c r="N485" s="154"/>
      <c r="O485" s="154"/>
      <c r="P485" s="154"/>
      <c r="Q485" s="154"/>
      <c r="R485" s="154"/>
      <c r="S485" s="154"/>
      <c r="T485" s="154"/>
      <c r="U485" s="154"/>
      <c r="V485" s="154"/>
      <c r="W485" s="154"/>
      <c r="X485" s="154"/>
      <c r="Y485" s="154"/>
      <c r="Z485" s="154"/>
      <c r="AA485" s="154"/>
      <c r="AB485" s="154"/>
      <c r="AC485" s="154"/>
    </row>
    <row r="486" ht="15.75" customHeight="1">
      <c r="A486" s="146"/>
      <c r="B486" s="154"/>
      <c r="C486" s="154"/>
      <c r="D486" s="154"/>
      <c r="E486" s="154"/>
      <c r="F486" s="154"/>
      <c r="G486" s="154"/>
      <c r="H486" s="154"/>
      <c r="I486" s="154"/>
      <c r="J486" s="154"/>
      <c r="K486" s="154"/>
      <c r="L486" s="154"/>
      <c r="M486" s="154"/>
      <c r="N486" s="154"/>
      <c r="O486" s="154"/>
      <c r="P486" s="154"/>
      <c r="Q486" s="154"/>
      <c r="R486" s="154"/>
      <c r="S486" s="154"/>
      <c r="T486" s="154"/>
      <c r="U486" s="154"/>
      <c r="V486" s="154"/>
      <c r="W486" s="154"/>
      <c r="X486" s="154"/>
      <c r="Y486" s="154"/>
      <c r="Z486" s="154"/>
      <c r="AA486" s="154"/>
      <c r="AB486" s="154"/>
      <c r="AC486" s="154"/>
    </row>
    <row r="487" ht="15.75" customHeight="1">
      <c r="A487" s="146"/>
      <c r="B487" s="154"/>
      <c r="C487" s="154"/>
      <c r="D487" s="154"/>
      <c r="E487" s="154"/>
      <c r="F487" s="154"/>
      <c r="G487" s="154"/>
      <c r="H487" s="154"/>
      <c r="I487" s="154"/>
      <c r="J487" s="154"/>
      <c r="K487" s="154"/>
      <c r="L487" s="154"/>
      <c r="M487" s="154"/>
      <c r="N487" s="154"/>
      <c r="O487" s="154"/>
      <c r="P487" s="154"/>
      <c r="Q487" s="154"/>
      <c r="R487" s="154"/>
      <c r="S487" s="154"/>
      <c r="T487" s="154"/>
      <c r="U487" s="154"/>
      <c r="V487" s="154"/>
      <c r="W487" s="154"/>
      <c r="X487" s="154"/>
      <c r="Y487" s="154"/>
      <c r="Z487" s="154"/>
      <c r="AA487" s="154"/>
      <c r="AB487" s="154"/>
      <c r="AC487" s="154"/>
    </row>
    <row r="488" ht="15.75" customHeight="1">
      <c r="A488" s="146"/>
      <c r="B488" s="154"/>
      <c r="C488" s="154"/>
      <c r="D488" s="154"/>
      <c r="E488" s="154"/>
      <c r="F488" s="154"/>
      <c r="G488" s="154"/>
      <c r="H488" s="154"/>
      <c r="I488" s="154"/>
      <c r="J488" s="154"/>
      <c r="K488" s="154"/>
      <c r="L488" s="154"/>
      <c r="M488" s="154"/>
      <c r="N488" s="154"/>
      <c r="O488" s="154"/>
      <c r="P488" s="154"/>
      <c r="Q488" s="154"/>
      <c r="R488" s="154"/>
      <c r="S488" s="154"/>
      <c r="T488" s="154"/>
      <c r="U488" s="154"/>
      <c r="V488" s="154"/>
      <c r="W488" s="154"/>
      <c r="X488" s="154"/>
      <c r="Y488" s="154"/>
      <c r="Z488" s="154"/>
      <c r="AA488" s="154"/>
      <c r="AB488" s="154"/>
      <c r="AC488" s="154"/>
    </row>
    <row r="489" ht="15.75" customHeight="1">
      <c r="A489" s="146"/>
      <c r="B489" s="154"/>
      <c r="C489" s="154"/>
      <c r="D489" s="154"/>
      <c r="E489" s="154"/>
      <c r="F489" s="154"/>
      <c r="G489" s="154"/>
      <c r="H489" s="154"/>
      <c r="I489" s="154"/>
      <c r="J489" s="154"/>
      <c r="K489" s="154"/>
      <c r="L489" s="154"/>
      <c r="M489" s="154"/>
      <c r="N489" s="154"/>
      <c r="O489" s="154"/>
      <c r="P489" s="154"/>
      <c r="Q489" s="154"/>
      <c r="R489" s="154"/>
      <c r="S489" s="154"/>
      <c r="T489" s="154"/>
      <c r="U489" s="154"/>
      <c r="V489" s="154"/>
      <c r="W489" s="154"/>
      <c r="X489" s="154"/>
      <c r="Y489" s="154"/>
      <c r="Z489" s="154"/>
      <c r="AA489" s="154"/>
      <c r="AB489" s="154"/>
      <c r="AC489" s="154"/>
    </row>
    <row r="490" ht="15.75" customHeight="1">
      <c r="A490" s="146"/>
      <c r="B490" s="154"/>
      <c r="C490" s="154"/>
      <c r="D490" s="154"/>
      <c r="E490" s="154"/>
      <c r="F490" s="154"/>
      <c r="G490" s="154"/>
      <c r="H490" s="154"/>
      <c r="I490" s="154"/>
      <c r="J490" s="154"/>
      <c r="K490" s="154"/>
      <c r="L490" s="154"/>
      <c r="M490" s="154"/>
      <c r="N490" s="154"/>
      <c r="O490" s="154"/>
      <c r="P490" s="154"/>
      <c r="Q490" s="154"/>
      <c r="R490" s="154"/>
      <c r="S490" s="154"/>
      <c r="T490" s="154"/>
      <c r="U490" s="154"/>
      <c r="V490" s="154"/>
      <c r="W490" s="154"/>
      <c r="X490" s="154"/>
      <c r="Y490" s="154"/>
      <c r="Z490" s="154"/>
      <c r="AA490" s="154"/>
      <c r="AB490" s="154"/>
      <c r="AC490" s="154"/>
    </row>
    <row r="491" ht="15.75" customHeight="1">
      <c r="A491" s="146"/>
      <c r="B491" s="154"/>
      <c r="C491" s="154"/>
      <c r="D491" s="154"/>
      <c r="E491" s="154"/>
      <c r="F491" s="154"/>
      <c r="G491" s="154"/>
      <c r="H491" s="154"/>
      <c r="I491" s="154"/>
      <c r="J491" s="154"/>
      <c r="K491" s="154"/>
      <c r="L491" s="154"/>
      <c r="M491" s="154"/>
      <c r="N491" s="154"/>
      <c r="O491" s="154"/>
      <c r="P491" s="154"/>
      <c r="Q491" s="154"/>
      <c r="R491" s="154"/>
      <c r="S491" s="154"/>
      <c r="T491" s="154"/>
      <c r="U491" s="154"/>
      <c r="V491" s="154"/>
      <c r="W491" s="154"/>
      <c r="X491" s="154"/>
      <c r="Y491" s="154"/>
      <c r="Z491" s="154"/>
      <c r="AA491" s="154"/>
      <c r="AB491" s="154"/>
      <c r="AC491" s="154"/>
    </row>
    <row r="492" ht="15.75" customHeight="1">
      <c r="A492" s="146"/>
      <c r="B492" s="154"/>
      <c r="C492" s="154"/>
      <c r="D492" s="154"/>
      <c r="E492" s="154"/>
      <c r="F492" s="154"/>
      <c r="G492" s="154"/>
      <c r="H492" s="154"/>
      <c r="I492" s="154"/>
      <c r="J492" s="154"/>
      <c r="K492" s="154"/>
      <c r="L492" s="154"/>
      <c r="M492" s="154"/>
      <c r="N492" s="154"/>
      <c r="O492" s="154"/>
      <c r="P492" s="154"/>
      <c r="Q492" s="154"/>
      <c r="R492" s="154"/>
      <c r="S492" s="154"/>
      <c r="T492" s="154"/>
      <c r="U492" s="154"/>
      <c r="V492" s="154"/>
      <c r="W492" s="154"/>
      <c r="X492" s="154"/>
      <c r="Y492" s="154"/>
      <c r="Z492" s="154"/>
      <c r="AA492" s="154"/>
      <c r="AB492" s="154"/>
      <c r="AC492" s="154"/>
    </row>
    <row r="493" ht="15.75" customHeight="1">
      <c r="A493" s="146"/>
      <c r="B493" s="154"/>
      <c r="C493" s="154"/>
      <c r="D493" s="154"/>
      <c r="E493" s="154"/>
      <c r="F493" s="154"/>
      <c r="G493" s="154"/>
      <c r="H493" s="154"/>
      <c r="I493" s="154"/>
      <c r="J493" s="154"/>
      <c r="K493" s="154"/>
      <c r="L493" s="154"/>
      <c r="M493" s="154"/>
      <c r="N493" s="154"/>
      <c r="O493" s="154"/>
      <c r="P493" s="154"/>
      <c r="Q493" s="154"/>
      <c r="R493" s="154"/>
      <c r="S493" s="154"/>
      <c r="T493" s="154"/>
      <c r="U493" s="154"/>
      <c r="V493" s="154"/>
      <c r="W493" s="154"/>
      <c r="X493" s="154"/>
      <c r="Y493" s="154"/>
      <c r="Z493" s="154"/>
      <c r="AA493" s="154"/>
      <c r="AB493" s="154"/>
      <c r="AC493" s="154"/>
    </row>
    <row r="494" ht="15.75" customHeight="1">
      <c r="A494" s="146"/>
      <c r="B494" s="154"/>
      <c r="C494" s="154"/>
      <c r="D494" s="154"/>
      <c r="E494" s="154"/>
      <c r="F494" s="154"/>
      <c r="G494" s="154"/>
      <c r="H494" s="154"/>
      <c r="I494" s="154"/>
      <c r="J494" s="154"/>
      <c r="K494" s="154"/>
      <c r="L494" s="154"/>
      <c r="M494" s="154"/>
      <c r="N494" s="154"/>
      <c r="O494" s="154"/>
      <c r="P494" s="154"/>
      <c r="Q494" s="154"/>
      <c r="R494" s="154"/>
      <c r="S494" s="154"/>
      <c r="T494" s="154"/>
      <c r="U494" s="154"/>
      <c r="V494" s="154"/>
      <c r="W494" s="154"/>
      <c r="X494" s="154"/>
      <c r="Y494" s="154"/>
      <c r="Z494" s="154"/>
      <c r="AA494" s="154"/>
      <c r="AB494" s="154"/>
      <c r="AC494" s="154"/>
    </row>
    <row r="495" ht="15.75" customHeight="1">
      <c r="A495" s="146"/>
      <c r="B495" s="154"/>
      <c r="C495" s="154"/>
      <c r="D495" s="154"/>
      <c r="E495" s="154"/>
      <c r="F495" s="154"/>
      <c r="G495" s="154"/>
      <c r="H495" s="154"/>
      <c r="I495" s="154"/>
      <c r="J495" s="154"/>
      <c r="K495" s="154"/>
      <c r="L495" s="154"/>
      <c r="M495" s="154"/>
      <c r="N495" s="154"/>
      <c r="O495" s="154"/>
      <c r="P495" s="154"/>
      <c r="Q495" s="154"/>
      <c r="R495" s="154"/>
      <c r="S495" s="154"/>
      <c r="T495" s="154"/>
      <c r="U495" s="154"/>
      <c r="V495" s="154"/>
      <c r="W495" s="154"/>
      <c r="X495" s="154"/>
      <c r="Y495" s="154"/>
      <c r="Z495" s="154"/>
      <c r="AA495" s="154"/>
      <c r="AB495" s="154"/>
      <c r="AC495" s="154"/>
    </row>
    <row r="496" ht="15.75" customHeight="1">
      <c r="A496" s="146"/>
      <c r="B496" s="154"/>
      <c r="C496" s="154"/>
      <c r="D496" s="154"/>
      <c r="E496" s="154"/>
      <c r="F496" s="154"/>
      <c r="G496" s="154"/>
      <c r="H496" s="154"/>
      <c r="I496" s="154"/>
      <c r="J496" s="154"/>
      <c r="K496" s="154"/>
      <c r="L496" s="154"/>
      <c r="M496" s="154"/>
      <c r="N496" s="154"/>
      <c r="O496" s="154"/>
      <c r="P496" s="154"/>
      <c r="Q496" s="154"/>
      <c r="R496" s="154"/>
      <c r="S496" s="154"/>
      <c r="T496" s="154"/>
      <c r="U496" s="154"/>
      <c r="V496" s="154"/>
      <c r="W496" s="154"/>
      <c r="X496" s="154"/>
      <c r="Y496" s="154"/>
      <c r="Z496" s="154"/>
      <c r="AA496" s="154"/>
      <c r="AB496" s="154"/>
      <c r="AC496" s="154"/>
    </row>
    <row r="497" ht="15.75" customHeight="1">
      <c r="A497" s="146"/>
      <c r="B497" s="154"/>
      <c r="C497" s="154"/>
      <c r="D497" s="154"/>
      <c r="E497" s="154"/>
      <c r="F497" s="154"/>
      <c r="G497" s="154"/>
      <c r="H497" s="154"/>
      <c r="I497" s="154"/>
      <c r="J497" s="154"/>
      <c r="K497" s="154"/>
      <c r="L497" s="154"/>
      <c r="M497" s="154"/>
      <c r="N497" s="154"/>
      <c r="O497" s="154"/>
      <c r="P497" s="154"/>
      <c r="Q497" s="154"/>
      <c r="R497" s="154"/>
      <c r="S497" s="154"/>
      <c r="T497" s="154"/>
      <c r="U497" s="154"/>
      <c r="V497" s="154"/>
      <c r="W497" s="154"/>
      <c r="X497" s="154"/>
      <c r="Y497" s="154"/>
      <c r="Z497" s="154"/>
      <c r="AA497" s="154"/>
      <c r="AB497" s="154"/>
      <c r="AC497" s="154"/>
    </row>
    <row r="498" ht="15.75" customHeight="1">
      <c r="A498" s="146"/>
      <c r="B498" s="154"/>
      <c r="C498" s="154"/>
      <c r="D498" s="154"/>
      <c r="E498" s="154"/>
      <c r="F498" s="154"/>
      <c r="G498" s="154"/>
      <c r="H498" s="154"/>
      <c r="I498" s="154"/>
      <c r="J498" s="154"/>
      <c r="K498" s="154"/>
      <c r="L498" s="154"/>
      <c r="M498" s="154"/>
      <c r="N498" s="154"/>
      <c r="O498" s="154"/>
      <c r="P498" s="154"/>
      <c r="Q498" s="154"/>
      <c r="R498" s="154"/>
      <c r="S498" s="154"/>
      <c r="T498" s="154"/>
      <c r="U498" s="154"/>
      <c r="V498" s="154"/>
      <c r="W498" s="154"/>
      <c r="X498" s="154"/>
      <c r="Y498" s="154"/>
      <c r="Z498" s="154"/>
      <c r="AA498" s="154"/>
      <c r="AB498" s="154"/>
      <c r="AC498" s="154"/>
    </row>
    <row r="499" ht="15.75" customHeight="1">
      <c r="A499" s="146"/>
      <c r="B499" s="154"/>
      <c r="C499" s="154"/>
      <c r="D499" s="154"/>
      <c r="E499" s="154"/>
      <c r="F499" s="154"/>
      <c r="G499" s="154"/>
      <c r="H499" s="154"/>
      <c r="I499" s="154"/>
      <c r="J499" s="154"/>
      <c r="K499" s="154"/>
      <c r="L499" s="154"/>
      <c r="M499" s="154"/>
      <c r="N499" s="154"/>
      <c r="O499" s="154"/>
      <c r="P499" s="154"/>
      <c r="Q499" s="154"/>
      <c r="R499" s="154"/>
      <c r="S499" s="154"/>
      <c r="T499" s="154"/>
      <c r="U499" s="154"/>
      <c r="V499" s="154"/>
      <c r="W499" s="154"/>
      <c r="X499" s="154"/>
      <c r="Y499" s="154"/>
      <c r="Z499" s="154"/>
      <c r="AA499" s="154"/>
      <c r="AB499" s="154"/>
      <c r="AC499" s="154"/>
    </row>
    <row r="500" ht="15.75" customHeight="1">
      <c r="A500" s="146"/>
      <c r="B500" s="154"/>
      <c r="C500" s="154"/>
      <c r="D500" s="154"/>
      <c r="E500" s="154"/>
      <c r="F500" s="154"/>
      <c r="G500" s="154"/>
      <c r="H500" s="154"/>
      <c r="I500" s="154"/>
      <c r="J500" s="154"/>
      <c r="K500" s="154"/>
      <c r="L500" s="154"/>
      <c r="M500" s="154"/>
      <c r="N500" s="154"/>
      <c r="O500" s="154"/>
      <c r="P500" s="154"/>
      <c r="Q500" s="154"/>
      <c r="R500" s="154"/>
      <c r="S500" s="154"/>
      <c r="T500" s="154"/>
      <c r="U500" s="154"/>
      <c r="V500" s="154"/>
      <c r="W500" s="154"/>
      <c r="X500" s="154"/>
      <c r="Y500" s="154"/>
      <c r="Z500" s="154"/>
      <c r="AA500" s="154"/>
      <c r="AB500" s="154"/>
      <c r="AC500" s="154"/>
    </row>
    <row r="501" ht="15.75" customHeight="1">
      <c r="A501" s="146"/>
      <c r="B501" s="154"/>
      <c r="C501" s="154"/>
      <c r="D501" s="154"/>
      <c r="E501" s="154"/>
      <c r="F501" s="154"/>
      <c r="G501" s="154"/>
      <c r="H501" s="154"/>
      <c r="I501" s="154"/>
      <c r="J501" s="154"/>
      <c r="K501" s="154"/>
      <c r="L501" s="154"/>
      <c r="M501" s="154"/>
      <c r="N501" s="154"/>
      <c r="O501" s="154"/>
      <c r="P501" s="154"/>
      <c r="Q501" s="154"/>
      <c r="R501" s="154"/>
      <c r="S501" s="154"/>
      <c r="T501" s="154"/>
      <c r="U501" s="154"/>
      <c r="V501" s="154"/>
      <c r="W501" s="154"/>
      <c r="X501" s="154"/>
      <c r="Y501" s="154"/>
      <c r="Z501" s="154"/>
      <c r="AA501" s="154"/>
      <c r="AB501" s="154"/>
      <c r="AC501" s="154"/>
    </row>
    <row r="502" ht="15.75" customHeight="1">
      <c r="A502" s="146"/>
      <c r="B502" s="154"/>
      <c r="C502" s="154"/>
      <c r="D502" s="154"/>
      <c r="E502" s="154"/>
      <c r="F502" s="154"/>
      <c r="G502" s="154"/>
      <c r="H502" s="154"/>
      <c r="I502" s="154"/>
      <c r="J502" s="154"/>
      <c r="K502" s="154"/>
      <c r="L502" s="154"/>
      <c r="M502" s="154"/>
      <c r="N502" s="154"/>
      <c r="O502" s="154"/>
      <c r="P502" s="154"/>
      <c r="Q502" s="154"/>
      <c r="R502" s="154"/>
      <c r="S502" s="154"/>
      <c r="T502" s="154"/>
      <c r="U502" s="154"/>
      <c r="V502" s="154"/>
      <c r="W502" s="154"/>
      <c r="X502" s="154"/>
      <c r="Y502" s="154"/>
      <c r="Z502" s="154"/>
      <c r="AA502" s="154"/>
      <c r="AB502" s="154"/>
      <c r="AC502" s="154"/>
    </row>
    <row r="503" ht="15.75" customHeight="1">
      <c r="A503" s="146"/>
      <c r="B503" s="154"/>
      <c r="C503" s="154"/>
      <c r="D503" s="154"/>
      <c r="E503" s="154"/>
      <c r="F503" s="154"/>
      <c r="G503" s="154"/>
      <c r="H503" s="154"/>
      <c r="I503" s="154"/>
      <c r="J503" s="154"/>
      <c r="K503" s="154"/>
      <c r="L503" s="154"/>
      <c r="M503" s="154"/>
      <c r="N503" s="154"/>
      <c r="O503" s="154"/>
      <c r="P503" s="154"/>
      <c r="Q503" s="154"/>
      <c r="R503" s="154"/>
      <c r="S503" s="154"/>
      <c r="T503" s="154"/>
      <c r="U503" s="154"/>
      <c r="V503" s="154"/>
      <c r="W503" s="154"/>
      <c r="X503" s="154"/>
      <c r="Y503" s="154"/>
      <c r="Z503" s="154"/>
      <c r="AA503" s="154"/>
      <c r="AB503" s="154"/>
      <c r="AC503" s="154"/>
    </row>
    <row r="504" ht="15.75" customHeight="1">
      <c r="A504" s="146"/>
      <c r="B504" s="154"/>
      <c r="C504" s="154"/>
      <c r="D504" s="154"/>
      <c r="E504" s="154"/>
      <c r="F504" s="154"/>
      <c r="G504" s="154"/>
      <c r="H504" s="154"/>
      <c r="I504" s="154"/>
      <c r="J504" s="154"/>
      <c r="K504" s="154"/>
      <c r="L504" s="154"/>
      <c r="M504" s="154"/>
      <c r="N504" s="154"/>
      <c r="O504" s="154"/>
      <c r="P504" s="154"/>
      <c r="Q504" s="154"/>
      <c r="R504" s="154"/>
      <c r="S504" s="154"/>
      <c r="T504" s="154"/>
      <c r="U504" s="154"/>
      <c r="V504" s="154"/>
      <c r="W504" s="154"/>
      <c r="X504" s="154"/>
      <c r="Y504" s="154"/>
      <c r="Z504" s="154"/>
      <c r="AA504" s="154"/>
      <c r="AB504" s="154"/>
      <c r="AC504" s="154"/>
    </row>
    <row r="505" ht="15.75" customHeight="1">
      <c r="A505" s="146"/>
      <c r="B505" s="154"/>
      <c r="C505" s="154"/>
      <c r="D505" s="154"/>
      <c r="E505" s="154"/>
      <c r="F505" s="154"/>
      <c r="G505" s="154"/>
      <c r="H505" s="154"/>
      <c r="I505" s="154"/>
      <c r="J505" s="154"/>
      <c r="K505" s="154"/>
      <c r="L505" s="154"/>
      <c r="M505" s="154"/>
      <c r="N505" s="154"/>
      <c r="O505" s="154"/>
      <c r="P505" s="154"/>
      <c r="Q505" s="154"/>
      <c r="R505" s="154"/>
      <c r="S505" s="154"/>
      <c r="T505" s="154"/>
      <c r="U505" s="154"/>
      <c r="V505" s="154"/>
      <c r="W505" s="154"/>
      <c r="X505" s="154"/>
      <c r="Y505" s="154"/>
      <c r="Z505" s="154"/>
      <c r="AA505" s="154"/>
      <c r="AB505" s="154"/>
      <c r="AC505" s="154"/>
    </row>
    <row r="506" ht="15.75" customHeight="1">
      <c r="A506" s="146"/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  <c r="M506" s="154"/>
      <c r="N506" s="154"/>
      <c r="O506" s="154"/>
      <c r="P506" s="154"/>
      <c r="Q506" s="154"/>
      <c r="R506" s="154"/>
      <c r="S506" s="154"/>
      <c r="T506" s="154"/>
      <c r="U506" s="154"/>
      <c r="V506" s="154"/>
      <c r="W506" s="154"/>
      <c r="X506" s="154"/>
      <c r="Y506" s="154"/>
      <c r="Z506" s="154"/>
      <c r="AA506" s="154"/>
      <c r="AB506" s="154"/>
      <c r="AC506" s="154"/>
    </row>
    <row r="507" ht="15.75" customHeight="1">
      <c r="A507" s="146"/>
      <c r="B507" s="154"/>
      <c r="C507" s="154"/>
      <c r="D507" s="154"/>
      <c r="E507" s="154"/>
      <c r="F507" s="154"/>
      <c r="G507" s="154"/>
      <c r="H507" s="154"/>
      <c r="I507" s="154"/>
      <c r="J507" s="154"/>
      <c r="K507" s="154"/>
      <c r="L507" s="154"/>
      <c r="M507" s="154"/>
      <c r="N507" s="154"/>
      <c r="O507" s="154"/>
      <c r="P507" s="154"/>
      <c r="Q507" s="154"/>
      <c r="R507" s="154"/>
      <c r="S507" s="154"/>
      <c r="T507" s="154"/>
      <c r="U507" s="154"/>
      <c r="V507" s="154"/>
      <c r="W507" s="154"/>
      <c r="X507" s="154"/>
      <c r="Y507" s="154"/>
      <c r="Z507" s="154"/>
      <c r="AA507" s="154"/>
      <c r="AB507" s="154"/>
      <c r="AC507" s="154"/>
    </row>
    <row r="508" ht="15.75" customHeight="1">
      <c r="A508" s="146"/>
      <c r="B508" s="154"/>
      <c r="C508" s="154"/>
      <c r="D508" s="154"/>
      <c r="E508" s="154"/>
      <c r="F508" s="154"/>
      <c r="G508" s="154"/>
      <c r="H508" s="154"/>
      <c r="I508" s="154"/>
      <c r="J508" s="154"/>
      <c r="K508" s="154"/>
      <c r="L508" s="154"/>
      <c r="M508" s="154"/>
      <c r="N508" s="154"/>
      <c r="O508" s="154"/>
      <c r="P508" s="154"/>
      <c r="Q508" s="154"/>
      <c r="R508" s="154"/>
      <c r="S508" s="154"/>
      <c r="T508" s="154"/>
      <c r="U508" s="154"/>
      <c r="V508" s="154"/>
      <c r="W508" s="154"/>
      <c r="X508" s="154"/>
      <c r="Y508" s="154"/>
      <c r="Z508" s="154"/>
      <c r="AA508" s="154"/>
      <c r="AB508" s="154"/>
      <c r="AC508" s="154"/>
    </row>
    <row r="509" ht="15.75" customHeight="1">
      <c r="A509" s="146"/>
      <c r="B509" s="154"/>
      <c r="C509" s="154"/>
      <c r="D509" s="154"/>
      <c r="E509" s="154"/>
      <c r="F509" s="154"/>
      <c r="G509" s="154"/>
      <c r="H509" s="154"/>
      <c r="I509" s="154"/>
      <c r="J509" s="154"/>
      <c r="K509" s="154"/>
      <c r="L509" s="154"/>
      <c r="M509" s="154"/>
      <c r="N509" s="154"/>
      <c r="O509" s="154"/>
      <c r="P509" s="154"/>
      <c r="Q509" s="154"/>
      <c r="R509" s="154"/>
      <c r="S509" s="154"/>
      <c r="T509" s="154"/>
      <c r="U509" s="154"/>
      <c r="V509" s="154"/>
      <c r="W509" s="154"/>
      <c r="X509" s="154"/>
      <c r="Y509" s="154"/>
      <c r="Z509" s="154"/>
      <c r="AA509" s="154"/>
      <c r="AB509" s="154"/>
      <c r="AC509" s="154"/>
    </row>
    <row r="510" ht="15.75" customHeight="1">
      <c r="A510" s="146"/>
      <c r="B510" s="154"/>
      <c r="C510" s="154"/>
      <c r="D510" s="154"/>
      <c r="E510" s="154"/>
      <c r="F510" s="154"/>
      <c r="G510" s="154"/>
      <c r="H510" s="154"/>
      <c r="I510" s="154"/>
      <c r="J510" s="154"/>
      <c r="K510" s="154"/>
      <c r="L510" s="154"/>
      <c r="M510" s="154"/>
      <c r="N510" s="154"/>
      <c r="O510" s="154"/>
      <c r="P510" s="154"/>
      <c r="Q510" s="154"/>
      <c r="R510" s="154"/>
      <c r="S510" s="154"/>
      <c r="T510" s="154"/>
      <c r="U510" s="154"/>
      <c r="V510" s="154"/>
      <c r="W510" s="154"/>
      <c r="X510" s="154"/>
      <c r="Y510" s="154"/>
      <c r="Z510" s="154"/>
      <c r="AA510" s="154"/>
      <c r="AB510" s="154"/>
      <c r="AC510" s="154"/>
    </row>
    <row r="511" ht="15.75" customHeight="1">
      <c r="A511" s="146"/>
      <c r="B511" s="154"/>
      <c r="C511" s="154"/>
      <c r="D511" s="154"/>
      <c r="E511" s="154"/>
      <c r="F511" s="154"/>
      <c r="G511" s="154"/>
      <c r="H511" s="154"/>
      <c r="I511" s="154"/>
      <c r="J511" s="154"/>
      <c r="K511" s="154"/>
      <c r="L511" s="154"/>
      <c r="M511" s="154"/>
      <c r="N511" s="154"/>
      <c r="O511" s="154"/>
      <c r="P511" s="154"/>
      <c r="Q511" s="154"/>
      <c r="R511" s="154"/>
      <c r="S511" s="154"/>
      <c r="T511" s="154"/>
      <c r="U511" s="154"/>
      <c r="V511" s="154"/>
      <c r="W511" s="154"/>
      <c r="X511" s="154"/>
      <c r="Y511" s="154"/>
      <c r="Z511" s="154"/>
      <c r="AA511" s="154"/>
      <c r="AB511" s="154"/>
      <c r="AC511" s="154"/>
    </row>
    <row r="512" ht="15.75" customHeight="1">
      <c r="A512" s="146"/>
      <c r="B512" s="154"/>
      <c r="C512" s="154"/>
      <c r="D512" s="154"/>
      <c r="E512" s="154"/>
      <c r="F512" s="154"/>
      <c r="G512" s="154"/>
      <c r="H512" s="154"/>
      <c r="I512" s="154"/>
      <c r="J512" s="154"/>
      <c r="K512" s="154"/>
      <c r="L512" s="154"/>
      <c r="M512" s="154"/>
      <c r="N512" s="154"/>
      <c r="O512" s="154"/>
      <c r="P512" s="154"/>
      <c r="Q512" s="154"/>
      <c r="R512" s="154"/>
      <c r="S512" s="154"/>
      <c r="T512" s="154"/>
      <c r="U512" s="154"/>
      <c r="V512" s="154"/>
      <c r="W512" s="154"/>
      <c r="X512" s="154"/>
      <c r="Y512" s="154"/>
      <c r="Z512" s="154"/>
      <c r="AA512" s="154"/>
      <c r="AB512" s="154"/>
      <c r="AC512" s="154"/>
    </row>
    <row r="513" ht="15.75" customHeight="1">
      <c r="A513" s="146"/>
      <c r="B513" s="154"/>
      <c r="C513" s="154"/>
      <c r="D513" s="154"/>
      <c r="E513" s="154"/>
      <c r="F513" s="154"/>
      <c r="G513" s="154"/>
      <c r="H513" s="154"/>
      <c r="I513" s="154"/>
      <c r="J513" s="154"/>
      <c r="K513" s="154"/>
      <c r="L513" s="154"/>
      <c r="M513" s="154"/>
      <c r="N513" s="154"/>
      <c r="O513" s="154"/>
      <c r="P513" s="154"/>
      <c r="Q513" s="154"/>
      <c r="R513" s="154"/>
      <c r="S513" s="154"/>
      <c r="T513" s="154"/>
      <c r="U513" s="154"/>
      <c r="V513" s="154"/>
      <c r="W513" s="154"/>
      <c r="X513" s="154"/>
      <c r="Y513" s="154"/>
      <c r="Z513" s="154"/>
      <c r="AA513" s="154"/>
      <c r="AB513" s="154"/>
      <c r="AC513" s="154"/>
    </row>
    <row r="514" ht="15.75" customHeight="1">
      <c r="A514" s="146"/>
      <c r="B514" s="154"/>
      <c r="C514" s="154"/>
      <c r="D514" s="154"/>
      <c r="E514" s="154"/>
      <c r="F514" s="154"/>
      <c r="G514" s="154"/>
      <c r="H514" s="154"/>
      <c r="I514" s="154"/>
      <c r="J514" s="154"/>
      <c r="K514" s="154"/>
      <c r="L514" s="154"/>
      <c r="M514" s="154"/>
      <c r="N514" s="154"/>
      <c r="O514" s="154"/>
      <c r="P514" s="154"/>
      <c r="Q514" s="154"/>
      <c r="R514" s="154"/>
      <c r="S514" s="154"/>
      <c r="T514" s="154"/>
      <c r="U514" s="154"/>
      <c r="V514" s="154"/>
      <c r="W514" s="154"/>
      <c r="X514" s="154"/>
      <c r="Y514" s="154"/>
      <c r="Z514" s="154"/>
      <c r="AA514" s="154"/>
      <c r="AB514" s="154"/>
      <c r="AC514" s="154"/>
    </row>
    <row r="515" ht="15.75" customHeight="1">
      <c r="A515" s="146"/>
      <c r="B515" s="154"/>
      <c r="C515" s="154"/>
      <c r="D515" s="154"/>
      <c r="E515" s="154"/>
      <c r="F515" s="154"/>
      <c r="G515" s="154"/>
      <c r="H515" s="154"/>
      <c r="I515" s="154"/>
      <c r="J515" s="154"/>
      <c r="K515" s="154"/>
      <c r="L515" s="154"/>
      <c r="M515" s="154"/>
      <c r="N515" s="154"/>
      <c r="O515" s="154"/>
      <c r="P515" s="154"/>
      <c r="Q515" s="154"/>
      <c r="R515" s="154"/>
      <c r="S515" s="154"/>
      <c r="T515" s="154"/>
      <c r="U515" s="154"/>
      <c r="V515" s="154"/>
      <c r="W515" s="154"/>
      <c r="X515" s="154"/>
      <c r="Y515" s="154"/>
      <c r="Z515" s="154"/>
      <c r="AA515" s="154"/>
      <c r="AB515" s="154"/>
      <c r="AC515" s="154"/>
    </row>
    <row r="516" ht="15.75" customHeight="1">
      <c r="A516" s="146"/>
      <c r="B516" s="154"/>
      <c r="C516" s="154"/>
      <c r="D516" s="154"/>
      <c r="E516" s="154"/>
      <c r="F516" s="154"/>
      <c r="G516" s="154"/>
      <c r="H516" s="154"/>
      <c r="I516" s="154"/>
      <c r="J516" s="154"/>
      <c r="K516" s="154"/>
      <c r="L516" s="154"/>
      <c r="M516" s="154"/>
      <c r="N516" s="154"/>
      <c r="O516" s="154"/>
      <c r="P516" s="154"/>
      <c r="Q516" s="154"/>
      <c r="R516" s="154"/>
      <c r="S516" s="154"/>
      <c r="T516" s="154"/>
      <c r="U516" s="154"/>
      <c r="V516" s="154"/>
      <c r="W516" s="154"/>
      <c r="X516" s="154"/>
      <c r="Y516" s="154"/>
      <c r="Z516" s="154"/>
      <c r="AA516" s="154"/>
      <c r="AB516" s="154"/>
      <c r="AC516" s="154"/>
    </row>
    <row r="517" ht="15.75" customHeight="1">
      <c r="A517" s="146"/>
      <c r="B517" s="154"/>
      <c r="C517" s="154"/>
      <c r="D517" s="154"/>
      <c r="E517" s="154"/>
      <c r="F517" s="154"/>
      <c r="G517" s="154"/>
      <c r="H517" s="154"/>
      <c r="I517" s="154"/>
      <c r="J517" s="154"/>
      <c r="K517" s="154"/>
      <c r="L517" s="154"/>
      <c r="M517" s="154"/>
      <c r="N517" s="154"/>
      <c r="O517" s="154"/>
      <c r="P517" s="154"/>
      <c r="Q517" s="154"/>
      <c r="R517" s="154"/>
      <c r="S517" s="154"/>
      <c r="T517" s="154"/>
      <c r="U517" s="154"/>
      <c r="V517" s="154"/>
      <c r="W517" s="154"/>
      <c r="X517" s="154"/>
      <c r="Y517" s="154"/>
      <c r="Z517" s="154"/>
      <c r="AA517" s="154"/>
      <c r="AB517" s="154"/>
      <c r="AC517" s="154"/>
    </row>
    <row r="518" ht="15.75" customHeight="1">
      <c r="A518" s="146"/>
      <c r="B518" s="154"/>
      <c r="C518" s="154"/>
      <c r="D518" s="154"/>
      <c r="E518" s="154"/>
      <c r="F518" s="154"/>
      <c r="G518" s="154"/>
      <c r="H518" s="154"/>
      <c r="I518" s="154"/>
      <c r="J518" s="154"/>
      <c r="K518" s="154"/>
      <c r="L518" s="154"/>
      <c r="M518" s="154"/>
      <c r="N518" s="154"/>
      <c r="O518" s="154"/>
      <c r="P518" s="154"/>
      <c r="Q518" s="154"/>
      <c r="R518" s="154"/>
      <c r="S518" s="154"/>
      <c r="T518" s="154"/>
      <c r="U518" s="154"/>
      <c r="V518" s="154"/>
      <c r="W518" s="154"/>
      <c r="X518" s="154"/>
      <c r="Y518" s="154"/>
      <c r="Z518" s="154"/>
      <c r="AA518" s="154"/>
      <c r="AB518" s="154"/>
      <c r="AC518" s="154"/>
    </row>
    <row r="519" ht="15.75" customHeight="1">
      <c r="A519" s="146"/>
      <c r="B519" s="154"/>
      <c r="C519" s="154"/>
      <c r="D519" s="154"/>
      <c r="E519" s="154"/>
      <c r="F519" s="154"/>
      <c r="G519" s="154"/>
      <c r="H519" s="154"/>
      <c r="I519" s="154"/>
      <c r="J519" s="154"/>
      <c r="K519" s="154"/>
      <c r="L519" s="154"/>
      <c r="M519" s="154"/>
      <c r="N519" s="154"/>
      <c r="O519" s="154"/>
      <c r="P519" s="154"/>
      <c r="Q519" s="154"/>
      <c r="R519" s="154"/>
      <c r="S519" s="154"/>
      <c r="T519" s="154"/>
      <c r="U519" s="154"/>
      <c r="V519" s="154"/>
      <c r="W519" s="154"/>
      <c r="X519" s="154"/>
      <c r="Y519" s="154"/>
      <c r="Z519" s="154"/>
      <c r="AA519" s="154"/>
      <c r="AB519" s="154"/>
      <c r="AC519" s="154"/>
    </row>
    <row r="520" ht="15.75" customHeight="1">
      <c r="A520" s="146"/>
      <c r="B520" s="154"/>
      <c r="C520" s="154"/>
      <c r="D520" s="154"/>
      <c r="E520" s="154"/>
      <c r="F520" s="154"/>
      <c r="G520" s="154"/>
      <c r="H520" s="154"/>
      <c r="I520" s="154"/>
      <c r="J520" s="154"/>
      <c r="K520" s="154"/>
      <c r="L520" s="154"/>
      <c r="M520" s="154"/>
      <c r="N520" s="154"/>
      <c r="O520" s="154"/>
      <c r="P520" s="154"/>
      <c r="Q520" s="154"/>
      <c r="R520" s="154"/>
      <c r="S520" s="154"/>
      <c r="T520" s="154"/>
      <c r="U520" s="154"/>
      <c r="V520" s="154"/>
      <c r="W520" s="154"/>
      <c r="X520" s="154"/>
      <c r="Y520" s="154"/>
      <c r="Z520" s="154"/>
      <c r="AA520" s="154"/>
      <c r="AB520" s="154"/>
      <c r="AC520" s="154"/>
    </row>
    <row r="521" ht="15.75" customHeight="1">
      <c r="A521" s="146"/>
      <c r="B521" s="154"/>
      <c r="C521" s="154"/>
      <c r="D521" s="154"/>
      <c r="E521" s="154"/>
      <c r="F521" s="154"/>
      <c r="G521" s="154"/>
      <c r="H521" s="154"/>
      <c r="I521" s="154"/>
      <c r="J521" s="154"/>
      <c r="K521" s="154"/>
      <c r="L521" s="154"/>
      <c r="M521" s="154"/>
      <c r="N521" s="154"/>
      <c r="O521" s="154"/>
      <c r="P521" s="154"/>
      <c r="Q521" s="154"/>
      <c r="R521" s="154"/>
      <c r="S521" s="154"/>
      <c r="T521" s="154"/>
      <c r="U521" s="154"/>
      <c r="V521" s="154"/>
      <c r="W521" s="154"/>
      <c r="X521" s="154"/>
      <c r="Y521" s="154"/>
      <c r="Z521" s="154"/>
      <c r="AA521" s="154"/>
      <c r="AB521" s="154"/>
      <c r="AC521" s="154"/>
    </row>
    <row r="522" ht="15.75" customHeight="1">
      <c r="A522" s="146"/>
      <c r="B522" s="154"/>
      <c r="C522" s="154"/>
      <c r="D522" s="154"/>
      <c r="E522" s="154"/>
      <c r="F522" s="154"/>
      <c r="G522" s="154"/>
      <c r="H522" s="154"/>
      <c r="I522" s="154"/>
      <c r="J522" s="154"/>
      <c r="K522" s="154"/>
      <c r="L522" s="154"/>
      <c r="M522" s="154"/>
      <c r="N522" s="154"/>
      <c r="O522" s="154"/>
      <c r="P522" s="154"/>
      <c r="Q522" s="154"/>
      <c r="R522" s="154"/>
      <c r="S522" s="154"/>
      <c r="T522" s="154"/>
      <c r="U522" s="154"/>
      <c r="V522" s="154"/>
      <c r="W522" s="154"/>
      <c r="X522" s="154"/>
      <c r="Y522" s="154"/>
      <c r="Z522" s="154"/>
      <c r="AA522" s="154"/>
      <c r="AB522" s="154"/>
      <c r="AC522" s="154"/>
    </row>
    <row r="523" ht="15.75" customHeight="1">
      <c r="A523" s="146"/>
      <c r="B523" s="154"/>
      <c r="C523" s="154"/>
      <c r="D523" s="154"/>
      <c r="E523" s="154"/>
      <c r="F523" s="154"/>
      <c r="G523" s="154"/>
      <c r="H523" s="154"/>
      <c r="I523" s="154"/>
      <c r="J523" s="154"/>
      <c r="K523" s="154"/>
      <c r="L523" s="154"/>
      <c r="M523" s="154"/>
      <c r="N523" s="154"/>
      <c r="O523" s="154"/>
      <c r="P523" s="154"/>
      <c r="Q523" s="154"/>
      <c r="R523" s="154"/>
      <c r="S523" s="154"/>
      <c r="T523" s="154"/>
      <c r="U523" s="154"/>
      <c r="V523" s="154"/>
      <c r="W523" s="154"/>
      <c r="X523" s="154"/>
      <c r="Y523" s="154"/>
      <c r="Z523" s="154"/>
      <c r="AA523" s="154"/>
      <c r="AB523" s="154"/>
      <c r="AC523" s="154"/>
    </row>
    <row r="524" ht="15.75" customHeight="1">
      <c r="A524" s="146"/>
      <c r="B524" s="154"/>
      <c r="C524" s="154"/>
      <c r="D524" s="154"/>
      <c r="E524" s="154"/>
      <c r="F524" s="154"/>
      <c r="G524" s="154"/>
      <c r="H524" s="154"/>
      <c r="I524" s="154"/>
      <c r="J524" s="154"/>
      <c r="K524" s="154"/>
      <c r="L524" s="154"/>
      <c r="M524" s="154"/>
      <c r="N524" s="154"/>
      <c r="O524" s="154"/>
      <c r="P524" s="154"/>
      <c r="Q524" s="154"/>
      <c r="R524" s="154"/>
      <c r="S524" s="154"/>
      <c r="T524" s="154"/>
      <c r="U524" s="154"/>
      <c r="V524" s="154"/>
      <c r="W524" s="154"/>
      <c r="X524" s="154"/>
      <c r="Y524" s="154"/>
      <c r="Z524" s="154"/>
      <c r="AA524" s="154"/>
      <c r="AB524" s="154"/>
      <c r="AC524" s="154"/>
    </row>
    <row r="525" ht="15.75" customHeight="1">
      <c r="A525" s="146"/>
      <c r="B525" s="154"/>
      <c r="C525" s="154"/>
      <c r="D525" s="154"/>
      <c r="E525" s="154"/>
      <c r="F525" s="154"/>
      <c r="G525" s="154"/>
      <c r="H525" s="154"/>
      <c r="I525" s="154"/>
      <c r="J525" s="154"/>
      <c r="K525" s="154"/>
      <c r="L525" s="154"/>
      <c r="M525" s="154"/>
      <c r="N525" s="154"/>
      <c r="O525" s="154"/>
      <c r="P525" s="154"/>
      <c r="Q525" s="154"/>
      <c r="R525" s="154"/>
      <c r="S525" s="154"/>
      <c r="T525" s="154"/>
      <c r="U525" s="154"/>
      <c r="V525" s="154"/>
      <c r="W525" s="154"/>
      <c r="X525" s="154"/>
      <c r="Y525" s="154"/>
      <c r="Z525" s="154"/>
      <c r="AA525" s="154"/>
      <c r="AB525" s="154"/>
      <c r="AC525" s="154"/>
    </row>
    <row r="526" ht="15.75" customHeight="1">
      <c r="A526" s="146"/>
      <c r="B526" s="154"/>
      <c r="C526" s="154"/>
      <c r="D526" s="154"/>
      <c r="E526" s="154"/>
      <c r="F526" s="154"/>
      <c r="G526" s="154"/>
      <c r="H526" s="154"/>
      <c r="I526" s="154"/>
      <c r="J526" s="154"/>
      <c r="K526" s="154"/>
      <c r="L526" s="154"/>
      <c r="M526" s="154"/>
      <c r="N526" s="154"/>
      <c r="O526" s="154"/>
      <c r="P526" s="154"/>
      <c r="Q526" s="154"/>
      <c r="R526" s="154"/>
      <c r="S526" s="154"/>
      <c r="T526" s="154"/>
      <c r="U526" s="154"/>
      <c r="V526" s="154"/>
      <c r="W526" s="154"/>
      <c r="X526" s="154"/>
      <c r="Y526" s="154"/>
      <c r="Z526" s="154"/>
      <c r="AA526" s="154"/>
      <c r="AB526" s="154"/>
      <c r="AC526" s="154"/>
    </row>
    <row r="527" ht="15.75" customHeight="1">
      <c r="A527" s="146"/>
      <c r="B527" s="154"/>
      <c r="C527" s="154"/>
      <c r="D527" s="154"/>
      <c r="E527" s="154"/>
      <c r="F527" s="154"/>
      <c r="G527" s="154"/>
      <c r="H527" s="154"/>
      <c r="I527" s="154"/>
      <c r="J527" s="154"/>
      <c r="K527" s="154"/>
      <c r="L527" s="154"/>
      <c r="M527" s="154"/>
      <c r="N527" s="154"/>
      <c r="O527" s="154"/>
      <c r="P527" s="154"/>
      <c r="Q527" s="154"/>
      <c r="R527" s="154"/>
      <c r="S527" s="154"/>
      <c r="T527" s="154"/>
      <c r="U527" s="154"/>
      <c r="V527" s="154"/>
      <c r="W527" s="154"/>
      <c r="X527" s="154"/>
      <c r="Y527" s="154"/>
      <c r="Z527" s="154"/>
      <c r="AA527" s="154"/>
      <c r="AB527" s="154"/>
      <c r="AC527" s="154"/>
    </row>
    <row r="528" ht="15.75" customHeight="1">
      <c r="A528" s="146"/>
      <c r="B528" s="154"/>
      <c r="C528" s="154"/>
      <c r="D528" s="154"/>
      <c r="E528" s="154"/>
      <c r="F528" s="154"/>
      <c r="G528" s="154"/>
      <c r="H528" s="154"/>
      <c r="I528" s="154"/>
      <c r="J528" s="154"/>
      <c r="K528" s="154"/>
      <c r="L528" s="154"/>
      <c r="M528" s="154"/>
      <c r="N528" s="154"/>
      <c r="O528" s="154"/>
      <c r="P528" s="154"/>
      <c r="Q528" s="154"/>
      <c r="R528" s="154"/>
      <c r="S528" s="154"/>
      <c r="T528" s="154"/>
      <c r="U528" s="154"/>
      <c r="V528" s="154"/>
      <c r="W528" s="154"/>
      <c r="X528" s="154"/>
      <c r="Y528" s="154"/>
      <c r="Z528" s="154"/>
      <c r="AA528" s="154"/>
      <c r="AB528" s="154"/>
      <c r="AC528" s="154"/>
    </row>
    <row r="529" ht="15.75" customHeight="1">
      <c r="A529" s="146"/>
      <c r="B529" s="154"/>
      <c r="C529" s="154"/>
      <c r="D529" s="154"/>
      <c r="E529" s="154"/>
      <c r="F529" s="154"/>
      <c r="G529" s="154"/>
      <c r="H529" s="154"/>
      <c r="I529" s="154"/>
      <c r="J529" s="154"/>
      <c r="K529" s="154"/>
      <c r="L529" s="154"/>
      <c r="M529" s="154"/>
      <c r="N529" s="154"/>
      <c r="O529" s="154"/>
      <c r="P529" s="154"/>
      <c r="Q529" s="154"/>
      <c r="R529" s="154"/>
      <c r="S529" s="154"/>
      <c r="T529" s="154"/>
      <c r="U529" s="154"/>
      <c r="V529" s="154"/>
      <c r="W529" s="154"/>
      <c r="X529" s="154"/>
      <c r="Y529" s="154"/>
      <c r="Z529" s="154"/>
      <c r="AA529" s="154"/>
      <c r="AB529" s="154"/>
      <c r="AC529" s="154"/>
    </row>
    <row r="530" ht="15.75" customHeight="1">
      <c r="A530" s="146"/>
      <c r="B530" s="154"/>
      <c r="C530" s="154"/>
      <c r="D530" s="154"/>
      <c r="E530" s="154"/>
      <c r="F530" s="154"/>
      <c r="G530" s="154"/>
      <c r="H530" s="154"/>
      <c r="I530" s="154"/>
      <c r="J530" s="154"/>
      <c r="K530" s="154"/>
      <c r="L530" s="154"/>
      <c r="M530" s="154"/>
      <c r="N530" s="154"/>
      <c r="O530" s="154"/>
      <c r="P530" s="154"/>
      <c r="Q530" s="154"/>
      <c r="R530" s="154"/>
      <c r="S530" s="154"/>
      <c r="T530" s="154"/>
      <c r="U530" s="154"/>
      <c r="V530" s="154"/>
      <c r="W530" s="154"/>
      <c r="X530" s="154"/>
      <c r="Y530" s="154"/>
      <c r="Z530" s="154"/>
      <c r="AA530" s="154"/>
      <c r="AB530" s="154"/>
      <c r="AC530" s="154"/>
    </row>
    <row r="531" ht="15.75" customHeight="1">
      <c r="A531" s="146"/>
      <c r="B531" s="154"/>
      <c r="C531" s="154"/>
      <c r="D531" s="154"/>
      <c r="E531" s="154"/>
      <c r="F531" s="154"/>
      <c r="G531" s="154"/>
      <c r="H531" s="154"/>
      <c r="I531" s="154"/>
      <c r="J531" s="154"/>
      <c r="K531" s="154"/>
      <c r="L531" s="154"/>
      <c r="M531" s="154"/>
      <c r="N531" s="154"/>
      <c r="O531" s="154"/>
      <c r="P531" s="154"/>
      <c r="Q531" s="154"/>
      <c r="R531" s="154"/>
      <c r="S531" s="154"/>
      <c r="T531" s="154"/>
      <c r="U531" s="154"/>
      <c r="V531" s="154"/>
      <c r="W531" s="154"/>
      <c r="X531" s="154"/>
      <c r="Y531" s="154"/>
      <c r="Z531" s="154"/>
      <c r="AA531" s="154"/>
      <c r="AB531" s="154"/>
      <c r="AC531" s="154"/>
    </row>
    <row r="532" ht="15.75" customHeight="1">
      <c r="A532" s="146"/>
      <c r="B532" s="154"/>
      <c r="C532" s="154"/>
      <c r="D532" s="154"/>
      <c r="E532" s="154"/>
      <c r="F532" s="154"/>
      <c r="G532" s="154"/>
      <c r="H532" s="154"/>
      <c r="I532" s="154"/>
      <c r="J532" s="154"/>
      <c r="K532" s="154"/>
      <c r="L532" s="154"/>
      <c r="M532" s="154"/>
      <c r="N532" s="154"/>
      <c r="O532" s="154"/>
      <c r="P532" s="154"/>
      <c r="Q532" s="154"/>
      <c r="R532" s="154"/>
      <c r="S532" s="154"/>
      <c r="T532" s="154"/>
      <c r="U532" s="154"/>
      <c r="V532" s="154"/>
      <c r="W532" s="154"/>
      <c r="X532" s="154"/>
      <c r="Y532" s="154"/>
      <c r="Z532" s="154"/>
      <c r="AA532" s="154"/>
      <c r="AB532" s="154"/>
      <c r="AC532" s="154"/>
    </row>
    <row r="533" ht="15.75" customHeight="1">
      <c r="A533" s="146"/>
      <c r="B533" s="154"/>
      <c r="C533" s="154"/>
      <c r="D533" s="154"/>
      <c r="E533" s="154"/>
      <c r="F533" s="154"/>
      <c r="G533" s="154"/>
      <c r="H533" s="154"/>
      <c r="I533" s="154"/>
      <c r="J533" s="154"/>
      <c r="K533" s="154"/>
      <c r="L533" s="154"/>
      <c r="M533" s="154"/>
      <c r="N533" s="154"/>
      <c r="O533" s="154"/>
      <c r="P533" s="154"/>
      <c r="Q533" s="154"/>
      <c r="R533" s="154"/>
      <c r="S533" s="154"/>
      <c r="T533" s="154"/>
      <c r="U533" s="154"/>
      <c r="V533" s="154"/>
      <c r="W533" s="154"/>
      <c r="X533" s="154"/>
      <c r="Y533" s="154"/>
      <c r="Z533" s="154"/>
      <c r="AA533" s="154"/>
      <c r="AB533" s="154"/>
      <c r="AC533" s="154"/>
    </row>
    <row r="534" ht="15.75" customHeight="1">
      <c r="A534" s="146"/>
      <c r="B534" s="154"/>
      <c r="C534" s="154"/>
      <c r="D534" s="154"/>
      <c r="E534" s="154"/>
      <c r="F534" s="154"/>
      <c r="G534" s="154"/>
      <c r="H534" s="154"/>
      <c r="I534" s="154"/>
      <c r="J534" s="154"/>
      <c r="K534" s="154"/>
      <c r="L534" s="154"/>
      <c r="M534" s="154"/>
      <c r="N534" s="154"/>
      <c r="O534" s="154"/>
      <c r="P534" s="154"/>
      <c r="Q534" s="154"/>
      <c r="R534" s="154"/>
      <c r="S534" s="154"/>
      <c r="T534" s="154"/>
      <c r="U534" s="154"/>
      <c r="V534" s="154"/>
      <c r="W534" s="154"/>
      <c r="X534" s="154"/>
      <c r="Y534" s="154"/>
      <c r="Z534" s="154"/>
      <c r="AA534" s="154"/>
      <c r="AB534" s="154"/>
      <c r="AC534" s="154"/>
    </row>
    <row r="535" ht="15.75" customHeight="1">
      <c r="A535" s="146"/>
      <c r="B535" s="154"/>
      <c r="C535" s="154"/>
      <c r="D535" s="154"/>
      <c r="E535" s="154"/>
      <c r="F535" s="154"/>
      <c r="G535" s="154"/>
      <c r="H535" s="154"/>
      <c r="I535" s="154"/>
      <c r="J535" s="154"/>
      <c r="K535" s="154"/>
      <c r="L535" s="154"/>
      <c r="M535" s="154"/>
      <c r="N535" s="154"/>
      <c r="O535" s="154"/>
      <c r="P535" s="154"/>
      <c r="Q535" s="154"/>
      <c r="R535" s="154"/>
      <c r="S535" s="154"/>
      <c r="T535" s="154"/>
      <c r="U535" s="154"/>
      <c r="V535" s="154"/>
      <c r="W535" s="154"/>
      <c r="X535" s="154"/>
      <c r="Y535" s="154"/>
      <c r="Z535" s="154"/>
      <c r="AA535" s="154"/>
      <c r="AB535" s="154"/>
      <c r="AC535" s="154"/>
    </row>
    <row r="536" ht="15.75" customHeight="1">
      <c r="A536" s="146"/>
      <c r="B536" s="154"/>
      <c r="C536" s="154"/>
      <c r="D536" s="154"/>
      <c r="E536" s="154"/>
      <c r="F536" s="154"/>
      <c r="G536" s="154"/>
      <c r="H536" s="154"/>
      <c r="I536" s="154"/>
      <c r="J536" s="154"/>
      <c r="K536" s="154"/>
      <c r="L536" s="154"/>
      <c r="M536" s="154"/>
      <c r="N536" s="154"/>
      <c r="O536" s="154"/>
      <c r="P536" s="154"/>
      <c r="Q536" s="154"/>
      <c r="R536" s="154"/>
      <c r="S536" s="154"/>
      <c r="T536" s="154"/>
      <c r="U536" s="154"/>
      <c r="V536" s="154"/>
      <c r="W536" s="154"/>
      <c r="X536" s="154"/>
      <c r="Y536" s="154"/>
      <c r="Z536" s="154"/>
      <c r="AA536" s="154"/>
      <c r="AB536" s="154"/>
      <c r="AC536" s="154"/>
    </row>
    <row r="537" ht="15.75" customHeight="1">
      <c r="A537" s="146"/>
      <c r="B537" s="154"/>
      <c r="C537" s="154"/>
      <c r="D537" s="154"/>
      <c r="E537" s="154"/>
      <c r="F537" s="154"/>
      <c r="G537" s="154"/>
      <c r="H537" s="154"/>
      <c r="I537" s="154"/>
      <c r="J537" s="154"/>
      <c r="K537" s="154"/>
      <c r="L537" s="154"/>
      <c r="M537" s="154"/>
      <c r="N537" s="154"/>
      <c r="O537" s="154"/>
      <c r="P537" s="154"/>
      <c r="Q537" s="154"/>
      <c r="R537" s="154"/>
      <c r="S537" s="154"/>
      <c r="T537" s="154"/>
      <c r="U537" s="154"/>
      <c r="V537" s="154"/>
      <c r="W537" s="154"/>
      <c r="X537" s="154"/>
      <c r="Y537" s="154"/>
      <c r="Z537" s="154"/>
      <c r="AA537" s="154"/>
      <c r="AB537" s="154"/>
      <c r="AC537" s="154"/>
    </row>
    <row r="538" ht="15.75" customHeight="1">
      <c r="A538" s="146"/>
      <c r="B538" s="154"/>
      <c r="C538" s="154"/>
      <c r="D538" s="154"/>
      <c r="E538" s="154"/>
      <c r="F538" s="154"/>
      <c r="G538" s="154"/>
      <c r="H538" s="154"/>
      <c r="I538" s="154"/>
      <c r="J538" s="154"/>
      <c r="K538" s="154"/>
      <c r="L538" s="154"/>
      <c r="M538" s="154"/>
      <c r="N538" s="154"/>
      <c r="O538" s="154"/>
      <c r="P538" s="154"/>
      <c r="Q538" s="154"/>
      <c r="R538" s="154"/>
      <c r="S538" s="154"/>
      <c r="T538" s="154"/>
      <c r="U538" s="154"/>
      <c r="V538" s="154"/>
      <c r="W538" s="154"/>
      <c r="X538" s="154"/>
      <c r="Y538" s="154"/>
      <c r="Z538" s="154"/>
      <c r="AA538" s="154"/>
      <c r="AB538" s="154"/>
      <c r="AC538" s="154"/>
    </row>
    <row r="539" ht="15.75" customHeight="1">
      <c r="A539" s="146"/>
      <c r="B539" s="154"/>
      <c r="C539" s="154"/>
      <c r="D539" s="154"/>
      <c r="E539" s="154"/>
      <c r="F539" s="154"/>
      <c r="G539" s="154"/>
      <c r="H539" s="154"/>
      <c r="I539" s="154"/>
      <c r="J539" s="154"/>
      <c r="K539" s="154"/>
      <c r="L539" s="154"/>
      <c r="M539" s="154"/>
      <c r="N539" s="154"/>
      <c r="O539" s="154"/>
      <c r="P539" s="154"/>
      <c r="Q539" s="154"/>
      <c r="R539" s="154"/>
      <c r="S539" s="154"/>
      <c r="T539" s="154"/>
      <c r="U539" s="154"/>
      <c r="V539" s="154"/>
      <c r="W539" s="154"/>
      <c r="X539" s="154"/>
      <c r="Y539" s="154"/>
      <c r="Z539" s="154"/>
      <c r="AA539" s="154"/>
      <c r="AB539" s="154"/>
      <c r="AC539" s="154"/>
    </row>
    <row r="540" ht="15.75" customHeight="1">
      <c r="A540" s="146"/>
      <c r="B540" s="154"/>
      <c r="C540" s="154"/>
      <c r="D540" s="154"/>
      <c r="E540" s="154"/>
      <c r="F540" s="154"/>
      <c r="G540" s="154"/>
      <c r="H540" s="154"/>
      <c r="I540" s="154"/>
      <c r="J540" s="154"/>
      <c r="K540" s="154"/>
      <c r="L540" s="154"/>
      <c r="M540" s="154"/>
      <c r="N540" s="154"/>
      <c r="O540" s="154"/>
      <c r="P540" s="154"/>
      <c r="Q540" s="154"/>
      <c r="R540" s="154"/>
      <c r="S540" s="154"/>
      <c r="T540" s="154"/>
      <c r="U540" s="154"/>
      <c r="V540" s="154"/>
      <c r="W540" s="154"/>
      <c r="X540" s="154"/>
      <c r="Y540" s="154"/>
      <c r="Z540" s="154"/>
      <c r="AA540" s="154"/>
      <c r="AB540" s="154"/>
      <c r="AC540" s="154"/>
    </row>
    <row r="541" ht="15.75" customHeight="1">
      <c r="A541" s="146"/>
      <c r="B541" s="154"/>
      <c r="C541" s="154"/>
      <c r="D541" s="154"/>
      <c r="E541" s="154"/>
      <c r="F541" s="154"/>
      <c r="G541" s="154"/>
      <c r="H541" s="154"/>
      <c r="I541" s="154"/>
      <c r="J541" s="154"/>
      <c r="K541" s="154"/>
      <c r="L541" s="154"/>
      <c r="M541" s="154"/>
      <c r="N541" s="154"/>
      <c r="O541" s="154"/>
      <c r="P541" s="154"/>
      <c r="Q541" s="154"/>
      <c r="R541" s="154"/>
      <c r="S541" s="154"/>
      <c r="T541" s="154"/>
      <c r="U541" s="154"/>
      <c r="V541" s="154"/>
      <c r="W541" s="154"/>
      <c r="X541" s="154"/>
      <c r="Y541" s="154"/>
      <c r="Z541" s="154"/>
      <c r="AA541" s="154"/>
      <c r="AB541" s="154"/>
      <c r="AC541" s="154"/>
    </row>
    <row r="542" ht="15.75" customHeight="1">
      <c r="A542" s="146"/>
      <c r="B542" s="154"/>
      <c r="C542" s="154"/>
      <c r="D542" s="154"/>
      <c r="E542" s="154"/>
      <c r="F542" s="154"/>
      <c r="G542" s="154"/>
      <c r="H542" s="154"/>
      <c r="I542" s="154"/>
      <c r="J542" s="154"/>
      <c r="K542" s="154"/>
      <c r="L542" s="154"/>
      <c r="M542" s="154"/>
      <c r="N542" s="154"/>
      <c r="O542" s="154"/>
      <c r="P542" s="154"/>
      <c r="Q542" s="154"/>
      <c r="R542" s="154"/>
      <c r="S542" s="154"/>
      <c r="T542" s="154"/>
      <c r="U542" s="154"/>
      <c r="V542" s="154"/>
      <c r="W542" s="154"/>
      <c r="X542" s="154"/>
      <c r="Y542" s="154"/>
      <c r="Z542" s="154"/>
      <c r="AA542" s="154"/>
      <c r="AB542" s="154"/>
      <c r="AC542" s="154"/>
    </row>
    <row r="543" ht="15.75" customHeight="1">
      <c r="A543" s="146"/>
      <c r="B543" s="154"/>
      <c r="C543" s="154"/>
      <c r="D543" s="154"/>
      <c r="E543" s="154"/>
      <c r="F543" s="154"/>
      <c r="G543" s="154"/>
      <c r="H543" s="154"/>
      <c r="I543" s="154"/>
      <c r="J543" s="154"/>
      <c r="K543" s="154"/>
      <c r="L543" s="154"/>
      <c r="M543" s="154"/>
      <c r="N543" s="154"/>
      <c r="O543" s="154"/>
      <c r="P543" s="154"/>
      <c r="Q543" s="154"/>
      <c r="R543" s="154"/>
      <c r="S543" s="154"/>
      <c r="T543" s="154"/>
      <c r="U543" s="154"/>
      <c r="V543" s="154"/>
      <c r="W543" s="154"/>
      <c r="X543" s="154"/>
      <c r="Y543" s="154"/>
      <c r="Z543" s="154"/>
      <c r="AA543" s="154"/>
      <c r="AB543" s="154"/>
      <c r="AC543" s="154"/>
    </row>
    <row r="544" ht="15.75" customHeight="1">
      <c r="A544" s="146"/>
      <c r="B544" s="154"/>
      <c r="C544" s="154"/>
      <c r="D544" s="154"/>
      <c r="E544" s="154"/>
      <c r="F544" s="154"/>
      <c r="G544" s="154"/>
      <c r="H544" s="154"/>
      <c r="I544" s="154"/>
      <c r="J544" s="154"/>
      <c r="K544" s="154"/>
      <c r="L544" s="154"/>
      <c r="M544" s="154"/>
      <c r="N544" s="154"/>
      <c r="O544" s="154"/>
      <c r="P544" s="154"/>
      <c r="Q544" s="154"/>
      <c r="R544" s="154"/>
      <c r="S544" s="154"/>
      <c r="T544" s="154"/>
      <c r="U544" s="154"/>
      <c r="V544" s="154"/>
      <c r="W544" s="154"/>
      <c r="X544" s="154"/>
      <c r="Y544" s="154"/>
      <c r="Z544" s="154"/>
      <c r="AA544" s="154"/>
      <c r="AB544" s="154"/>
      <c r="AC544" s="154"/>
    </row>
    <row r="545" ht="15.75" customHeight="1">
      <c r="A545" s="146"/>
      <c r="B545" s="154"/>
      <c r="C545" s="154"/>
      <c r="D545" s="154"/>
      <c r="E545" s="154"/>
      <c r="F545" s="154"/>
      <c r="G545" s="154"/>
      <c r="H545" s="154"/>
      <c r="I545" s="154"/>
      <c r="J545" s="154"/>
      <c r="K545" s="154"/>
      <c r="L545" s="154"/>
      <c r="M545" s="154"/>
      <c r="N545" s="154"/>
      <c r="O545" s="154"/>
      <c r="P545" s="154"/>
      <c r="Q545" s="154"/>
      <c r="R545" s="154"/>
      <c r="S545" s="154"/>
      <c r="T545" s="154"/>
      <c r="U545" s="154"/>
      <c r="V545" s="154"/>
      <c r="W545" s="154"/>
      <c r="X545" s="154"/>
      <c r="Y545" s="154"/>
      <c r="Z545" s="154"/>
      <c r="AA545" s="154"/>
      <c r="AB545" s="154"/>
      <c r="AC545" s="154"/>
    </row>
    <row r="546" ht="15.75" customHeight="1">
      <c r="A546" s="146"/>
      <c r="B546" s="154"/>
      <c r="C546" s="154"/>
      <c r="D546" s="154"/>
      <c r="E546" s="154"/>
      <c r="F546" s="154"/>
      <c r="G546" s="154"/>
      <c r="H546" s="154"/>
      <c r="I546" s="154"/>
      <c r="J546" s="154"/>
      <c r="K546" s="154"/>
      <c r="L546" s="154"/>
      <c r="M546" s="154"/>
      <c r="N546" s="154"/>
      <c r="O546" s="154"/>
      <c r="P546" s="154"/>
      <c r="Q546" s="154"/>
      <c r="R546" s="154"/>
      <c r="S546" s="154"/>
      <c r="T546" s="154"/>
      <c r="U546" s="154"/>
      <c r="V546" s="154"/>
      <c r="W546" s="154"/>
      <c r="X546" s="154"/>
      <c r="Y546" s="154"/>
      <c r="Z546" s="154"/>
      <c r="AA546" s="154"/>
      <c r="AB546" s="154"/>
      <c r="AC546" s="154"/>
    </row>
    <row r="547" ht="15.75" customHeight="1">
      <c r="A547" s="146"/>
      <c r="B547" s="154"/>
      <c r="C547" s="154"/>
      <c r="D547" s="154"/>
      <c r="E547" s="154"/>
      <c r="F547" s="154"/>
      <c r="G547" s="154"/>
      <c r="H547" s="154"/>
      <c r="I547" s="154"/>
      <c r="J547" s="154"/>
      <c r="K547" s="154"/>
      <c r="L547" s="154"/>
      <c r="M547" s="154"/>
      <c r="N547" s="154"/>
      <c r="O547" s="154"/>
      <c r="P547" s="154"/>
      <c r="Q547" s="154"/>
      <c r="R547" s="154"/>
      <c r="S547" s="154"/>
      <c r="T547" s="154"/>
      <c r="U547" s="154"/>
      <c r="V547" s="154"/>
      <c r="W547" s="154"/>
      <c r="X547" s="154"/>
      <c r="Y547" s="154"/>
      <c r="Z547" s="154"/>
      <c r="AA547" s="154"/>
      <c r="AB547" s="154"/>
      <c r="AC547" s="154"/>
    </row>
    <row r="548" ht="15.75" customHeight="1">
      <c r="A548" s="146"/>
      <c r="B548" s="154"/>
      <c r="C548" s="154"/>
      <c r="D548" s="154"/>
      <c r="E548" s="154"/>
      <c r="F548" s="154"/>
      <c r="G548" s="154"/>
      <c r="H548" s="154"/>
      <c r="I548" s="154"/>
      <c r="J548" s="154"/>
      <c r="K548" s="154"/>
      <c r="L548" s="154"/>
      <c r="M548" s="154"/>
      <c r="N548" s="154"/>
      <c r="O548" s="154"/>
      <c r="P548" s="154"/>
      <c r="Q548" s="154"/>
      <c r="R548" s="154"/>
      <c r="S548" s="154"/>
      <c r="T548" s="154"/>
      <c r="U548" s="154"/>
      <c r="V548" s="154"/>
      <c r="W548" s="154"/>
      <c r="X548" s="154"/>
      <c r="Y548" s="154"/>
      <c r="Z548" s="154"/>
      <c r="AA548" s="154"/>
      <c r="AB548" s="154"/>
      <c r="AC548" s="154"/>
    </row>
    <row r="549" ht="15.75" customHeight="1">
      <c r="A549" s="146"/>
      <c r="B549" s="154"/>
      <c r="C549" s="154"/>
      <c r="D549" s="154"/>
      <c r="E549" s="154"/>
      <c r="F549" s="154"/>
      <c r="G549" s="154"/>
      <c r="H549" s="154"/>
      <c r="I549" s="154"/>
      <c r="J549" s="154"/>
      <c r="K549" s="154"/>
      <c r="L549" s="154"/>
      <c r="M549" s="154"/>
      <c r="N549" s="154"/>
      <c r="O549" s="154"/>
      <c r="P549" s="154"/>
      <c r="Q549" s="154"/>
      <c r="R549" s="154"/>
      <c r="S549" s="154"/>
      <c r="T549" s="154"/>
      <c r="U549" s="154"/>
      <c r="V549" s="154"/>
      <c r="W549" s="154"/>
      <c r="X549" s="154"/>
      <c r="Y549" s="154"/>
      <c r="Z549" s="154"/>
      <c r="AA549" s="154"/>
      <c r="AB549" s="154"/>
      <c r="AC549" s="154"/>
    </row>
    <row r="550" ht="15.75" customHeight="1">
      <c r="A550" s="146"/>
      <c r="B550" s="154"/>
      <c r="C550" s="154"/>
      <c r="D550" s="154"/>
      <c r="E550" s="154"/>
      <c r="F550" s="154"/>
      <c r="G550" s="154"/>
      <c r="H550" s="154"/>
      <c r="I550" s="154"/>
      <c r="J550" s="154"/>
      <c r="K550" s="154"/>
      <c r="L550" s="154"/>
      <c r="M550" s="154"/>
      <c r="N550" s="154"/>
      <c r="O550" s="154"/>
      <c r="P550" s="154"/>
      <c r="Q550" s="154"/>
      <c r="R550" s="154"/>
      <c r="S550" s="154"/>
      <c r="T550" s="154"/>
      <c r="U550" s="154"/>
      <c r="V550" s="154"/>
      <c r="W550" s="154"/>
      <c r="X550" s="154"/>
      <c r="Y550" s="154"/>
      <c r="Z550" s="154"/>
      <c r="AA550" s="154"/>
      <c r="AB550" s="154"/>
      <c r="AC550" s="154"/>
    </row>
    <row r="551" ht="15.75" customHeight="1">
      <c r="A551" s="146"/>
      <c r="B551" s="154"/>
      <c r="C551" s="154"/>
      <c r="D551" s="154"/>
      <c r="E551" s="154"/>
      <c r="F551" s="154"/>
      <c r="G551" s="154"/>
      <c r="H551" s="154"/>
      <c r="I551" s="154"/>
      <c r="J551" s="154"/>
      <c r="K551" s="154"/>
      <c r="L551" s="154"/>
      <c r="M551" s="154"/>
      <c r="N551" s="154"/>
      <c r="O551" s="154"/>
      <c r="P551" s="154"/>
      <c r="Q551" s="154"/>
      <c r="R551" s="154"/>
      <c r="S551" s="154"/>
      <c r="T551" s="154"/>
      <c r="U551" s="154"/>
      <c r="V551" s="154"/>
      <c r="W551" s="154"/>
      <c r="X551" s="154"/>
      <c r="Y551" s="154"/>
      <c r="Z551" s="154"/>
      <c r="AA551" s="154"/>
      <c r="AB551" s="154"/>
      <c r="AC551" s="154"/>
    </row>
    <row r="552" ht="15.75" customHeight="1">
      <c r="A552" s="146"/>
      <c r="B552" s="154"/>
      <c r="C552" s="154"/>
      <c r="D552" s="154"/>
      <c r="E552" s="154"/>
      <c r="F552" s="154"/>
      <c r="G552" s="154"/>
      <c r="H552" s="154"/>
      <c r="I552" s="154"/>
      <c r="J552" s="154"/>
      <c r="K552" s="154"/>
      <c r="L552" s="154"/>
      <c r="M552" s="154"/>
      <c r="N552" s="154"/>
      <c r="O552" s="154"/>
      <c r="P552" s="154"/>
      <c r="Q552" s="154"/>
      <c r="R552" s="154"/>
      <c r="S552" s="154"/>
      <c r="T552" s="154"/>
      <c r="U552" s="154"/>
      <c r="V552" s="154"/>
      <c r="W552" s="154"/>
      <c r="X552" s="154"/>
      <c r="Y552" s="154"/>
      <c r="Z552" s="154"/>
      <c r="AA552" s="154"/>
      <c r="AB552" s="154"/>
      <c r="AC552" s="154"/>
    </row>
    <row r="553" ht="15.75" customHeight="1">
      <c r="A553" s="146"/>
      <c r="B553" s="154"/>
      <c r="C553" s="154"/>
      <c r="D553" s="154"/>
      <c r="E553" s="154"/>
      <c r="F553" s="154"/>
      <c r="G553" s="154"/>
      <c r="H553" s="154"/>
      <c r="I553" s="154"/>
      <c r="J553" s="154"/>
      <c r="K553" s="154"/>
      <c r="L553" s="154"/>
      <c r="M553" s="154"/>
      <c r="N553" s="154"/>
      <c r="O553" s="154"/>
      <c r="P553" s="154"/>
      <c r="Q553" s="154"/>
      <c r="R553" s="154"/>
      <c r="S553" s="154"/>
      <c r="T553" s="154"/>
      <c r="U553" s="154"/>
      <c r="V553" s="154"/>
      <c r="W553" s="154"/>
      <c r="X553" s="154"/>
      <c r="Y553" s="154"/>
      <c r="Z553" s="154"/>
      <c r="AA553" s="154"/>
      <c r="AB553" s="154"/>
      <c r="AC553" s="154"/>
    </row>
    <row r="554" ht="15.75" customHeight="1">
      <c r="A554" s="146"/>
      <c r="B554" s="154"/>
      <c r="C554" s="154"/>
      <c r="D554" s="154"/>
      <c r="E554" s="154"/>
      <c r="F554" s="154"/>
      <c r="G554" s="154"/>
      <c r="H554" s="154"/>
      <c r="I554" s="154"/>
      <c r="J554" s="154"/>
      <c r="K554" s="154"/>
      <c r="L554" s="154"/>
      <c r="M554" s="154"/>
      <c r="N554" s="154"/>
      <c r="O554" s="154"/>
      <c r="P554" s="154"/>
      <c r="Q554" s="154"/>
      <c r="R554" s="154"/>
      <c r="S554" s="154"/>
      <c r="T554" s="154"/>
      <c r="U554" s="154"/>
      <c r="V554" s="154"/>
      <c r="W554" s="154"/>
      <c r="X554" s="154"/>
      <c r="Y554" s="154"/>
      <c r="Z554" s="154"/>
      <c r="AA554" s="154"/>
      <c r="AB554" s="154"/>
      <c r="AC554" s="154"/>
    </row>
    <row r="555" ht="15.75" customHeight="1">
      <c r="A555" s="146"/>
      <c r="B555" s="154"/>
      <c r="C555" s="154"/>
      <c r="D555" s="154"/>
      <c r="E555" s="154"/>
      <c r="F555" s="154"/>
      <c r="G555" s="154"/>
      <c r="H555" s="154"/>
      <c r="I555" s="154"/>
      <c r="J555" s="154"/>
      <c r="K555" s="154"/>
      <c r="L555" s="154"/>
      <c r="M555" s="154"/>
      <c r="N555" s="154"/>
      <c r="O555" s="154"/>
      <c r="P555" s="154"/>
      <c r="Q555" s="154"/>
      <c r="R555" s="154"/>
      <c r="S555" s="154"/>
      <c r="T555" s="154"/>
      <c r="U555" s="154"/>
      <c r="V555" s="154"/>
      <c r="W555" s="154"/>
      <c r="X555" s="154"/>
      <c r="Y555" s="154"/>
      <c r="Z555" s="154"/>
      <c r="AA555" s="154"/>
      <c r="AB555" s="154"/>
      <c r="AC555" s="154"/>
    </row>
    <row r="556" ht="15.75" customHeight="1">
      <c r="A556" s="146"/>
      <c r="B556" s="154"/>
      <c r="C556" s="154"/>
      <c r="D556" s="154"/>
      <c r="E556" s="154"/>
      <c r="F556" s="154"/>
      <c r="G556" s="154"/>
      <c r="H556" s="154"/>
      <c r="I556" s="154"/>
      <c r="J556" s="154"/>
      <c r="K556" s="154"/>
      <c r="L556" s="154"/>
      <c r="M556" s="154"/>
      <c r="N556" s="154"/>
      <c r="O556" s="154"/>
      <c r="P556" s="154"/>
      <c r="Q556" s="154"/>
      <c r="R556" s="154"/>
      <c r="S556" s="154"/>
      <c r="T556" s="154"/>
      <c r="U556" s="154"/>
      <c r="V556" s="154"/>
      <c r="W556" s="154"/>
      <c r="X556" s="154"/>
      <c r="Y556" s="154"/>
      <c r="Z556" s="154"/>
      <c r="AA556" s="154"/>
      <c r="AB556" s="154"/>
      <c r="AC556" s="154"/>
    </row>
    <row r="557" ht="15.75" customHeight="1">
      <c r="A557" s="146"/>
      <c r="B557" s="154"/>
      <c r="C557" s="154"/>
      <c r="D557" s="154"/>
      <c r="E557" s="154"/>
      <c r="F557" s="154"/>
      <c r="G557" s="154"/>
      <c r="H557" s="154"/>
      <c r="I557" s="154"/>
      <c r="J557" s="154"/>
      <c r="K557" s="154"/>
      <c r="L557" s="154"/>
      <c r="M557" s="154"/>
      <c r="N557" s="154"/>
      <c r="O557" s="154"/>
      <c r="P557" s="154"/>
      <c r="Q557" s="154"/>
      <c r="R557" s="154"/>
      <c r="S557" s="154"/>
      <c r="T557" s="154"/>
      <c r="U557" s="154"/>
      <c r="V557" s="154"/>
      <c r="W557" s="154"/>
      <c r="X557" s="154"/>
      <c r="Y557" s="154"/>
      <c r="Z557" s="154"/>
      <c r="AA557" s="154"/>
      <c r="AB557" s="154"/>
      <c r="AC557" s="154"/>
    </row>
    <row r="558" ht="15.75" customHeight="1">
      <c r="A558" s="146"/>
      <c r="B558" s="154"/>
      <c r="C558" s="154"/>
      <c r="D558" s="154"/>
      <c r="E558" s="154"/>
      <c r="F558" s="154"/>
      <c r="G558" s="154"/>
      <c r="H558" s="154"/>
      <c r="I558" s="154"/>
      <c r="J558" s="154"/>
      <c r="K558" s="154"/>
      <c r="L558" s="154"/>
      <c r="M558" s="154"/>
      <c r="N558" s="154"/>
      <c r="O558" s="154"/>
      <c r="P558" s="154"/>
      <c r="Q558" s="154"/>
      <c r="R558" s="154"/>
      <c r="S558" s="154"/>
      <c r="T558" s="154"/>
      <c r="U558" s="154"/>
      <c r="V558" s="154"/>
      <c r="W558" s="154"/>
      <c r="X558" s="154"/>
      <c r="Y558" s="154"/>
      <c r="Z558" s="154"/>
      <c r="AA558" s="154"/>
      <c r="AB558" s="154"/>
      <c r="AC558" s="154"/>
    </row>
    <row r="559" ht="15.75" customHeight="1">
      <c r="A559" s="146"/>
      <c r="B559" s="154"/>
      <c r="C559" s="154"/>
      <c r="D559" s="154"/>
      <c r="E559" s="154"/>
      <c r="F559" s="154"/>
      <c r="G559" s="154"/>
      <c r="H559" s="154"/>
      <c r="I559" s="154"/>
      <c r="J559" s="154"/>
      <c r="K559" s="154"/>
      <c r="L559" s="154"/>
      <c r="M559" s="154"/>
      <c r="N559" s="154"/>
      <c r="O559" s="154"/>
      <c r="P559" s="154"/>
      <c r="Q559" s="154"/>
      <c r="R559" s="154"/>
      <c r="S559" s="154"/>
      <c r="T559" s="154"/>
      <c r="U559" s="154"/>
      <c r="V559" s="154"/>
      <c r="W559" s="154"/>
      <c r="X559" s="154"/>
      <c r="Y559" s="154"/>
      <c r="Z559" s="154"/>
      <c r="AA559" s="154"/>
      <c r="AB559" s="154"/>
      <c r="AC559" s="154"/>
    </row>
    <row r="560" ht="15.75" customHeight="1">
      <c r="A560" s="146"/>
      <c r="B560" s="154"/>
      <c r="C560" s="154"/>
      <c r="D560" s="154"/>
      <c r="E560" s="154"/>
      <c r="F560" s="154"/>
      <c r="G560" s="154"/>
      <c r="H560" s="154"/>
      <c r="I560" s="154"/>
      <c r="J560" s="154"/>
      <c r="K560" s="154"/>
      <c r="L560" s="154"/>
      <c r="M560" s="154"/>
      <c r="N560" s="154"/>
      <c r="O560" s="154"/>
      <c r="P560" s="154"/>
      <c r="Q560" s="154"/>
      <c r="R560" s="154"/>
      <c r="S560" s="154"/>
      <c r="T560" s="154"/>
      <c r="U560" s="154"/>
      <c r="V560" s="154"/>
      <c r="W560" s="154"/>
      <c r="X560" s="154"/>
      <c r="Y560" s="154"/>
      <c r="Z560" s="154"/>
      <c r="AA560" s="154"/>
      <c r="AB560" s="154"/>
      <c r="AC560" s="154"/>
    </row>
    <row r="561" ht="15.75" customHeight="1">
      <c r="A561" s="146"/>
      <c r="B561" s="154"/>
      <c r="C561" s="154"/>
      <c r="D561" s="154"/>
      <c r="E561" s="154"/>
      <c r="F561" s="154"/>
      <c r="G561" s="154"/>
      <c r="H561" s="154"/>
      <c r="I561" s="154"/>
      <c r="J561" s="154"/>
      <c r="K561" s="154"/>
      <c r="L561" s="154"/>
      <c r="M561" s="154"/>
      <c r="N561" s="154"/>
      <c r="O561" s="154"/>
      <c r="P561" s="154"/>
      <c r="Q561" s="154"/>
      <c r="R561" s="154"/>
      <c r="S561" s="154"/>
      <c r="T561" s="154"/>
      <c r="U561" s="154"/>
      <c r="V561" s="154"/>
      <c r="W561" s="154"/>
      <c r="X561" s="154"/>
      <c r="Y561" s="154"/>
      <c r="Z561" s="154"/>
      <c r="AA561" s="154"/>
      <c r="AB561" s="154"/>
      <c r="AC561" s="154"/>
    </row>
    <row r="562" ht="15.75" customHeight="1">
      <c r="A562" s="146"/>
      <c r="B562" s="154"/>
      <c r="C562" s="154"/>
      <c r="D562" s="154"/>
      <c r="E562" s="154"/>
      <c r="F562" s="154"/>
      <c r="G562" s="154"/>
      <c r="H562" s="154"/>
      <c r="I562" s="154"/>
      <c r="J562" s="154"/>
      <c r="K562" s="154"/>
      <c r="L562" s="154"/>
      <c r="M562" s="154"/>
      <c r="N562" s="154"/>
      <c r="O562" s="154"/>
      <c r="P562" s="154"/>
      <c r="Q562" s="154"/>
      <c r="R562" s="154"/>
      <c r="S562" s="154"/>
      <c r="T562" s="154"/>
      <c r="U562" s="154"/>
      <c r="V562" s="154"/>
      <c r="W562" s="154"/>
      <c r="X562" s="154"/>
      <c r="Y562" s="154"/>
      <c r="Z562" s="154"/>
      <c r="AA562" s="154"/>
      <c r="AB562" s="154"/>
      <c r="AC562" s="154"/>
    </row>
    <row r="563" ht="15.75" customHeight="1">
      <c r="A563" s="146"/>
      <c r="B563" s="154"/>
      <c r="C563" s="154"/>
      <c r="D563" s="154"/>
      <c r="E563" s="154"/>
      <c r="F563" s="154"/>
      <c r="G563" s="154"/>
      <c r="H563" s="154"/>
      <c r="I563" s="154"/>
      <c r="J563" s="154"/>
      <c r="K563" s="154"/>
      <c r="L563" s="154"/>
      <c r="M563" s="154"/>
      <c r="N563" s="154"/>
      <c r="O563" s="154"/>
      <c r="P563" s="154"/>
      <c r="Q563" s="154"/>
      <c r="R563" s="154"/>
      <c r="S563" s="154"/>
      <c r="T563" s="154"/>
      <c r="U563" s="154"/>
      <c r="V563" s="154"/>
      <c r="W563" s="154"/>
      <c r="X563" s="154"/>
      <c r="Y563" s="154"/>
      <c r="Z563" s="154"/>
      <c r="AA563" s="154"/>
      <c r="AB563" s="154"/>
      <c r="AC563" s="154"/>
    </row>
    <row r="564" ht="15.75" customHeight="1">
      <c r="A564" s="146"/>
      <c r="B564" s="154"/>
      <c r="C564" s="154"/>
      <c r="D564" s="154"/>
      <c r="E564" s="154"/>
      <c r="F564" s="154"/>
      <c r="G564" s="154"/>
      <c r="H564" s="154"/>
      <c r="I564" s="154"/>
      <c r="J564" s="154"/>
      <c r="K564" s="154"/>
      <c r="L564" s="154"/>
      <c r="M564" s="154"/>
      <c r="N564" s="154"/>
      <c r="O564" s="154"/>
      <c r="P564" s="154"/>
      <c r="Q564" s="154"/>
      <c r="R564" s="154"/>
      <c r="S564" s="154"/>
      <c r="T564" s="154"/>
      <c r="U564" s="154"/>
      <c r="V564" s="154"/>
      <c r="W564" s="154"/>
      <c r="X564" s="154"/>
      <c r="Y564" s="154"/>
      <c r="Z564" s="154"/>
      <c r="AA564" s="154"/>
      <c r="AB564" s="154"/>
      <c r="AC564" s="154"/>
    </row>
    <row r="565" ht="15.75" customHeight="1">
      <c r="A565" s="146"/>
      <c r="B565" s="154"/>
      <c r="C565" s="154"/>
      <c r="D565" s="154"/>
      <c r="E565" s="154"/>
      <c r="F565" s="154"/>
      <c r="G565" s="154"/>
      <c r="H565" s="154"/>
      <c r="I565" s="154"/>
      <c r="J565" s="154"/>
      <c r="K565" s="154"/>
      <c r="L565" s="154"/>
      <c r="M565" s="154"/>
      <c r="N565" s="154"/>
      <c r="O565" s="154"/>
      <c r="P565" s="154"/>
      <c r="Q565" s="154"/>
      <c r="R565" s="154"/>
      <c r="S565" s="154"/>
      <c r="T565" s="154"/>
      <c r="U565" s="154"/>
      <c r="V565" s="154"/>
      <c r="W565" s="154"/>
      <c r="X565" s="154"/>
      <c r="Y565" s="154"/>
      <c r="Z565" s="154"/>
      <c r="AA565" s="154"/>
      <c r="AB565" s="154"/>
      <c r="AC565" s="154"/>
    </row>
    <row r="566" ht="15.75" customHeight="1">
      <c r="A566" s="146"/>
      <c r="B566" s="154"/>
      <c r="C566" s="154"/>
      <c r="D566" s="154"/>
      <c r="E566" s="154"/>
      <c r="F566" s="154"/>
      <c r="G566" s="154"/>
      <c r="H566" s="154"/>
      <c r="I566" s="154"/>
      <c r="J566" s="154"/>
      <c r="K566" s="154"/>
      <c r="L566" s="154"/>
      <c r="M566" s="154"/>
      <c r="N566" s="154"/>
      <c r="O566" s="154"/>
      <c r="P566" s="154"/>
      <c r="Q566" s="154"/>
      <c r="R566" s="154"/>
      <c r="S566" s="154"/>
      <c r="T566" s="154"/>
      <c r="U566" s="154"/>
      <c r="V566" s="154"/>
      <c r="W566" s="154"/>
      <c r="X566" s="154"/>
      <c r="Y566" s="154"/>
      <c r="Z566" s="154"/>
      <c r="AA566" s="154"/>
      <c r="AB566" s="154"/>
      <c r="AC566" s="154"/>
    </row>
    <row r="567" ht="15.75" customHeight="1">
      <c r="A567" s="146"/>
      <c r="B567" s="154"/>
      <c r="C567" s="154"/>
      <c r="D567" s="154"/>
      <c r="E567" s="154"/>
      <c r="F567" s="154"/>
      <c r="G567" s="154"/>
      <c r="H567" s="154"/>
      <c r="I567" s="154"/>
      <c r="J567" s="154"/>
      <c r="K567" s="154"/>
      <c r="L567" s="154"/>
      <c r="M567" s="154"/>
      <c r="N567" s="154"/>
      <c r="O567" s="154"/>
      <c r="P567" s="154"/>
      <c r="Q567" s="154"/>
      <c r="R567" s="154"/>
      <c r="S567" s="154"/>
      <c r="T567" s="154"/>
      <c r="U567" s="154"/>
      <c r="V567" s="154"/>
      <c r="W567" s="154"/>
      <c r="X567" s="154"/>
      <c r="Y567" s="154"/>
      <c r="Z567" s="154"/>
      <c r="AA567" s="154"/>
      <c r="AB567" s="154"/>
      <c r="AC567" s="154"/>
    </row>
    <row r="568" ht="15.75" customHeight="1">
      <c r="A568" s="146"/>
      <c r="B568" s="154"/>
      <c r="C568" s="154"/>
      <c r="D568" s="154"/>
      <c r="E568" s="154"/>
      <c r="F568" s="154"/>
      <c r="G568" s="154"/>
      <c r="H568" s="154"/>
      <c r="I568" s="154"/>
      <c r="J568" s="154"/>
      <c r="K568" s="154"/>
      <c r="L568" s="154"/>
      <c r="M568" s="154"/>
      <c r="N568" s="154"/>
      <c r="O568" s="154"/>
      <c r="P568" s="154"/>
      <c r="Q568" s="154"/>
      <c r="R568" s="154"/>
      <c r="S568" s="154"/>
      <c r="T568" s="154"/>
      <c r="U568" s="154"/>
      <c r="V568" s="154"/>
      <c r="W568" s="154"/>
      <c r="X568" s="154"/>
      <c r="Y568" s="154"/>
      <c r="Z568" s="154"/>
      <c r="AA568" s="154"/>
      <c r="AB568" s="154"/>
      <c r="AC568" s="154"/>
    </row>
    <row r="569" ht="15.75" customHeight="1">
      <c r="A569" s="146"/>
      <c r="B569" s="154"/>
      <c r="C569" s="154"/>
      <c r="D569" s="154"/>
      <c r="E569" s="154"/>
      <c r="F569" s="154"/>
      <c r="G569" s="154"/>
      <c r="H569" s="154"/>
      <c r="I569" s="154"/>
      <c r="J569" s="154"/>
      <c r="K569" s="154"/>
      <c r="L569" s="154"/>
      <c r="M569" s="154"/>
      <c r="N569" s="154"/>
      <c r="O569" s="154"/>
      <c r="P569" s="154"/>
      <c r="Q569" s="154"/>
      <c r="R569" s="154"/>
      <c r="S569" s="154"/>
      <c r="T569" s="154"/>
      <c r="U569" s="154"/>
      <c r="V569" s="154"/>
      <c r="W569" s="154"/>
      <c r="X569" s="154"/>
      <c r="Y569" s="154"/>
      <c r="Z569" s="154"/>
      <c r="AA569" s="154"/>
      <c r="AB569" s="154"/>
      <c r="AC569" s="154"/>
    </row>
    <row r="570" ht="15.75" customHeight="1">
      <c r="A570" s="146"/>
      <c r="B570" s="154"/>
      <c r="C570" s="154"/>
      <c r="D570" s="154"/>
      <c r="E570" s="154"/>
      <c r="F570" s="154"/>
      <c r="G570" s="154"/>
      <c r="H570" s="154"/>
      <c r="I570" s="154"/>
      <c r="J570" s="154"/>
      <c r="K570" s="154"/>
      <c r="L570" s="154"/>
      <c r="M570" s="154"/>
      <c r="N570" s="154"/>
      <c r="O570" s="154"/>
      <c r="P570" s="154"/>
      <c r="Q570" s="154"/>
      <c r="R570" s="154"/>
      <c r="S570" s="154"/>
      <c r="T570" s="154"/>
      <c r="U570" s="154"/>
      <c r="V570" s="154"/>
      <c r="W570" s="154"/>
      <c r="X570" s="154"/>
      <c r="Y570" s="154"/>
      <c r="Z570" s="154"/>
      <c r="AA570" s="154"/>
      <c r="AB570" s="154"/>
      <c r="AC570" s="154"/>
    </row>
    <row r="571" ht="15.75" customHeight="1">
      <c r="A571" s="146"/>
      <c r="B571" s="154"/>
      <c r="C571" s="154"/>
      <c r="D571" s="154"/>
      <c r="E571" s="154"/>
      <c r="F571" s="154"/>
      <c r="G571" s="154"/>
      <c r="H571" s="154"/>
      <c r="I571" s="154"/>
      <c r="J571" s="154"/>
      <c r="K571" s="154"/>
      <c r="L571" s="154"/>
      <c r="M571" s="154"/>
      <c r="N571" s="154"/>
      <c r="O571" s="154"/>
      <c r="P571" s="154"/>
      <c r="Q571" s="154"/>
      <c r="R571" s="154"/>
      <c r="S571" s="154"/>
      <c r="T571" s="154"/>
      <c r="U571" s="154"/>
      <c r="V571" s="154"/>
      <c r="W571" s="154"/>
      <c r="X571" s="154"/>
      <c r="Y571" s="154"/>
      <c r="Z571" s="154"/>
      <c r="AA571" s="154"/>
      <c r="AB571" s="154"/>
      <c r="AC571" s="154"/>
    </row>
    <row r="572" ht="15.75" customHeight="1">
      <c r="A572" s="146"/>
      <c r="B572" s="154"/>
      <c r="C572" s="154"/>
      <c r="D572" s="154"/>
      <c r="E572" s="154"/>
      <c r="F572" s="154"/>
      <c r="G572" s="154"/>
      <c r="H572" s="154"/>
      <c r="I572" s="154"/>
      <c r="J572" s="154"/>
      <c r="K572" s="154"/>
      <c r="L572" s="154"/>
      <c r="M572" s="154"/>
      <c r="N572" s="154"/>
      <c r="O572" s="154"/>
      <c r="P572" s="154"/>
      <c r="Q572" s="154"/>
      <c r="R572" s="154"/>
      <c r="S572" s="154"/>
      <c r="T572" s="154"/>
      <c r="U572" s="154"/>
      <c r="V572" s="154"/>
      <c r="W572" s="154"/>
      <c r="X572" s="154"/>
      <c r="Y572" s="154"/>
      <c r="Z572" s="154"/>
      <c r="AA572" s="154"/>
      <c r="AB572" s="154"/>
      <c r="AC572" s="154"/>
    </row>
    <row r="573" ht="15.75" customHeight="1">
      <c r="A573" s="146"/>
      <c r="B573" s="154"/>
      <c r="C573" s="154"/>
      <c r="D573" s="154"/>
      <c r="E573" s="154"/>
      <c r="F573" s="154"/>
      <c r="G573" s="154"/>
      <c r="H573" s="154"/>
      <c r="I573" s="154"/>
      <c r="J573" s="154"/>
      <c r="K573" s="154"/>
      <c r="L573" s="154"/>
      <c r="M573" s="154"/>
      <c r="N573" s="154"/>
      <c r="O573" s="154"/>
      <c r="P573" s="154"/>
      <c r="Q573" s="154"/>
      <c r="R573" s="154"/>
      <c r="S573" s="154"/>
      <c r="T573" s="154"/>
      <c r="U573" s="154"/>
      <c r="V573" s="154"/>
      <c r="W573" s="154"/>
      <c r="X573" s="154"/>
      <c r="Y573" s="154"/>
      <c r="Z573" s="154"/>
      <c r="AA573" s="154"/>
      <c r="AB573" s="154"/>
      <c r="AC573" s="154"/>
    </row>
    <row r="574" ht="15.75" customHeight="1">
      <c r="A574" s="146"/>
      <c r="B574" s="154"/>
      <c r="C574" s="154"/>
      <c r="D574" s="154"/>
      <c r="E574" s="154"/>
      <c r="F574" s="154"/>
      <c r="G574" s="154"/>
      <c r="H574" s="154"/>
      <c r="I574" s="154"/>
      <c r="J574" s="154"/>
      <c r="K574" s="154"/>
      <c r="L574" s="154"/>
      <c r="M574" s="154"/>
      <c r="N574" s="154"/>
      <c r="O574" s="154"/>
      <c r="P574" s="154"/>
      <c r="Q574" s="154"/>
      <c r="R574" s="154"/>
      <c r="S574" s="154"/>
      <c r="T574" s="154"/>
      <c r="U574" s="154"/>
      <c r="V574" s="154"/>
      <c r="W574" s="154"/>
      <c r="X574" s="154"/>
      <c r="Y574" s="154"/>
      <c r="Z574" s="154"/>
      <c r="AA574" s="154"/>
      <c r="AB574" s="154"/>
      <c r="AC574" s="154"/>
    </row>
    <row r="575" ht="15.75" customHeight="1">
      <c r="A575" s="146"/>
      <c r="B575" s="154"/>
      <c r="C575" s="154"/>
      <c r="D575" s="154"/>
      <c r="E575" s="154"/>
      <c r="F575" s="154"/>
      <c r="G575" s="154"/>
      <c r="H575" s="154"/>
      <c r="I575" s="154"/>
      <c r="J575" s="154"/>
      <c r="K575" s="154"/>
      <c r="L575" s="154"/>
      <c r="M575" s="154"/>
      <c r="N575" s="154"/>
      <c r="O575" s="154"/>
      <c r="P575" s="154"/>
      <c r="Q575" s="154"/>
      <c r="R575" s="154"/>
      <c r="S575" s="154"/>
      <c r="T575" s="154"/>
      <c r="U575" s="154"/>
      <c r="V575" s="154"/>
      <c r="W575" s="154"/>
      <c r="X575" s="154"/>
      <c r="Y575" s="154"/>
      <c r="Z575" s="154"/>
      <c r="AA575" s="154"/>
      <c r="AB575" s="154"/>
      <c r="AC575" s="154"/>
    </row>
    <row r="576" ht="15.75" customHeight="1">
      <c r="A576" s="146"/>
      <c r="B576" s="154"/>
      <c r="C576" s="154"/>
      <c r="D576" s="154"/>
      <c r="E576" s="154"/>
      <c r="F576" s="154"/>
      <c r="G576" s="154"/>
      <c r="H576" s="154"/>
      <c r="I576" s="154"/>
      <c r="J576" s="154"/>
      <c r="K576" s="154"/>
      <c r="L576" s="154"/>
      <c r="M576" s="154"/>
      <c r="N576" s="154"/>
      <c r="O576" s="154"/>
      <c r="P576" s="154"/>
      <c r="Q576" s="154"/>
      <c r="R576" s="154"/>
      <c r="S576" s="154"/>
      <c r="T576" s="154"/>
      <c r="U576" s="154"/>
      <c r="V576" s="154"/>
      <c r="W576" s="154"/>
      <c r="X576" s="154"/>
      <c r="Y576" s="154"/>
      <c r="Z576" s="154"/>
      <c r="AA576" s="154"/>
      <c r="AB576" s="154"/>
      <c r="AC576" s="154"/>
    </row>
    <row r="577" ht="15.75" customHeight="1">
      <c r="A577" s="146"/>
      <c r="B577" s="154"/>
      <c r="C577" s="154"/>
      <c r="D577" s="154"/>
      <c r="E577" s="154"/>
      <c r="F577" s="154"/>
      <c r="G577" s="154"/>
      <c r="H577" s="154"/>
      <c r="I577" s="154"/>
      <c r="J577" s="154"/>
      <c r="K577" s="154"/>
      <c r="L577" s="154"/>
      <c r="M577" s="154"/>
      <c r="N577" s="154"/>
      <c r="O577" s="154"/>
      <c r="P577" s="154"/>
      <c r="Q577" s="154"/>
      <c r="R577" s="154"/>
      <c r="S577" s="154"/>
      <c r="T577" s="154"/>
      <c r="U577" s="154"/>
      <c r="V577" s="154"/>
      <c r="W577" s="154"/>
      <c r="X577" s="154"/>
      <c r="Y577" s="154"/>
      <c r="Z577" s="154"/>
      <c r="AA577" s="154"/>
      <c r="AB577" s="154"/>
      <c r="AC577" s="154"/>
    </row>
    <row r="578" ht="15.75" customHeight="1">
      <c r="A578" s="146"/>
      <c r="B578" s="154"/>
      <c r="C578" s="154"/>
      <c r="D578" s="154"/>
      <c r="E578" s="154"/>
      <c r="F578" s="154"/>
      <c r="G578" s="154"/>
      <c r="H578" s="154"/>
      <c r="I578" s="154"/>
      <c r="J578" s="154"/>
      <c r="K578" s="154"/>
      <c r="L578" s="154"/>
      <c r="M578" s="154"/>
      <c r="N578" s="154"/>
      <c r="O578" s="154"/>
      <c r="P578" s="154"/>
      <c r="Q578" s="154"/>
      <c r="R578" s="154"/>
      <c r="S578" s="154"/>
      <c r="T578" s="154"/>
      <c r="U578" s="154"/>
      <c r="V578" s="154"/>
      <c r="W578" s="154"/>
      <c r="X578" s="154"/>
      <c r="Y578" s="154"/>
      <c r="Z578" s="154"/>
      <c r="AA578" s="154"/>
      <c r="AB578" s="154"/>
      <c r="AC578" s="154"/>
    </row>
    <row r="579" ht="15.75" customHeight="1">
      <c r="A579" s="146"/>
      <c r="B579" s="154"/>
      <c r="C579" s="154"/>
      <c r="D579" s="154"/>
      <c r="E579" s="154"/>
      <c r="F579" s="154"/>
      <c r="G579" s="154"/>
      <c r="H579" s="154"/>
      <c r="I579" s="154"/>
      <c r="J579" s="154"/>
      <c r="K579" s="154"/>
      <c r="L579" s="154"/>
      <c r="M579" s="154"/>
      <c r="N579" s="154"/>
      <c r="O579" s="154"/>
      <c r="P579" s="154"/>
      <c r="Q579" s="154"/>
      <c r="R579" s="154"/>
      <c r="S579" s="154"/>
      <c r="T579" s="154"/>
      <c r="U579" s="154"/>
      <c r="V579" s="154"/>
      <c r="W579" s="154"/>
      <c r="X579" s="154"/>
      <c r="Y579" s="154"/>
      <c r="Z579" s="154"/>
      <c r="AA579" s="154"/>
      <c r="AB579" s="154"/>
      <c r="AC579" s="154"/>
    </row>
    <row r="580" ht="15.75" customHeight="1">
      <c r="A580" s="146"/>
      <c r="B580" s="154"/>
      <c r="C580" s="154"/>
      <c r="D580" s="154"/>
      <c r="E580" s="154"/>
      <c r="F580" s="154"/>
      <c r="G580" s="154"/>
      <c r="H580" s="154"/>
      <c r="I580" s="154"/>
      <c r="J580" s="154"/>
      <c r="K580" s="154"/>
      <c r="L580" s="154"/>
      <c r="M580" s="154"/>
      <c r="N580" s="154"/>
      <c r="O580" s="154"/>
      <c r="P580" s="154"/>
      <c r="Q580" s="154"/>
      <c r="R580" s="154"/>
      <c r="S580" s="154"/>
      <c r="T580" s="154"/>
      <c r="U580" s="154"/>
      <c r="V580" s="154"/>
      <c r="W580" s="154"/>
      <c r="X580" s="154"/>
      <c r="Y580" s="154"/>
      <c r="Z580" s="154"/>
      <c r="AA580" s="154"/>
      <c r="AB580" s="154"/>
      <c r="AC580" s="154"/>
    </row>
    <row r="581" ht="15.75" customHeight="1">
      <c r="A581" s="146"/>
      <c r="B581" s="154"/>
      <c r="C581" s="154"/>
      <c r="D581" s="154"/>
      <c r="E581" s="154"/>
      <c r="F581" s="154"/>
      <c r="G581" s="154"/>
      <c r="H581" s="154"/>
      <c r="I581" s="154"/>
      <c r="J581" s="154"/>
      <c r="K581" s="154"/>
      <c r="L581" s="154"/>
      <c r="M581" s="154"/>
      <c r="N581" s="154"/>
      <c r="O581" s="154"/>
      <c r="P581" s="154"/>
      <c r="Q581" s="154"/>
      <c r="R581" s="154"/>
      <c r="S581" s="154"/>
      <c r="T581" s="154"/>
      <c r="U581" s="154"/>
      <c r="V581" s="154"/>
      <c r="W581" s="154"/>
      <c r="X581" s="154"/>
      <c r="Y581" s="154"/>
      <c r="Z581" s="154"/>
      <c r="AA581" s="154"/>
      <c r="AB581" s="154"/>
      <c r="AC581" s="154"/>
    </row>
    <row r="582" ht="15.75" customHeight="1">
      <c r="A582" s="146"/>
      <c r="B582" s="154"/>
      <c r="C582" s="154"/>
      <c r="D582" s="154"/>
      <c r="E582" s="154"/>
      <c r="F582" s="154"/>
      <c r="G582" s="154"/>
      <c r="H582" s="154"/>
      <c r="I582" s="154"/>
      <c r="J582" s="154"/>
      <c r="K582" s="154"/>
      <c r="L582" s="154"/>
      <c r="M582" s="154"/>
      <c r="N582" s="154"/>
      <c r="O582" s="154"/>
      <c r="P582" s="154"/>
      <c r="Q582" s="154"/>
      <c r="R582" s="154"/>
      <c r="S582" s="154"/>
      <c r="T582" s="154"/>
      <c r="U582" s="154"/>
      <c r="V582" s="154"/>
      <c r="W582" s="154"/>
      <c r="X582" s="154"/>
      <c r="Y582" s="154"/>
      <c r="Z582" s="154"/>
      <c r="AA582" s="154"/>
      <c r="AB582" s="154"/>
      <c r="AC582" s="154"/>
    </row>
    <row r="583" ht="15.75" customHeight="1">
      <c r="A583" s="146"/>
      <c r="B583" s="154"/>
      <c r="C583" s="154"/>
      <c r="D583" s="154"/>
      <c r="E583" s="154"/>
      <c r="F583" s="154"/>
      <c r="G583" s="154"/>
      <c r="H583" s="154"/>
      <c r="I583" s="154"/>
      <c r="J583" s="154"/>
      <c r="K583" s="154"/>
      <c r="L583" s="154"/>
      <c r="M583" s="154"/>
      <c r="N583" s="154"/>
      <c r="O583" s="154"/>
      <c r="P583" s="154"/>
      <c r="Q583" s="154"/>
      <c r="R583" s="154"/>
      <c r="S583" s="154"/>
      <c r="T583" s="154"/>
      <c r="U583" s="154"/>
      <c r="V583" s="154"/>
      <c r="W583" s="154"/>
      <c r="X583" s="154"/>
      <c r="Y583" s="154"/>
      <c r="Z583" s="154"/>
      <c r="AA583" s="154"/>
      <c r="AB583" s="154"/>
      <c r="AC583" s="154"/>
    </row>
    <row r="584" ht="15.75" customHeight="1">
      <c r="A584" s="146"/>
      <c r="B584" s="154"/>
      <c r="C584" s="154"/>
      <c r="D584" s="154"/>
      <c r="E584" s="154"/>
      <c r="F584" s="154"/>
      <c r="G584" s="154"/>
      <c r="H584" s="154"/>
      <c r="I584" s="154"/>
      <c r="J584" s="154"/>
      <c r="K584" s="154"/>
      <c r="L584" s="154"/>
      <c r="M584" s="154"/>
      <c r="N584" s="154"/>
      <c r="O584" s="154"/>
      <c r="P584" s="154"/>
      <c r="Q584" s="154"/>
      <c r="R584" s="154"/>
      <c r="S584" s="154"/>
      <c r="T584" s="154"/>
      <c r="U584" s="154"/>
      <c r="V584" s="154"/>
      <c r="W584" s="154"/>
      <c r="X584" s="154"/>
      <c r="Y584" s="154"/>
      <c r="Z584" s="154"/>
      <c r="AA584" s="154"/>
      <c r="AB584" s="154"/>
      <c r="AC584" s="154"/>
    </row>
    <row r="585" ht="15.75" customHeight="1">
      <c r="A585" s="146"/>
      <c r="B585" s="154"/>
      <c r="C585" s="154"/>
      <c r="D585" s="154"/>
      <c r="E585" s="154"/>
      <c r="F585" s="154"/>
      <c r="G585" s="154"/>
      <c r="H585" s="154"/>
      <c r="I585" s="154"/>
      <c r="J585" s="154"/>
      <c r="K585" s="154"/>
      <c r="L585" s="154"/>
      <c r="M585" s="154"/>
      <c r="N585" s="154"/>
      <c r="O585" s="154"/>
      <c r="P585" s="154"/>
      <c r="Q585" s="154"/>
      <c r="R585" s="154"/>
      <c r="S585" s="154"/>
      <c r="T585" s="154"/>
      <c r="U585" s="154"/>
      <c r="V585" s="154"/>
      <c r="W585" s="154"/>
      <c r="X585" s="154"/>
      <c r="Y585" s="154"/>
      <c r="Z585" s="154"/>
      <c r="AA585" s="154"/>
      <c r="AB585" s="154"/>
      <c r="AC585" s="154"/>
    </row>
    <row r="586" ht="15.75" customHeight="1">
      <c r="A586" s="146"/>
      <c r="B586" s="154"/>
      <c r="C586" s="154"/>
      <c r="D586" s="154"/>
      <c r="E586" s="154"/>
      <c r="F586" s="154"/>
      <c r="G586" s="154"/>
      <c r="H586" s="154"/>
      <c r="I586" s="154"/>
      <c r="J586" s="154"/>
      <c r="K586" s="154"/>
      <c r="L586" s="154"/>
      <c r="M586" s="154"/>
      <c r="N586" s="154"/>
      <c r="O586" s="154"/>
      <c r="P586" s="154"/>
      <c r="Q586" s="154"/>
      <c r="R586" s="154"/>
      <c r="S586" s="154"/>
      <c r="T586" s="154"/>
      <c r="U586" s="154"/>
      <c r="V586" s="154"/>
      <c r="W586" s="154"/>
      <c r="X586" s="154"/>
      <c r="Y586" s="154"/>
      <c r="Z586" s="154"/>
      <c r="AA586" s="154"/>
      <c r="AB586" s="154"/>
      <c r="AC586" s="154"/>
    </row>
    <row r="587" ht="15.75" customHeight="1">
      <c r="A587" s="146"/>
      <c r="B587" s="154"/>
      <c r="C587" s="154"/>
      <c r="D587" s="154"/>
      <c r="E587" s="154"/>
      <c r="F587" s="154"/>
      <c r="G587" s="154"/>
      <c r="H587" s="154"/>
      <c r="I587" s="154"/>
      <c r="J587" s="154"/>
      <c r="K587" s="154"/>
      <c r="L587" s="154"/>
      <c r="M587" s="154"/>
      <c r="N587" s="154"/>
      <c r="O587" s="154"/>
      <c r="P587" s="154"/>
      <c r="Q587" s="154"/>
      <c r="R587" s="154"/>
      <c r="S587" s="154"/>
      <c r="T587" s="154"/>
      <c r="U587" s="154"/>
      <c r="V587" s="154"/>
      <c r="W587" s="154"/>
      <c r="X587" s="154"/>
      <c r="Y587" s="154"/>
      <c r="Z587" s="154"/>
      <c r="AA587" s="154"/>
      <c r="AB587" s="154"/>
      <c r="AC587" s="154"/>
    </row>
    <row r="588" ht="15.75" customHeight="1">
      <c r="A588" s="146"/>
      <c r="B588" s="154"/>
      <c r="C588" s="154"/>
      <c r="D588" s="154"/>
      <c r="E588" s="154"/>
      <c r="F588" s="154"/>
      <c r="G588" s="154"/>
      <c r="H588" s="154"/>
      <c r="I588" s="154"/>
      <c r="J588" s="154"/>
      <c r="K588" s="154"/>
      <c r="L588" s="154"/>
      <c r="M588" s="154"/>
      <c r="N588" s="154"/>
      <c r="O588" s="154"/>
      <c r="P588" s="154"/>
      <c r="Q588" s="154"/>
      <c r="R588" s="154"/>
      <c r="S588" s="154"/>
      <c r="T588" s="154"/>
      <c r="U588" s="154"/>
      <c r="V588" s="154"/>
      <c r="W588" s="154"/>
      <c r="X588" s="154"/>
      <c r="Y588" s="154"/>
      <c r="Z588" s="154"/>
      <c r="AA588" s="154"/>
      <c r="AB588" s="154"/>
      <c r="AC588" s="154"/>
    </row>
    <row r="589" ht="15.75" customHeight="1">
      <c r="A589" s="146"/>
      <c r="B589" s="154"/>
      <c r="C589" s="154"/>
      <c r="D589" s="154"/>
      <c r="E589" s="154"/>
      <c r="F589" s="154"/>
      <c r="G589" s="154"/>
      <c r="H589" s="154"/>
      <c r="I589" s="154"/>
      <c r="J589" s="154"/>
      <c r="K589" s="154"/>
      <c r="L589" s="154"/>
      <c r="M589" s="154"/>
      <c r="N589" s="154"/>
      <c r="O589" s="154"/>
      <c r="P589" s="154"/>
      <c r="Q589" s="154"/>
      <c r="R589" s="154"/>
      <c r="S589" s="154"/>
      <c r="T589" s="154"/>
      <c r="U589" s="154"/>
      <c r="V589" s="154"/>
      <c r="W589" s="154"/>
      <c r="X589" s="154"/>
      <c r="Y589" s="154"/>
      <c r="Z589" s="154"/>
      <c r="AA589" s="154"/>
      <c r="AB589" s="154"/>
      <c r="AC589" s="154"/>
    </row>
    <row r="590" ht="15.75" customHeight="1">
      <c r="A590" s="146"/>
      <c r="B590" s="154"/>
      <c r="C590" s="154"/>
      <c r="D590" s="154"/>
      <c r="E590" s="154"/>
      <c r="F590" s="154"/>
      <c r="G590" s="154"/>
      <c r="H590" s="154"/>
      <c r="I590" s="154"/>
      <c r="J590" s="154"/>
      <c r="K590" s="154"/>
      <c r="L590" s="154"/>
      <c r="M590" s="154"/>
      <c r="N590" s="154"/>
      <c r="O590" s="154"/>
      <c r="P590" s="154"/>
      <c r="Q590" s="154"/>
      <c r="R590" s="154"/>
      <c r="S590" s="154"/>
      <c r="T590" s="154"/>
      <c r="U590" s="154"/>
      <c r="V590" s="154"/>
      <c r="W590" s="154"/>
      <c r="X590" s="154"/>
      <c r="Y590" s="154"/>
      <c r="Z590" s="154"/>
      <c r="AA590" s="154"/>
      <c r="AB590" s="154"/>
      <c r="AC590" s="154"/>
    </row>
    <row r="591" ht="15.75" customHeight="1">
      <c r="A591" s="146"/>
      <c r="B591" s="154"/>
      <c r="C591" s="154"/>
      <c r="D591" s="154"/>
      <c r="E591" s="154"/>
      <c r="F591" s="154"/>
      <c r="G591" s="154"/>
      <c r="H591" s="154"/>
      <c r="I591" s="154"/>
      <c r="J591" s="154"/>
      <c r="K591" s="154"/>
      <c r="L591" s="154"/>
      <c r="M591" s="154"/>
      <c r="N591" s="154"/>
      <c r="O591" s="154"/>
      <c r="P591" s="154"/>
      <c r="Q591" s="154"/>
      <c r="R591" s="154"/>
      <c r="S591" s="154"/>
      <c r="T591" s="154"/>
      <c r="U591" s="154"/>
      <c r="V591" s="154"/>
      <c r="W591" s="154"/>
      <c r="X591" s="154"/>
      <c r="Y591" s="154"/>
      <c r="Z591" s="154"/>
      <c r="AA591" s="154"/>
      <c r="AB591" s="154"/>
      <c r="AC591" s="154"/>
    </row>
    <row r="592" ht="15.75" customHeight="1">
      <c r="A592" s="146"/>
      <c r="B592" s="154"/>
      <c r="C592" s="154"/>
      <c r="D592" s="154"/>
      <c r="E592" s="154"/>
      <c r="F592" s="154"/>
      <c r="G592" s="154"/>
      <c r="H592" s="154"/>
      <c r="I592" s="154"/>
      <c r="J592" s="154"/>
      <c r="K592" s="154"/>
      <c r="L592" s="154"/>
      <c r="M592" s="154"/>
      <c r="N592" s="154"/>
      <c r="O592" s="154"/>
      <c r="P592" s="154"/>
      <c r="Q592" s="154"/>
      <c r="R592" s="154"/>
      <c r="S592" s="154"/>
      <c r="T592" s="154"/>
      <c r="U592" s="154"/>
      <c r="V592" s="154"/>
      <c r="W592" s="154"/>
      <c r="X592" s="154"/>
      <c r="Y592" s="154"/>
      <c r="Z592" s="154"/>
      <c r="AA592" s="154"/>
      <c r="AB592" s="154"/>
      <c r="AC592" s="154"/>
    </row>
    <row r="593" ht="15.75" customHeight="1">
      <c r="A593" s="146"/>
      <c r="B593" s="154"/>
      <c r="C593" s="154"/>
      <c r="D593" s="154"/>
      <c r="E593" s="154"/>
      <c r="F593" s="154"/>
      <c r="G593" s="154"/>
      <c r="H593" s="154"/>
      <c r="I593" s="154"/>
      <c r="J593" s="154"/>
      <c r="K593" s="154"/>
      <c r="L593" s="154"/>
      <c r="M593" s="154"/>
      <c r="N593" s="154"/>
      <c r="O593" s="154"/>
      <c r="P593" s="154"/>
      <c r="Q593" s="154"/>
      <c r="R593" s="154"/>
      <c r="S593" s="154"/>
      <c r="T593" s="154"/>
      <c r="U593" s="154"/>
      <c r="V593" s="154"/>
      <c r="W593" s="154"/>
      <c r="X593" s="154"/>
      <c r="Y593" s="154"/>
      <c r="Z593" s="154"/>
      <c r="AA593" s="154"/>
      <c r="AB593" s="154"/>
      <c r="AC593" s="154"/>
    </row>
    <row r="594" ht="15.75" customHeight="1">
      <c r="A594" s="146"/>
      <c r="B594" s="154"/>
      <c r="C594" s="154"/>
      <c r="D594" s="154"/>
      <c r="E594" s="154"/>
      <c r="F594" s="154"/>
      <c r="G594" s="154"/>
      <c r="H594" s="154"/>
      <c r="I594" s="154"/>
      <c r="J594" s="154"/>
      <c r="K594" s="154"/>
      <c r="L594" s="154"/>
      <c r="M594" s="154"/>
      <c r="N594" s="154"/>
      <c r="O594" s="154"/>
      <c r="P594" s="154"/>
      <c r="Q594" s="154"/>
      <c r="R594" s="154"/>
      <c r="S594" s="154"/>
      <c r="T594" s="154"/>
      <c r="U594" s="154"/>
      <c r="V594" s="154"/>
      <c r="W594" s="154"/>
      <c r="X594" s="154"/>
      <c r="Y594" s="154"/>
      <c r="Z594" s="154"/>
      <c r="AA594" s="154"/>
      <c r="AB594" s="154"/>
      <c r="AC594" s="154"/>
    </row>
    <row r="595" ht="15.75" customHeight="1">
      <c r="A595" s="146"/>
      <c r="B595" s="154"/>
      <c r="C595" s="154"/>
      <c r="D595" s="154"/>
      <c r="E595" s="154"/>
      <c r="F595" s="154"/>
      <c r="G595" s="154"/>
      <c r="H595" s="154"/>
      <c r="I595" s="154"/>
      <c r="J595" s="154"/>
      <c r="K595" s="154"/>
      <c r="L595" s="154"/>
      <c r="M595" s="154"/>
      <c r="N595" s="154"/>
      <c r="O595" s="154"/>
      <c r="P595" s="154"/>
      <c r="Q595" s="154"/>
      <c r="R595" s="154"/>
      <c r="S595" s="154"/>
      <c r="T595" s="154"/>
      <c r="U595" s="154"/>
      <c r="V595" s="154"/>
      <c r="W595" s="154"/>
      <c r="X595" s="154"/>
      <c r="Y595" s="154"/>
      <c r="Z595" s="154"/>
      <c r="AA595" s="154"/>
      <c r="AB595" s="154"/>
      <c r="AC595" s="154"/>
    </row>
    <row r="596" ht="15.75" customHeight="1">
      <c r="A596" s="146"/>
      <c r="B596" s="154"/>
      <c r="C596" s="154"/>
      <c r="D596" s="154"/>
      <c r="E596" s="154"/>
      <c r="F596" s="154"/>
      <c r="G596" s="154"/>
      <c r="H596" s="154"/>
      <c r="I596" s="154"/>
      <c r="J596" s="154"/>
      <c r="K596" s="154"/>
      <c r="L596" s="154"/>
      <c r="M596" s="154"/>
      <c r="N596" s="154"/>
      <c r="O596" s="154"/>
      <c r="P596" s="154"/>
      <c r="Q596" s="154"/>
      <c r="R596" s="154"/>
      <c r="S596" s="154"/>
      <c r="T596" s="154"/>
      <c r="U596" s="154"/>
      <c r="V596" s="154"/>
      <c r="W596" s="154"/>
      <c r="X596" s="154"/>
      <c r="Y596" s="154"/>
      <c r="Z596" s="154"/>
      <c r="AA596" s="154"/>
      <c r="AB596" s="154"/>
      <c r="AC596" s="154"/>
    </row>
    <row r="597" ht="15.75" customHeight="1">
      <c r="A597" s="146"/>
      <c r="B597" s="154"/>
      <c r="C597" s="154"/>
      <c r="D597" s="154"/>
      <c r="E597" s="154"/>
      <c r="F597" s="154"/>
      <c r="G597" s="154"/>
      <c r="H597" s="154"/>
      <c r="I597" s="154"/>
      <c r="J597" s="154"/>
      <c r="K597" s="154"/>
      <c r="L597" s="154"/>
      <c r="M597" s="154"/>
      <c r="N597" s="154"/>
      <c r="O597" s="154"/>
      <c r="P597" s="154"/>
      <c r="Q597" s="154"/>
      <c r="R597" s="154"/>
      <c r="S597" s="154"/>
      <c r="T597" s="154"/>
      <c r="U597" s="154"/>
      <c r="V597" s="154"/>
      <c r="W597" s="154"/>
      <c r="X597" s="154"/>
      <c r="Y597" s="154"/>
      <c r="Z597" s="154"/>
      <c r="AA597" s="154"/>
      <c r="AB597" s="154"/>
      <c r="AC597" s="154"/>
    </row>
    <row r="598" ht="15.75" customHeight="1">
      <c r="A598" s="146"/>
      <c r="B598" s="154"/>
      <c r="C598" s="154"/>
      <c r="D598" s="154"/>
      <c r="E598" s="154"/>
      <c r="F598" s="154"/>
      <c r="G598" s="154"/>
      <c r="H598" s="154"/>
      <c r="I598" s="154"/>
      <c r="J598" s="154"/>
      <c r="K598" s="154"/>
      <c r="L598" s="154"/>
      <c r="M598" s="154"/>
      <c r="N598" s="154"/>
      <c r="O598" s="154"/>
      <c r="P598" s="154"/>
      <c r="Q598" s="154"/>
      <c r="R598" s="154"/>
      <c r="S598" s="154"/>
      <c r="T598" s="154"/>
      <c r="U598" s="154"/>
      <c r="V598" s="154"/>
      <c r="W598" s="154"/>
      <c r="X598" s="154"/>
      <c r="Y598" s="154"/>
      <c r="Z598" s="154"/>
      <c r="AA598" s="154"/>
      <c r="AB598" s="154"/>
      <c r="AC598" s="154"/>
    </row>
    <row r="599" ht="15.75" customHeight="1">
      <c r="A599" s="146"/>
      <c r="B599" s="154"/>
      <c r="C599" s="154"/>
      <c r="D599" s="154"/>
      <c r="E599" s="154"/>
      <c r="F599" s="154"/>
      <c r="G599" s="154"/>
      <c r="H599" s="154"/>
      <c r="I599" s="154"/>
      <c r="J599" s="154"/>
      <c r="K599" s="154"/>
      <c r="L599" s="154"/>
      <c r="M599" s="154"/>
      <c r="N599" s="154"/>
      <c r="O599" s="154"/>
      <c r="P599" s="154"/>
      <c r="Q599" s="154"/>
      <c r="R599" s="154"/>
      <c r="S599" s="154"/>
      <c r="T599" s="154"/>
      <c r="U599" s="154"/>
      <c r="V599" s="154"/>
      <c r="W599" s="154"/>
      <c r="X599" s="154"/>
      <c r="Y599" s="154"/>
      <c r="Z599" s="154"/>
      <c r="AA599" s="154"/>
      <c r="AB599" s="154"/>
      <c r="AC599" s="154"/>
    </row>
    <row r="600" ht="15.75" customHeight="1">
      <c r="A600" s="146"/>
      <c r="B600" s="154"/>
      <c r="C600" s="154"/>
      <c r="D600" s="154"/>
      <c r="E600" s="154"/>
      <c r="F600" s="154"/>
      <c r="G600" s="154"/>
      <c r="H600" s="154"/>
      <c r="I600" s="154"/>
      <c r="J600" s="154"/>
      <c r="K600" s="154"/>
      <c r="L600" s="154"/>
      <c r="M600" s="154"/>
      <c r="N600" s="154"/>
      <c r="O600" s="154"/>
      <c r="P600" s="154"/>
      <c r="Q600" s="154"/>
      <c r="R600" s="154"/>
      <c r="S600" s="154"/>
      <c r="T600" s="154"/>
      <c r="U600" s="154"/>
      <c r="V600" s="154"/>
      <c r="W600" s="154"/>
      <c r="X600" s="154"/>
      <c r="Y600" s="154"/>
      <c r="Z600" s="154"/>
      <c r="AA600" s="154"/>
      <c r="AB600" s="154"/>
      <c r="AC600" s="154"/>
    </row>
    <row r="601" ht="15.75" customHeight="1">
      <c r="A601" s="146"/>
      <c r="B601" s="154"/>
      <c r="C601" s="154"/>
      <c r="D601" s="154"/>
      <c r="E601" s="154"/>
      <c r="F601" s="154"/>
      <c r="G601" s="154"/>
      <c r="H601" s="154"/>
      <c r="I601" s="154"/>
      <c r="J601" s="154"/>
      <c r="K601" s="154"/>
      <c r="L601" s="154"/>
      <c r="M601" s="154"/>
      <c r="N601" s="154"/>
      <c r="O601" s="154"/>
      <c r="P601" s="154"/>
      <c r="Q601" s="154"/>
      <c r="R601" s="154"/>
      <c r="S601" s="154"/>
      <c r="T601" s="154"/>
      <c r="U601" s="154"/>
      <c r="V601" s="154"/>
      <c r="W601" s="154"/>
      <c r="X601" s="154"/>
      <c r="Y601" s="154"/>
      <c r="Z601" s="154"/>
      <c r="AA601" s="154"/>
      <c r="AB601" s="154"/>
      <c r="AC601" s="154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59">
    <mergeCell ref="V36:V37"/>
    <mergeCell ref="W36:W37"/>
    <mergeCell ref="V38:V39"/>
    <mergeCell ref="W38:W39"/>
    <mergeCell ref="V40:V41"/>
    <mergeCell ref="W40:W41"/>
    <mergeCell ref="V42:V43"/>
    <mergeCell ref="W42:W43"/>
    <mergeCell ref="V44:V45"/>
    <mergeCell ref="W44:W45"/>
    <mergeCell ref="V46:V47"/>
    <mergeCell ref="W46:W47"/>
    <mergeCell ref="V48:V49"/>
    <mergeCell ref="W48:W49"/>
    <mergeCell ref="U2:V2"/>
    <mergeCell ref="U4:V4"/>
    <mergeCell ref="U5:V5"/>
    <mergeCell ref="U7:W7"/>
    <mergeCell ref="U23:U49"/>
    <mergeCell ref="V23:V24"/>
    <mergeCell ref="W23:W24"/>
    <mergeCell ref="Y43:AB43"/>
    <mergeCell ref="Y44:AB44"/>
    <mergeCell ref="Y45:AB45"/>
    <mergeCell ref="Y46:AB46"/>
    <mergeCell ref="Y47:AB47"/>
    <mergeCell ref="Y48:AB48"/>
    <mergeCell ref="Y49:AB49"/>
    <mergeCell ref="Y36:AB36"/>
    <mergeCell ref="Y37:AB37"/>
    <mergeCell ref="Y38:AB38"/>
    <mergeCell ref="Y39:AB39"/>
    <mergeCell ref="Y40:AB40"/>
    <mergeCell ref="Y41:AB41"/>
    <mergeCell ref="Y42:AB42"/>
    <mergeCell ref="V25:V26"/>
    <mergeCell ref="W25:W26"/>
    <mergeCell ref="V27:V28"/>
    <mergeCell ref="W27:W28"/>
    <mergeCell ref="V29:V30"/>
    <mergeCell ref="W29:W30"/>
    <mergeCell ref="Y22:AB22"/>
    <mergeCell ref="Y23:AB23"/>
    <mergeCell ref="Y24:AB24"/>
    <mergeCell ref="Y25:AB25"/>
    <mergeCell ref="Y26:AB26"/>
    <mergeCell ref="Y27:AB27"/>
    <mergeCell ref="Y28:AB28"/>
    <mergeCell ref="V31:V32"/>
    <mergeCell ref="W31:W32"/>
    <mergeCell ref="V34:V35"/>
    <mergeCell ref="W34:W35"/>
    <mergeCell ref="Y29:AB29"/>
    <mergeCell ref="Y30:AB30"/>
    <mergeCell ref="Y31:AB31"/>
    <mergeCell ref="Y32:AB32"/>
    <mergeCell ref="Y33:AB33"/>
    <mergeCell ref="Y34:AB34"/>
    <mergeCell ref="Y35:AB35"/>
  </mergeCells>
  <conditionalFormatting sqref="W9:W20 Z9:Z20">
    <cfRule type="colorScale" priority="1">
      <colorScale>
        <cfvo type="min"/>
        <cfvo type="formula" val="30"/>
        <color rgb="FFE67C73"/>
        <color rgb="FFFFFFFF"/>
      </colorScale>
    </cfRule>
  </conditionalFormatting>
  <dataValidations>
    <dataValidation type="list" allowBlank="1" showErrorMessage="1" sqref="C3:C401">
      <formula1>'Cadastro dos Ativos'!$A$2:$A$221</formula1>
    </dataValidation>
    <dataValidation type="list" allowBlank="1" showErrorMessage="1" sqref="E3:E401">
      <formula1>"C,V"</formula1>
    </dataValidation>
    <dataValidation type="list" allowBlank="1" showErrorMessage="1" sqref="F3:F401">
      <formula1>"Endor,Polaris,Vega,Orion"</formula1>
    </dataValidation>
  </dataValidations>
  <hyperlinks>
    <hyperlink r:id="rId1" ref="W23"/>
    <hyperlink r:id="rId2" ref="W25"/>
    <hyperlink r:id="rId3" ref="W27"/>
    <hyperlink r:id="rId4" ref="W29"/>
    <hyperlink r:id="rId5" ref="W31"/>
    <hyperlink r:id="rId6" ref="W34"/>
    <hyperlink r:id="rId7" ref="W36"/>
    <hyperlink r:id="rId8" ref="W38"/>
    <hyperlink r:id="rId9" ref="W40"/>
    <hyperlink r:id="rId10" ref="W42"/>
    <hyperlink r:id="rId11" ref="W44"/>
    <hyperlink r:id="rId12" ref="W46"/>
    <hyperlink r:id="rId13" ref="W48"/>
  </hyperlinks>
  <printOptions/>
  <pageMargins bottom="1.0" footer="0.0" header="0.0" left="0.75" right="0.75" top="1.0"/>
  <pageSetup orientation="landscape"/>
  <drawing r:id="rId14"/>
  <tableParts count="3">
    <tablePart r:id="rId18"/>
    <tablePart r:id="rId19"/>
    <tablePart r:id="rId20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B1" s="155" t="str">
        <f t="shared" ref="B1:E1" si="1">RIGHT(B$3,LEN(B$3)-5)</f>
        <v>Endor</v>
      </c>
      <c r="C1" s="155" t="str">
        <f t="shared" si="1"/>
        <v>Polaris</v>
      </c>
      <c r="D1" s="155" t="str">
        <f t="shared" si="1"/>
        <v>Vega</v>
      </c>
      <c r="E1" s="155" t="str">
        <f t="shared" si="1"/>
        <v>Orion</v>
      </c>
      <c r="F1" s="155" t="b">
        <f>E1=Controle!L2</f>
        <v>1</v>
      </c>
    </row>
    <row r="2">
      <c r="A2" s="156" t="s">
        <v>274</v>
      </c>
      <c r="B2" s="156" t="s">
        <v>275</v>
      </c>
      <c r="G2" s="157">
        <f>Controle!$B$6</f>
        <v>45170</v>
      </c>
      <c r="H2" s="157">
        <f>Controle!$B$4</f>
        <v>45169</v>
      </c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57"/>
      <c r="CW2" s="157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7"/>
      <c r="DK2" s="157"/>
      <c r="DL2" s="157"/>
      <c r="DM2" s="157"/>
      <c r="DN2" s="157"/>
      <c r="DO2" s="157"/>
      <c r="DP2" s="157"/>
      <c r="DQ2" s="157"/>
      <c r="DR2" s="157"/>
      <c r="DS2" s="157"/>
      <c r="DT2" s="157"/>
      <c r="DU2" s="157"/>
      <c r="DV2" s="157"/>
      <c r="DW2" s="157"/>
      <c r="DX2" s="157"/>
      <c r="DY2" s="157"/>
      <c r="DZ2" s="157"/>
      <c r="EA2" s="157"/>
      <c r="EB2" s="157"/>
      <c r="EC2" s="157"/>
      <c r="ED2" s="157"/>
      <c r="EE2" s="157"/>
    </row>
    <row r="3">
      <c r="B3" s="158" t="s">
        <v>276</v>
      </c>
      <c r="C3" s="158" t="s">
        <v>277</v>
      </c>
      <c r="D3" s="158" t="s">
        <v>278</v>
      </c>
      <c r="E3" s="158" t="s">
        <v>279</v>
      </c>
      <c r="G3" s="155" t="str">
        <f t="array" ref="G3:G90">TRANSPOSE('Histórico'!$1:$1)</f>
        <v/>
      </c>
      <c r="H3" s="155" t="str">
        <f t="array" ref="H3:ALS3">TRANSPOSE('Histórico'!$A:$A)</f>
        <v/>
      </c>
      <c r="I3" s="159">
        <v>45005.0</v>
      </c>
      <c r="J3" s="159">
        <v>45006.0</v>
      </c>
      <c r="K3" s="159">
        <v>45007.0</v>
      </c>
      <c r="L3" s="159">
        <v>45008.0</v>
      </c>
      <c r="M3" s="159">
        <v>45009.0</v>
      </c>
      <c r="N3" s="159">
        <v>45012.0</v>
      </c>
      <c r="O3" s="159">
        <v>45013.0</v>
      </c>
      <c r="P3" s="159">
        <v>45014.0</v>
      </c>
      <c r="Q3" s="159">
        <v>45015.0</v>
      </c>
      <c r="R3" s="159">
        <v>45016.0</v>
      </c>
      <c r="S3" s="159">
        <v>45019.0</v>
      </c>
      <c r="T3" s="159">
        <v>45020.0</v>
      </c>
      <c r="U3" s="159">
        <v>45021.0</v>
      </c>
      <c r="V3" s="159">
        <v>45022.0</v>
      </c>
      <c r="W3" s="159">
        <v>45026.0</v>
      </c>
      <c r="X3" s="159">
        <v>45027.0</v>
      </c>
      <c r="Y3" s="159">
        <v>45028.0</v>
      </c>
      <c r="Z3" s="159">
        <v>45029.0</v>
      </c>
      <c r="AA3" s="159">
        <v>45030.0</v>
      </c>
      <c r="AB3" s="159">
        <v>45033.0</v>
      </c>
      <c r="AC3" s="159">
        <v>45034.0</v>
      </c>
      <c r="AD3" s="159">
        <v>45035.0</v>
      </c>
      <c r="AE3" s="159">
        <v>45036.0</v>
      </c>
      <c r="AF3" s="159">
        <v>45040.0</v>
      </c>
      <c r="AG3" s="159">
        <v>45041.0</v>
      </c>
      <c r="AH3" s="159">
        <v>45042.0</v>
      </c>
      <c r="AI3" s="159">
        <v>45043.0</v>
      </c>
      <c r="AJ3" s="159">
        <v>45044.0</v>
      </c>
      <c r="AK3" s="159">
        <v>45048.0</v>
      </c>
      <c r="AL3" s="159">
        <v>45049.0</v>
      </c>
      <c r="AM3" s="159">
        <v>45050.0</v>
      </c>
      <c r="AN3" s="159">
        <v>45051.0</v>
      </c>
      <c r="AO3" s="159">
        <v>45054.0</v>
      </c>
      <c r="AP3" s="159">
        <v>45055.0</v>
      </c>
      <c r="AQ3" s="159">
        <v>45056.0</v>
      </c>
      <c r="AR3" s="159">
        <v>45057.0</v>
      </c>
      <c r="AS3" s="159">
        <v>45058.0</v>
      </c>
      <c r="AT3" s="159">
        <v>45061.0</v>
      </c>
      <c r="AU3" s="159">
        <v>45062.0</v>
      </c>
      <c r="AV3" s="159">
        <v>45063.0</v>
      </c>
      <c r="AW3" s="159">
        <v>45064.0</v>
      </c>
      <c r="AX3" s="159">
        <v>45065.0</v>
      </c>
      <c r="AY3" s="159">
        <v>45068.0</v>
      </c>
      <c r="AZ3" s="159">
        <v>45069.0</v>
      </c>
      <c r="BA3" s="159">
        <v>45070.0</v>
      </c>
      <c r="BB3" s="159">
        <v>45071.0</v>
      </c>
      <c r="BC3" s="159">
        <v>45072.0</v>
      </c>
      <c r="BD3" s="159">
        <v>45075.0</v>
      </c>
      <c r="BE3" s="159">
        <v>45076.0</v>
      </c>
      <c r="BF3" s="159">
        <v>45077.0</v>
      </c>
      <c r="BG3" s="159">
        <v>45078.0</v>
      </c>
      <c r="BH3" s="159">
        <v>45079.0</v>
      </c>
      <c r="BI3" s="159">
        <v>45082.0</v>
      </c>
      <c r="BJ3" s="159">
        <v>45083.0</v>
      </c>
      <c r="BK3" s="159">
        <v>45084.0</v>
      </c>
      <c r="BL3" s="159">
        <v>45086.0</v>
      </c>
      <c r="BM3" s="159">
        <v>45089.0</v>
      </c>
      <c r="BN3" s="159">
        <v>45090.0</v>
      </c>
      <c r="BO3" s="159">
        <v>45091.0</v>
      </c>
      <c r="BP3" s="159">
        <v>45092.0</v>
      </c>
      <c r="BQ3" s="159">
        <v>45093.0</v>
      </c>
      <c r="BR3" s="159">
        <v>45096.0</v>
      </c>
      <c r="BS3" s="159">
        <v>45097.0</v>
      </c>
      <c r="BT3" s="159">
        <v>45098.0</v>
      </c>
      <c r="BU3" s="159">
        <v>45099.0</v>
      </c>
      <c r="BV3" s="159">
        <v>45100.0</v>
      </c>
      <c r="BW3" s="159">
        <v>45103.0</v>
      </c>
      <c r="BX3" s="159">
        <v>45104.0</v>
      </c>
      <c r="BY3" s="159">
        <v>45105.0</v>
      </c>
      <c r="BZ3" s="159">
        <v>45106.0</v>
      </c>
      <c r="CA3" s="159">
        <v>45107.0</v>
      </c>
      <c r="CB3" s="159">
        <v>45110.0</v>
      </c>
      <c r="CC3" s="159">
        <v>45111.0</v>
      </c>
      <c r="CD3" s="159">
        <v>45112.0</v>
      </c>
      <c r="CE3" s="159">
        <v>45113.0</v>
      </c>
      <c r="CF3" s="159">
        <v>45114.0</v>
      </c>
      <c r="CG3" s="159">
        <v>45117.0</v>
      </c>
      <c r="CH3" s="159">
        <v>45118.0</v>
      </c>
      <c r="CI3" s="159">
        <v>45119.0</v>
      </c>
      <c r="CJ3" s="159">
        <v>45120.0</v>
      </c>
      <c r="CK3" s="159">
        <v>45121.0</v>
      </c>
      <c r="CL3" s="159">
        <v>45124.0</v>
      </c>
      <c r="CM3" s="159">
        <v>45125.0</v>
      </c>
      <c r="CN3" s="159">
        <v>45126.0</v>
      </c>
      <c r="CO3" s="159">
        <v>45127.0</v>
      </c>
      <c r="CP3" s="159">
        <v>45128.0</v>
      </c>
      <c r="CQ3" s="159">
        <v>45131.0</v>
      </c>
      <c r="CR3" s="159">
        <v>45132.0</v>
      </c>
      <c r="CS3" s="159">
        <v>45133.0</v>
      </c>
      <c r="CT3" s="159">
        <v>45134.0</v>
      </c>
      <c r="CU3" s="159">
        <v>45135.0</v>
      </c>
      <c r="CV3" s="159">
        <v>45138.0</v>
      </c>
      <c r="CW3" s="159">
        <v>45139.0</v>
      </c>
      <c r="CX3" s="159">
        <v>45140.0</v>
      </c>
      <c r="CY3" s="159">
        <v>45141.0</v>
      </c>
      <c r="CZ3" s="159">
        <v>45142.0</v>
      </c>
      <c r="DA3" s="159">
        <v>45145.0</v>
      </c>
      <c r="DB3" s="159">
        <v>45146.0</v>
      </c>
      <c r="DC3" s="159">
        <v>45147.0</v>
      </c>
      <c r="DD3" s="159">
        <v>45148.0</v>
      </c>
      <c r="DE3" s="159">
        <v>45149.0</v>
      </c>
      <c r="DF3" s="159">
        <v>45152.0</v>
      </c>
      <c r="DG3" s="159">
        <v>45153.0</v>
      </c>
      <c r="DH3" s="159">
        <v>45154.0</v>
      </c>
      <c r="DI3" s="159">
        <v>45155.0</v>
      </c>
      <c r="DJ3" s="159">
        <v>45156.0</v>
      </c>
      <c r="DK3" s="159">
        <v>45159.0</v>
      </c>
      <c r="DL3" s="159">
        <v>45160.0</v>
      </c>
      <c r="DM3" s="159">
        <v>45161.0</v>
      </c>
      <c r="DN3" s="159">
        <v>45162.0</v>
      </c>
      <c r="DO3" s="159">
        <v>45163.0</v>
      </c>
      <c r="DP3" s="159">
        <v>45166.0</v>
      </c>
      <c r="DQ3" s="159">
        <v>45167.0</v>
      </c>
      <c r="DR3" s="159">
        <v>45168.0</v>
      </c>
      <c r="DS3" s="159">
        <v>45169.0</v>
      </c>
      <c r="DT3" s="159">
        <v>45170.0</v>
      </c>
      <c r="DU3" s="155"/>
      <c r="DV3" s="155"/>
      <c r="DW3" s="155"/>
      <c r="DX3" s="155"/>
      <c r="DY3" s="155"/>
      <c r="DZ3" s="155"/>
      <c r="EA3" s="155"/>
      <c r="EB3" s="155"/>
      <c r="EC3" s="155"/>
      <c r="ED3" s="155"/>
      <c r="EE3" s="155"/>
    </row>
    <row r="4">
      <c r="A4" s="159">
        <f>IFERROR(__xludf.DUMMYFUNCTION("VSTACK(unique('Histórico'!$A2:$A1000))"),45005.0)</f>
        <v>45005</v>
      </c>
      <c r="B4" s="160">
        <f>VLOOKUP($A4,Controle!$B$10:$P$242,MATCH(RIGHT(B$3,LEN(B$3)-5),Controle!$B$2:$P$2))/1000000</f>
        <v>100</v>
      </c>
      <c r="C4" s="160">
        <f>VLOOKUP($A4,Controle!$B$10:$P$242,MATCH(RIGHT(C$3,LEN(C$3)-5),Controle!$B$2:$P$2))/1000000</f>
        <v>100</v>
      </c>
      <c r="D4" s="160">
        <f>VLOOKUP($A4,Controle!$B$10:$P$242,MATCH(RIGHT(D$3,LEN(D$3)-5),Controle!$B$2:$P$2))/1000000</f>
        <v>100</v>
      </c>
      <c r="E4" s="160">
        <f>VLOOKUP($A4,Controle!$B$10:$P$242,MATCH(RIGHT(E$3,LEN(E$3)-5),Controle!$B$2:$P$2))/1000000</f>
        <v>100</v>
      </c>
      <c r="G4" s="155" t="s">
        <v>157</v>
      </c>
      <c r="H4" s="155" t="str">
        <f t="array" ref="H4">XLOOKUP($G4,'Cadastro dos Ativos'!$A:$A,'Cadastro dos Ativos'!$C:$C)</f>
        <v>Ações Listadas na B3</v>
      </c>
      <c r="I4" s="155" t="str">
        <f>IFS(OR($H4="Ações Listadas na B3",$H4="Ações Americanas",$D18="Moedas",$H4="Ações Europeias",$H4="Títulos"),$AA18,
$H4="Futuros",
(SUMIFS('Alocação'!$O$3:$O$1002,'Alocação'!$C$3:$C$1002,$G4,'Alocação'!$B$3:$B$1002,"&lt;="&amp;$H$2))*HLOOKUP($G4,'Histórico'!$A$1:$DD$990,MATCH($G$2,'Histórico'!$A:$A),FALSE),
$D18="",""
)</f>
        <v/>
      </c>
    </row>
    <row r="5">
      <c r="A5" s="157">
        <f>IFERROR(__xludf.DUMMYFUNCTION("""COMPUTED_VALUE"""),45006.0)</f>
        <v>45006</v>
      </c>
      <c r="B5" s="160">
        <f>VLOOKUP($A5,Controle!$B$10:$P$242,MATCH(RIGHT(B$3,LEN(B$3)-5),Controle!$B$2:$P$2))/1000000</f>
        <v>100.0448795</v>
      </c>
      <c r="C5" s="160">
        <f>VLOOKUP($A5,Controle!$B$10:$P$242,MATCH(RIGHT(C$3,LEN(C$3)-5),Controle!$B$2:$P$2))/1000000</f>
        <v>100.0448795</v>
      </c>
      <c r="D5" s="160">
        <f>VLOOKUP($A5,Controle!$B$10:$P$242,MATCH(RIGHT(D$3,LEN(D$3)-5),Controle!$B$2:$P$2))/1000000</f>
        <v>100.0431286</v>
      </c>
      <c r="E5" s="160">
        <f>VLOOKUP($A5,Controle!$B$10:$P$242,MATCH(RIGHT(E$3,LEN(E$3)-5),Controle!$B$2:$P$2))/1000000</f>
        <v>100.0448795</v>
      </c>
      <c r="G5" s="155" t="s">
        <v>15</v>
      </c>
      <c r="H5" s="155" t="str">
        <f t="array" ref="H5">XLOOKUP($G5,'Cadastro dos Ativos'!$A:$A,'Cadastro dos Ativos'!$C:$C)</f>
        <v>Ações Listadas na B3</v>
      </c>
      <c r="I5" s="155" t="str">
        <f>IFS(OR($H5="Ações Listadas na B3",$H5="Ações Americanas",$D19="Moedas",$H5="Ações Europeias",$H5="Títulos"),$AA19,
$H5="Futuros",
(SUMIFS('Alocação'!$O$3:$O$1002,'Alocação'!$C$3:$C$1002,$G5,'Alocação'!$B$3:$B$1002,"&lt;="&amp;$H$2))*HLOOKUP($G5,'Histórico'!$A$1:$DD$990,MATCH($G$2,'Histórico'!$A:$A),FALSE),
$D19="",""
)</f>
        <v/>
      </c>
    </row>
    <row r="6">
      <c r="A6" s="157">
        <f>IFERROR(__xludf.DUMMYFUNCTION("""COMPUTED_VALUE"""),45007.0)</f>
        <v>45007</v>
      </c>
      <c r="B6" s="160">
        <f>VLOOKUP($A6,Controle!$B$10:$P$242,MATCH(RIGHT(B$3,LEN(B$3)-5),Controle!$B$2:$P$2))/1000000</f>
        <v>100.08978</v>
      </c>
      <c r="C6" s="160">
        <f>VLOOKUP($A6,Controle!$B$10:$P$242,MATCH(RIGHT(C$3,LEN(C$3)-5),Controle!$B$2:$P$2))/1000000</f>
        <v>100.08978</v>
      </c>
      <c r="D6" s="160">
        <f>VLOOKUP($A6,Controle!$B$10:$P$242,MATCH(RIGHT(D$3,LEN(D$3)-5),Controle!$B$2:$P$2))/1000000</f>
        <v>100.0862759</v>
      </c>
      <c r="E6" s="160">
        <f>VLOOKUP($A6,Controle!$B$10:$P$242,MATCH(RIGHT(E$3,LEN(E$3)-5),Controle!$B$2:$P$2))/1000000</f>
        <v>100.08978</v>
      </c>
      <c r="G6" s="155" t="s">
        <v>149</v>
      </c>
      <c r="H6" s="155" t="str">
        <f t="array" ref="H6">XLOOKUP($G6,'Cadastro dos Ativos'!$A:$A,'Cadastro dos Ativos'!$C:$C)</f>
        <v>Ações Listadas na B3</v>
      </c>
      <c r="I6" s="155" t="str">
        <f>IFS(OR($H6="Ações Listadas na B3",$H6="Ações Americanas",$D20="Moedas",$H6="Ações Europeias",$H6="Títulos"),$AA20,
$H6="Futuros",
(SUMIFS('Alocação'!$O$3:$O$1002,'Alocação'!$C$3:$C$1002,$G6,'Alocação'!$B$3:$B$1002,"&lt;="&amp;$H$2))*HLOOKUP($G6,'Histórico'!$A$1:$DD$990,MATCH($G$2,'Histórico'!$A:$A),FALSE),
$D20="",""
)</f>
        <v/>
      </c>
    </row>
    <row r="7">
      <c r="A7" s="157">
        <f>IFERROR(__xludf.DUMMYFUNCTION("""COMPUTED_VALUE"""),45008.0)</f>
        <v>45008</v>
      </c>
      <c r="B7" s="160">
        <f>VLOOKUP($A7,Controle!$B$10:$P$242,MATCH(RIGHT(B$3,LEN(B$3)-5),Controle!$B$2:$P$2))/1000000</f>
        <v>100.134701</v>
      </c>
      <c r="C7" s="160">
        <f>VLOOKUP($A7,Controle!$B$10:$P$242,MATCH(RIGHT(C$3,LEN(C$3)-5),Controle!$B$2:$P$2))/1000000</f>
        <v>100.134701</v>
      </c>
      <c r="D7" s="160">
        <f>VLOOKUP($A7,Controle!$B$10:$P$242,MATCH(RIGHT(D$3,LEN(D$3)-5),Controle!$B$2:$P$2))/1000000</f>
        <v>100.1294417</v>
      </c>
      <c r="E7" s="160">
        <f>VLOOKUP($A7,Controle!$B$10:$P$242,MATCH(RIGHT(E$3,LEN(E$3)-5),Controle!$B$2:$P$2))/1000000</f>
        <v>100.134701</v>
      </c>
      <c r="G7" s="155" t="s">
        <v>36</v>
      </c>
      <c r="H7" s="155" t="str">
        <f t="array" ref="H7">XLOOKUP($G7,'Cadastro dos Ativos'!$A:$A,'Cadastro dos Ativos'!$C:$C)</f>
        <v>Ações Americanas</v>
      </c>
      <c r="I7" s="155" t="str">
        <f>IFS(OR($H7="Ações Listadas na B3",$H7="Ações Americanas",$D21="Moedas",$H7="Ações Europeias",$H7="Títulos"),$AA21,
$H7="Futuros",
(SUMIFS('Alocação'!$O$3:$O$1002,'Alocação'!$C$3:$C$1002,$G7,'Alocação'!$B$3:$B$1002,"&lt;="&amp;$H$2))*HLOOKUP($G7,'Histórico'!$A$1:$DD$990,MATCH($G$2,'Histórico'!$A:$A),FALSE),
$D21="",""
)</f>
        <v/>
      </c>
    </row>
    <row r="8">
      <c r="A8" s="157">
        <f>IFERROR(__xludf.DUMMYFUNCTION("""COMPUTED_VALUE"""),45009.0)</f>
        <v>45009</v>
      </c>
      <c r="B8" s="160">
        <f>VLOOKUP($A8,Controle!$B$10:$P$242,MATCH(RIGHT(B$3,LEN(B$3)-5),Controle!$B$2:$P$2))/1000000</f>
        <v>100.1796523</v>
      </c>
      <c r="C8" s="160">
        <f>VLOOKUP($A8,Controle!$B$10:$P$242,MATCH(RIGHT(C$3,LEN(C$3)-5),Controle!$B$2:$P$2))/1000000</f>
        <v>100.1796523</v>
      </c>
      <c r="D8" s="160">
        <f>VLOOKUP($A8,Controle!$B$10:$P$242,MATCH(RIGHT(D$3,LEN(D$3)-5),Controle!$B$2:$P$2))/1000000</f>
        <v>100.1726262</v>
      </c>
      <c r="E8" s="160">
        <f>VLOOKUP($A8,Controle!$B$10:$P$242,MATCH(RIGHT(E$3,LEN(E$3)-5),Controle!$B$2:$P$2))/1000000</f>
        <v>100.1796523</v>
      </c>
      <c r="G8" s="155" t="s">
        <v>84</v>
      </c>
      <c r="H8" s="155" t="str">
        <f t="array" ref="H8">XLOOKUP($G8,'Cadastro dos Ativos'!$A:$A,'Cadastro dos Ativos'!$C:$C)</f>
        <v>Ações Listadas na B3</v>
      </c>
      <c r="I8" s="155" t="str">
        <f>IFS(OR($H8="Ações Listadas na B3",$H8="Ações Americanas",$D22="Moedas",$H8="Ações Europeias",$H8="Títulos"),$AA22,
$H8="Futuros",
(SUMIFS('Alocação'!$O$3:$O$1002,'Alocação'!$C$3:$C$1002,$G8,'Alocação'!$B$3:$B$1002,"&lt;="&amp;$H$2))*HLOOKUP($G8,'Histórico'!$A$1:$DD$990,MATCH($G$2,'Histórico'!$A:$A),FALSE),
$D22="",""
)</f>
        <v/>
      </c>
    </row>
    <row r="9">
      <c r="A9" s="157">
        <f>IFERROR(__xludf.DUMMYFUNCTION("""COMPUTED_VALUE"""),45012.0)</f>
        <v>45012</v>
      </c>
      <c r="B9" s="160">
        <f>VLOOKUP($A9,Controle!$B$10:$P$242,MATCH(RIGHT(B$3,LEN(B$3)-5),Controle!$B$2:$P$2))/1000000</f>
        <v>100.2246126</v>
      </c>
      <c r="C9" s="160">
        <f>VLOOKUP($A9,Controle!$B$10:$P$242,MATCH(RIGHT(C$3,LEN(C$3)-5),Controle!$B$2:$P$2))/1000000</f>
        <v>100.2246126</v>
      </c>
      <c r="D9" s="160">
        <f>VLOOKUP($A9,Controle!$B$10:$P$242,MATCH(RIGHT(D$3,LEN(D$3)-5),Controle!$B$2:$P$2))/1000000</f>
        <v>100.2158293</v>
      </c>
      <c r="E9" s="160">
        <f>VLOOKUP($A9,Controle!$B$10:$P$242,MATCH(RIGHT(E$3,LEN(E$3)-5),Controle!$B$2:$P$2))/1000000</f>
        <v>100.2246126</v>
      </c>
      <c r="G9" s="155" t="s">
        <v>153</v>
      </c>
      <c r="H9" s="155" t="str">
        <f t="array" ref="H9">XLOOKUP($G9,'Cadastro dos Ativos'!$A:$A,'Cadastro dos Ativos'!$C:$C)</f>
        <v>Ações Americanas</v>
      </c>
      <c r="I9" s="155" t="str">
        <f>IFS(OR($H9="Ações Listadas na B3",$H9="Ações Americanas",$D23="Moedas",$H9="Ações Europeias",$H9="Títulos"),$AA23,
$H9="Futuros",
(SUMIFS('Alocação'!$O$3:$O$1002,'Alocação'!$C$3:$C$1002,$G9,'Alocação'!$B$3:$B$1002,"&lt;="&amp;$H$2))*HLOOKUP($G9,'Histórico'!$A$1:$DD$990,MATCH($G$2,'Histórico'!$A:$A),FALSE),
$D23="",""
)</f>
        <v/>
      </c>
    </row>
    <row r="10">
      <c r="A10" s="157">
        <f>IFERROR(__xludf.DUMMYFUNCTION("""COMPUTED_VALUE"""),45013.0)</f>
        <v>45013</v>
      </c>
      <c r="B10" s="160">
        <f>VLOOKUP($A10,Controle!$B$10:$P$242,MATCH(RIGHT(B$3,LEN(B$3)-5),Controle!$B$2:$P$2))/1000000</f>
        <v>100.269593</v>
      </c>
      <c r="C10" s="160">
        <f>VLOOKUP($A10,Controle!$B$10:$P$242,MATCH(RIGHT(C$3,LEN(C$3)-5),Controle!$B$2:$P$2))/1000000</f>
        <v>100.269593</v>
      </c>
      <c r="D10" s="160">
        <f>VLOOKUP($A10,Controle!$B$10:$P$242,MATCH(RIGHT(D$3,LEN(D$3)-5),Controle!$B$2:$P$2))/1000000</f>
        <v>100.259051</v>
      </c>
      <c r="E10" s="160">
        <f>VLOOKUP($A10,Controle!$B$10:$P$242,MATCH(RIGHT(E$3,LEN(E$3)-5),Controle!$B$2:$P$2))/1000000</f>
        <v>100.269593</v>
      </c>
      <c r="G10" s="155" t="s">
        <v>96</v>
      </c>
      <c r="H10" s="155" t="str">
        <f t="array" ref="H10">XLOOKUP($G10,'Cadastro dos Ativos'!$A:$A,'Cadastro dos Ativos'!$C:$C)</f>
        <v>Futuros</v>
      </c>
      <c r="I10" s="155">
        <f>IFS(OR($H10="Ações Listadas na B3",$H10="Ações Americanas",$D24="Moedas",$H10="Ações Europeias",$H10="Títulos"),$AA24,
$H10="Futuros",
(SUMIFS('Alocação'!$O$3:$O$1002,'Alocação'!$C$3:$C$1002,$G10,'Alocação'!$B$3:$B$1002,"&lt;="&amp;$H$2))*HLOOKUP($G10,'Histórico'!$A$1:$DD$990,MATCH($G$2,'Histórico'!$A:$A),FALSE),
$D24="",""
)</f>
        <v>0</v>
      </c>
    </row>
    <row r="11">
      <c r="A11" s="157">
        <f>IFERROR(__xludf.DUMMYFUNCTION("""COMPUTED_VALUE"""),45014.0)</f>
        <v>45014</v>
      </c>
      <c r="B11" s="160">
        <f>VLOOKUP($A11,Controle!$B$10:$P$242,MATCH(RIGHT(B$3,LEN(B$3)-5),Controle!$B$2:$P$2))/1000000</f>
        <v>100.3145937</v>
      </c>
      <c r="C11" s="160">
        <f>VLOOKUP($A11,Controle!$B$10:$P$242,MATCH(RIGHT(C$3,LEN(C$3)-5),Controle!$B$2:$P$2))/1000000</f>
        <v>100.3308924</v>
      </c>
      <c r="D11" s="160">
        <f>VLOOKUP($A11,Controle!$B$10:$P$242,MATCH(RIGHT(D$3,LEN(D$3)-5),Controle!$B$2:$P$2))/1000000</f>
        <v>100.3022914</v>
      </c>
      <c r="E11" s="160">
        <f>VLOOKUP($A11,Controle!$B$10:$P$242,MATCH(RIGHT(E$3,LEN(E$3)-5),Controle!$B$2:$P$2))/1000000</f>
        <v>100.3145937</v>
      </c>
      <c r="G11" s="155" t="s">
        <v>23</v>
      </c>
      <c r="H11" s="155" t="str">
        <f t="array" ref="H11">XLOOKUP($G11,'Cadastro dos Ativos'!$A:$A,'Cadastro dos Ativos'!$C:$C)</f>
        <v>Futuros</v>
      </c>
      <c r="I11" s="155">
        <f>IFS(OR($H11="Ações Listadas na B3",$H11="Ações Americanas",$D25="Moedas",$H11="Ações Europeias",$H11="Títulos"),$AA25,
$H11="Futuros",
(SUMIFS('Alocação'!$O$3:$O$1002,'Alocação'!$C$3:$C$1002,$G11,'Alocação'!$B$3:$B$1002,"&lt;="&amp;$H$2))*HLOOKUP($G11,'Histórico'!$A$1:$DD$990,MATCH($G$2,'Histórico'!$A:$A),FALSE),
$D25="",""
)</f>
        <v>0</v>
      </c>
    </row>
    <row r="12">
      <c r="A12" s="157">
        <f>IFERROR(__xludf.DUMMYFUNCTION("""COMPUTED_VALUE"""),45015.0)</f>
        <v>45015</v>
      </c>
      <c r="B12" s="160">
        <f>VLOOKUP($A12,Controle!$B$10:$P$242,MATCH(RIGHT(B$3,LEN(B$3)-5),Controle!$B$2:$P$2))/1000000</f>
        <v>100.3596024</v>
      </c>
      <c r="C12" s="160">
        <f>VLOOKUP($A12,Controle!$B$10:$P$242,MATCH(RIGHT(C$3,LEN(C$3)-5),Controle!$B$2:$P$2))/1000000</f>
        <v>100.3759085</v>
      </c>
      <c r="D12" s="160">
        <f>VLOOKUP($A12,Controle!$B$10:$P$242,MATCH(RIGHT(D$3,LEN(D$3)-5),Controle!$B$2:$P$2))/1000000</f>
        <v>100.3455504</v>
      </c>
      <c r="E12" s="160">
        <f>VLOOKUP($A12,Controle!$B$10:$P$242,MATCH(RIGHT(E$3,LEN(E$3)-5),Controle!$B$2:$P$2))/1000000</f>
        <v>100.3596024</v>
      </c>
      <c r="G12" s="155" t="s">
        <v>121</v>
      </c>
      <c r="H12" s="155" t="str">
        <f t="array" ref="H12">XLOOKUP($G12,'Cadastro dos Ativos'!$A:$A,'Cadastro dos Ativos'!$C:$C)</f>
        <v>Futuros</v>
      </c>
      <c r="I12" s="155">
        <f>IFS(OR($H12="Ações Listadas na B3",$H12="Ações Americanas",$D26="Moedas",$H12="Ações Europeias",$H12="Títulos"),$AA26,
$H12="Futuros",
(SUMIFS('Alocação'!$O$3:$O$1002,'Alocação'!$C$3:$C$1002,$G12,'Alocação'!$B$3:$B$1002,"&lt;="&amp;$H$2))*HLOOKUP($G12,'Histórico'!$A$1:$DD$990,MATCH($G$2,'Histórico'!$A:$A),FALSE),
$D26="",""
)</f>
        <v>0</v>
      </c>
    </row>
    <row r="13">
      <c r="A13" s="157">
        <f>IFERROR(__xludf.DUMMYFUNCTION("""COMPUTED_VALUE"""),45016.0)</f>
        <v>45016</v>
      </c>
      <c r="B13" s="160">
        <f>VLOOKUP($A13,Controle!$B$10:$P$242,MATCH(RIGHT(B$3,LEN(B$3)-5),Controle!$B$2:$P$2))/1000000</f>
        <v>100.4046435</v>
      </c>
      <c r="C13" s="160">
        <f>VLOOKUP($A13,Controle!$B$10:$P$242,MATCH(RIGHT(C$3,LEN(C$3)-5),Controle!$B$2:$P$2))/1000000</f>
        <v>100.8258791</v>
      </c>
      <c r="D13" s="160">
        <f>VLOOKUP($A13,Controle!$B$10:$P$242,MATCH(RIGHT(D$3,LEN(D$3)-5),Controle!$B$2:$P$2))/1000000</f>
        <v>100.3888281</v>
      </c>
      <c r="E13" s="160">
        <f>VLOOKUP($A13,Controle!$B$10:$P$242,MATCH(RIGHT(E$3,LEN(E$3)-5),Controle!$B$2:$P$2))/1000000</f>
        <v>100.4046435</v>
      </c>
      <c r="G13" s="155" t="s">
        <v>126</v>
      </c>
      <c r="H13" s="155" t="str">
        <f t="array" ref="H13">XLOOKUP($G13,'Cadastro dos Ativos'!$A:$A,'Cadastro dos Ativos'!$C:$C)</f>
        <v>Futuros</v>
      </c>
      <c r="I13" s="155">
        <f>IFS(OR($H13="Ações Listadas na B3",$H13="Ações Americanas",$D27="Moedas",$H13="Ações Europeias",$H13="Títulos"),$AA27,
$H13="Futuros",
(SUMIFS('Alocação'!$O$3:$O$1002,'Alocação'!$C$3:$C$1002,$G13,'Alocação'!$B$3:$B$1002,"&lt;="&amp;$H$2))*HLOOKUP($G13,'Histórico'!$A$1:$DD$990,MATCH($G$2,'Histórico'!$A:$A),FALSE),
$D27="",""
)</f>
        <v>0</v>
      </c>
    </row>
    <row r="14">
      <c r="A14" s="157">
        <f>IFERROR(__xludf.DUMMYFUNCTION("""COMPUTED_VALUE"""),45019.0)</f>
        <v>45019</v>
      </c>
      <c r="B14" s="160">
        <f>VLOOKUP($A14,Controle!$B$10:$P$242,MATCH(RIGHT(B$3,LEN(B$3)-5),Controle!$B$2:$P$2))/1000000</f>
        <v>100.4497053</v>
      </c>
      <c r="C14" s="160">
        <f>VLOOKUP($A14,Controle!$B$10:$P$242,MATCH(RIGHT(C$3,LEN(C$3)-5),Controle!$B$2:$P$2))/1000000</f>
        <v>102.9366539</v>
      </c>
      <c r="D14" s="160">
        <f>VLOOKUP($A14,Controle!$B$10:$P$242,MATCH(RIGHT(D$3,LEN(D$3)-5),Controle!$B$2:$P$2))/1000000</f>
        <v>100.4321245</v>
      </c>
      <c r="E14" s="160">
        <f>VLOOKUP($A14,Controle!$B$10:$P$242,MATCH(RIGHT(E$3,LEN(E$3)-5),Controle!$B$2:$P$2))/1000000</f>
        <v>100.4497053</v>
      </c>
      <c r="G14" s="155" t="s">
        <v>165</v>
      </c>
      <c r="H14" s="155" t="str">
        <f t="array" ref="H14">XLOOKUP($G14,'Cadastro dos Ativos'!$A:$A,'Cadastro dos Ativos'!$C:$C)</f>
        <v>Futuros</v>
      </c>
      <c r="I14" s="155">
        <f>IFS(OR($H14="Ações Listadas na B3",$H14="Ações Americanas",$D28="Moedas",$H14="Ações Europeias",$H14="Títulos"),$AA28,
$H14="Futuros",
(SUMIFS('Alocação'!$O$3:$O$1002,'Alocação'!$C$3:$C$1002,$G14,'Alocação'!$B$3:$B$1002,"&lt;="&amp;$H$2))*HLOOKUP($G14,'Histórico'!$A$1:$DD$990,MATCH($G$2,'Histórico'!$A:$A),FALSE),
$D28="",""
)</f>
        <v>-27142.5</v>
      </c>
    </row>
    <row r="15">
      <c r="A15" s="157">
        <f>IFERROR(__xludf.DUMMYFUNCTION("""COMPUTED_VALUE"""),45020.0)</f>
        <v>45020</v>
      </c>
      <c r="B15" s="160">
        <f>VLOOKUP($A15,Controle!$B$10:$P$242,MATCH(RIGHT(B$3,LEN(B$3)-5),Controle!$B$2:$P$2))/1000000</f>
        <v>101.3236942</v>
      </c>
      <c r="C15" s="160">
        <f>VLOOKUP($A15,Controle!$B$10:$P$242,MATCH(RIGHT(C$3,LEN(C$3)-5),Controle!$B$2:$P$2))/1000000</f>
        <v>102.2701022</v>
      </c>
      <c r="D15" s="160">
        <f>VLOOKUP($A15,Controle!$B$10:$P$242,MATCH(RIGHT(D$3,LEN(D$3)-5),Controle!$B$2:$P$2))/1000000</f>
        <v>100.4754395</v>
      </c>
      <c r="E15" s="160">
        <f>VLOOKUP($A15,Controle!$B$10:$P$242,MATCH(RIGHT(E$3,LEN(E$3)-5),Controle!$B$2:$P$2))/1000000</f>
        <v>101.3236942</v>
      </c>
      <c r="G15" s="155" t="s">
        <v>32</v>
      </c>
      <c r="H15" s="155" t="str">
        <f t="array" ref="H15">XLOOKUP($G15,'Cadastro dos Ativos'!$A:$A,'Cadastro dos Ativos'!$C:$C)</f>
        <v>Ações Americanas</v>
      </c>
      <c r="I15" s="155" t="str">
        <f>IFS(OR($H15="Ações Listadas na B3",$H15="Ações Americanas",$D29="Moedas",$H15="Ações Europeias",$H15="Títulos"),$AA29,
$H15="Futuros",
(SUMIFS('Alocação'!$O$3:$O$1002,'Alocação'!$C$3:$C$1002,$G15,'Alocação'!$B$3:$B$1002,"&lt;="&amp;$H$2))*HLOOKUP($G15,'Histórico'!$A$1:$DD$990,MATCH($G$2,'Histórico'!$A:$A),FALSE),
$D29="",""
)</f>
        <v/>
      </c>
    </row>
    <row r="16">
      <c r="A16" s="157">
        <f>IFERROR(__xludf.DUMMYFUNCTION("""COMPUTED_VALUE"""),45021.0)</f>
        <v>45021</v>
      </c>
      <c r="B16" s="160">
        <f>VLOOKUP($A16,Controle!$B$10:$P$242,MATCH(RIGHT(B$3,LEN(B$3)-5),Controle!$B$2:$P$2))/1000000</f>
        <v>100.8114027</v>
      </c>
      <c r="C16" s="160">
        <f>VLOOKUP($A16,Controle!$B$10:$P$242,MATCH(RIGHT(C$3,LEN(C$3)-5),Controle!$B$2:$P$2))/1000000</f>
        <v>101.5496247</v>
      </c>
      <c r="D16" s="160">
        <f>VLOOKUP($A16,Controle!$B$10:$P$242,MATCH(RIGHT(D$3,LEN(D$3)-5),Controle!$B$2:$P$2))/1000000</f>
        <v>100.5187732</v>
      </c>
      <c r="E16" s="160">
        <f>VLOOKUP($A16,Controle!$B$10:$P$242,MATCH(RIGHT(E$3,LEN(E$3)-5),Controle!$B$2:$P$2))/1000000</f>
        <v>100.8114027</v>
      </c>
      <c r="G16" s="155" t="s">
        <v>107</v>
      </c>
      <c r="H16" s="155" t="str">
        <f t="array" ref="H16">XLOOKUP($G16,'Cadastro dos Ativos'!$A:$A,'Cadastro dos Ativos'!$C:$C)</f>
        <v>Ações Americanas</v>
      </c>
      <c r="I16" s="155" t="str">
        <f>IFS(OR($H16="Ações Listadas na B3",$H16="Ações Americanas",$D30="Moedas",$H16="Ações Europeias",$H16="Títulos"),$AA30,
$H16="Futuros",
(SUMIFS('Alocação'!$O$3:$O$1002,'Alocação'!$C$3:$C$1002,$G16,'Alocação'!$B$3:$B$1002,"&lt;="&amp;$H$2))*HLOOKUP($G16,'Histórico'!$A$1:$DD$990,MATCH($G$2,'Histórico'!$A:$A),FALSE),
$D30="",""
)</f>
        <v/>
      </c>
    </row>
    <row r="17">
      <c r="A17" s="157">
        <f>IFERROR(__xludf.DUMMYFUNCTION("""COMPUTED_VALUE"""),45022.0)</f>
        <v>45022</v>
      </c>
      <c r="B17" s="160">
        <f>VLOOKUP($A17,Controle!$B$10:$P$242,MATCH(RIGHT(B$3,LEN(B$3)-5),Controle!$B$2:$P$2))/1000000</f>
        <v>100.6266041</v>
      </c>
      <c r="C17" s="160">
        <f>VLOOKUP($A17,Controle!$B$10:$P$242,MATCH(RIGHT(C$3,LEN(C$3)-5),Controle!$B$2:$P$2))/1000000</f>
        <v>101.5202475</v>
      </c>
      <c r="D17" s="160">
        <f>VLOOKUP($A17,Controle!$B$10:$P$242,MATCH(RIGHT(D$3,LEN(D$3)-5),Controle!$B$2:$P$2))/1000000</f>
        <v>100.5621256</v>
      </c>
      <c r="E17" s="160">
        <f>VLOOKUP($A17,Controle!$B$10:$P$242,MATCH(RIGHT(E$3,LEN(E$3)-5),Controle!$B$2:$P$2))/1000000</f>
        <v>100.6266041</v>
      </c>
      <c r="G17" s="155" t="s">
        <v>159</v>
      </c>
      <c r="H17" s="155" t="str">
        <f t="array" ref="H17">XLOOKUP($G17,'Cadastro dos Ativos'!$A:$A,'Cadastro dos Ativos'!$C:$C)</f>
        <v>Futuros</v>
      </c>
      <c r="I17" s="155">
        <f>IFS(OR($H17="Ações Listadas na B3",$H17="Ações Americanas",$D31="Moedas",$H17="Ações Europeias",$H17="Títulos"),$AA31,
$H17="Futuros",
(SUMIFS('Alocação'!$O$3:$O$1002,'Alocação'!$C$3:$C$1002,$G17,'Alocação'!$B$3:$B$1002,"&lt;="&amp;$H$2))*HLOOKUP($G17,'Histórico'!$A$1:$DD$990,MATCH($G$2,'Histórico'!$A:$A),FALSE),
$D31="",""
)</f>
        <v>-77.49</v>
      </c>
    </row>
    <row r="18">
      <c r="A18" s="157">
        <f>IFERROR(__xludf.DUMMYFUNCTION("""COMPUTED_VALUE"""),45026.0)</f>
        <v>45026</v>
      </c>
      <c r="B18" s="160">
        <f>VLOOKUP($A18,Controle!$B$10:$P$242,MATCH(RIGHT(B$3,LEN(B$3)-5),Controle!$B$2:$P$2))/1000000</f>
        <v>99.84246017</v>
      </c>
      <c r="C18" s="160">
        <f>VLOOKUP($A18,Controle!$B$10:$P$242,MATCH(RIGHT(C$3,LEN(C$3)-5),Controle!$B$2:$P$2))/1000000</f>
        <v>100.643164</v>
      </c>
      <c r="D18" s="160">
        <f>VLOOKUP($A18,Controle!$B$10:$P$242,MATCH(RIGHT(D$3,LEN(D$3)-5),Controle!$B$2:$P$2))/1000000</f>
        <v>100.6054966</v>
      </c>
      <c r="E18" s="160">
        <f>VLOOKUP($A18,Controle!$B$10:$P$242,MATCH(RIGHT(E$3,LEN(E$3)-5),Controle!$B$2:$P$2))/1000000</f>
        <v>99.84246017</v>
      </c>
      <c r="G18" s="155" t="s">
        <v>17</v>
      </c>
      <c r="H18" s="155" t="str">
        <f t="array" ref="H18">XLOOKUP($G18,'Cadastro dos Ativos'!$A:$A,'Cadastro dos Ativos'!$C:$C)</f>
        <v>Futuros</v>
      </c>
      <c r="I18" s="155">
        <f>IFS(OR($H18="Ações Listadas na B3",$H18="Ações Americanas",$D32="Moedas",$H18="Ações Europeias",$H18="Títulos"),$AA32,
$H18="Futuros",
(SUMIFS('Alocação'!$O$3:$O$1002,'Alocação'!$C$3:$C$1002,$G18,'Alocação'!$B$3:$B$1002,"&lt;="&amp;$H$2))*HLOOKUP($G18,'Histórico'!$A$1:$DD$990,MATCH($G$2,'Histórico'!$A:$A),FALSE),
$D32="",""
)</f>
        <v>0</v>
      </c>
    </row>
    <row r="19">
      <c r="A19" s="157">
        <f>IFERROR(__xludf.DUMMYFUNCTION("""COMPUTED_VALUE"""),45027.0)</f>
        <v>45027</v>
      </c>
      <c r="B19" s="160">
        <f>VLOOKUP($A19,Controle!$B$10:$P$242,MATCH(RIGHT(B$3,LEN(B$3)-5),Controle!$B$2:$P$2))/1000000</f>
        <v>100.6008791</v>
      </c>
      <c r="C19" s="160">
        <f>VLOOKUP($A19,Controle!$B$10:$P$242,MATCH(RIGHT(C$3,LEN(C$3)-5),Controle!$B$2:$P$2))/1000000</f>
        <v>101.3579439</v>
      </c>
      <c r="D19" s="160">
        <f>VLOOKUP($A19,Controle!$B$10:$P$242,MATCH(RIGHT(D$3,LEN(D$3)-5),Controle!$B$2:$P$2))/1000000</f>
        <v>100.6488864</v>
      </c>
      <c r="E19" s="160">
        <f>VLOOKUP($A19,Controle!$B$10:$P$242,MATCH(RIGHT(E$3,LEN(E$3)-5),Controle!$B$2:$P$2))/1000000</f>
        <v>100.6008791</v>
      </c>
      <c r="G19" s="155" t="s">
        <v>119</v>
      </c>
      <c r="H19" s="155" t="str">
        <f t="array" ref="H19">XLOOKUP($G19,'Cadastro dos Ativos'!$A:$A,'Cadastro dos Ativos'!$C:$C)</f>
        <v>Futuros</v>
      </c>
      <c r="I19" s="155">
        <f>IFS(OR($H19="Ações Listadas na B3",$H19="Ações Americanas",$D33="Moedas",$H19="Ações Europeias",$H19="Títulos"),$AA33,
$H19="Futuros",
(SUMIFS('Alocação'!$O$3:$O$1002,'Alocação'!$C$3:$C$1002,$G19,'Alocação'!$B$3:$B$1002,"&lt;="&amp;$H$2))*HLOOKUP($G19,'Histórico'!$A$1:$DD$990,MATCH($G$2,'Histórico'!$A:$A),FALSE),
$D33="",""
)</f>
        <v>0</v>
      </c>
    </row>
    <row r="20">
      <c r="A20" s="157">
        <f>IFERROR(__xludf.DUMMYFUNCTION("""COMPUTED_VALUE"""),45028.0)</f>
        <v>45028</v>
      </c>
      <c r="B20" s="160">
        <f>VLOOKUP($A20,Controle!$B$10:$P$242,MATCH(RIGHT(B$3,LEN(B$3)-5),Controle!$B$2:$P$2))/1000000</f>
        <v>101.1162915</v>
      </c>
      <c r="C20" s="160">
        <f>VLOOKUP($A20,Controle!$B$10:$P$242,MATCH(RIGHT(C$3,LEN(C$3)-5),Controle!$B$2:$P$2))/1000000</f>
        <v>102.0628465</v>
      </c>
      <c r="D20" s="160">
        <f>VLOOKUP($A20,Controle!$B$10:$P$242,MATCH(RIGHT(D$3,LEN(D$3)-5),Controle!$B$2:$P$2))/1000000</f>
        <v>100.6922949</v>
      </c>
      <c r="E20" s="160">
        <f>VLOOKUP($A20,Controle!$B$10:$P$242,MATCH(RIGHT(E$3,LEN(E$3)-5),Controle!$B$2:$P$2))/1000000</f>
        <v>101.1162915</v>
      </c>
      <c r="G20" s="155" t="s">
        <v>161</v>
      </c>
      <c r="H20" s="155" t="str">
        <f t="array" ref="H20">XLOOKUP($G20,'Cadastro dos Ativos'!$A:$A,'Cadastro dos Ativos'!$C:$C)</f>
        <v>Futuros</v>
      </c>
      <c r="I20" s="155">
        <f>IFS(OR($H20="Ações Listadas na B3",$H20="Ações Americanas",$D34="Moedas",$H20="Ações Europeias",$H20="Títulos"),$AA34,
$H20="Futuros",
(SUMIFS('Alocação'!$O$3:$O$1002,'Alocação'!$C$3:$C$1002,$G20,'Alocação'!$B$3:$B$1002,"&lt;="&amp;$H$2))*HLOOKUP($G20,'Histórico'!$A$1:$DD$990,MATCH($G$2,'Histórico'!$A:$A),FALSE),
$D34="",""
)</f>
        <v>23003.5</v>
      </c>
    </row>
    <row r="21">
      <c r="A21" s="157">
        <f>IFERROR(__xludf.DUMMYFUNCTION("""COMPUTED_VALUE"""),45029.0)</f>
        <v>45029</v>
      </c>
      <c r="B21" s="160">
        <f>VLOOKUP($A21,Controle!$B$10:$P$242,MATCH(RIGHT(B$3,LEN(B$3)-5),Controle!$B$2:$P$2))/1000000</f>
        <v>101.7371841</v>
      </c>
      <c r="C21" s="160">
        <f>VLOOKUP($A21,Controle!$B$10:$P$242,MATCH(RIGHT(C$3,LEN(C$3)-5),Controle!$B$2:$P$2))/1000000</f>
        <v>103.0296838</v>
      </c>
      <c r="D21" s="160">
        <f>VLOOKUP($A21,Controle!$B$10:$P$242,MATCH(RIGHT(D$3,LEN(D$3)-5),Controle!$B$2:$P$2))/1000000</f>
        <v>100.7357222</v>
      </c>
      <c r="E21" s="160">
        <f>VLOOKUP($A21,Controle!$B$10:$P$242,MATCH(RIGHT(E$3,LEN(E$3)-5),Controle!$B$2:$P$2))/1000000</f>
        <v>101.7371841</v>
      </c>
      <c r="G21" s="155" t="s">
        <v>73</v>
      </c>
      <c r="H21" s="155" t="str">
        <f t="array" ref="H21">XLOOKUP($G21,'Cadastro dos Ativos'!$A:$A,'Cadastro dos Ativos'!$C:$C)</f>
        <v>Futuros</v>
      </c>
      <c r="I21" s="155">
        <f>IFS(OR($H21="Ações Listadas na B3",$H21="Ações Americanas",$D35="Moedas",$H21="Ações Europeias",$H21="Títulos"),$AA35,
$H21="Futuros",
(SUMIFS('Alocação'!$O$3:$O$1002,'Alocação'!$C$3:$C$1002,$G21,'Alocação'!$B$3:$B$1002,"&lt;="&amp;$H$2))*HLOOKUP($G21,'Histórico'!$A$1:$DD$990,MATCH($G$2,'Histórico'!$A:$A),FALSE),
$D35="",""
)</f>
        <v>0</v>
      </c>
    </row>
    <row r="22">
      <c r="A22" s="157">
        <f>IFERROR(__xludf.DUMMYFUNCTION("""COMPUTED_VALUE"""),45030.0)</f>
        <v>45030</v>
      </c>
      <c r="B22" s="160">
        <f>VLOOKUP($A22,Controle!$B$10:$P$242,MATCH(RIGHT(B$3,LEN(B$3)-5),Controle!$B$2:$P$2))/1000000</f>
        <v>101.1826651</v>
      </c>
      <c r="C22" s="160">
        <f>VLOOKUP($A22,Controle!$B$10:$P$242,MATCH(RIGHT(C$3,LEN(C$3)-5),Controle!$B$2:$P$2))/1000000</f>
        <v>102.5167344</v>
      </c>
      <c r="D22" s="160">
        <f>VLOOKUP($A22,Controle!$B$10:$P$242,MATCH(RIGHT(D$3,LEN(D$3)-5),Controle!$B$2:$P$2))/1000000</f>
        <v>100.7791681</v>
      </c>
      <c r="E22" s="160">
        <f>VLOOKUP($A22,Controle!$B$10:$P$242,MATCH(RIGHT(E$3,LEN(E$3)-5),Controle!$B$2:$P$2))/1000000</f>
        <v>101.1826651</v>
      </c>
      <c r="G22" s="155" t="s">
        <v>65</v>
      </c>
      <c r="H22" s="155" t="str">
        <f t="array" ref="H22">XLOOKUP($G22,'Cadastro dos Ativos'!$A:$A,'Cadastro dos Ativos'!$C:$C)</f>
        <v>Futuros</v>
      </c>
      <c r="I22" s="155">
        <f>IFS(OR($H22="Ações Listadas na B3",$H22="Ações Americanas",$D36="Moedas",$H22="Ações Europeias",$H22="Títulos"),$AA36,
$H22="Futuros",
(SUMIFS('Alocação'!$O$3:$O$1002,'Alocação'!$C$3:$C$1002,$G22,'Alocação'!$B$3:$B$1002,"&lt;="&amp;$H$2))*HLOOKUP($G22,'Histórico'!$A$1:$DD$990,MATCH($G$2,'Histórico'!$A:$A),FALSE),
$D36="",""
)</f>
        <v>0</v>
      </c>
    </row>
    <row r="23">
      <c r="A23" s="157">
        <f>IFERROR(__xludf.DUMMYFUNCTION("""COMPUTED_VALUE"""),45033.0)</f>
        <v>45033</v>
      </c>
      <c r="B23" s="160">
        <f>VLOOKUP($A23,Controle!$B$10:$P$242,MATCH(RIGHT(B$3,LEN(B$3)-5),Controle!$B$2:$P$2))/1000000</f>
        <v>101.4886883</v>
      </c>
      <c r="C23" s="160">
        <f>VLOOKUP($A23,Controle!$B$10:$P$242,MATCH(RIGHT(C$3,LEN(C$3)-5),Controle!$B$2:$P$2))/1000000</f>
        <v>101.7112189</v>
      </c>
      <c r="D23" s="160">
        <f>VLOOKUP($A23,Controle!$B$10:$P$242,MATCH(RIGHT(D$3,LEN(D$3)-5),Controle!$B$2:$P$2))/1000000</f>
        <v>100.8226328</v>
      </c>
      <c r="E23" s="160">
        <f>VLOOKUP($A23,Controle!$B$10:$P$242,MATCH(RIGHT(E$3,LEN(E$3)-5),Controle!$B$2:$P$2))/1000000</f>
        <v>101.4886883</v>
      </c>
      <c r="G23" s="155" t="s">
        <v>167</v>
      </c>
      <c r="H23" s="155" t="str">
        <f t="array" ref="H23">XLOOKUP($G23,'Cadastro dos Ativos'!$A:$A,'Cadastro dos Ativos'!$C:$C)</f>
        <v>Futuros</v>
      </c>
      <c r="I23" s="155">
        <f>IFS(OR($H23="Ações Listadas na B3",$H23="Ações Americanas",$D37="Moedas",$H23="Ações Europeias",$H23="Títulos"),$AA37,
$H23="Futuros",
(SUMIFS('Alocação'!$O$3:$O$1002,'Alocação'!$C$3:$C$1002,$G23,'Alocação'!$B$3:$B$1002,"&lt;="&amp;$H$2))*HLOOKUP($G23,'Histórico'!$A$1:$DD$990,MATCH($G$2,'Histórico'!$A:$A),FALSE),
$D37="",""
)</f>
        <v>-2859</v>
      </c>
    </row>
    <row r="24">
      <c r="A24" s="157">
        <f>IFERROR(__xludf.DUMMYFUNCTION("""COMPUTED_VALUE"""),45034.0)</f>
        <v>45034</v>
      </c>
      <c r="B24" s="160">
        <f>VLOOKUP($A24,Controle!$B$10:$P$242,MATCH(RIGHT(B$3,LEN(B$3)-5),Controle!$B$2:$P$2))/1000000</f>
        <v>101.5095587</v>
      </c>
      <c r="C24" s="160">
        <f>VLOOKUP($A24,Controle!$B$10:$P$242,MATCH(RIGHT(C$3,LEN(C$3)-5),Controle!$B$2:$P$2))/1000000</f>
        <v>102.1723043</v>
      </c>
      <c r="D24" s="160">
        <f>VLOOKUP($A24,Controle!$B$10:$P$242,MATCH(RIGHT(D$3,LEN(D$3)-5),Controle!$B$2:$P$2))/1000000</f>
        <v>100.8661162</v>
      </c>
      <c r="E24" s="160">
        <f>VLOOKUP($A24,Controle!$B$10:$P$242,MATCH(RIGHT(E$3,LEN(E$3)-5),Controle!$B$2:$P$2))/1000000</f>
        <v>101.5095587</v>
      </c>
      <c r="G24" s="155" t="s">
        <v>74</v>
      </c>
      <c r="H24" s="155" t="str">
        <f t="array" ref="H24">XLOOKUP($G24,'Cadastro dos Ativos'!$A:$A,'Cadastro dos Ativos'!$C:$C)</f>
        <v>Futuros</v>
      </c>
      <c r="I24" s="155">
        <f>IFS(OR($H24="Ações Listadas na B3",$H24="Ações Americanas",$D38="Moedas",$H24="Ações Europeias",$H24="Títulos"),$AA38,
$H24="Futuros",
(SUMIFS('Alocação'!$O$3:$O$1002,'Alocação'!$C$3:$C$1002,$G24,'Alocação'!$B$3:$B$1002,"&lt;="&amp;$H$2))*HLOOKUP($G24,'Histórico'!$A$1:$DD$990,MATCH($G$2,'Histórico'!$A:$A),FALSE),
$D38="",""
)</f>
        <v>0</v>
      </c>
    </row>
    <row r="25">
      <c r="A25" s="157">
        <f>IFERROR(__xludf.DUMMYFUNCTION("""COMPUTED_VALUE"""),45035.0)</f>
        <v>45035</v>
      </c>
      <c r="B25" s="160">
        <f>VLOOKUP($A25,Controle!$B$10:$P$242,MATCH(RIGHT(B$3,LEN(B$3)-5),Controle!$B$2:$P$2))/1000000</f>
        <v>101.2618987</v>
      </c>
      <c r="C25" s="160">
        <f>VLOOKUP($A25,Controle!$B$10:$P$242,MATCH(RIGHT(C$3,LEN(C$3)-5),Controle!$B$2:$P$2))/1000000</f>
        <v>101.8426288</v>
      </c>
      <c r="D25" s="160">
        <f>VLOOKUP($A25,Controle!$B$10:$P$242,MATCH(RIGHT(D$3,LEN(D$3)-5),Controle!$B$2:$P$2))/1000000</f>
        <v>100.9096184</v>
      </c>
      <c r="E25" s="160">
        <f>VLOOKUP($A25,Controle!$B$10:$P$242,MATCH(RIGHT(E$3,LEN(E$3)-5),Controle!$B$2:$P$2))/1000000</f>
        <v>101.2618987</v>
      </c>
      <c r="G25" s="155" t="s">
        <v>72</v>
      </c>
      <c r="H25" s="155" t="str">
        <f t="array" ref="H25">XLOOKUP($G25,'Cadastro dos Ativos'!$A:$A,'Cadastro dos Ativos'!$C:$C)</f>
        <v>Futuros</v>
      </c>
      <c r="I25" s="155">
        <f>IFS(OR($H25="Ações Listadas na B3",$H25="Ações Americanas",$D39="Moedas",$H25="Ações Europeias",$H25="Títulos"),$AA39,
$H25="Futuros",
(SUMIFS('Alocação'!$O$3:$O$1002,'Alocação'!$C$3:$C$1002,$G25,'Alocação'!$B$3:$B$1002,"&lt;="&amp;$H$2))*HLOOKUP($G25,'Histórico'!$A$1:$DD$990,MATCH($G$2,'Histórico'!$A:$A),FALSE),
$D39="",""
)</f>
        <v>0</v>
      </c>
    </row>
    <row r="26">
      <c r="A26" s="157">
        <f>IFERROR(__xludf.DUMMYFUNCTION("""COMPUTED_VALUE"""),45036.0)</f>
        <v>45036</v>
      </c>
      <c r="B26" s="160">
        <f>VLOOKUP($A26,Controle!$B$10:$P$242,MATCH(RIGHT(B$3,LEN(B$3)-5),Controle!$B$2:$P$2))/1000000</f>
        <v>101.5289909</v>
      </c>
      <c r="C26" s="160">
        <f>VLOOKUP($A26,Controle!$B$10:$P$242,MATCH(RIGHT(C$3,LEN(C$3)-5),Controle!$B$2:$P$2))/1000000</f>
        <v>101.6446938</v>
      </c>
      <c r="D26" s="160">
        <f>VLOOKUP($A26,Controle!$B$10:$P$242,MATCH(RIGHT(D$3,LEN(D$3)-5),Controle!$B$2:$P$2))/1000000</f>
        <v>100.9531394</v>
      </c>
      <c r="E26" s="160">
        <f>VLOOKUP($A26,Controle!$B$10:$P$242,MATCH(RIGHT(E$3,LEN(E$3)-5),Controle!$B$2:$P$2))/1000000</f>
        <v>101.5289909</v>
      </c>
      <c r="G26" s="155" t="s">
        <v>120</v>
      </c>
      <c r="H26" s="155" t="str">
        <f t="array" ref="H26">XLOOKUP($G26,'Cadastro dos Ativos'!$A:$A,'Cadastro dos Ativos'!$C:$C)</f>
        <v>Futuros</v>
      </c>
      <c r="I26" s="155">
        <f>IFS(OR($H26="Ações Listadas na B3",$H26="Ações Americanas",$D40="Moedas",$H26="Ações Europeias",$H26="Títulos"),$AA40,
$H26="Futuros",
(SUMIFS('Alocação'!$O$3:$O$1002,'Alocação'!$C$3:$C$1002,$G26,'Alocação'!$B$3:$B$1002,"&lt;="&amp;$H$2))*HLOOKUP($G26,'Histórico'!$A$1:$DD$990,MATCH($G$2,'Histórico'!$A:$A),FALSE),
$D40="",""
)</f>
        <v>0</v>
      </c>
    </row>
    <row r="27">
      <c r="A27" s="157">
        <f>IFERROR(__xludf.DUMMYFUNCTION("""COMPUTED_VALUE"""),45040.0)</f>
        <v>45040</v>
      </c>
      <c r="B27" s="160">
        <f>VLOOKUP($A27,Controle!$B$10:$P$242,MATCH(RIGHT(B$3,LEN(B$3)-5),Controle!$B$2:$P$2))/1000000</f>
        <v>102.1482873</v>
      </c>
      <c r="C27" s="160">
        <f>VLOOKUP($A27,Controle!$B$10:$P$242,MATCH(RIGHT(C$3,LEN(C$3)-5),Controle!$B$2:$P$2))/1000000</f>
        <v>101.6370743</v>
      </c>
      <c r="D27" s="160">
        <f>VLOOKUP($A27,Controle!$B$10:$P$242,MATCH(RIGHT(D$3,LEN(D$3)-5),Controle!$B$2:$P$2))/1000000</f>
        <v>100.9966791</v>
      </c>
      <c r="E27" s="160">
        <f>VLOOKUP($A27,Controle!$B$10:$P$242,MATCH(RIGHT(E$3,LEN(E$3)-5),Controle!$B$2:$P$2))/1000000</f>
        <v>102.1482873</v>
      </c>
      <c r="G27" s="155" t="s">
        <v>133</v>
      </c>
      <c r="H27" s="155" t="str">
        <f t="array" ref="H27">XLOOKUP($G27,'Cadastro dos Ativos'!$A:$A,'Cadastro dos Ativos'!$C:$C)</f>
        <v>Futuros</v>
      </c>
      <c r="I27" s="155">
        <f>IFS(OR($H27="Ações Listadas na B3",$H27="Ações Americanas",$D41="Moedas",$H27="Ações Europeias",$H27="Títulos"),$AA41,
$H27="Futuros",
(SUMIFS('Alocação'!$O$3:$O$1002,'Alocação'!$C$3:$C$1002,$G27,'Alocação'!$B$3:$B$1002,"&lt;="&amp;$H$2))*HLOOKUP($G27,'Histórico'!$A$1:$DD$990,MATCH($G$2,'Histórico'!$A:$A),FALSE),
$D41="",""
)</f>
        <v>0</v>
      </c>
    </row>
    <row r="28">
      <c r="A28" s="157">
        <f>IFERROR(__xludf.DUMMYFUNCTION("""COMPUTED_VALUE"""),45041.0)</f>
        <v>45041</v>
      </c>
      <c r="B28" s="160">
        <f>VLOOKUP($A28,Controle!$B$10:$P$242,MATCH(RIGHT(B$3,LEN(B$3)-5),Controle!$B$2:$P$2))/1000000</f>
        <v>101.875532</v>
      </c>
      <c r="C28" s="160">
        <f>VLOOKUP($A28,Controle!$B$10:$P$242,MATCH(RIGHT(C$3,LEN(C$3)-5),Controle!$B$2:$P$2))/1000000</f>
        <v>101.6861612</v>
      </c>
      <c r="D28" s="160">
        <f>VLOOKUP($A28,Controle!$B$10:$P$242,MATCH(RIGHT(D$3,LEN(D$3)-5),Controle!$B$2:$P$2))/1000000</f>
        <v>101.0402376</v>
      </c>
      <c r="E28" s="160">
        <f>VLOOKUP($A28,Controle!$B$10:$P$242,MATCH(RIGHT(E$3,LEN(E$3)-5),Controle!$B$2:$P$2))/1000000</f>
        <v>101.875532</v>
      </c>
      <c r="G28" s="155" t="s">
        <v>137</v>
      </c>
      <c r="H28" s="155" t="str">
        <f t="array" ref="H28">XLOOKUP($G28,'Cadastro dos Ativos'!$A:$A,'Cadastro dos Ativos'!$C:$C)</f>
        <v>Ações Listadas na B3</v>
      </c>
      <c r="I28" s="155" t="str">
        <f>IFS(OR($H28="Ações Listadas na B3",$H28="Ações Americanas",$D42="Moedas",$H28="Ações Europeias",$H28="Títulos"),$AA42,
$H28="Futuros",
(SUMIFS('Alocação'!$O$3:$O$1002,'Alocação'!$C$3:$C$1002,$G28,'Alocação'!$B$3:$B$1002,"&lt;="&amp;$H$2))*HLOOKUP($G28,'Histórico'!$A$1:$DD$990,MATCH($G$2,'Histórico'!$A:$A),FALSE),
$D42="",""
)</f>
        <v/>
      </c>
    </row>
    <row r="29">
      <c r="A29" s="157">
        <f>IFERROR(__xludf.DUMMYFUNCTION("""COMPUTED_VALUE"""),45042.0)</f>
        <v>45042</v>
      </c>
      <c r="B29" s="160">
        <f>VLOOKUP($A29,Controle!$B$10:$P$242,MATCH(RIGHT(B$3,LEN(B$3)-5),Controle!$B$2:$P$2))/1000000</f>
        <v>101.7583737</v>
      </c>
      <c r="C29" s="160">
        <f>VLOOKUP($A29,Controle!$B$10:$P$242,MATCH(RIGHT(C$3,LEN(C$3)-5),Controle!$B$2:$P$2))/1000000</f>
        <v>101.5417439</v>
      </c>
      <c r="D29" s="160">
        <f>VLOOKUP($A29,Controle!$B$10:$P$242,MATCH(RIGHT(D$3,LEN(D$3)-5),Controle!$B$2:$P$2))/1000000</f>
        <v>101.0838149</v>
      </c>
      <c r="E29" s="160">
        <f>VLOOKUP($A29,Controle!$B$10:$P$242,MATCH(RIGHT(E$3,LEN(E$3)-5),Controle!$B$2:$P$2))/1000000</f>
        <v>101.7583737</v>
      </c>
      <c r="G29" s="155" t="s">
        <v>77</v>
      </c>
      <c r="H29" s="155" t="str">
        <f t="array" ref="H29">XLOOKUP($G29,'Cadastro dos Ativos'!$A:$A,'Cadastro dos Ativos'!$C:$C)</f>
        <v>Futuros</v>
      </c>
      <c r="I29" s="155">
        <f>IFS(OR($H29="Ações Listadas na B3",$H29="Ações Americanas",$D43="Moedas",$H29="Ações Europeias",$H29="Títulos"),$AA43,
$H29="Futuros",
(SUMIFS('Alocação'!$O$3:$O$1002,'Alocação'!$C$3:$C$1002,$G29,'Alocação'!$B$3:$B$1002,"&lt;="&amp;$H$2))*HLOOKUP($G29,'Histórico'!$A$1:$DD$990,MATCH($G$2,'Histórico'!$A:$A),FALSE),
$D43="",""
)</f>
        <v>0</v>
      </c>
    </row>
    <row r="30">
      <c r="A30" s="157">
        <f>IFERROR(__xludf.DUMMYFUNCTION("""COMPUTED_VALUE"""),45043.0)</f>
        <v>45043</v>
      </c>
      <c r="B30" s="160">
        <f>VLOOKUP($A30,Controle!$B$10:$P$242,MATCH(RIGHT(B$3,LEN(B$3)-5),Controle!$B$2:$P$2))/1000000</f>
        <v>102.0064982</v>
      </c>
      <c r="C30" s="160">
        <f>VLOOKUP($A30,Controle!$B$10:$P$242,MATCH(RIGHT(C$3,LEN(C$3)-5),Controle!$B$2:$P$2))/1000000</f>
        <v>100.3107119</v>
      </c>
      <c r="D30" s="160">
        <f>VLOOKUP($A30,Controle!$B$10:$P$242,MATCH(RIGHT(D$3,LEN(D$3)-5),Controle!$B$2:$P$2))/1000000</f>
        <v>101.127411</v>
      </c>
      <c r="E30" s="160">
        <f>VLOOKUP($A30,Controle!$B$10:$P$242,MATCH(RIGHT(E$3,LEN(E$3)-5),Controle!$B$2:$P$2))/1000000</f>
        <v>102.0064982</v>
      </c>
      <c r="G30" s="155" t="s">
        <v>95</v>
      </c>
      <c r="H30" s="155" t="str">
        <f t="array" ref="H30">XLOOKUP($G30,'Cadastro dos Ativos'!$A:$A,'Cadastro dos Ativos'!$C:$C)</f>
        <v>Futuros</v>
      </c>
      <c r="I30" s="155">
        <f>IFS(OR($H30="Ações Listadas na B3",$H30="Ações Americanas",$D44="Moedas",$H30="Ações Europeias",$H30="Títulos"),$AA44,
$H30="Futuros",
(SUMIFS('Alocação'!$O$3:$O$1002,'Alocação'!$C$3:$C$1002,$G30,'Alocação'!$B$3:$B$1002,"&lt;="&amp;$H$2))*HLOOKUP($G30,'Histórico'!$A$1:$DD$990,MATCH($G$2,'Histórico'!$A:$A),FALSE),
$D44="",""
)</f>
        <v>0</v>
      </c>
    </row>
    <row r="31">
      <c r="A31" s="157">
        <f>IFERROR(__xludf.DUMMYFUNCTION("""COMPUTED_VALUE"""),45044.0)</f>
        <v>45044</v>
      </c>
      <c r="B31" s="160">
        <f>VLOOKUP($A31,Controle!$B$10:$P$242,MATCH(RIGHT(B$3,LEN(B$3)-5),Controle!$B$2:$P$2))/1000000</f>
        <v>102.1505535</v>
      </c>
      <c r="C31" s="160">
        <f>VLOOKUP($A31,Controle!$B$10:$P$242,MATCH(RIGHT(C$3,LEN(C$3)-5),Controle!$B$2:$P$2))/1000000</f>
        <v>99.31203203</v>
      </c>
      <c r="D31" s="160">
        <f>VLOOKUP($A31,Controle!$B$10:$P$242,MATCH(RIGHT(D$3,LEN(D$3)-5),Controle!$B$2:$P$2))/1000000</f>
        <v>101.1710258</v>
      </c>
      <c r="E31" s="160">
        <f>VLOOKUP($A31,Controle!$B$10:$P$242,MATCH(RIGHT(E$3,LEN(E$3)-5),Controle!$B$2:$P$2))/1000000</f>
        <v>102.1505535</v>
      </c>
      <c r="G31" s="155" t="s">
        <v>127</v>
      </c>
      <c r="H31" s="155" t="str">
        <f t="array" ref="H31">XLOOKUP($G31,'Cadastro dos Ativos'!$A:$A,'Cadastro dos Ativos'!$C:$C)</f>
        <v>Futuros</v>
      </c>
      <c r="I31" s="155">
        <f>IFS(OR($H31="Ações Listadas na B3",$H31="Ações Americanas",$D45="Moedas",$H31="Ações Europeias",$H31="Títulos"),$AA45,
$H31="Futuros",
(SUMIFS('Alocação'!$O$3:$O$1002,'Alocação'!$C$3:$C$1002,$G31,'Alocação'!$B$3:$B$1002,"&lt;="&amp;$H$2))*HLOOKUP($G31,'Histórico'!$A$1:$DD$990,MATCH($G$2,'Histórico'!$A:$A),FALSE),
$D45="",""
)</f>
        <v>0</v>
      </c>
    </row>
    <row r="32">
      <c r="A32" s="157">
        <f>IFERROR(__xludf.DUMMYFUNCTION("""COMPUTED_VALUE"""),45048.0)</f>
        <v>45048</v>
      </c>
      <c r="B32" s="160">
        <f>VLOOKUP($A32,Controle!$B$10:$P$242,MATCH(RIGHT(B$3,LEN(B$3)-5),Controle!$B$2:$P$2))/1000000</f>
        <v>101.9890409</v>
      </c>
      <c r="C32" s="160">
        <f>VLOOKUP($A32,Controle!$B$10:$P$242,MATCH(RIGHT(C$3,LEN(C$3)-5),Controle!$B$2:$P$2))/1000000</f>
        <v>99.33483221</v>
      </c>
      <c r="D32" s="160">
        <f>VLOOKUP($A32,Controle!$B$10:$P$242,MATCH(RIGHT(D$3,LEN(D$3)-5),Controle!$B$2:$P$2))/1000000</f>
        <v>101.2146595</v>
      </c>
      <c r="E32" s="160">
        <f>VLOOKUP($A32,Controle!$B$10:$P$242,MATCH(RIGHT(E$3,LEN(E$3)-5),Controle!$B$2:$P$2))/1000000</f>
        <v>101.9890409</v>
      </c>
      <c r="G32" s="155" t="s">
        <v>136</v>
      </c>
      <c r="H32" s="155" t="str">
        <f t="array" ref="H32">XLOOKUP($G32,'Cadastro dos Ativos'!$A:$A,'Cadastro dos Ativos'!$C:$C)</f>
        <v>Futuros</v>
      </c>
      <c r="I32" s="155">
        <f>IFS(OR($H32="Ações Listadas na B3",$H32="Ações Americanas",$D46="Moedas",$H32="Ações Europeias",$H32="Títulos"),$AA46,
$H32="Futuros",
(SUMIFS('Alocação'!$O$3:$O$1002,'Alocação'!$C$3:$C$1002,$G32,'Alocação'!$B$3:$B$1002,"&lt;="&amp;$H$2))*HLOOKUP($G32,'Histórico'!$A$1:$DD$990,MATCH($G$2,'Histórico'!$A:$A),FALSE),
$D46="",""
)</f>
        <v>0</v>
      </c>
    </row>
    <row r="33">
      <c r="A33" s="157">
        <f>IFERROR(__xludf.DUMMYFUNCTION("""COMPUTED_VALUE"""),45049.0)</f>
        <v>45049</v>
      </c>
      <c r="B33" s="160">
        <f>VLOOKUP($A33,Controle!$B$10:$P$242,MATCH(RIGHT(B$3,LEN(B$3)-5),Controle!$B$2:$P$2))/1000000</f>
        <v>102.5662285</v>
      </c>
      <c r="C33" s="160">
        <f>VLOOKUP($A33,Controle!$B$10:$P$242,MATCH(RIGHT(C$3,LEN(C$3)-5),Controle!$B$2:$P$2))/1000000</f>
        <v>101.3316866</v>
      </c>
      <c r="D33" s="160">
        <f>VLOOKUP($A33,Controle!$B$10:$P$242,MATCH(RIGHT(D$3,LEN(D$3)-5),Controle!$B$2:$P$2))/1000000</f>
        <v>101.2583121</v>
      </c>
      <c r="E33" s="160">
        <f>VLOOKUP($A33,Controle!$B$10:$P$242,MATCH(RIGHT(E$3,LEN(E$3)-5),Controle!$B$2:$P$2))/1000000</f>
        <v>102.5662285</v>
      </c>
      <c r="G33" s="155" t="s">
        <v>171</v>
      </c>
      <c r="H33" s="155" t="str">
        <f t="array" ref="H33">XLOOKUP($G33,'Cadastro dos Ativos'!$A:$A,'Cadastro dos Ativos'!$C:$C)</f>
        <v>Futuros</v>
      </c>
      <c r="I33" s="155">
        <f>IFS(OR($H33="Ações Listadas na B3",$H33="Ações Americanas",$D47="Moedas",$H33="Ações Europeias",$H33="Títulos"),$AA47,
$H33="Futuros",
(SUMIFS('Alocação'!$O$3:$O$1002,'Alocação'!$C$3:$C$1002,$G33,'Alocação'!$B$3:$B$1002,"&lt;="&amp;$H$2))*HLOOKUP($G33,'Histórico'!$A$1:$DD$990,MATCH($G$2,'Histórico'!$A:$A),FALSE),
$D47="",""
)</f>
        <v>0</v>
      </c>
    </row>
    <row r="34">
      <c r="A34" s="157">
        <f>IFERROR(__xludf.DUMMYFUNCTION("""COMPUTED_VALUE"""),45050.0)</f>
        <v>45050</v>
      </c>
      <c r="B34" s="160">
        <f>VLOOKUP($A34,Controle!$B$10:$P$242,MATCH(RIGHT(B$3,LEN(B$3)-5),Controle!$B$2:$P$2))/1000000</f>
        <v>102.3718058</v>
      </c>
      <c r="C34" s="160">
        <f>VLOOKUP($A34,Controle!$B$10:$P$242,MATCH(RIGHT(C$3,LEN(C$3)-5),Controle!$B$2:$P$2))/1000000</f>
        <v>101.1119955</v>
      </c>
      <c r="D34" s="160">
        <f>VLOOKUP($A34,Controle!$B$10:$P$242,MATCH(RIGHT(D$3,LEN(D$3)-5),Controle!$B$2:$P$2))/1000000</f>
        <v>101.3019834</v>
      </c>
      <c r="E34" s="160">
        <f>VLOOKUP($A34,Controle!$B$10:$P$242,MATCH(RIGHT(E$3,LEN(E$3)-5),Controle!$B$2:$P$2))/1000000</f>
        <v>102.3718058</v>
      </c>
      <c r="G34" s="155" t="s">
        <v>169</v>
      </c>
      <c r="H34" s="155" t="str">
        <f t="array" ref="H34">XLOOKUP($G34,'Cadastro dos Ativos'!$A:$A,'Cadastro dos Ativos'!$C:$C)</f>
        <v>Futuros</v>
      </c>
      <c r="I34" s="155">
        <f>IFS(OR($H34="Ações Listadas na B3",$H34="Ações Americanas",$D48="Moedas",$H34="Ações Europeias",$H34="Títulos"),$AA48,
$H34="Futuros",
(SUMIFS('Alocação'!$O$3:$O$1002,'Alocação'!$C$3:$C$1002,$G34,'Alocação'!$B$3:$B$1002,"&lt;="&amp;$H$2))*HLOOKUP($G34,'Histórico'!$A$1:$DD$990,MATCH($G$2,'Histórico'!$A:$A),FALSE),
$D48="",""
)</f>
        <v>-77250</v>
      </c>
    </row>
    <row r="35">
      <c r="A35" s="157">
        <f>IFERROR(__xludf.DUMMYFUNCTION("""COMPUTED_VALUE"""),45051.0)</f>
        <v>45051</v>
      </c>
      <c r="B35" s="160">
        <f>VLOOKUP($A35,Controle!$B$10:$P$242,MATCH(RIGHT(B$3,LEN(B$3)-5),Controle!$B$2:$P$2))/1000000</f>
        <v>102.382062</v>
      </c>
      <c r="C35" s="160">
        <f>VLOOKUP($A35,Controle!$B$10:$P$242,MATCH(RIGHT(C$3,LEN(C$3)-5),Controle!$B$2:$P$2))/1000000</f>
        <v>101.5269078</v>
      </c>
      <c r="D35" s="160">
        <f>VLOOKUP($A35,Controle!$B$10:$P$242,MATCH(RIGHT(D$3,LEN(D$3)-5),Controle!$B$2:$P$2))/1000000</f>
        <v>101.3456736</v>
      </c>
      <c r="E35" s="160">
        <f>VLOOKUP($A35,Controle!$B$10:$P$242,MATCH(RIGHT(E$3,LEN(E$3)-5),Controle!$B$2:$P$2))/1000000</f>
        <v>102.382062</v>
      </c>
      <c r="G35" s="155" t="s">
        <v>130</v>
      </c>
      <c r="H35" s="155" t="str">
        <f t="array" ref="H35">XLOOKUP($G35,'Cadastro dos Ativos'!$A:$A,'Cadastro dos Ativos'!$C:$C)</f>
        <v>Ações Americanas</v>
      </c>
      <c r="I35" s="155" t="str">
        <f>IFS(OR($H35="Ações Listadas na B3",$H35="Ações Americanas",$D49="Moedas",$H35="Ações Europeias",$H35="Títulos"),$AA49,
$H35="Futuros",
(SUMIFS('Alocação'!$O$3:$O$1002,'Alocação'!$C$3:$C$1002,$G35,'Alocação'!$B$3:$B$1002,"&lt;="&amp;$H$2))*HLOOKUP($G35,'Histórico'!$A$1:$DD$990,MATCH($G$2,'Histórico'!$A:$A),FALSE),
$D49="",""
)</f>
        <v/>
      </c>
    </row>
    <row r="36">
      <c r="A36" s="157">
        <f>IFERROR(__xludf.DUMMYFUNCTION("""COMPUTED_VALUE"""),45054.0)</f>
        <v>45054</v>
      </c>
      <c r="B36" s="160">
        <f>VLOOKUP($A36,Controle!$B$10:$P$242,MATCH(RIGHT(B$3,LEN(B$3)-5),Controle!$B$2:$P$2))/1000000</f>
        <v>102.8453331</v>
      </c>
      <c r="C36" s="160">
        <f>VLOOKUP($A36,Controle!$B$10:$P$242,MATCH(RIGHT(C$3,LEN(C$3)-5),Controle!$B$2:$P$2))/1000000</f>
        <v>102.3090757</v>
      </c>
      <c r="D36" s="160">
        <f>VLOOKUP($A36,Controle!$B$10:$P$242,MATCH(RIGHT(D$3,LEN(D$3)-5),Controle!$B$2:$P$2))/1000000</f>
        <v>101.3893826</v>
      </c>
      <c r="E36" s="160">
        <f>VLOOKUP($A36,Controle!$B$10:$P$242,MATCH(RIGHT(E$3,LEN(E$3)-5),Controle!$B$2:$P$2))/1000000</f>
        <v>102.8453331</v>
      </c>
      <c r="G36" s="155" t="s">
        <v>99</v>
      </c>
      <c r="H36" s="155" t="str">
        <f t="array" ref="H36">XLOOKUP($G36,'Cadastro dos Ativos'!$A:$A,'Cadastro dos Ativos'!$C:$C)</f>
        <v>Ações Americanas</v>
      </c>
      <c r="I36" s="155" t="str">
        <f>IFS(OR($H36="Ações Listadas na B3",$H36="Ações Americanas",$D50="Moedas",$H36="Ações Europeias",$H36="Títulos"),$AA50,
$H36="Futuros",
(SUMIFS('Alocação'!$O$3:$O$1002,'Alocação'!$C$3:$C$1002,$G36,'Alocação'!$B$3:$B$1002,"&lt;="&amp;$H$2))*HLOOKUP($G36,'Histórico'!$A$1:$DD$990,MATCH($G$2,'Histórico'!$A:$A),FALSE),
$D50="",""
)</f>
        <v/>
      </c>
    </row>
    <row r="37">
      <c r="A37" s="157">
        <f>IFERROR(__xludf.DUMMYFUNCTION("""COMPUTED_VALUE"""),45055.0)</f>
        <v>45055</v>
      </c>
      <c r="B37" s="160">
        <f>VLOOKUP($A37,Controle!$B$10:$P$242,MATCH(RIGHT(B$3,LEN(B$3)-5),Controle!$B$2:$P$2))/1000000</f>
        <v>102.2911206</v>
      </c>
      <c r="C37" s="160">
        <f>VLOOKUP($A37,Controle!$B$10:$P$242,MATCH(RIGHT(C$3,LEN(C$3)-5),Controle!$B$2:$P$2))/1000000</f>
        <v>101.5125606</v>
      </c>
      <c r="D37" s="160">
        <f>VLOOKUP($A37,Controle!$B$10:$P$242,MATCH(RIGHT(D$3,LEN(D$3)-5),Controle!$B$2:$P$2))/1000000</f>
        <v>101.4331104</v>
      </c>
      <c r="E37" s="160">
        <f>VLOOKUP($A37,Controle!$B$10:$P$242,MATCH(RIGHT(E$3,LEN(E$3)-5),Controle!$B$2:$P$2))/1000000</f>
        <v>102.2911206</v>
      </c>
      <c r="G37" s="155" t="s">
        <v>38</v>
      </c>
      <c r="H37" s="155" t="str">
        <f t="array" ref="H37">XLOOKUP($G37,'Cadastro dos Ativos'!$A:$A,'Cadastro dos Ativos'!$C:$C)</f>
        <v>Futuros</v>
      </c>
      <c r="I37" s="155">
        <f>IFS(OR($H37="Ações Listadas na B3",$H37="Ações Americanas",$D51="Moedas",$H37="Ações Europeias",$H37="Títulos"),$AA51,
$H37="Futuros",
(SUMIFS('Alocação'!$O$3:$O$1002,'Alocação'!$C$3:$C$1002,$G37,'Alocação'!$B$3:$B$1002,"&lt;="&amp;$H$2))*HLOOKUP($G37,'Histórico'!$A$1:$DD$990,MATCH($G$2,'Histórico'!$A:$A),FALSE),
$D51="",""
)</f>
        <v>0</v>
      </c>
    </row>
    <row r="38">
      <c r="A38" s="157">
        <f>IFERROR(__xludf.DUMMYFUNCTION("""COMPUTED_VALUE"""),45056.0)</f>
        <v>45056</v>
      </c>
      <c r="B38" s="160">
        <f>VLOOKUP($A38,Controle!$B$10:$P$242,MATCH(RIGHT(B$3,LEN(B$3)-5),Controle!$B$2:$P$2))/1000000</f>
        <v>102.2339285</v>
      </c>
      <c r="C38" s="160">
        <f>VLOOKUP($A38,Controle!$B$10:$P$242,MATCH(RIGHT(C$3,LEN(C$3)-5),Controle!$B$2:$P$2))/1000000</f>
        <v>102.500975</v>
      </c>
      <c r="D38" s="160">
        <f>VLOOKUP($A38,Controle!$B$10:$P$242,MATCH(RIGHT(D$3,LEN(D$3)-5),Controle!$B$2:$P$2))/1000000</f>
        <v>101.4768572</v>
      </c>
      <c r="E38" s="160">
        <f>VLOOKUP($A38,Controle!$B$10:$P$242,MATCH(RIGHT(E$3,LEN(E$3)-5),Controle!$B$2:$P$2))/1000000</f>
        <v>102.2339285</v>
      </c>
      <c r="G38" s="155" t="s">
        <v>92</v>
      </c>
      <c r="H38" s="155" t="str">
        <f t="array" ref="H38">XLOOKUP($G38,'Cadastro dos Ativos'!$A:$A,'Cadastro dos Ativos'!$C:$C)</f>
        <v>Futuros</v>
      </c>
      <c r="I38" s="155">
        <f>IFS(OR($H38="Ações Listadas na B3",$H38="Ações Americanas",$D52="Moedas",$H38="Ações Europeias",$H38="Títulos"),$AA52,
$H38="Futuros",
(SUMIFS('Alocação'!$O$3:$O$1002,'Alocação'!$C$3:$C$1002,$G38,'Alocação'!$B$3:$B$1002,"&lt;="&amp;$H$2))*HLOOKUP($G38,'Histórico'!$A$1:$DD$990,MATCH($G$2,'Histórico'!$A:$A),FALSE),
$D52="",""
)</f>
        <v>0</v>
      </c>
    </row>
    <row r="39">
      <c r="A39" s="157">
        <f>IFERROR(__xludf.DUMMYFUNCTION("""COMPUTED_VALUE"""),45057.0)</f>
        <v>45057</v>
      </c>
      <c r="B39" s="160">
        <f>VLOOKUP($A39,Controle!$B$10:$P$242,MATCH(RIGHT(B$3,LEN(B$3)-5),Controle!$B$2:$P$2))/1000000</f>
        <v>102.0366631</v>
      </c>
      <c r="C39" s="160">
        <f>VLOOKUP($A39,Controle!$B$10:$P$242,MATCH(RIGHT(C$3,LEN(C$3)-5),Controle!$B$2:$P$2))/1000000</f>
        <v>102.4836949</v>
      </c>
      <c r="D39" s="160">
        <f>VLOOKUP($A39,Controle!$B$10:$P$242,MATCH(RIGHT(D$3,LEN(D$3)-5),Controle!$B$2:$P$2))/1000000</f>
        <v>101.5828314</v>
      </c>
      <c r="E39" s="160">
        <f>VLOOKUP($A39,Controle!$B$10:$P$242,MATCH(RIGHT(E$3,LEN(E$3)-5),Controle!$B$2:$P$2))/1000000</f>
        <v>102.0366631</v>
      </c>
      <c r="G39" s="155" t="s">
        <v>132</v>
      </c>
      <c r="H39" s="155" t="str">
        <f t="array" ref="H39">XLOOKUP($G39,'Cadastro dos Ativos'!$A:$A,'Cadastro dos Ativos'!$C:$C)</f>
        <v>Futuros</v>
      </c>
      <c r="I39" s="155">
        <f>IFS(OR($H39="Ações Listadas na B3",$H39="Ações Americanas",$D53="Moedas",$H39="Ações Europeias",$H39="Títulos"),$AA53,
$H39="Futuros",
(SUMIFS('Alocação'!$O$3:$O$1002,'Alocação'!$C$3:$C$1002,$G39,'Alocação'!$B$3:$B$1002,"&lt;="&amp;$H$2))*HLOOKUP($G39,'Histórico'!$A$1:$DD$990,MATCH($G$2,'Histórico'!$A:$A),FALSE),
$D53="",""
)</f>
        <v>0</v>
      </c>
    </row>
    <row r="40">
      <c r="A40" s="157">
        <f>IFERROR(__xludf.DUMMYFUNCTION("""COMPUTED_VALUE"""),45058.0)</f>
        <v>45058</v>
      </c>
      <c r="B40" s="160">
        <f>VLOOKUP($A40,Controle!$B$10:$P$242,MATCH(RIGHT(B$3,LEN(B$3)-5),Controle!$B$2:$P$2))/1000000</f>
        <v>101.7715568</v>
      </c>
      <c r="C40" s="160">
        <f>VLOOKUP($A40,Controle!$B$10:$P$242,MATCH(RIGHT(C$3,LEN(C$3)-5),Controle!$B$2:$P$2))/1000000</f>
        <v>102.7363828</v>
      </c>
      <c r="D40" s="160">
        <f>VLOOKUP($A40,Controle!$B$10:$P$242,MATCH(RIGHT(D$3,LEN(D$3)-5),Controle!$B$2:$P$2))/1000000</f>
        <v>101.6691214</v>
      </c>
      <c r="E40" s="160">
        <f>VLOOKUP($A40,Controle!$B$10:$P$242,MATCH(RIGHT(E$3,LEN(E$3)-5),Controle!$B$2:$P$2))/1000000</f>
        <v>101.7715568</v>
      </c>
      <c r="G40" s="155" t="s">
        <v>75</v>
      </c>
      <c r="H40" s="155" t="str">
        <f t="array" ref="H40">XLOOKUP($G40,'Cadastro dos Ativos'!$A:$A,'Cadastro dos Ativos'!$C:$C)</f>
        <v>Futuros</v>
      </c>
      <c r="I40" s="155">
        <f>IFS(OR($H40="Ações Listadas na B3",$H40="Ações Americanas",$D54="Moedas",$H40="Ações Europeias",$H40="Títulos"),$AA54,
$H40="Futuros",
(SUMIFS('Alocação'!$O$3:$O$1002,'Alocação'!$C$3:$C$1002,$G40,'Alocação'!$B$3:$B$1002,"&lt;="&amp;$H$2))*HLOOKUP($G40,'Histórico'!$A$1:$DD$990,MATCH($G$2,'Histórico'!$A:$A),FALSE),
$D54="",""
)</f>
        <v>0</v>
      </c>
    </row>
    <row r="41">
      <c r="A41" s="157">
        <f>IFERROR(__xludf.DUMMYFUNCTION("""COMPUTED_VALUE"""),45061.0)</f>
        <v>45061</v>
      </c>
      <c r="B41" s="160">
        <f>VLOOKUP($A41,Controle!$B$10:$P$242,MATCH(RIGHT(B$3,LEN(B$3)-5),Controle!$B$2:$P$2))/1000000</f>
        <v>101.9977059</v>
      </c>
      <c r="C41" s="160">
        <f>VLOOKUP($A41,Controle!$B$10:$P$242,MATCH(RIGHT(C$3,LEN(C$3)-5),Controle!$B$2:$P$2))/1000000</f>
        <v>102.7336143</v>
      </c>
      <c r="D41" s="160">
        <f>VLOOKUP($A41,Controle!$B$10:$P$242,MATCH(RIGHT(D$3,LEN(D$3)-5),Controle!$B$2:$P$2))/1000000</f>
        <v>101.8936124</v>
      </c>
      <c r="E41" s="160">
        <f>VLOOKUP($A41,Controle!$B$10:$P$242,MATCH(RIGHT(E$3,LEN(E$3)-5),Controle!$B$2:$P$2))/1000000</f>
        <v>101.9977059</v>
      </c>
      <c r="G41" s="155" t="s">
        <v>70</v>
      </c>
      <c r="H41" s="155" t="str">
        <f t="array" ref="H41">XLOOKUP($G41,'Cadastro dos Ativos'!$A:$A,'Cadastro dos Ativos'!$C:$C)</f>
        <v>Moedas</v>
      </c>
      <c r="I41" s="155" t="str">
        <f>IFS(OR($H41="Ações Listadas na B3",$H41="Ações Americanas",$D55="Moedas",$H41="Ações Europeias",$H41="Títulos"),$AA55,
$H41="Futuros",
(SUMIFS('Alocação'!$O$3:$O$1002,'Alocação'!$C$3:$C$1002,$G41,'Alocação'!$B$3:$B$1002,"&lt;="&amp;$H$2))*HLOOKUP($G41,'Histórico'!$A$1:$DD$990,MATCH($G$2,'Histórico'!$A:$A),FALSE),
$D55="",""
)</f>
        <v>#N/A</v>
      </c>
    </row>
    <row r="42">
      <c r="A42" s="157">
        <f>IFERROR(__xludf.DUMMYFUNCTION("""COMPUTED_VALUE"""),45062.0)</f>
        <v>45062</v>
      </c>
      <c r="B42" s="160">
        <f>VLOOKUP($A42,Controle!$B$10:$P$242,MATCH(RIGHT(B$3,LEN(B$3)-5),Controle!$B$2:$P$2))/1000000</f>
        <v>102.0457996</v>
      </c>
      <c r="C42" s="160">
        <f>VLOOKUP($A42,Controle!$B$10:$P$242,MATCH(RIGHT(C$3,LEN(C$3)-5),Controle!$B$2:$P$2))/1000000</f>
        <v>103.2408996</v>
      </c>
      <c r="D42" s="160">
        <f>VLOOKUP($A42,Controle!$B$10:$P$242,MATCH(RIGHT(D$3,LEN(D$3)-5),Controle!$B$2:$P$2))/1000000</f>
        <v>101.9502117</v>
      </c>
      <c r="E42" s="160">
        <f>VLOOKUP($A42,Controle!$B$10:$P$242,MATCH(RIGHT(E$3,LEN(E$3)-5),Controle!$B$2:$P$2))/1000000</f>
        <v>102.0457996</v>
      </c>
      <c r="G42" s="155" t="s">
        <v>40</v>
      </c>
      <c r="H42" s="155" t="str">
        <f t="array" ref="H42">XLOOKUP($G42,'Cadastro dos Ativos'!$A:$A,'Cadastro dos Ativos'!$C:$C)</f>
        <v>Ações Americanas</v>
      </c>
      <c r="I42" s="155" t="str">
        <f>IFS(OR($H42="Ações Listadas na B3",$H42="Ações Americanas",$D56="Moedas",$H42="Ações Europeias",$H42="Títulos"),$AA56,
$H42="Futuros",
(SUMIFS('Alocação'!$O$3:$O$1002,'Alocação'!$C$3:$C$1002,$G42,'Alocação'!$B$3:$B$1002,"&lt;="&amp;$H$2))*HLOOKUP($G42,'Histórico'!$A$1:$DD$990,MATCH($G$2,'Histórico'!$A:$A),FALSE),
$D56="",""
)</f>
        <v/>
      </c>
    </row>
    <row r="43">
      <c r="A43" s="157">
        <f>IFERROR(__xludf.DUMMYFUNCTION("""COMPUTED_VALUE"""),45063.0)</f>
        <v>45063</v>
      </c>
      <c r="B43" s="160">
        <f>VLOOKUP($A43,Controle!$B$10:$P$242,MATCH(RIGHT(B$3,LEN(B$3)-5),Controle!$B$2:$P$2))/1000000</f>
        <v>101.9735689</v>
      </c>
      <c r="C43" s="160">
        <f>VLOOKUP($A43,Controle!$B$10:$P$242,MATCH(RIGHT(C$3,LEN(C$3)-5),Controle!$B$2:$P$2))/1000000</f>
        <v>102.7323127</v>
      </c>
      <c r="D43" s="160">
        <f>VLOOKUP($A43,Controle!$B$10:$P$242,MATCH(RIGHT(D$3,LEN(D$3)-5),Controle!$B$2:$P$2))/1000000</f>
        <v>102.2385265</v>
      </c>
      <c r="E43" s="160">
        <f>VLOOKUP($A43,Controle!$B$10:$P$242,MATCH(RIGHT(E$3,LEN(E$3)-5),Controle!$B$2:$P$2))/1000000</f>
        <v>101.9735689</v>
      </c>
      <c r="G43" s="155" t="s">
        <v>44</v>
      </c>
      <c r="H43" s="155" t="str">
        <f t="array" ref="H43">XLOOKUP($G43,'Cadastro dos Ativos'!$A:$A,'Cadastro dos Ativos'!$C:$C)</f>
        <v>Ações Americanas</v>
      </c>
      <c r="I43" s="155" t="str">
        <f>IFS(OR($H43="Ações Listadas na B3",$H43="Ações Americanas",$D57="Moedas",$H43="Ações Europeias",$H43="Títulos"),$AA57,
$H43="Futuros",
(SUMIFS('Alocação'!$O$3:$O$1002,'Alocação'!$C$3:$C$1002,$G43,'Alocação'!$B$3:$B$1002,"&lt;="&amp;$H$2))*HLOOKUP($G43,'Histórico'!$A$1:$DD$990,MATCH($G$2,'Histórico'!$A:$A),FALSE),
$D57="",""
)</f>
        <v/>
      </c>
    </row>
    <row r="44">
      <c r="A44" s="157">
        <f>IFERROR(__xludf.DUMMYFUNCTION("""COMPUTED_VALUE"""),45064.0)</f>
        <v>45064</v>
      </c>
      <c r="B44" s="160">
        <f>VLOOKUP($A44,Controle!$B$10:$P$242,MATCH(RIGHT(B$3,LEN(B$3)-5),Controle!$B$2:$P$2))/1000000</f>
        <v>102.2364892</v>
      </c>
      <c r="C44" s="160">
        <f>VLOOKUP($A44,Controle!$B$10:$P$242,MATCH(RIGHT(C$3,LEN(C$3)-5),Controle!$B$2:$P$2))/1000000</f>
        <v>102.3061785</v>
      </c>
      <c r="D44" s="160">
        <f>VLOOKUP($A44,Controle!$B$10:$P$242,MATCH(RIGHT(D$3,LEN(D$3)-5),Controle!$B$2:$P$2))/1000000</f>
        <v>102.4752472</v>
      </c>
      <c r="E44" s="160">
        <f>VLOOKUP($A44,Controle!$B$10:$P$242,MATCH(RIGHT(E$3,LEN(E$3)-5),Controle!$B$2:$P$2))/1000000</f>
        <v>102.2364892</v>
      </c>
      <c r="G44" s="155" t="s">
        <v>86</v>
      </c>
      <c r="H44" s="155" t="str">
        <f t="array" ref="H44">XLOOKUP($G44,'Cadastro dos Ativos'!$A:$A,'Cadastro dos Ativos'!$C:$C)</f>
        <v>Ações Americanas</v>
      </c>
      <c r="I44" s="155" t="str">
        <f>IFS(OR($H44="Ações Listadas na B3",$H44="Ações Americanas",$D58="Moedas",$H44="Ações Europeias",$H44="Títulos"),$AA58,
$H44="Futuros",
(SUMIFS('Alocação'!$O$3:$O$1002,'Alocação'!$C$3:$C$1002,$G44,'Alocação'!$B$3:$B$1002,"&lt;="&amp;$H$2))*HLOOKUP($G44,'Histórico'!$A$1:$DD$990,MATCH($G$2,'Histórico'!$A:$A),FALSE),
$D58="",""
)</f>
        <v/>
      </c>
    </row>
    <row r="45">
      <c r="A45" s="157">
        <f>IFERROR(__xludf.DUMMYFUNCTION("""COMPUTED_VALUE"""),45065.0)</f>
        <v>45065</v>
      </c>
      <c r="B45" s="160">
        <f>VLOOKUP($A45,Controle!$B$10:$P$242,MATCH(RIGHT(B$3,LEN(B$3)-5),Controle!$B$2:$P$2))/1000000</f>
        <v>102.311441</v>
      </c>
      <c r="C45" s="160">
        <f>VLOOKUP($A45,Controle!$B$10:$P$242,MATCH(RIGHT(C$3,LEN(C$3)-5),Controle!$B$2:$P$2))/1000000</f>
        <v>102.0912857</v>
      </c>
      <c r="D45" s="160">
        <f>VLOOKUP($A45,Controle!$B$10:$P$242,MATCH(RIGHT(D$3,LEN(D$3)-5),Controle!$B$2:$P$2))/1000000</f>
        <v>102.5544755</v>
      </c>
      <c r="E45" s="160">
        <f>VLOOKUP($A45,Controle!$B$10:$P$242,MATCH(RIGHT(E$3,LEN(E$3)-5),Controle!$B$2:$P$2))/1000000</f>
        <v>102.311441</v>
      </c>
      <c r="G45" s="155" t="s">
        <v>42</v>
      </c>
      <c r="H45" s="155" t="str">
        <f t="array" ref="H45">XLOOKUP($G45,'Cadastro dos Ativos'!$A:$A,'Cadastro dos Ativos'!$C:$C)</f>
        <v>Ações Americanas</v>
      </c>
      <c r="I45" s="155" t="str">
        <f>IFS(OR($H45="Ações Listadas na B3",$H45="Ações Americanas",$D59="Moedas",$H45="Ações Europeias",$H45="Títulos"),$AA59,
$H45="Futuros",
(SUMIFS('Alocação'!$O$3:$O$1002,'Alocação'!$C$3:$C$1002,$G45,'Alocação'!$B$3:$B$1002,"&lt;="&amp;$H$2))*HLOOKUP($G45,'Histórico'!$A$1:$DD$990,MATCH($G$2,'Histórico'!$A:$A),FALSE),
$D59="",""
)</f>
        <v/>
      </c>
    </row>
    <row r="46">
      <c r="A46" s="157">
        <f>IFERROR(__xludf.DUMMYFUNCTION("""COMPUTED_VALUE"""),45068.0)</f>
        <v>45068</v>
      </c>
      <c r="B46" s="160">
        <f>VLOOKUP($A46,Controle!$B$10:$P$242,MATCH(RIGHT(B$3,LEN(B$3)-5),Controle!$B$2:$P$2))/1000000</f>
        <v>102.4686783</v>
      </c>
      <c r="C46" s="160">
        <f>VLOOKUP($A46,Controle!$B$10:$P$242,MATCH(RIGHT(C$3,LEN(C$3)-5),Controle!$B$2:$P$2))/1000000</f>
        <v>101.8539463</v>
      </c>
      <c r="D46" s="160">
        <f>VLOOKUP($A46,Controle!$B$10:$P$242,MATCH(RIGHT(D$3,LEN(D$3)-5),Controle!$B$2:$P$2))/1000000</f>
        <v>102.6851602</v>
      </c>
      <c r="E46" s="160">
        <f>VLOOKUP($A46,Controle!$B$10:$P$242,MATCH(RIGHT(E$3,LEN(E$3)-5),Controle!$B$2:$P$2))/1000000</f>
        <v>102.4686783</v>
      </c>
      <c r="G46" s="155" t="s">
        <v>82</v>
      </c>
      <c r="H46" s="155" t="str">
        <f t="array" ref="H46">XLOOKUP($G46,'Cadastro dos Ativos'!$A:$A,'Cadastro dos Ativos'!$C:$C)</f>
        <v>Ações Americanas</v>
      </c>
      <c r="I46" s="155" t="str">
        <f>IFS(OR($H46="Ações Listadas na B3",$H46="Ações Americanas",$D60="Moedas",$H46="Ações Europeias",$H46="Títulos"),$AA60,
$H46="Futuros",
(SUMIFS('Alocação'!$O$3:$O$1002,'Alocação'!$C$3:$C$1002,$G46,'Alocação'!$B$3:$B$1002,"&lt;="&amp;$H$2))*HLOOKUP($G46,'Histórico'!$A$1:$DD$990,MATCH($G$2,'Histórico'!$A:$A),FALSE),
$D60="",""
)</f>
        <v/>
      </c>
    </row>
    <row r="47">
      <c r="A47" s="157">
        <f>IFERROR(__xludf.DUMMYFUNCTION("""COMPUTED_VALUE"""),45069.0)</f>
        <v>45069</v>
      </c>
      <c r="B47" s="160">
        <f>VLOOKUP($A47,Controle!$B$10:$P$242,MATCH(RIGHT(B$3,LEN(B$3)-5),Controle!$B$2:$P$2))/1000000</f>
        <v>102.5959098</v>
      </c>
      <c r="C47" s="160">
        <f>VLOOKUP($A47,Controle!$B$10:$P$242,MATCH(RIGHT(C$3,LEN(C$3)-5),Controle!$B$2:$P$2))/1000000</f>
        <v>101.9892029</v>
      </c>
      <c r="D47" s="160">
        <f>VLOOKUP($A47,Controle!$B$10:$P$242,MATCH(RIGHT(D$3,LEN(D$3)-5),Controle!$B$2:$P$2))/1000000</f>
        <v>102.5429072</v>
      </c>
      <c r="E47" s="160">
        <f>VLOOKUP($A47,Controle!$B$10:$P$242,MATCH(RIGHT(E$3,LEN(E$3)-5),Controle!$B$2:$P$2))/1000000</f>
        <v>102.5959098</v>
      </c>
      <c r="G47" s="161" t="s">
        <v>79</v>
      </c>
      <c r="H47" s="155" t="str">
        <f t="array" ref="H47">XLOOKUP($G47,'Cadastro dos Ativos'!$A:$A,'Cadastro dos Ativos'!$C:$C)</f>
        <v>Ações Europeias</v>
      </c>
      <c r="I47" s="155" t="str">
        <f>IFS(OR($H47="Ações Listadas na B3",$H47="Ações Americanas",$D61="Moedas",$H47="Ações Europeias",$H47="Títulos"),$AA61,
$H47="Futuros",
(SUMIFS('Alocação'!$O$3:$O$1002,'Alocação'!$C$3:$C$1002,$G47,'Alocação'!$B$3:$B$1002,"&lt;="&amp;$H$2))*HLOOKUP($G47,'Histórico'!$A$1:$DD$990,MATCH($G$2,'Histórico'!$A:$A),FALSE),
$D61="",""
)</f>
        <v/>
      </c>
    </row>
    <row r="48">
      <c r="A48" s="157">
        <f>IFERROR(__xludf.DUMMYFUNCTION("""COMPUTED_VALUE"""),45070.0)</f>
        <v>45070</v>
      </c>
      <c r="B48" s="160">
        <f>VLOOKUP($A48,Controle!$B$10:$P$242,MATCH(RIGHT(B$3,LEN(B$3)-5),Controle!$B$2:$P$2))/1000000</f>
        <v>102.7267475</v>
      </c>
      <c r="C48" s="160">
        <f>VLOOKUP($A48,Controle!$B$10:$P$242,MATCH(RIGHT(C$3,LEN(C$3)-5),Controle!$B$2:$P$2))/1000000</f>
        <v>102.5892447</v>
      </c>
      <c r="D48" s="160">
        <f>VLOOKUP($A48,Controle!$B$10:$P$242,MATCH(RIGHT(D$3,LEN(D$3)-5),Controle!$B$2:$P$2))/1000000</f>
        <v>102.4510815</v>
      </c>
      <c r="E48" s="160">
        <f>VLOOKUP($A48,Controle!$B$10:$P$242,MATCH(RIGHT(E$3,LEN(E$3)-5),Controle!$B$2:$P$2))/1000000</f>
        <v>102.7267475</v>
      </c>
      <c r="G48" s="155" t="s">
        <v>25</v>
      </c>
      <c r="H48" s="155" t="str">
        <f t="array" ref="H48">XLOOKUP($G48,'Cadastro dos Ativos'!$A:$A,'Cadastro dos Ativos'!$C:$C)</f>
        <v>Futuros</v>
      </c>
      <c r="I48" s="155">
        <f>IFS(OR($H48="Ações Listadas na B3",$H48="Ações Americanas",$D62="Moedas",$H48="Ações Europeias",$H48="Títulos"),$AA62,
$H48="Futuros",
(SUMIFS('Alocação'!$O$3:$O$1002,'Alocação'!$C$3:$C$1002,$G48,'Alocação'!$B$3:$B$1002,"&lt;="&amp;$H$2))*HLOOKUP($G48,'Histórico'!$A$1:$DD$990,MATCH($G$2,'Histórico'!$A:$A),FALSE),
$D62="",""
)</f>
        <v>0</v>
      </c>
    </row>
    <row r="49">
      <c r="A49" s="157">
        <f>IFERROR(__xludf.DUMMYFUNCTION("""COMPUTED_VALUE"""),45071.0)</f>
        <v>45071</v>
      </c>
      <c r="B49" s="160">
        <f>VLOOKUP($A49,Controle!$B$10:$P$242,MATCH(RIGHT(B$3,LEN(B$3)-5),Controle!$B$2:$P$2))/1000000</f>
        <v>103.1165729</v>
      </c>
      <c r="C49" s="160">
        <f>VLOOKUP($A49,Controle!$B$10:$P$242,MATCH(RIGHT(C$3,LEN(C$3)-5),Controle!$B$2:$P$2))/1000000</f>
        <v>102.7837311</v>
      </c>
      <c r="D49" s="160">
        <f>VLOOKUP($A49,Controle!$B$10:$P$242,MATCH(RIGHT(D$3,LEN(D$3)-5),Controle!$B$2:$P$2))/1000000</f>
        <v>102.9105285</v>
      </c>
      <c r="E49" s="160">
        <f>VLOOKUP($A49,Controle!$B$10:$P$242,MATCH(RIGHT(E$3,LEN(E$3)-5),Controle!$B$2:$P$2))/1000000</f>
        <v>103.1165729</v>
      </c>
      <c r="G49" s="155" t="s">
        <v>94</v>
      </c>
      <c r="H49" s="155" t="str">
        <f t="array" ref="H49">XLOOKUP($G49,'Cadastro dos Ativos'!$A:$A,'Cadastro dos Ativos'!$C:$C)</f>
        <v>Futuros</v>
      </c>
      <c r="I49" s="155">
        <f>IFS(OR($H49="Ações Listadas na B3",$H49="Ações Americanas",$D63="Moedas",$H49="Ações Europeias",$H49="Títulos"),$AA63,
$H49="Futuros",
(SUMIFS('Alocação'!$O$3:$O$1002,'Alocação'!$C$3:$C$1002,$G49,'Alocação'!$B$3:$B$1002,"&lt;="&amp;$H$2))*HLOOKUP($G49,'Histórico'!$A$1:$DD$990,MATCH($G$2,'Histórico'!$A:$A),FALSE),
$D63="",""
)</f>
        <v>0</v>
      </c>
    </row>
    <row r="50">
      <c r="A50" s="157">
        <f>IFERROR(__xludf.DUMMYFUNCTION("""COMPUTED_VALUE"""),45072.0)</f>
        <v>45072</v>
      </c>
      <c r="B50" s="160">
        <f>VLOOKUP($A50,Controle!$B$10:$P$242,MATCH(RIGHT(B$3,LEN(B$3)-5),Controle!$B$2:$P$2))/1000000</f>
        <v>102.9425843</v>
      </c>
      <c r="C50" s="160">
        <f>VLOOKUP($A50,Controle!$B$10:$P$242,MATCH(RIGHT(C$3,LEN(C$3)-5),Controle!$B$2:$P$2))/1000000</f>
        <v>103.35299</v>
      </c>
      <c r="D50" s="160">
        <f>VLOOKUP($A50,Controle!$B$10:$P$242,MATCH(RIGHT(D$3,LEN(D$3)-5),Controle!$B$2:$P$2))/1000000</f>
        <v>103.1547674</v>
      </c>
      <c r="E50" s="160">
        <f>VLOOKUP($A50,Controle!$B$10:$P$242,MATCH(RIGHT(E$3,LEN(E$3)-5),Controle!$B$2:$P$2))/1000000</f>
        <v>102.9425843</v>
      </c>
      <c r="G50" s="155" t="s">
        <v>128</v>
      </c>
      <c r="H50" s="155" t="str">
        <f t="array" ref="H50">XLOOKUP($G50,'Cadastro dos Ativos'!$A:$A,'Cadastro dos Ativos'!$C:$C)</f>
        <v>Ações Americanas</v>
      </c>
      <c r="I50" s="155" t="str">
        <f>IFS(OR($H50="Ações Listadas na B3",$H50="Ações Americanas",$D64="Moedas",$H50="Ações Europeias",$H50="Títulos"),$AA64,
$H50="Futuros",
(SUMIFS('Alocação'!$O$3:$O$1002,'Alocação'!$C$3:$C$1002,$G50,'Alocação'!$B$3:$B$1002,"&lt;="&amp;$H$2))*HLOOKUP($G50,'Histórico'!$A$1:$DD$990,MATCH($G$2,'Histórico'!$A:$A),FALSE),
$D64="",""
)</f>
        <v/>
      </c>
    </row>
    <row r="51">
      <c r="A51" s="157">
        <f>IFERROR(__xludf.DUMMYFUNCTION("""COMPUTED_VALUE"""),45075.0)</f>
        <v>45075</v>
      </c>
      <c r="B51" s="160">
        <f>VLOOKUP($A51,Controle!$B$10:$P$242,MATCH(RIGHT(B$3,LEN(B$3)-5),Controle!$B$2:$P$2))/1000000</f>
        <v>102.8899025</v>
      </c>
      <c r="C51" s="160">
        <f>VLOOKUP($A51,Controle!$B$10:$P$242,MATCH(RIGHT(C$3,LEN(C$3)-5),Controle!$B$2:$P$2))/1000000</f>
        <v>103.5906772</v>
      </c>
      <c r="D51" s="160">
        <f>VLOOKUP($A51,Controle!$B$10:$P$242,MATCH(RIGHT(D$3,LEN(D$3)-5),Controle!$B$2:$P$2))/1000000</f>
        <v>102.9723114</v>
      </c>
      <c r="E51" s="160">
        <f>VLOOKUP($A51,Controle!$B$10:$P$242,MATCH(RIGHT(E$3,LEN(E$3)-5),Controle!$B$2:$P$2))/1000000</f>
        <v>102.8899025</v>
      </c>
      <c r="G51" s="155" t="s">
        <v>155</v>
      </c>
      <c r="H51" s="155" t="str">
        <f t="array" ref="H51">XLOOKUP($G51,'Cadastro dos Ativos'!$A:$A,'Cadastro dos Ativos'!$C:$C)</f>
        <v>Futuros</v>
      </c>
      <c r="I51" s="155">
        <f>IFS(OR($H51="Ações Listadas na B3",$H51="Ações Americanas",$D65="Moedas",$H51="Ações Europeias",$H51="Títulos"),$AA65,
$H51="Futuros",
(SUMIFS('Alocação'!$O$3:$O$1002,'Alocação'!$C$3:$C$1002,$G51,'Alocação'!$B$3:$B$1002,"&lt;="&amp;$H$2))*HLOOKUP($G51,'Histórico'!$A$1:$DD$990,MATCH($G$2,'Histórico'!$A:$A),FALSE),
$D65="",""
)</f>
        <v>218500</v>
      </c>
    </row>
    <row r="52">
      <c r="A52" s="157">
        <f>IFERROR(__xludf.DUMMYFUNCTION("""COMPUTED_VALUE"""),45076.0)</f>
        <v>45076</v>
      </c>
      <c r="B52" s="160">
        <f>VLOOKUP($A52,Controle!$B$10:$P$242,MATCH(RIGHT(B$3,LEN(B$3)-5),Controle!$B$2:$P$2))/1000000</f>
        <v>103.2318413</v>
      </c>
      <c r="C52" s="160">
        <f>VLOOKUP($A52,Controle!$B$10:$P$242,MATCH(RIGHT(C$3,LEN(C$3)-5),Controle!$B$2:$P$2))/1000000</f>
        <v>103.5934521</v>
      </c>
      <c r="D52" s="160">
        <f>VLOOKUP($A52,Controle!$B$10:$P$242,MATCH(RIGHT(D$3,LEN(D$3)-5),Controle!$B$2:$P$2))/1000000</f>
        <v>102.5064786</v>
      </c>
      <c r="E52" s="160">
        <f>VLOOKUP($A52,Controle!$B$10:$P$242,MATCH(RIGHT(E$3,LEN(E$3)-5),Controle!$B$2:$P$2))/1000000</f>
        <v>103.2318413</v>
      </c>
      <c r="G52" s="155" t="s">
        <v>21</v>
      </c>
      <c r="H52" s="155" t="str">
        <f t="array" ref="H52">XLOOKUP($G52,'Cadastro dos Ativos'!$A:$A,'Cadastro dos Ativos'!$C:$C)</f>
        <v>Futuros</v>
      </c>
      <c r="I52" s="155">
        <f>IFS(OR($H52="Ações Listadas na B3",$H52="Ações Americanas",$D66="Moedas",$H52="Ações Europeias",$H52="Títulos"),$AA66,
$H52="Futuros",
(SUMIFS('Alocação'!$O$3:$O$1002,'Alocação'!$C$3:$C$1002,$G52,'Alocação'!$B$3:$B$1002,"&lt;="&amp;$H$2))*HLOOKUP($G52,'Histórico'!$A$1:$DD$990,MATCH($G$2,'Histórico'!$A:$A),FALSE),
$D66="",""
)</f>
        <v>0</v>
      </c>
    </row>
    <row r="53">
      <c r="A53" s="157">
        <f>IFERROR(__xludf.DUMMYFUNCTION("""COMPUTED_VALUE"""),45077.0)</f>
        <v>45077</v>
      </c>
      <c r="B53" s="160">
        <f>VLOOKUP($A53,Controle!$B$10:$P$242,MATCH(RIGHT(B$3,LEN(B$3)-5),Controle!$B$2:$P$2))/1000000</f>
        <v>103.3021035</v>
      </c>
      <c r="C53" s="160">
        <f>VLOOKUP($A53,Controle!$B$10:$P$242,MATCH(RIGHT(C$3,LEN(C$3)-5),Controle!$B$2:$P$2))/1000000</f>
        <v>103.584047</v>
      </c>
      <c r="D53" s="160">
        <f>VLOOKUP($A53,Controle!$B$10:$P$242,MATCH(RIGHT(D$3,LEN(D$3)-5),Controle!$B$2:$P$2))/1000000</f>
        <v>102.7743887</v>
      </c>
      <c r="E53" s="160">
        <f>VLOOKUP($A53,Controle!$B$10:$P$242,MATCH(RIGHT(E$3,LEN(E$3)-5),Controle!$B$2:$P$2))/1000000</f>
        <v>103.3021035</v>
      </c>
      <c r="G53" s="155" t="s">
        <v>90</v>
      </c>
      <c r="H53" s="155" t="str">
        <f t="array" ref="H53">XLOOKUP($G53,'Cadastro dos Ativos'!$A:$A,'Cadastro dos Ativos'!$C:$C)</f>
        <v>Futuros</v>
      </c>
      <c r="I53" s="155">
        <f>IFS(OR($H53="Ações Listadas na B3",$H53="Ações Americanas",$D67="Moedas",$H53="Ações Europeias",$H53="Títulos"),$AA67,
$H53="Futuros",
(SUMIFS('Alocação'!$O$3:$O$1002,'Alocação'!$C$3:$C$1002,$G53,'Alocação'!$B$3:$B$1002,"&lt;="&amp;$H$2))*HLOOKUP($G53,'Histórico'!$A$1:$DD$990,MATCH($G$2,'Histórico'!$A:$A),FALSE),
$D67="",""
)</f>
        <v>0</v>
      </c>
    </row>
    <row r="54">
      <c r="A54" s="157">
        <f>IFERROR(__xludf.DUMMYFUNCTION("""COMPUTED_VALUE"""),45078.0)</f>
        <v>45078</v>
      </c>
      <c r="B54" s="160">
        <f>VLOOKUP($A54,Controle!$B$10:$P$242,MATCH(RIGHT(B$3,LEN(B$3)-5),Controle!$B$2:$P$2))/1000000</f>
        <v>102.970722</v>
      </c>
      <c r="C54" s="160">
        <f>VLOOKUP($A54,Controle!$B$10:$P$242,MATCH(RIGHT(C$3,LEN(C$3)-5),Controle!$B$2:$P$2))/1000000</f>
        <v>103.6959963</v>
      </c>
      <c r="D54" s="160">
        <f>VLOOKUP($A54,Controle!$B$10:$P$242,MATCH(RIGHT(D$3,LEN(D$3)-5),Controle!$B$2:$P$2))/1000000</f>
        <v>103.842299</v>
      </c>
      <c r="E54" s="160">
        <f>VLOOKUP($A54,Controle!$B$10:$P$242,MATCH(RIGHT(E$3,LEN(E$3)-5),Controle!$B$2:$P$2))/1000000</f>
        <v>102.970722</v>
      </c>
      <c r="G54" s="155" t="s">
        <v>117</v>
      </c>
      <c r="H54" s="155" t="str">
        <f t="array" ref="H54">XLOOKUP($G54,'Cadastro dos Ativos'!$A:$A,'Cadastro dos Ativos'!$C:$C)</f>
        <v>Futuros</v>
      </c>
      <c r="I54" s="155">
        <f>IFS(OR($H54="Ações Listadas na B3",$H54="Ações Americanas",$D68="Moedas",$H54="Ações Europeias",$H54="Títulos"),$AA68,
$H54="Futuros",
(SUMIFS('Alocação'!$O$3:$O$1002,'Alocação'!$C$3:$C$1002,$G54,'Alocação'!$B$3:$B$1002,"&lt;="&amp;$H$2))*HLOOKUP($G54,'Histórico'!$A$1:$DD$990,MATCH($G$2,'Histórico'!$A:$A),FALSE),
$D68="",""
)</f>
        <v>0</v>
      </c>
    </row>
    <row r="55">
      <c r="A55" s="157">
        <f>IFERROR(__xludf.DUMMYFUNCTION("""COMPUTED_VALUE"""),45079.0)</f>
        <v>45079</v>
      </c>
      <c r="B55" s="160">
        <f>VLOOKUP($A55,Controle!$B$10:$P$242,MATCH(RIGHT(B$3,LEN(B$3)-5),Controle!$B$2:$P$2))/1000000</f>
        <v>102.7677532</v>
      </c>
      <c r="C55" s="160">
        <f>VLOOKUP($A55,Controle!$B$10:$P$242,MATCH(RIGHT(C$3,LEN(C$3)-5),Controle!$B$2:$P$2))/1000000</f>
        <v>103.5708839</v>
      </c>
      <c r="D55" s="160">
        <f>VLOOKUP($A55,Controle!$B$10:$P$242,MATCH(RIGHT(D$3,LEN(D$3)-5),Controle!$B$2:$P$2))/1000000</f>
        <v>103.7081631</v>
      </c>
      <c r="E55" s="160">
        <f>VLOOKUP($A55,Controle!$B$10:$P$242,MATCH(RIGHT(E$3,LEN(E$3)-5),Controle!$B$2:$P$2))/1000000</f>
        <v>102.7677532</v>
      </c>
      <c r="G55" s="155" t="s">
        <v>125</v>
      </c>
      <c r="H55" s="155" t="str">
        <f t="array" ref="H55">XLOOKUP($G55,'Cadastro dos Ativos'!$A:$A,'Cadastro dos Ativos'!$C:$C)</f>
        <v>Futuros</v>
      </c>
      <c r="I55" s="155">
        <f>IFS(OR($H55="Ações Listadas na B3",$H55="Ações Americanas",$D69="Moedas",$H55="Ações Europeias",$H55="Títulos"),$AA69,
$H55="Futuros",
(SUMIFS('Alocação'!$O$3:$O$1002,'Alocação'!$C$3:$C$1002,$G55,'Alocação'!$B$3:$B$1002,"&lt;="&amp;$H$2))*HLOOKUP($G55,'Histórico'!$A$1:$DD$990,MATCH($G$2,'Histórico'!$A:$A),FALSE),
$D69="",""
)</f>
        <v>0</v>
      </c>
    </row>
    <row r="56">
      <c r="A56" s="157">
        <f>IFERROR(__xludf.DUMMYFUNCTION("""COMPUTED_VALUE"""),45082.0)</f>
        <v>45082</v>
      </c>
      <c r="B56" s="160">
        <f>VLOOKUP($A56,Controle!$B$10:$P$242,MATCH(RIGHT(B$3,LEN(B$3)-5),Controle!$B$2:$P$2))/1000000</f>
        <v>102.8286083</v>
      </c>
      <c r="C56" s="160">
        <f>VLOOKUP($A56,Controle!$B$10:$P$242,MATCH(RIGHT(C$3,LEN(C$3)-5),Controle!$B$2:$P$2))/1000000</f>
        <v>104.0189141</v>
      </c>
      <c r="D56" s="160">
        <f>VLOOKUP($A56,Controle!$B$10:$P$242,MATCH(RIGHT(D$3,LEN(D$3)-5),Controle!$B$2:$P$2))/1000000</f>
        <v>103.6738841</v>
      </c>
      <c r="E56" s="160">
        <f>VLOOKUP($A56,Controle!$B$10:$P$242,MATCH(RIGHT(E$3,LEN(E$3)-5),Controle!$B$2:$P$2))/1000000</f>
        <v>102.8286083</v>
      </c>
      <c r="G56" s="155" t="s">
        <v>34</v>
      </c>
      <c r="H56" s="155" t="str">
        <f t="array" ref="H56">XLOOKUP($G56,'Cadastro dos Ativos'!$A:$A,'Cadastro dos Ativos'!$C:$C)</f>
        <v>Ações Americanas</v>
      </c>
      <c r="I56" s="155" t="str">
        <f>IFS(OR($H56="Ações Listadas na B3",$H56="Ações Americanas",$D70="Moedas",$H56="Ações Europeias",$H56="Títulos"),$AA70,
$H56="Futuros",
(SUMIFS('Alocação'!$O$3:$O$1002,'Alocação'!$C$3:$C$1002,$G56,'Alocação'!$B$3:$B$1002,"&lt;="&amp;$H$2))*HLOOKUP($G56,'Histórico'!$A$1:$DD$990,MATCH($G$2,'Histórico'!$A:$A),FALSE),
$D70="",""
)</f>
        <v/>
      </c>
    </row>
    <row r="57">
      <c r="A57" s="157">
        <f>IFERROR(__xludf.DUMMYFUNCTION("""COMPUTED_VALUE"""),45083.0)</f>
        <v>45083</v>
      </c>
      <c r="B57" s="160">
        <f>VLOOKUP($A57,Controle!$B$10:$P$242,MATCH(RIGHT(B$3,LEN(B$3)-5),Controle!$B$2:$P$2))/1000000</f>
        <v>102.6341485</v>
      </c>
      <c r="C57" s="160">
        <f>VLOOKUP($A57,Controle!$B$10:$P$242,MATCH(RIGHT(C$3,LEN(C$3)-5),Controle!$B$2:$P$2))/1000000</f>
        <v>104.047947</v>
      </c>
      <c r="D57" s="160">
        <f>VLOOKUP($A57,Controle!$B$10:$P$242,MATCH(RIGHT(D$3,LEN(D$3)-5),Controle!$B$2:$P$2))/1000000</f>
        <v>103.9863191</v>
      </c>
      <c r="E57" s="160">
        <f>VLOOKUP($A57,Controle!$B$10:$P$242,MATCH(RIGHT(E$3,LEN(E$3)-5),Controle!$B$2:$P$2))/1000000</f>
        <v>102.6341485</v>
      </c>
      <c r="G57" s="155" t="s">
        <v>50</v>
      </c>
      <c r="H57" s="155" t="str">
        <f t="array" ref="H57">XLOOKUP($G57,'Cadastro dos Ativos'!$A:$A,'Cadastro dos Ativos'!$C:$C)</f>
        <v>Ações Americanas</v>
      </c>
      <c r="I57" s="155" t="str">
        <f>IFS(OR($H57="Ações Listadas na B3",$H57="Ações Americanas",$D71="Moedas",$H57="Ações Europeias",$H57="Títulos"),$AA71,
$H57="Futuros",
(SUMIFS('Alocação'!$O$3:$O$1002,'Alocação'!$C$3:$C$1002,$G57,'Alocação'!$B$3:$B$1002,"&lt;="&amp;$H$2))*HLOOKUP($G57,'Histórico'!$A$1:$DD$990,MATCH($G$2,'Histórico'!$A:$A),FALSE),
$D71="",""
)</f>
        <v/>
      </c>
    </row>
    <row r="58">
      <c r="A58" s="157">
        <f>IFERROR(__xludf.DUMMYFUNCTION("""COMPUTED_VALUE"""),45084.0)</f>
        <v>45084</v>
      </c>
      <c r="B58" s="160">
        <f>VLOOKUP($A58,Controle!$B$10:$P$242,MATCH(RIGHT(B$3,LEN(B$3)-5),Controle!$B$2:$P$2))/1000000</f>
        <v>102.6482885</v>
      </c>
      <c r="C58" s="160">
        <f>VLOOKUP($A58,Controle!$B$10:$P$242,MATCH(RIGHT(C$3,LEN(C$3)-5),Controle!$B$2:$P$2))/1000000</f>
        <v>104.1159984</v>
      </c>
      <c r="D58" s="160">
        <f>VLOOKUP($A58,Controle!$B$10:$P$242,MATCH(RIGHT(D$3,LEN(D$3)-5),Controle!$B$2:$P$2))/1000000</f>
        <v>104.6710003</v>
      </c>
      <c r="E58" s="160">
        <f>VLOOKUP($A58,Controle!$B$10:$P$242,MATCH(RIGHT(E$3,LEN(E$3)-5),Controle!$B$2:$P$2))/1000000</f>
        <v>102.6482885</v>
      </c>
      <c r="G58" s="155" t="s">
        <v>30</v>
      </c>
      <c r="H58" s="155" t="str">
        <f t="array" ref="H58">XLOOKUP($G58,'Cadastro dos Ativos'!$A:$A,'Cadastro dos Ativos'!$C:$C)</f>
        <v>Futuros</v>
      </c>
      <c r="I58" s="155">
        <f>IFS(OR($H58="Ações Listadas na B3",$H58="Ações Americanas",$D72="Moedas",$H58="Ações Europeias",$H58="Títulos"),$AA72,
$H58="Futuros",
(SUMIFS('Alocação'!$O$3:$O$1002,'Alocação'!$C$3:$C$1002,$G58,'Alocação'!$B$3:$B$1002,"&lt;="&amp;$H$2))*HLOOKUP($G58,'Histórico'!$A$1:$DD$990,MATCH($G$2,'Histórico'!$A:$A),FALSE),
$D72="",""
)</f>
        <v>0</v>
      </c>
    </row>
    <row r="59">
      <c r="A59" s="157">
        <f>IFERROR(__xludf.DUMMYFUNCTION("""COMPUTED_VALUE"""),45086.0)</f>
        <v>45086</v>
      </c>
      <c r="B59" s="160">
        <f>VLOOKUP($A59,Controle!$B$10:$P$242,MATCH(RIGHT(B$3,LEN(B$3)-5),Controle!$B$2:$P$2))/1000000</f>
        <v>102.9133837</v>
      </c>
      <c r="C59" s="160">
        <f>VLOOKUP($A59,Controle!$B$10:$P$242,MATCH(RIGHT(C$3,LEN(C$3)-5),Controle!$B$2:$P$2))/1000000</f>
        <v>104.1043678</v>
      </c>
      <c r="D59" s="160">
        <f>VLOOKUP($A59,Controle!$B$10:$P$242,MATCH(RIGHT(D$3,LEN(D$3)-5),Controle!$B$2:$P$2))/1000000</f>
        <v>105.0752564</v>
      </c>
      <c r="E59" s="160">
        <f>VLOOKUP($A59,Controle!$B$10:$P$242,MATCH(RIGHT(E$3,LEN(E$3)-5),Controle!$B$2:$P$2))/1000000</f>
        <v>102.9133837</v>
      </c>
      <c r="G59" s="155" t="s">
        <v>93</v>
      </c>
      <c r="H59" s="155" t="str">
        <f t="array" ref="H59">XLOOKUP($G59,'Cadastro dos Ativos'!$A:$A,'Cadastro dos Ativos'!$C:$C)</f>
        <v>Futuros</v>
      </c>
      <c r="I59" s="155">
        <f>IFS(OR($H59="Ações Listadas na B3",$H59="Ações Americanas",$D73="Moedas",$H59="Ações Europeias",$H59="Títulos"),$AA73,
$H59="Futuros",
(SUMIFS('Alocação'!$O$3:$O$1002,'Alocação'!$C$3:$C$1002,$G59,'Alocação'!$B$3:$B$1002,"&lt;="&amp;$H$2))*HLOOKUP($G59,'Histórico'!$A$1:$DD$990,MATCH($G$2,'Histórico'!$A:$A),FALSE),
$D73="",""
)</f>
        <v>0</v>
      </c>
    </row>
    <row r="60">
      <c r="A60" s="157">
        <f>IFERROR(__xludf.DUMMYFUNCTION("""COMPUTED_VALUE"""),45089.0)</f>
        <v>45089</v>
      </c>
      <c r="B60" s="160">
        <f>VLOOKUP($A60,Controle!$B$10:$P$242,MATCH(RIGHT(B$3,LEN(B$3)-5),Controle!$B$2:$P$2))/1000000</f>
        <v>103.0115565</v>
      </c>
      <c r="C60" s="160">
        <f>VLOOKUP($A60,Controle!$B$10:$P$242,MATCH(RIGHT(C$3,LEN(C$3)-5),Controle!$B$2:$P$2))/1000000</f>
        <v>104.2418653</v>
      </c>
      <c r="D60" s="160">
        <f>VLOOKUP($A60,Controle!$B$10:$P$242,MATCH(RIGHT(D$3,LEN(D$3)-5),Controle!$B$2:$P$2))/1000000</f>
        <v>105.303818</v>
      </c>
      <c r="E60" s="160">
        <f>VLOOKUP($A60,Controle!$B$10:$P$242,MATCH(RIGHT(E$3,LEN(E$3)-5),Controle!$B$2:$P$2))/1000000</f>
        <v>103.0115565</v>
      </c>
      <c r="G60" s="155" t="s">
        <v>118</v>
      </c>
      <c r="H60" s="155" t="str">
        <f t="array" ref="H60">XLOOKUP($G60,'Cadastro dos Ativos'!$A:$A,'Cadastro dos Ativos'!$C:$C)</f>
        <v>Futuros</v>
      </c>
      <c r="I60" s="155">
        <f>IFS(OR($H60="Ações Listadas na B3",$H60="Ações Americanas",$D74="Moedas",$H60="Ações Europeias",$H60="Títulos"),$AA74,
$H60="Futuros",
(SUMIFS('Alocação'!$O$3:$O$1002,'Alocação'!$C$3:$C$1002,$G60,'Alocação'!$B$3:$B$1002,"&lt;="&amp;$H$2))*HLOOKUP($G60,'Histórico'!$A$1:$DD$990,MATCH($G$2,'Histórico'!$A:$A),FALSE),
$D74="",""
)</f>
        <v>0</v>
      </c>
    </row>
    <row r="61">
      <c r="A61" s="157">
        <f>IFERROR(__xludf.DUMMYFUNCTION("""COMPUTED_VALUE"""),45090.0)</f>
        <v>45090</v>
      </c>
      <c r="B61" s="160">
        <f>VLOOKUP($A61,Controle!$B$10:$P$242,MATCH(RIGHT(B$3,LEN(B$3)-5),Controle!$B$2:$P$2))/1000000</f>
        <v>102.8838984</v>
      </c>
      <c r="C61" s="160">
        <f>VLOOKUP($A61,Controle!$B$10:$P$242,MATCH(RIGHT(C$3,LEN(C$3)-5),Controle!$B$2:$P$2))/1000000</f>
        <v>104.3186959</v>
      </c>
      <c r="D61" s="160">
        <f>VLOOKUP($A61,Controle!$B$10:$P$242,MATCH(RIGHT(D$3,LEN(D$3)-5),Controle!$B$2:$P$2))/1000000</f>
        <v>104.4796789</v>
      </c>
      <c r="E61" s="160">
        <f>VLOOKUP($A61,Controle!$B$10:$P$242,MATCH(RIGHT(E$3,LEN(E$3)-5),Controle!$B$2:$P$2))/1000000</f>
        <v>102.8838984</v>
      </c>
      <c r="G61" s="155" t="s">
        <v>145</v>
      </c>
      <c r="H61" s="155" t="str">
        <f t="array" ref="H61">XLOOKUP($G61,'Cadastro dos Ativos'!$A:$A,'Cadastro dos Ativos'!$C:$C)</f>
        <v>Ações Americanas</v>
      </c>
      <c r="I61" s="155" t="str">
        <f>IFS(OR($H61="Ações Listadas na B3",$H61="Ações Americanas",$D75="Moedas",$H61="Ações Europeias",$H61="Títulos"),$AA75,
$H61="Futuros",
(SUMIFS('Alocação'!$O$3:$O$1002,'Alocação'!$C$3:$C$1002,$G61,'Alocação'!$B$3:$B$1002,"&lt;="&amp;$H$2))*HLOOKUP($G61,'Histórico'!$A$1:$DD$990,MATCH($G$2,'Histórico'!$A:$A),FALSE),
$D75="",""
)</f>
        <v/>
      </c>
    </row>
    <row r="62">
      <c r="A62" s="157">
        <f>IFERROR(__xludf.DUMMYFUNCTION("""COMPUTED_VALUE"""),45091.0)</f>
        <v>45091</v>
      </c>
      <c r="B62" s="160">
        <f>VLOOKUP($A62,Controle!$B$10:$P$242,MATCH(RIGHT(B$3,LEN(B$3)-5),Controle!$B$2:$P$2))/1000000</f>
        <v>103.2822078</v>
      </c>
      <c r="C62" s="160">
        <f>VLOOKUP($A62,Controle!$B$10:$P$242,MATCH(RIGHT(C$3,LEN(C$3)-5),Controle!$B$2:$P$2))/1000000</f>
        <v>104.3376793</v>
      </c>
      <c r="D62" s="160">
        <f>VLOOKUP($A62,Controle!$B$10:$P$242,MATCH(RIGHT(D$3,LEN(D$3)-5),Controle!$B$2:$P$2))/1000000</f>
        <v>105.8340014</v>
      </c>
      <c r="E62" s="160">
        <f>VLOOKUP($A62,Controle!$B$10:$P$242,MATCH(RIGHT(E$3,LEN(E$3)-5),Controle!$B$2:$P$2))/1000000</f>
        <v>103.2822078</v>
      </c>
      <c r="G62" s="155" t="s">
        <v>272</v>
      </c>
      <c r="H62" s="155" t="str">
        <f t="array" ref="H62">XLOOKUP($G62,'Cadastro dos Ativos'!$A:$A,'Cadastro dos Ativos'!$C:$C)</f>
        <v>Títulos</v>
      </c>
      <c r="I62" s="155" t="str">
        <f>IFS(OR($H62="Ações Listadas na B3",$H62="Ações Americanas",$D76="Moedas",$H62="Ações Europeias",$H62="Títulos"),$AA76,
$H62="Futuros",
(SUMIFS('Alocação'!$O$3:$O$1002,'Alocação'!$C$3:$C$1002,$G62,'Alocação'!$B$3:$B$1002,"&lt;="&amp;$H$2))*HLOOKUP($G62,'Histórico'!$A$1:$DD$990,MATCH($G$2,'Histórico'!$A:$A),FALSE),
$D76="",""
)</f>
        <v/>
      </c>
    </row>
    <row r="63">
      <c r="A63" s="157">
        <f>IFERROR(__xludf.DUMMYFUNCTION("""COMPUTED_VALUE"""),45092.0)</f>
        <v>45092</v>
      </c>
      <c r="B63" s="160">
        <f>VLOOKUP($A63,Controle!$B$10:$P$242,MATCH(RIGHT(B$3,LEN(B$3)-5),Controle!$B$2:$P$2))/1000000</f>
        <v>103.4438608</v>
      </c>
      <c r="C63" s="160">
        <f>VLOOKUP($A63,Controle!$B$10:$P$242,MATCH(RIGHT(C$3,LEN(C$3)-5),Controle!$B$2:$P$2))/1000000</f>
        <v>106.4453127</v>
      </c>
      <c r="D63" s="160">
        <f>VLOOKUP($A63,Controle!$B$10:$P$242,MATCH(RIGHT(D$3,LEN(D$3)-5),Controle!$B$2:$P$2))/1000000</f>
        <v>106.0165565</v>
      </c>
      <c r="E63" s="160">
        <f>VLOOKUP($A63,Controle!$B$10:$P$242,MATCH(RIGHT(E$3,LEN(E$3)-5),Controle!$B$2:$P$2))/1000000</f>
        <v>103.4438608</v>
      </c>
      <c r="G63" s="155" t="s">
        <v>115</v>
      </c>
      <c r="H63" s="155" t="str">
        <f t="array" ref="H63">XLOOKUP($G63,'Cadastro dos Ativos'!$A:$A,'Cadastro dos Ativos'!$C:$C)</f>
        <v>Ações Listadas na B3</v>
      </c>
      <c r="I63" s="155" t="str">
        <f>IFS(OR($H63="Ações Listadas na B3",$H63="Ações Americanas",$D77="Moedas",$H63="Ações Europeias",$H63="Títulos"),$AA77,
$H63="Futuros",
(SUMIFS('Alocação'!$O$3:$O$1002,'Alocação'!$C$3:$C$1002,$G63,'Alocação'!$B$3:$B$1002,"&lt;="&amp;$H$2))*HLOOKUP($G63,'Histórico'!$A$1:$DD$990,MATCH($G$2,'Histórico'!$A:$A),FALSE),
$D77="",""
)</f>
        <v/>
      </c>
    </row>
    <row r="64">
      <c r="A64" s="157">
        <f>IFERROR(__xludf.DUMMYFUNCTION("""COMPUTED_VALUE"""),45093.0)</f>
        <v>45093</v>
      </c>
      <c r="B64" s="160">
        <f>VLOOKUP($A64,Controle!$B$10:$P$242,MATCH(RIGHT(B$3,LEN(B$3)-5),Controle!$B$2:$P$2))/1000000</f>
        <v>103.3404758</v>
      </c>
      <c r="C64" s="160">
        <f>VLOOKUP($A64,Controle!$B$10:$P$242,MATCH(RIGHT(C$3,LEN(C$3)-5),Controle!$B$2:$P$2))/1000000</f>
        <v>107.9170095</v>
      </c>
      <c r="D64" s="160">
        <f>VLOOKUP($A64,Controle!$B$10:$P$242,MATCH(RIGHT(D$3,LEN(D$3)-5),Controle!$B$2:$P$2))/1000000</f>
        <v>106.2019635</v>
      </c>
      <c r="E64" s="160">
        <f>VLOOKUP($A64,Controle!$B$10:$P$242,MATCH(RIGHT(E$3,LEN(E$3)-5),Controle!$B$2:$P$2))/1000000</f>
        <v>103.3404758</v>
      </c>
      <c r="G64" s="155" t="s">
        <v>139</v>
      </c>
      <c r="H64" s="155" t="str">
        <f t="array" ref="H64">XLOOKUP($G64,'Cadastro dos Ativos'!$A:$A,'Cadastro dos Ativos'!$C:$C)</f>
        <v>Ações Listadas na B3</v>
      </c>
      <c r="I64" s="155" t="str">
        <f>IFS(OR($H64="Ações Listadas na B3",$H64="Ações Americanas",$D78="Moedas",$H64="Ações Europeias",$H64="Títulos"),$AA78,
$H64="Futuros",
(SUMIFS('Alocação'!$O$3:$O$1002,'Alocação'!$C$3:$C$1002,$G64,'Alocação'!$B$3:$B$1002,"&lt;="&amp;$H$2))*HLOOKUP($G64,'Histórico'!$A$1:$DD$990,MATCH($G$2,'Histórico'!$A:$A),FALSE),
$D78="",""
)</f>
        <v/>
      </c>
    </row>
    <row r="65">
      <c r="A65" s="157">
        <f>IFERROR(__xludf.DUMMYFUNCTION("""COMPUTED_VALUE"""),45096.0)</f>
        <v>45096</v>
      </c>
      <c r="B65" s="160">
        <f>VLOOKUP($A65,Controle!$B$10:$P$242,MATCH(RIGHT(B$3,LEN(B$3)-5),Controle!$B$2:$P$2))/1000000</f>
        <v>103.370612</v>
      </c>
      <c r="C65" s="160">
        <f>VLOOKUP($A65,Controle!$B$10:$P$242,MATCH(RIGHT(C$3,LEN(C$3)-5),Controle!$B$2:$P$2))/1000000</f>
        <v>108.0802086</v>
      </c>
      <c r="D65" s="160">
        <f>VLOOKUP($A65,Controle!$B$10:$P$242,MATCH(RIGHT(D$3,LEN(D$3)-5),Controle!$B$2:$P$2))/1000000</f>
        <v>105.8128224</v>
      </c>
      <c r="E65" s="160">
        <f>VLOOKUP($A65,Controle!$B$10:$P$242,MATCH(RIGHT(E$3,LEN(E$3)-5),Controle!$B$2:$P$2))/1000000</f>
        <v>103.370612</v>
      </c>
      <c r="G65" s="155" t="s">
        <v>4</v>
      </c>
      <c r="H65" s="155" t="str">
        <f t="array" ref="H65">XLOOKUP($G65,'Cadastro dos Ativos'!$A:$A,'Cadastro dos Ativos'!$C:$C)</f>
        <v>Ações Listadas na B3</v>
      </c>
      <c r="I65" s="155" t="str">
        <f>IFS(OR($H65="Ações Listadas na B3",$H65="Ações Americanas",$D79="Moedas",$H65="Ações Europeias",$H65="Títulos"),$AA79,
$H65="Futuros",
(SUMIFS('Alocação'!$O$3:$O$1002,'Alocação'!$C$3:$C$1002,$G65,'Alocação'!$B$3:$B$1002,"&lt;="&amp;$H$2))*HLOOKUP($G65,'Histórico'!$A$1:$DD$990,MATCH($G$2,'Histórico'!$A:$A),FALSE),
$D79="",""
)</f>
        <v/>
      </c>
    </row>
    <row r="66">
      <c r="A66" s="157">
        <f>IFERROR(__xludf.DUMMYFUNCTION("""COMPUTED_VALUE"""),45097.0)</f>
        <v>45097</v>
      </c>
      <c r="B66" s="160">
        <f>VLOOKUP($A66,Controle!$B$10:$P$242,MATCH(RIGHT(B$3,LEN(B$3)-5),Controle!$B$2:$P$2))/1000000</f>
        <v>103.2568965</v>
      </c>
      <c r="C66" s="160">
        <f>VLOOKUP($A66,Controle!$B$10:$P$242,MATCH(RIGHT(C$3,LEN(C$3)-5),Controle!$B$2:$P$2))/1000000</f>
        <v>108.3423064</v>
      </c>
      <c r="D66" s="160">
        <f>VLOOKUP($A66,Controle!$B$10:$P$242,MATCH(RIGHT(D$3,LEN(D$3)-5),Controle!$B$2:$P$2))/1000000</f>
        <v>105.0618171</v>
      </c>
      <c r="E66" s="160">
        <f>VLOOKUP($A66,Controle!$B$10:$P$242,MATCH(RIGHT(E$3,LEN(E$3)-5),Controle!$B$2:$P$2))/1000000</f>
        <v>103.2568965</v>
      </c>
      <c r="G66" s="155" t="s">
        <v>105</v>
      </c>
      <c r="H66" s="155" t="str">
        <f t="array" ref="H66">XLOOKUP($G66,'Cadastro dos Ativos'!$A:$A,'Cadastro dos Ativos'!$C:$C)</f>
        <v>Ações Listadas na B3</v>
      </c>
      <c r="I66" s="155" t="str">
        <f>IFS(OR($H66="Ações Listadas na B3",$H66="Ações Americanas",$D80="Moedas",$H66="Ações Europeias",$H66="Títulos"),$AA80,
$H66="Futuros",
(SUMIFS('Alocação'!$O$3:$O$1002,'Alocação'!$C$3:$C$1002,$G66,'Alocação'!$B$3:$B$1002,"&lt;="&amp;$H$2))*HLOOKUP($G66,'Histórico'!$A$1:$DD$990,MATCH($G$2,'Histórico'!$A:$A),FALSE),
$D80="",""
)</f>
        <v/>
      </c>
    </row>
    <row r="67">
      <c r="A67" s="157">
        <f>IFERROR(__xludf.DUMMYFUNCTION("""COMPUTED_VALUE"""),45098.0)</f>
        <v>45098</v>
      </c>
      <c r="B67" s="160">
        <f>VLOOKUP($A67,Controle!$B$10:$P$242,MATCH(RIGHT(B$3,LEN(B$3)-5),Controle!$B$2:$P$2))/1000000</f>
        <v>103.1599423</v>
      </c>
      <c r="C67" s="160">
        <f>VLOOKUP($A67,Controle!$B$10:$P$242,MATCH(RIGHT(C$3,LEN(C$3)-5),Controle!$B$2:$P$2))/1000000</f>
        <v>108.6581579</v>
      </c>
      <c r="D67" s="160">
        <f>VLOOKUP($A67,Controle!$B$10:$P$242,MATCH(RIGHT(D$3,LEN(D$3)-5),Controle!$B$2:$P$2))/1000000</f>
        <v>104.9070682</v>
      </c>
      <c r="E67" s="160">
        <f>VLOOKUP($A67,Controle!$B$10:$P$242,MATCH(RIGHT(E$3,LEN(E$3)-5),Controle!$B$2:$P$2))/1000000</f>
        <v>103.1599423</v>
      </c>
      <c r="G67" s="155" t="s">
        <v>101</v>
      </c>
      <c r="H67" s="155" t="str">
        <f t="array" ref="H67">XLOOKUP($G67,'Cadastro dos Ativos'!$A:$A,'Cadastro dos Ativos'!$C:$C)</f>
        <v>Ações Listadas na B3</v>
      </c>
      <c r="I67" s="155" t="str">
        <f>IFS(OR($H67="Ações Listadas na B3",$H67="Ações Americanas",$D81="Moedas",$H67="Ações Europeias",$H67="Títulos"),$AA81,
$H67="Futuros",
(SUMIFS('Alocação'!$O$3:$O$1002,'Alocação'!$C$3:$C$1002,$G67,'Alocação'!$B$3:$B$1002,"&lt;="&amp;$H$2))*HLOOKUP($G67,'Histórico'!$A$1:$DD$990,MATCH($G$2,'Histórico'!$A:$A),FALSE),
$D81="",""
)</f>
        <v/>
      </c>
    </row>
    <row r="68">
      <c r="A68" s="157">
        <f>IFERROR(__xludf.DUMMYFUNCTION("""COMPUTED_VALUE"""),45099.0)</f>
        <v>45099</v>
      </c>
      <c r="B68" s="160">
        <f>VLOOKUP($A68,Controle!$B$10:$P$242,MATCH(RIGHT(B$3,LEN(B$3)-5),Controle!$B$2:$P$2))/1000000</f>
        <v>103.1759962</v>
      </c>
      <c r="C68" s="160">
        <f>VLOOKUP($A68,Controle!$B$10:$P$242,MATCH(RIGHT(C$3,LEN(C$3)-5),Controle!$B$2:$P$2))/1000000</f>
        <v>109.175786</v>
      </c>
      <c r="D68" s="160">
        <f>VLOOKUP($A68,Controle!$B$10:$P$242,MATCH(RIGHT(D$3,LEN(D$3)-5),Controle!$B$2:$P$2))/1000000</f>
        <v>105.1697434</v>
      </c>
      <c r="E68" s="160">
        <f>VLOOKUP($A68,Controle!$B$10:$P$242,MATCH(RIGHT(E$3,LEN(E$3)-5),Controle!$B$2:$P$2))/1000000</f>
        <v>103.1759962</v>
      </c>
      <c r="G68" s="155" t="s">
        <v>151</v>
      </c>
      <c r="H68" s="155" t="str">
        <f t="array" ref="H68">XLOOKUP($G68,'Cadastro dos Ativos'!$A:$A,'Cadastro dos Ativos'!$C:$C)</f>
        <v>Futuros</v>
      </c>
      <c r="I68" s="155">
        <f>IFS(OR($H68="Ações Listadas na B3",$H68="Ações Americanas",$D82="Moedas",$H68="Ações Europeias",$H68="Títulos"),$AA82,
$H68="Futuros",
(SUMIFS('Alocação'!$O$3:$O$1002,'Alocação'!$C$3:$C$1002,$G68,'Alocação'!$B$3:$B$1002,"&lt;="&amp;$H$2))*HLOOKUP($G68,'Histórico'!$A$1:$DD$990,MATCH($G$2,'Histórico'!$A:$A),FALSE),
$D82="",""
)</f>
        <v>4395.6</v>
      </c>
    </row>
    <row r="69">
      <c r="A69" s="157">
        <f>IFERROR(__xludf.DUMMYFUNCTION("""COMPUTED_VALUE"""),45100.0)</f>
        <v>45100</v>
      </c>
      <c r="B69" s="160">
        <f>VLOOKUP($A69,Controle!$B$10:$P$242,MATCH(RIGHT(B$3,LEN(B$3)-5),Controle!$B$2:$P$2))/1000000</f>
        <v>103.0747037</v>
      </c>
      <c r="C69" s="160">
        <f>VLOOKUP($A69,Controle!$B$10:$P$242,MATCH(RIGHT(C$3,LEN(C$3)-5),Controle!$B$2:$P$2))/1000000</f>
        <v>109.901426</v>
      </c>
      <c r="D69" s="160">
        <f>VLOOKUP($A69,Controle!$B$10:$P$242,MATCH(RIGHT(D$3,LEN(D$3)-5),Controle!$B$2:$P$2))/1000000</f>
        <v>105.4834339</v>
      </c>
      <c r="E69" s="160">
        <f>VLOOKUP($A69,Controle!$B$10:$P$242,MATCH(RIGHT(E$3,LEN(E$3)-5),Controle!$B$2:$P$2))/1000000</f>
        <v>103.0747037</v>
      </c>
      <c r="G69" s="155" t="s">
        <v>46</v>
      </c>
      <c r="H69" s="155" t="str">
        <f t="array" ref="H69">XLOOKUP($G69,'Cadastro dos Ativos'!$A:$A,'Cadastro dos Ativos'!$C:$C)</f>
        <v>Ações Americanas</v>
      </c>
      <c r="I69" s="155" t="str">
        <f>IFS(OR($H69="Ações Listadas na B3",$H69="Ações Americanas",$D83="Moedas",$H69="Ações Europeias",$H69="Títulos"),$AA83,
$H69="Futuros",
(SUMIFS('Alocação'!$O$3:$O$1002,'Alocação'!$C$3:$C$1002,$G69,'Alocação'!$B$3:$B$1002,"&lt;="&amp;$H$2))*HLOOKUP($G69,'Histórico'!$A$1:$DD$990,MATCH($G$2,'Histórico'!$A:$A),FALSE),
$D83="",""
)</f>
        <v/>
      </c>
    </row>
    <row r="70">
      <c r="A70" s="157">
        <f>IFERROR(__xludf.DUMMYFUNCTION("""COMPUTED_VALUE"""),45103.0)</f>
        <v>45103</v>
      </c>
      <c r="B70" s="160">
        <f>VLOOKUP($A70,Controle!$B$10:$P$242,MATCH(RIGHT(B$3,LEN(B$3)-5),Controle!$B$2:$P$2))/1000000</f>
        <v>102.93341</v>
      </c>
      <c r="C70" s="160">
        <f>VLOOKUP($A70,Controle!$B$10:$P$242,MATCH(RIGHT(C$3,LEN(C$3)-5),Controle!$B$2:$P$2))/1000000</f>
        <v>110.1121936</v>
      </c>
      <c r="D70" s="160">
        <f>VLOOKUP($A70,Controle!$B$10:$P$242,MATCH(RIGHT(D$3,LEN(D$3)-5),Controle!$B$2:$P$2))/1000000</f>
        <v>104.5953211</v>
      </c>
      <c r="E70" s="160">
        <f>VLOOKUP($A70,Controle!$B$10:$P$242,MATCH(RIGHT(E$3,LEN(E$3)-5),Controle!$B$2:$P$2))/1000000</f>
        <v>102.93341</v>
      </c>
      <c r="G70" s="155" t="s">
        <v>7</v>
      </c>
      <c r="H70" s="155" t="str">
        <f t="array" ref="H70">XLOOKUP($G70,'Cadastro dos Ativos'!$A:$A,'Cadastro dos Ativos'!$C:$C)</f>
        <v>Ações Americanas</v>
      </c>
      <c r="I70" s="155" t="str">
        <f>IFS(OR($H70="Ações Listadas na B3",$H70="Ações Americanas",$D84="Moedas",$H70="Ações Europeias",$H70="Títulos"),$AA84,
$H70="Futuros",
(SUMIFS('Alocação'!$O$3:$O$1002,'Alocação'!$C$3:$C$1002,$G70,'Alocação'!$B$3:$B$1002,"&lt;="&amp;$H$2))*HLOOKUP($G70,'Histórico'!$A$1:$DD$990,MATCH($G$2,'Histórico'!$A:$A),FALSE),
$D84="",""
)</f>
        <v/>
      </c>
    </row>
    <row r="71">
      <c r="A71" s="157">
        <f>IFERROR(__xludf.DUMMYFUNCTION("""COMPUTED_VALUE"""),45104.0)</f>
        <v>45104</v>
      </c>
      <c r="B71" s="160">
        <f>VLOOKUP($A71,Controle!$B$10:$P$242,MATCH(RIGHT(B$3,LEN(B$3)-5),Controle!$B$2:$P$2))/1000000</f>
        <v>102.7799584</v>
      </c>
      <c r="C71" s="160">
        <f>VLOOKUP($A71,Controle!$B$10:$P$242,MATCH(RIGHT(C$3,LEN(C$3)-5),Controle!$B$2:$P$2))/1000000</f>
        <v>110.2727844</v>
      </c>
      <c r="D71" s="160">
        <f>VLOOKUP($A71,Controle!$B$10:$P$242,MATCH(RIGHT(D$3,LEN(D$3)-5),Controle!$B$2:$P$2))/1000000</f>
        <v>103.850427</v>
      </c>
      <c r="E71" s="160">
        <f>VLOOKUP($A71,Controle!$B$10:$P$242,MATCH(RIGHT(E$3,LEN(E$3)-5),Controle!$B$2:$P$2))/1000000</f>
        <v>102.7799584</v>
      </c>
      <c r="G71" s="155" t="s">
        <v>163</v>
      </c>
      <c r="H71" s="155" t="str">
        <f t="array" ref="H71">XLOOKUP($G71,'Cadastro dos Ativos'!$A:$A,'Cadastro dos Ativos'!$C:$C)</f>
        <v>Futuros</v>
      </c>
      <c r="I71" s="155">
        <f>IFS(OR($H71="Ações Listadas na B3",$H71="Ações Americanas",$D85="Moedas",$H71="Ações Europeias",$H71="Títulos"),$AA85,
$H71="Futuros",
(SUMIFS('Alocação'!$O$3:$O$1002,'Alocação'!$C$3:$C$1002,$G71,'Alocação'!$B$3:$B$1002,"&lt;="&amp;$H$2))*HLOOKUP($G71,'Histórico'!$A$1:$DD$990,MATCH($G$2,'Histórico'!$A:$A),FALSE),
$D85="",""
)</f>
        <v>-67037.7</v>
      </c>
    </row>
    <row r="72">
      <c r="A72" s="157">
        <f>IFERROR(__xludf.DUMMYFUNCTION("""COMPUTED_VALUE"""),45105.0)</f>
        <v>45105</v>
      </c>
      <c r="B72" s="160">
        <f>VLOOKUP($A72,Controle!$B$10:$P$242,MATCH(RIGHT(B$3,LEN(B$3)-5),Controle!$B$2:$P$2))/1000000</f>
        <v>102.8005632</v>
      </c>
      <c r="C72" s="160">
        <f>VLOOKUP($A72,Controle!$B$10:$P$242,MATCH(RIGHT(C$3,LEN(C$3)-5),Controle!$B$2:$P$2))/1000000</f>
        <v>110.1141694</v>
      </c>
      <c r="D72" s="160">
        <f>VLOOKUP($A72,Controle!$B$10:$P$242,MATCH(RIGHT(D$3,LEN(D$3)-5),Controle!$B$2:$P$2))/1000000</f>
        <v>103.620141</v>
      </c>
      <c r="E72" s="160">
        <f>VLOOKUP($A72,Controle!$B$10:$P$242,MATCH(RIGHT(E$3,LEN(E$3)-5),Controle!$B$2:$P$2))/1000000</f>
        <v>102.8005632</v>
      </c>
      <c r="G72" s="155" t="s">
        <v>27</v>
      </c>
      <c r="H72" s="155" t="str">
        <f t="array" ref="H72">XLOOKUP($G72,'Cadastro dos Ativos'!$A:$A,'Cadastro dos Ativos'!$C:$C)</f>
        <v>Moedas</v>
      </c>
      <c r="I72" s="155" t="str">
        <f>IFS(OR($H72="Ações Listadas na B3",$H72="Ações Americanas",$D86="Moedas",$H72="Ações Europeias",$H72="Títulos"),$AA86,
$H72="Futuros",
(SUMIFS('Alocação'!$O$3:$O$1002,'Alocação'!$C$3:$C$1002,$G72,'Alocação'!$B$3:$B$1002,"&lt;="&amp;$H$2))*HLOOKUP($G72,'Histórico'!$A$1:$DD$990,MATCH($G$2,'Histórico'!$A:$A),FALSE),
$D86="",""
)</f>
        <v>#N/A</v>
      </c>
    </row>
    <row r="73">
      <c r="A73" s="157">
        <f>IFERROR(__xludf.DUMMYFUNCTION("""COMPUTED_VALUE"""),45106.0)</f>
        <v>45106</v>
      </c>
      <c r="B73" s="160">
        <f>VLOOKUP($A73,Controle!$B$10:$P$242,MATCH(RIGHT(B$3,LEN(B$3)-5),Controle!$B$2:$P$2))/1000000</f>
        <v>103.3787102</v>
      </c>
      <c r="C73" s="160">
        <f>VLOOKUP($A73,Controle!$B$10:$P$242,MATCH(RIGHT(C$3,LEN(C$3)-5),Controle!$B$2:$P$2))/1000000</f>
        <v>110.4330333</v>
      </c>
      <c r="D73" s="160">
        <f>VLOOKUP($A73,Controle!$B$10:$P$242,MATCH(RIGHT(D$3,LEN(D$3)-5),Controle!$B$2:$P$2))/1000000</f>
        <v>104.6362357</v>
      </c>
      <c r="E73" s="160">
        <f>VLOOKUP($A73,Controle!$B$10:$P$242,MATCH(RIGHT(E$3,LEN(E$3)-5),Controle!$B$2:$P$2))/1000000</f>
        <v>103.3787102</v>
      </c>
      <c r="G73" s="155" t="s">
        <v>113</v>
      </c>
      <c r="H73" s="155" t="str">
        <f t="array" ref="H73">XLOOKUP($G73,'Cadastro dos Ativos'!$A:$A,'Cadastro dos Ativos'!$C:$C)</f>
        <v>Ações Americanas</v>
      </c>
      <c r="I73" s="155" t="str">
        <f>IFS(OR($H73="Ações Listadas na B3",$H73="Ações Americanas",$D87="Moedas",$H73="Ações Europeias",$H73="Títulos"),$AA87,
$H73="Futuros",
(SUMIFS('Alocação'!$O$3:$O$1002,'Alocação'!$C$3:$C$1002,$G73,'Alocação'!$B$3:$B$1002,"&lt;="&amp;$H$2))*HLOOKUP($G73,'Histórico'!$A$1:$DD$990,MATCH($G$2,'Histórico'!$A:$A),FALSE),
$D87="",""
)</f>
        <v/>
      </c>
    </row>
    <row r="74">
      <c r="A74" s="157">
        <f>IFERROR(__xludf.DUMMYFUNCTION("""COMPUTED_VALUE"""),45107.0)</f>
        <v>45107</v>
      </c>
      <c r="B74" s="160">
        <f>VLOOKUP($A74,Controle!$B$10:$P$242,MATCH(RIGHT(B$3,LEN(B$3)-5),Controle!$B$2:$P$2))/1000000</f>
        <v>103.4987639</v>
      </c>
      <c r="C74" s="160">
        <f>VLOOKUP($A74,Controle!$B$10:$P$242,MATCH(RIGHT(C$3,LEN(C$3)-5),Controle!$B$2:$P$2))/1000000</f>
        <v>110.5659796</v>
      </c>
      <c r="D74" s="160">
        <f>VLOOKUP($A74,Controle!$B$10:$P$242,MATCH(RIGHT(D$3,LEN(D$3)-5),Controle!$B$2:$P$2))/1000000</f>
        <v>104.9535615</v>
      </c>
      <c r="E74" s="160">
        <f>VLOOKUP($A74,Controle!$B$10:$P$242,MATCH(RIGHT(E$3,LEN(E$3)-5),Controle!$B$2:$P$2))/1000000</f>
        <v>103.4987639</v>
      </c>
      <c r="G74" s="155" t="s">
        <v>48</v>
      </c>
      <c r="H74" s="155" t="str">
        <f t="array" ref="H74">XLOOKUP($G74,'Cadastro dos Ativos'!$A:$A,'Cadastro dos Ativos'!$C:$C)</f>
        <v>Ações Listadas na B3</v>
      </c>
      <c r="I74" s="155" t="str">
        <f>IFS(OR($H74="Ações Listadas na B3",$H74="Ações Americanas",$D88="Moedas",$H74="Ações Europeias",$H74="Títulos"),$AA88,
$H74="Futuros",
(SUMIFS('Alocação'!$O$3:$O$1002,'Alocação'!$C$3:$C$1002,$G74,'Alocação'!$B$3:$B$1002,"&lt;="&amp;$H$2))*HLOOKUP($G74,'Histórico'!$A$1:$DD$990,MATCH($G$2,'Histórico'!$A:$A),FALSE),
$D88="",""
)</f>
        <v/>
      </c>
    </row>
    <row r="75">
      <c r="A75" s="157">
        <f>IFERROR(__xludf.DUMMYFUNCTION("""COMPUTED_VALUE"""),45110.0)</f>
        <v>45110</v>
      </c>
      <c r="B75" s="160">
        <f>VLOOKUP($A75,Controle!$B$10:$P$242,MATCH(RIGHT(B$3,LEN(B$3)-5),Controle!$B$2:$P$2))/1000000</f>
        <v>103.5047119</v>
      </c>
      <c r="C75" s="160">
        <f>VLOOKUP($A75,Controle!$B$10:$P$242,MATCH(RIGHT(C$3,LEN(C$3)-5),Controle!$B$2:$P$2))/1000000</f>
        <v>110.7629581</v>
      </c>
      <c r="D75" s="160">
        <f>VLOOKUP($A75,Controle!$B$10:$P$242,MATCH(RIGHT(D$3,LEN(D$3)-5),Controle!$B$2:$P$2))/1000000</f>
        <v>105.5887984</v>
      </c>
      <c r="E75" s="160">
        <f>VLOOKUP($A75,Controle!$B$10:$P$242,MATCH(RIGHT(E$3,LEN(E$3)-5),Controle!$B$2:$P$2))/1000000</f>
        <v>103.5047119</v>
      </c>
      <c r="G75" s="155" t="s">
        <v>103</v>
      </c>
      <c r="H75" s="155" t="str">
        <f t="array" ref="H75">XLOOKUP($G75,'Cadastro dos Ativos'!$A:$A,'Cadastro dos Ativos'!$C:$C)</f>
        <v>Ações Listadas na B3</v>
      </c>
      <c r="I75" s="155" t="str">
        <f>IFS(OR($H75="Ações Listadas na B3",$H75="Ações Americanas",$D89="Moedas",$H75="Ações Europeias",$H75="Títulos"),$AA89,
$H75="Futuros",
(SUMIFS('Alocação'!$O$3:$O$1002,'Alocação'!$C$3:$C$1002,$G75,'Alocação'!$B$3:$B$1002,"&lt;="&amp;$H$2))*HLOOKUP($G75,'Histórico'!$A$1:$DD$990,MATCH($G$2,'Histórico'!$A:$A),FALSE),
$D89="",""
)</f>
        <v/>
      </c>
    </row>
    <row r="76">
      <c r="A76" s="157">
        <f>IFERROR(__xludf.DUMMYFUNCTION("""COMPUTED_VALUE"""),45111.0)</f>
        <v>45111</v>
      </c>
      <c r="B76" s="160">
        <f>VLOOKUP($A76,Controle!$B$10:$P$242,MATCH(RIGHT(B$3,LEN(B$3)-5),Controle!$B$2:$P$2))/1000000</f>
        <v>103.3365764</v>
      </c>
      <c r="C76" s="160">
        <f>VLOOKUP($A76,Controle!$B$10:$P$242,MATCH(RIGHT(C$3,LEN(C$3)-5),Controle!$B$2:$P$2))/1000000</f>
        <v>110.6595698</v>
      </c>
      <c r="D76" s="160">
        <f>VLOOKUP($A76,Controle!$B$10:$P$242,MATCH(RIGHT(D$3,LEN(D$3)-5),Controle!$B$2:$P$2))/1000000</f>
        <v>105.6426242</v>
      </c>
      <c r="E76" s="160">
        <f>VLOOKUP($A76,Controle!$B$10:$P$242,MATCH(RIGHT(E$3,LEN(E$3)-5),Controle!$B$2:$P$2))/1000000</f>
        <v>103.3365764</v>
      </c>
      <c r="G76" s="155" t="s">
        <v>19</v>
      </c>
      <c r="H76" s="155" t="str">
        <f t="array" ref="H76">XLOOKUP($G76,'Cadastro dos Ativos'!$A:$A,'Cadastro dos Ativos'!$C:$C)</f>
        <v>Ações Americanas</v>
      </c>
      <c r="I76" s="155" t="str">
        <f>IFS(OR($H76="Ações Listadas na B3",$H76="Ações Americanas",$D90="Moedas",$H76="Ações Europeias",$H76="Títulos"),$AA90,
$H76="Futuros",
(SUMIFS('Alocação'!$O$3:$O$1002,'Alocação'!$C$3:$C$1002,$G76,'Alocação'!$B$3:$B$1002,"&lt;="&amp;$H$2))*HLOOKUP($G76,'Histórico'!$A$1:$DD$990,MATCH($G$2,'Histórico'!$A:$A),FALSE),
$D90="",""
)</f>
        <v/>
      </c>
    </row>
    <row r="77">
      <c r="A77" s="157">
        <f>IFERROR(__xludf.DUMMYFUNCTION("""COMPUTED_VALUE"""),45112.0)</f>
        <v>45112</v>
      </c>
      <c r="B77" s="160">
        <f>VLOOKUP($A77,Controle!$B$10:$P$242,MATCH(RIGHT(B$3,LEN(B$3)-5),Controle!$B$2:$P$2))/1000000</f>
        <v>103.4883751</v>
      </c>
      <c r="C77" s="160">
        <f>VLOOKUP($A77,Controle!$B$10:$P$242,MATCH(RIGHT(C$3,LEN(C$3)-5),Controle!$B$2:$P$2))/1000000</f>
        <v>110.9971691</v>
      </c>
      <c r="D77" s="160">
        <f>VLOOKUP($A77,Controle!$B$10:$P$242,MATCH(RIGHT(D$3,LEN(D$3)-5),Controle!$B$2:$P$2))/1000000</f>
        <v>105.8592205</v>
      </c>
      <c r="E77" s="160">
        <f>VLOOKUP($A77,Controle!$B$10:$P$242,MATCH(RIGHT(E$3,LEN(E$3)-5),Controle!$B$2:$P$2))/1000000</f>
        <v>103.4883751</v>
      </c>
      <c r="G77" s="155" t="s">
        <v>88</v>
      </c>
      <c r="H77" s="155" t="str">
        <f t="array" ref="H77">XLOOKUP($G77,'Cadastro dos Ativos'!$A:$A,'Cadastro dos Ativos'!$C:$C)</f>
        <v>Ações Americanas</v>
      </c>
      <c r="I77" s="155" t="str">
        <f>IFS(OR($H77="Ações Listadas na B3",$H77="Ações Americanas",$D91="Moedas",$H77="Ações Europeias",$H77="Títulos"),$AA91,
$H77="Futuros",
(SUMIFS('Alocação'!$O$3:$O$1002,'Alocação'!$C$3:$C$1002,$G77,'Alocação'!$B$3:$B$1002,"&lt;="&amp;$H$2))*HLOOKUP($G77,'Histórico'!$A$1:$DD$990,MATCH($G$2,'Histórico'!$A:$A),FALSE),
$D91="",""
)</f>
        <v/>
      </c>
    </row>
    <row r="78">
      <c r="A78" s="157">
        <f>IFERROR(__xludf.DUMMYFUNCTION("""COMPUTED_VALUE"""),45113.0)</f>
        <v>45113</v>
      </c>
      <c r="B78" s="160">
        <f>VLOOKUP($A78,Controle!$B$10:$P$242,MATCH(RIGHT(B$3,LEN(B$3)-5),Controle!$B$2:$P$2))/1000000</f>
        <v>103.372226</v>
      </c>
      <c r="C78" s="160">
        <f>VLOOKUP($A78,Controle!$B$10:$P$242,MATCH(RIGHT(C$3,LEN(C$3)-5),Controle!$B$2:$P$2))/1000000</f>
        <v>110.9732767</v>
      </c>
      <c r="D78" s="160">
        <f>VLOOKUP($A78,Controle!$B$10:$P$242,MATCH(RIGHT(D$3,LEN(D$3)-5),Controle!$B$2:$P$2))/1000000</f>
        <v>104.9575703</v>
      </c>
      <c r="E78" s="160">
        <f>VLOOKUP($A78,Controle!$B$10:$P$242,MATCH(RIGHT(E$3,LEN(E$3)-5),Controle!$B$2:$P$2))/1000000</f>
        <v>103.372226</v>
      </c>
      <c r="G78" s="155" t="s">
        <v>59</v>
      </c>
      <c r="H78" s="155" t="str">
        <f t="array" ref="H78">XLOOKUP($G78,'Cadastro dos Ativos'!$A:$A,'Cadastro dos Ativos'!$C:$C)</f>
        <v>Ações Americanas</v>
      </c>
      <c r="I78" s="155" t="str">
        <f>IFS(OR($H78="Ações Listadas na B3",$H78="Ações Americanas",$D92="Moedas",$H78="Ações Europeias",$H78="Títulos"),$AA92,
$H78="Futuros",
(SUMIFS('Alocação'!$O$3:$O$1002,'Alocação'!$C$3:$C$1002,$G78,'Alocação'!$B$3:$B$1002,"&lt;="&amp;$H$2))*HLOOKUP($G78,'Histórico'!$A$1:$DD$990,MATCH($G$2,'Histórico'!$A:$A),FALSE),
$D92="",""
)</f>
        <v/>
      </c>
    </row>
    <row r="79">
      <c r="A79" s="157">
        <f>IFERROR(__xludf.DUMMYFUNCTION("""COMPUTED_VALUE"""),45114.0)</f>
        <v>45114</v>
      </c>
      <c r="B79" s="160">
        <f>VLOOKUP($A79,Controle!$B$10:$P$242,MATCH(RIGHT(B$3,LEN(B$3)-5),Controle!$B$2:$P$2))/1000000</f>
        <v>103.5602641</v>
      </c>
      <c r="C79" s="160">
        <f>VLOOKUP($A79,Controle!$B$10:$P$242,MATCH(RIGHT(C$3,LEN(C$3)-5),Controle!$B$2:$P$2))/1000000</f>
        <v>110.4243964</v>
      </c>
      <c r="D79" s="160">
        <f>VLOOKUP($A79,Controle!$B$10:$P$242,MATCH(RIGHT(D$3,LEN(D$3)-5),Controle!$B$2:$P$2))/1000000</f>
        <v>105.9812284</v>
      </c>
      <c r="E79" s="160">
        <f>VLOOKUP($A79,Controle!$B$10:$P$242,MATCH(RIGHT(E$3,LEN(E$3)-5),Controle!$B$2:$P$2))/1000000</f>
        <v>103.5602641</v>
      </c>
      <c r="G79" s="155" t="s">
        <v>143</v>
      </c>
      <c r="H79" s="155" t="str">
        <f t="array" ref="H79">XLOOKUP($G79,'Cadastro dos Ativos'!$A:$A,'Cadastro dos Ativos'!$C:$C)</f>
        <v>Ações Americanas</v>
      </c>
      <c r="I79" s="155" t="str">
        <f>IFS(OR($H79="Ações Listadas na B3",$H79="Ações Americanas",$D93="Moedas",$H79="Ações Europeias",$H79="Títulos"),$AA93,
$H79="Futuros",
(SUMIFS('Alocação'!$O$3:$O$1002,'Alocação'!$C$3:$C$1002,$G79,'Alocação'!$B$3:$B$1002,"&lt;="&amp;$H$2))*HLOOKUP($G79,'Histórico'!$A$1:$DD$990,MATCH($G$2,'Histórico'!$A:$A),FALSE),
$D93="",""
)</f>
        <v/>
      </c>
    </row>
    <row r="80">
      <c r="A80" s="157">
        <f>IFERROR(__xludf.DUMMYFUNCTION("""COMPUTED_VALUE"""),45117.0)</f>
        <v>45117</v>
      </c>
      <c r="B80" s="160">
        <f>VLOOKUP($A80,Controle!$B$10:$P$242,MATCH(RIGHT(B$3,LEN(B$3)-5),Controle!$B$2:$P$2))/1000000</f>
        <v>103.5186758</v>
      </c>
      <c r="C80" s="160">
        <f>VLOOKUP($A80,Controle!$B$10:$P$242,MATCH(RIGHT(C$3,LEN(C$3)-5),Controle!$B$2:$P$2))/1000000</f>
        <v>110.4997216</v>
      </c>
      <c r="D80" s="160">
        <f>VLOOKUP($A80,Controle!$B$10:$P$242,MATCH(RIGHT(D$3,LEN(D$3)-5),Controle!$B$2:$P$2))/1000000</f>
        <v>105.5224916</v>
      </c>
      <c r="E80" s="160">
        <f>VLOOKUP($A80,Controle!$B$10:$P$242,MATCH(RIGHT(E$3,LEN(E$3)-5),Controle!$B$2:$P$2))/1000000</f>
        <v>103.5186758</v>
      </c>
      <c r="G80" s="155" t="s">
        <v>53</v>
      </c>
      <c r="H80" s="155" t="str">
        <f t="array" ref="H80">XLOOKUP($G80,'Cadastro dos Ativos'!$A:$A,'Cadastro dos Ativos'!$C:$C)</f>
        <v>Ações Americanas</v>
      </c>
      <c r="I80" s="155" t="str">
        <f>IFS(OR($H80="Ações Listadas na B3",$H80="Ações Americanas",$D94="Moedas",$H80="Ações Europeias",$H80="Títulos"),$AA94,
$H80="Futuros",
(SUMIFS('Alocação'!$O$3:$O$1002,'Alocação'!$C$3:$C$1002,$G80,'Alocação'!$B$3:$B$1002,"&lt;="&amp;$H$2))*HLOOKUP($G80,'Histórico'!$A$1:$DD$990,MATCH($G$2,'Histórico'!$A:$A),FALSE),
$D94="",""
)</f>
        <v/>
      </c>
    </row>
    <row r="81">
      <c r="A81" s="157">
        <f>IFERROR(__xludf.DUMMYFUNCTION("""COMPUTED_VALUE"""),45118.0)</f>
        <v>45118</v>
      </c>
      <c r="B81" s="160">
        <f>VLOOKUP($A81,Controle!$B$10:$P$242,MATCH(RIGHT(B$3,LEN(B$3)-5),Controle!$B$2:$P$2))/1000000</f>
        <v>103.5651351</v>
      </c>
      <c r="C81" s="160">
        <f>VLOOKUP($A81,Controle!$B$10:$P$242,MATCH(RIGHT(C$3,LEN(C$3)-5),Controle!$B$2:$P$2))/1000000</f>
        <v>110.549314</v>
      </c>
      <c r="D81" s="160">
        <f>VLOOKUP($A81,Controle!$B$10:$P$242,MATCH(RIGHT(D$3,LEN(D$3)-5),Controle!$B$2:$P$2))/1000000</f>
        <v>105.0920488</v>
      </c>
      <c r="E81" s="160">
        <f>VLOOKUP($A81,Controle!$B$10:$P$242,MATCH(RIGHT(E$3,LEN(E$3)-5),Controle!$B$2:$P$2))/1000000</f>
        <v>103.5651351</v>
      </c>
      <c r="G81" s="155" t="s">
        <v>280</v>
      </c>
      <c r="H81" s="155" t="str">
        <f t="array" ref="H81">XLOOKUP($G81,'Cadastro dos Ativos'!$A:$A,'Cadastro dos Ativos'!$C:$C)</f>
        <v>#N/A</v>
      </c>
      <c r="I81" s="155" t="str">
        <f>IFS(OR($H81="Ações Listadas na B3",$H81="Ações Americanas",$D95="Moedas",$H81="Ações Europeias",$H81="Títulos"),$AA95,
$H81="Futuros",
(SUMIFS('Alocação'!$O$3:$O$1002,'Alocação'!$C$3:$C$1002,$G81,'Alocação'!$B$3:$B$1002,"&lt;="&amp;$H$2))*HLOOKUP($G81,'Histórico'!$A$1:$DD$990,MATCH($G$2,'Histórico'!$A:$A),FALSE),
$D95="",""
)</f>
        <v>#N/A</v>
      </c>
    </row>
    <row r="82">
      <c r="A82" s="157">
        <f>IFERROR(__xludf.DUMMYFUNCTION("""COMPUTED_VALUE"""),45119.0)</f>
        <v>45119</v>
      </c>
      <c r="B82" s="160">
        <f>VLOOKUP($A82,Controle!$B$10:$P$242,MATCH(RIGHT(B$3,LEN(B$3)-5),Controle!$B$2:$P$2))/1000000</f>
        <v>103.6116156</v>
      </c>
      <c r="C82" s="160">
        <f>VLOOKUP($A82,Controle!$B$10:$P$242,MATCH(RIGHT(C$3,LEN(C$3)-5),Controle!$B$2:$P$2))/1000000</f>
        <v>110.5989289</v>
      </c>
      <c r="D82" s="160">
        <f>VLOOKUP($A82,Controle!$B$10:$P$242,MATCH(RIGHT(D$3,LEN(D$3)-5),Controle!$B$2:$P$2))/1000000</f>
        <v>104.9576475</v>
      </c>
      <c r="E82" s="160">
        <f>VLOOKUP($A82,Controle!$B$10:$P$242,MATCH(RIGHT(E$3,LEN(E$3)-5),Controle!$B$2:$P$2))/1000000</f>
        <v>103.6116156</v>
      </c>
      <c r="G82" s="155" t="s">
        <v>281</v>
      </c>
      <c r="H82" s="155" t="str">
        <f t="array" ref="H82">XLOOKUP($G82,'Cadastro dos Ativos'!$A:$A,'Cadastro dos Ativos'!$C:$C)</f>
        <v>#N/A</v>
      </c>
      <c r="I82" s="155" t="str">
        <f>IFS(OR($H82="Ações Listadas na B3",$H82="Ações Americanas",$D96="Moedas",$H82="Ações Europeias",$H82="Títulos"),$AA96,
$H82="Futuros",
(SUMIFS('Alocação'!$O$3:$O$1002,'Alocação'!$C$3:$C$1002,$G82,'Alocação'!$B$3:$B$1002,"&lt;="&amp;$H$2))*HLOOKUP($G82,'Histórico'!$A$1:$DD$990,MATCH($G$2,'Histórico'!$A:$A),FALSE),
$D96="",""
)</f>
        <v>#N/A</v>
      </c>
    </row>
    <row r="83">
      <c r="A83" s="157">
        <f>IFERROR(__xludf.DUMMYFUNCTION("""COMPUTED_VALUE"""),45120.0)</f>
        <v>45120</v>
      </c>
      <c r="B83" s="160">
        <f>VLOOKUP($A83,Controle!$B$10:$P$242,MATCH(RIGHT(B$3,LEN(B$3)-5),Controle!$B$2:$P$2))/1000000</f>
        <v>103.6581166</v>
      </c>
      <c r="C83" s="160">
        <f>VLOOKUP($A83,Controle!$B$10:$P$242,MATCH(RIGHT(C$3,LEN(C$3)-5),Controle!$B$2:$P$2))/1000000</f>
        <v>110.6485658</v>
      </c>
      <c r="D83" s="160">
        <f>VLOOKUP($A83,Controle!$B$10:$P$242,MATCH(RIGHT(D$3,LEN(D$3)-5),Controle!$B$2:$P$2))/1000000</f>
        <v>104.9047185</v>
      </c>
      <c r="E83" s="160">
        <f>VLOOKUP($A83,Controle!$B$10:$P$242,MATCH(RIGHT(E$3,LEN(E$3)-5),Controle!$B$2:$P$2))/1000000</f>
        <v>103.6581166</v>
      </c>
      <c r="G83" s="155" t="s">
        <v>282</v>
      </c>
      <c r="H83" s="155" t="str">
        <f t="array" ref="H83">XLOOKUP($G83,'Cadastro dos Ativos'!$A:$A,'Cadastro dos Ativos'!$C:$C)</f>
        <v>#N/A</v>
      </c>
      <c r="I83" s="155" t="str">
        <f>IFS(OR($H83="Ações Listadas na B3",$H83="Ações Americanas",$D97="Moedas",$H83="Ações Europeias",$H83="Títulos"),$AA97,
$H83="Futuros",
(SUMIFS('Alocação'!$O$3:$O$1002,'Alocação'!$C$3:$C$1002,$G83,'Alocação'!$B$3:$B$1002,"&lt;="&amp;$H$2))*HLOOKUP($G83,'Histórico'!$A$1:$DD$990,MATCH($G$2,'Histórico'!$A:$A),FALSE),
$D97="",""
)</f>
        <v>#N/A</v>
      </c>
    </row>
    <row r="84">
      <c r="A84" s="157">
        <f>IFERROR(__xludf.DUMMYFUNCTION("""COMPUTED_VALUE"""),45121.0)</f>
        <v>45121</v>
      </c>
      <c r="B84" s="160">
        <f>VLOOKUP($A84,Controle!$B$10:$P$242,MATCH(RIGHT(B$3,LEN(B$3)-5),Controle!$B$2:$P$2))/1000000</f>
        <v>103.7046392</v>
      </c>
      <c r="C84" s="160">
        <f>VLOOKUP($A84,Controle!$B$10:$P$242,MATCH(RIGHT(C$3,LEN(C$3)-5),Controle!$B$2:$P$2))/1000000</f>
        <v>110.6982257</v>
      </c>
      <c r="D84" s="160">
        <f>VLOOKUP($A84,Controle!$B$10:$P$242,MATCH(RIGHT(D$3,LEN(D$3)-5),Controle!$B$2:$P$2))/1000000</f>
        <v>104.2219599</v>
      </c>
      <c r="E84" s="160">
        <f>VLOOKUP($A84,Controle!$B$10:$P$242,MATCH(RIGHT(E$3,LEN(E$3)-5),Controle!$B$2:$P$2))/1000000</f>
        <v>103.7046392</v>
      </c>
      <c r="G84" s="155" t="s">
        <v>283</v>
      </c>
      <c r="H84" s="155" t="str">
        <f t="array" ref="H84">XLOOKUP($G84,'Cadastro dos Ativos'!$A:$A,'Cadastro dos Ativos'!$C:$C)</f>
        <v>#N/A</v>
      </c>
      <c r="I84" s="155" t="str">
        <f>IFS(OR($H84="Ações Listadas na B3",$H84="Ações Americanas",$D98="Moedas",$H84="Ações Europeias",$H84="Títulos"),$AA98,
$H84="Futuros",
(SUMIFS('Alocação'!$O$3:$O$1002,'Alocação'!$C$3:$C$1002,$G84,'Alocação'!$B$3:$B$1002,"&lt;="&amp;$H$2))*HLOOKUP($G84,'Histórico'!$A$1:$DD$990,MATCH($G$2,'Histórico'!$A:$A),FALSE),
$D98="",""
)</f>
        <v>#N/A</v>
      </c>
    </row>
    <row r="85">
      <c r="A85" s="157">
        <f>IFERROR(__xludf.DUMMYFUNCTION("""COMPUTED_VALUE"""),45124.0)</f>
        <v>45124</v>
      </c>
      <c r="B85" s="160">
        <f>VLOOKUP($A85,Controle!$B$10:$P$242,MATCH(RIGHT(B$3,LEN(B$3)-5),Controle!$B$2:$P$2))/1000000</f>
        <v>103.7511811</v>
      </c>
      <c r="C85" s="160">
        <f>VLOOKUP($A85,Controle!$B$10:$P$242,MATCH(RIGHT(C$3,LEN(C$3)-5),Controle!$B$2:$P$2))/1000000</f>
        <v>110.7479063</v>
      </c>
      <c r="D85" s="160">
        <f>VLOOKUP($A85,Controle!$B$10:$P$242,MATCH(RIGHT(D$3,LEN(D$3)-5),Controle!$B$2:$P$2))/1000000</f>
        <v>104.9177555</v>
      </c>
      <c r="E85" s="160">
        <f>VLOOKUP($A85,Controle!$B$10:$P$242,MATCH(RIGHT(E$3,LEN(E$3)-5),Controle!$B$2:$P$2))/1000000</f>
        <v>103.7511811</v>
      </c>
      <c r="G85" s="155" t="s">
        <v>284</v>
      </c>
      <c r="H85" s="155" t="str">
        <f t="array" ref="H85">XLOOKUP($G85,'Cadastro dos Ativos'!$A:$A,'Cadastro dos Ativos'!$C:$C)</f>
        <v>#N/A</v>
      </c>
      <c r="I85" s="155" t="str">
        <f>IFS(OR($H85="Ações Listadas na B3",$H85="Ações Americanas",$D99="Moedas",$H85="Ações Europeias",$H85="Títulos"),$AA99,
$H85="Futuros",
(SUMIFS('Alocação'!$O$3:$O$1002,'Alocação'!$C$3:$C$1002,$G85,'Alocação'!$B$3:$B$1002,"&lt;="&amp;$H$2))*HLOOKUP($G85,'Histórico'!$A$1:$DD$990,MATCH($G$2,'Histórico'!$A:$A),FALSE),
$D99="",""
)</f>
        <v>#N/A</v>
      </c>
    </row>
    <row r="86">
      <c r="A86" s="157">
        <f>IFERROR(__xludf.DUMMYFUNCTION("""COMPUTED_VALUE"""),45125.0)</f>
        <v>45125</v>
      </c>
      <c r="B86" s="160">
        <f>VLOOKUP($A86,Controle!$B$10:$P$242,MATCH(RIGHT(B$3,LEN(B$3)-5),Controle!$B$2:$P$2))/1000000</f>
        <v>103.7977444</v>
      </c>
      <c r="C86" s="160">
        <f>VLOOKUP($A86,Controle!$B$10:$P$242,MATCH(RIGHT(C$3,LEN(C$3)-5),Controle!$B$2:$P$2))/1000000</f>
        <v>110.7976097</v>
      </c>
      <c r="D86" s="160">
        <f>VLOOKUP($A86,Controle!$B$10:$P$242,MATCH(RIGHT(D$3,LEN(D$3)-5),Controle!$B$2:$P$2))/1000000</f>
        <v>104.9918766</v>
      </c>
      <c r="E86" s="160">
        <f>VLOOKUP($A86,Controle!$B$10:$P$242,MATCH(RIGHT(E$3,LEN(E$3)-5),Controle!$B$2:$P$2))/1000000</f>
        <v>103.7977444</v>
      </c>
      <c r="G86" s="155" t="s">
        <v>285</v>
      </c>
      <c r="H86" s="155" t="str">
        <f t="array" ref="H86">XLOOKUP($G86,'Cadastro dos Ativos'!$A:$A,'Cadastro dos Ativos'!$C:$C)</f>
        <v>#N/A</v>
      </c>
      <c r="I86" s="155" t="str">
        <f>IFS(OR($H86="Ações Listadas na B3",$H86="Ações Americanas",$D100="Moedas",$H86="Ações Europeias",$H86="Títulos"),$AA100,
$H86="Futuros",
(SUMIFS('Alocação'!$O$3:$O$1002,'Alocação'!$C$3:$C$1002,$G86,'Alocação'!$B$3:$B$1002,"&lt;="&amp;$H$2))*HLOOKUP($G86,'Histórico'!$A$1:$DD$990,MATCH($G$2,'Histórico'!$A:$A),FALSE),
$D100="",""
)</f>
        <v>#N/A</v>
      </c>
    </row>
    <row r="87">
      <c r="A87" s="157">
        <f>IFERROR(__xludf.DUMMYFUNCTION("""COMPUTED_VALUE"""),45126.0)</f>
        <v>45126</v>
      </c>
      <c r="B87" s="160">
        <f>VLOOKUP($A87,Controle!$B$10:$P$242,MATCH(RIGHT(B$3,LEN(B$3)-5),Controle!$B$2:$P$2))/1000000</f>
        <v>103.8443284</v>
      </c>
      <c r="C87" s="160">
        <f>VLOOKUP($A87,Controle!$B$10:$P$242,MATCH(RIGHT(C$3,LEN(C$3)-5),Controle!$B$2:$P$2))/1000000</f>
        <v>110.8473352</v>
      </c>
      <c r="D87" s="160">
        <f>VLOOKUP($A87,Controle!$B$10:$P$242,MATCH(RIGHT(D$3,LEN(D$3)-5),Controle!$B$2:$P$2))/1000000</f>
        <v>104.9318585</v>
      </c>
      <c r="E87" s="160">
        <f>VLOOKUP($A87,Controle!$B$10:$P$242,MATCH(RIGHT(E$3,LEN(E$3)-5),Controle!$B$2:$P$2))/1000000</f>
        <v>103.8443284</v>
      </c>
      <c r="G87" s="155" t="s">
        <v>286</v>
      </c>
      <c r="H87" s="155" t="str">
        <f t="array" ref="H87">XLOOKUP($G87,'Cadastro dos Ativos'!$A:$A,'Cadastro dos Ativos'!$C:$C)</f>
        <v>#N/A</v>
      </c>
      <c r="I87" s="155" t="str">
        <f>IFS(OR($H87="Ações Listadas na B3",$H87="Ações Americanas",$D101="Moedas",$H87="Ações Europeias",$H87="Títulos"),$AA101,
$H87="Futuros",
(SUMIFS('Alocação'!$O$3:$O$1002,'Alocação'!$C$3:$C$1002,$G87,'Alocação'!$B$3:$B$1002,"&lt;="&amp;$H$2))*HLOOKUP($G87,'Histórico'!$A$1:$DD$990,MATCH($G$2,'Histórico'!$A:$A),FALSE),
$D101="",""
)</f>
        <v>#N/A</v>
      </c>
    </row>
    <row r="88">
      <c r="A88" s="157">
        <f>IFERROR(__xludf.DUMMYFUNCTION("""COMPUTED_VALUE"""),45127.0)</f>
        <v>45127</v>
      </c>
      <c r="B88" s="160">
        <f>VLOOKUP($A88,Controle!$B$10:$P$242,MATCH(RIGHT(B$3,LEN(B$3)-5),Controle!$B$2:$P$2))/1000000</f>
        <v>103.8909337</v>
      </c>
      <c r="C88" s="160">
        <f>VLOOKUP($A88,Controle!$B$10:$P$242,MATCH(RIGHT(C$3,LEN(C$3)-5),Controle!$B$2:$P$2))/1000000</f>
        <v>110.8970834</v>
      </c>
      <c r="D88" s="160">
        <f>VLOOKUP($A88,Controle!$B$10:$P$242,MATCH(RIGHT(D$3,LEN(D$3)-5),Controle!$B$2:$P$2))/1000000</f>
        <v>105.0263094</v>
      </c>
      <c r="E88" s="160">
        <f>VLOOKUP($A88,Controle!$B$10:$P$242,MATCH(RIGHT(E$3,LEN(E$3)-5),Controle!$B$2:$P$2))/1000000</f>
        <v>103.8909337</v>
      </c>
      <c r="G88" s="155" t="s">
        <v>287</v>
      </c>
      <c r="H88" s="155" t="str">
        <f t="array" ref="H88">XLOOKUP($G88,'Cadastro dos Ativos'!$A:$A,'Cadastro dos Ativos'!$C:$C)</f>
        <v>#N/A</v>
      </c>
      <c r="I88" s="155" t="str">
        <f>IFS(OR($H88="Ações Listadas na B3",$H88="Ações Americanas",$D102="Moedas",$H88="Ações Europeias",$H88="Títulos"),$AA102,
$H88="Futuros",
(SUMIFS('Alocação'!$O$3:$O$1002,'Alocação'!$C$3:$C$1002,$G88,'Alocação'!$B$3:$B$1002,"&lt;="&amp;$H$2))*HLOOKUP($G88,'Histórico'!$A$1:$DD$990,MATCH($G$2,'Histórico'!$A:$A),FALSE),
$D102="",""
)</f>
        <v>#N/A</v>
      </c>
    </row>
    <row r="89">
      <c r="A89" s="157">
        <f>IFERROR(__xludf.DUMMYFUNCTION("""COMPUTED_VALUE"""),45128.0)</f>
        <v>45128</v>
      </c>
      <c r="B89" s="160">
        <f>VLOOKUP($A89,Controle!$B$10:$P$242,MATCH(RIGHT(B$3,LEN(B$3)-5),Controle!$B$2:$P$2))/1000000</f>
        <v>103.6060204</v>
      </c>
      <c r="C89" s="160">
        <f>VLOOKUP($A89,Controle!$B$10:$P$242,MATCH(RIGHT(C$3,LEN(C$3)-5),Controle!$B$2:$P$2))/1000000</f>
        <v>110.9468521</v>
      </c>
      <c r="D89" s="160">
        <f>VLOOKUP($A89,Controle!$B$10:$P$242,MATCH(RIGHT(D$3,LEN(D$3)-5),Controle!$B$2:$P$2))/1000000</f>
        <v>105.7312191</v>
      </c>
      <c r="E89" s="160">
        <f>VLOOKUP($A89,Controle!$B$10:$P$242,MATCH(RIGHT(E$3,LEN(E$3)-5),Controle!$B$2:$P$2))/1000000</f>
        <v>103.6060204</v>
      </c>
      <c r="G89" s="155" t="s">
        <v>288</v>
      </c>
      <c r="H89" s="155" t="str">
        <f t="array" ref="H89">XLOOKUP($G89,'Cadastro dos Ativos'!$A:$A,'Cadastro dos Ativos'!$C:$C)</f>
        <v>#N/A</v>
      </c>
      <c r="I89" s="155" t="str">
        <f>IFS(OR($H89="Ações Listadas na B3",$H89="Ações Americanas",$D103="Moedas",$H89="Ações Europeias",$H89="Títulos"),$AA103,
$H89="Futuros",
(SUMIFS('Alocação'!$O$3:$O$1002,'Alocação'!$C$3:$C$1002,$G89,'Alocação'!$B$3:$B$1002,"&lt;="&amp;$H$2))*HLOOKUP($G89,'Histórico'!$A$1:$DD$990,MATCH($G$2,'Histórico'!$A:$A),FALSE),
$D103="",""
)</f>
        <v>#N/A</v>
      </c>
    </row>
    <row r="90">
      <c r="A90" s="157">
        <f>IFERROR(__xludf.DUMMYFUNCTION("""COMPUTED_VALUE"""),45131.0)</f>
        <v>45131</v>
      </c>
      <c r="B90" s="160">
        <f>VLOOKUP($A90,Controle!$B$10:$P$242,MATCH(RIGHT(B$3,LEN(B$3)-5),Controle!$B$2:$P$2))/1000000</f>
        <v>103.0975745</v>
      </c>
      <c r="C90" s="160">
        <f>VLOOKUP($A90,Controle!$B$10:$P$242,MATCH(RIGHT(C$3,LEN(C$3)-5),Controle!$B$2:$P$2))/1000000</f>
        <v>110.9966444</v>
      </c>
      <c r="D90" s="160">
        <f>VLOOKUP($A90,Controle!$B$10:$P$242,MATCH(RIGHT(D$3,LEN(D$3)-5),Controle!$B$2:$P$2))/1000000</f>
        <v>106.3753538</v>
      </c>
      <c r="E90" s="160">
        <f>VLOOKUP($A90,Controle!$B$10:$P$242,MATCH(RIGHT(E$3,LEN(E$3)-5),Controle!$B$2:$P$2))/1000000</f>
        <v>103.0975745</v>
      </c>
      <c r="G90" s="155" t="s">
        <v>289</v>
      </c>
      <c r="H90" s="155" t="str">
        <f t="array" ref="H90">XLOOKUP($G90,'Cadastro dos Ativos'!$A:$A,'Cadastro dos Ativos'!$C:$C)</f>
        <v>#N/A</v>
      </c>
      <c r="I90" s="155" t="str">
        <f>IFS(OR($H90="Ações Listadas na B3",$H90="Ações Americanas",$D104="Moedas",$H90="Ações Europeias",$H90="Títulos"),$AA104,
$H90="Futuros",
(SUMIFS('Alocação'!$O$3:$O$1002,'Alocação'!$C$3:$C$1002,$G90,'Alocação'!$B$3:$B$1002,"&lt;="&amp;$H$2))*HLOOKUP($G90,'Histórico'!$A$1:$DD$990,MATCH($G$2,'Histórico'!$A:$A),FALSE),
$D104="",""
)</f>
        <v>#N/A</v>
      </c>
    </row>
    <row r="91">
      <c r="A91" s="157">
        <f>IFERROR(__xludf.DUMMYFUNCTION("""COMPUTED_VALUE"""),45132.0)</f>
        <v>45132</v>
      </c>
      <c r="B91" s="160">
        <f>VLOOKUP($A91,Controle!$B$10:$P$242,MATCH(RIGHT(B$3,LEN(B$3)-5),Controle!$B$2:$P$2))/1000000</f>
        <v>103.3146349</v>
      </c>
      <c r="C91" s="160">
        <f>VLOOKUP($A91,Controle!$B$10:$P$242,MATCH(RIGHT(C$3,LEN(C$3)-5),Controle!$B$2:$P$2))/1000000</f>
        <v>111.0464596</v>
      </c>
      <c r="D91" s="160">
        <f>VLOOKUP($A91,Controle!$B$10:$P$242,MATCH(RIGHT(D$3,LEN(D$3)-5),Controle!$B$2:$P$2))/1000000</f>
        <v>106.6990668</v>
      </c>
      <c r="E91" s="160">
        <f>VLOOKUP($A91,Controle!$B$10:$P$242,MATCH(RIGHT(E$3,LEN(E$3)-5),Controle!$B$2:$P$2))/1000000</f>
        <v>103.3146349</v>
      </c>
    </row>
    <row r="92">
      <c r="A92" s="157">
        <f>IFERROR(__xludf.DUMMYFUNCTION("""COMPUTED_VALUE"""),45133.0)</f>
        <v>45133</v>
      </c>
      <c r="B92" s="160">
        <f>VLOOKUP($A92,Controle!$B$10:$P$242,MATCH(RIGHT(B$3,LEN(B$3)-5),Controle!$B$2:$P$2))/1000000</f>
        <v>103.0019195</v>
      </c>
      <c r="C92" s="160">
        <f>VLOOKUP($A92,Controle!$B$10:$P$242,MATCH(RIGHT(C$3,LEN(C$3)-5),Controle!$B$2:$P$2))/1000000</f>
        <v>111.0962969</v>
      </c>
      <c r="D92" s="160">
        <f>VLOOKUP($A92,Controle!$B$10:$P$242,MATCH(RIGHT(D$3,LEN(D$3)-5),Controle!$B$2:$P$2))/1000000</f>
        <v>107.0037268</v>
      </c>
      <c r="E92" s="160">
        <f>VLOOKUP($A92,Controle!$B$10:$P$242,MATCH(RIGHT(E$3,LEN(E$3)-5),Controle!$B$2:$P$2))/1000000</f>
        <v>103.0019195</v>
      </c>
    </row>
    <row r="93">
      <c r="A93" s="157">
        <f>IFERROR(__xludf.DUMMYFUNCTION("""COMPUTED_VALUE"""),45134.0)</f>
        <v>45134</v>
      </c>
      <c r="B93" s="160">
        <f>VLOOKUP($A93,Controle!$B$10:$P$242,MATCH(RIGHT(B$3,LEN(B$3)-5),Controle!$B$2:$P$2))/1000000</f>
        <v>103.5059954</v>
      </c>
      <c r="C93" s="160">
        <f>VLOOKUP($A93,Controle!$B$10:$P$242,MATCH(RIGHT(C$3,LEN(C$3)-5),Controle!$B$2:$P$2))/1000000</f>
        <v>111.1461573</v>
      </c>
      <c r="D93" s="160">
        <f>VLOOKUP($A93,Controle!$B$10:$P$242,MATCH(RIGHT(D$3,LEN(D$3)-5),Controle!$B$2:$P$2))/1000000</f>
        <v>107.0806349</v>
      </c>
      <c r="E93" s="160">
        <f>VLOOKUP($A93,Controle!$B$10:$P$242,MATCH(RIGHT(E$3,LEN(E$3)-5),Controle!$B$2:$P$2))/1000000</f>
        <v>103.5059954</v>
      </c>
    </row>
    <row r="94">
      <c r="A94" s="157">
        <f>IFERROR(__xludf.DUMMYFUNCTION("""COMPUTED_VALUE"""),45135.0)</f>
        <v>45135</v>
      </c>
      <c r="B94" s="160">
        <f>VLOOKUP($A94,Controle!$B$10:$P$242,MATCH(RIGHT(B$3,LEN(B$3)-5),Controle!$B$2:$P$2))/1000000</f>
        <v>103.2873722</v>
      </c>
      <c r="C94" s="160">
        <f>VLOOKUP($A94,Controle!$B$10:$P$242,MATCH(RIGHT(C$3,LEN(C$3)-5),Controle!$B$2:$P$2))/1000000</f>
        <v>111.297526</v>
      </c>
      <c r="D94" s="160">
        <f>VLOOKUP($A94,Controle!$B$10:$P$242,MATCH(RIGHT(D$3,LEN(D$3)-5),Controle!$B$2:$P$2))/1000000</f>
        <v>107.2992536</v>
      </c>
      <c r="E94" s="160">
        <f>VLOOKUP($A94,Controle!$B$10:$P$242,MATCH(RIGHT(E$3,LEN(E$3)-5),Controle!$B$2:$P$2))/1000000</f>
        <v>103.2873722</v>
      </c>
    </row>
    <row r="95">
      <c r="A95" s="157">
        <f>IFERROR(__xludf.DUMMYFUNCTION("""COMPUTED_VALUE"""),45138.0)</f>
        <v>45138</v>
      </c>
      <c r="B95" s="160">
        <f>VLOOKUP($A95,Controle!$B$10:$P$242,MATCH(RIGHT(B$3,LEN(B$3)-5),Controle!$B$2:$P$2))/1000000</f>
        <v>103.3458284</v>
      </c>
      <c r="C95" s="160">
        <f>VLOOKUP($A95,Controle!$B$10:$P$242,MATCH(RIGHT(C$3,LEN(C$3)-5),Controle!$B$2:$P$2))/1000000</f>
        <v>111.2030778</v>
      </c>
      <c r="D95" s="160">
        <f>VLOOKUP($A95,Controle!$B$10:$P$242,MATCH(RIGHT(D$3,LEN(D$3)-5),Controle!$B$2:$P$2))/1000000</f>
        <v>107.6513234</v>
      </c>
      <c r="E95" s="160">
        <f>VLOOKUP($A95,Controle!$B$10:$P$242,MATCH(RIGHT(E$3,LEN(E$3)-5),Controle!$B$2:$P$2))/1000000</f>
        <v>103.3458284</v>
      </c>
    </row>
    <row r="96">
      <c r="A96" s="157">
        <f>IFERROR(__xludf.DUMMYFUNCTION("""COMPUTED_VALUE"""),45139.0)</f>
        <v>45139</v>
      </c>
      <c r="B96" s="160">
        <f>VLOOKUP($A96,Controle!$B$10:$P$242,MATCH(RIGHT(B$3,LEN(B$3)-5),Controle!$B$2:$P$2))/1000000</f>
        <v>104.1443228</v>
      </c>
      <c r="C96" s="160">
        <f>VLOOKUP($A96,Controle!$B$10:$P$242,MATCH(RIGHT(C$3,LEN(C$3)-5),Controle!$B$2:$P$2))/1000000</f>
        <v>111.3035874</v>
      </c>
      <c r="D96" s="160">
        <f>VLOOKUP($A96,Controle!$B$10:$P$242,MATCH(RIGHT(D$3,LEN(D$3)-5),Controle!$B$2:$P$2))/1000000</f>
        <v>107.8639391</v>
      </c>
      <c r="E96" s="160">
        <f>VLOOKUP($A96,Controle!$B$10:$P$242,MATCH(RIGHT(E$3,LEN(E$3)-5),Controle!$B$2:$P$2))/1000000</f>
        <v>104.1443228</v>
      </c>
    </row>
    <row r="97">
      <c r="A97" s="157">
        <f>IFERROR(__xludf.DUMMYFUNCTION("""COMPUTED_VALUE"""),45140.0)</f>
        <v>45140</v>
      </c>
      <c r="B97" s="160">
        <f>VLOOKUP($A97,Controle!$B$10:$P$242,MATCH(RIGHT(B$3,LEN(B$3)-5),Controle!$B$2:$P$2))/1000000</f>
        <v>104.3572843</v>
      </c>
      <c r="C97" s="160">
        <f>VLOOKUP($A97,Controle!$B$10:$P$242,MATCH(RIGHT(C$3,LEN(C$3)-5),Controle!$B$2:$P$2))/1000000</f>
        <v>111.1917939</v>
      </c>
      <c r="D97" s="160">
        <f>VLOOKUP($A97,Controle!$B$10:$P$242,MATCH(RIGHT(D$3,LEN(D$3)-5),Controle!$B$2:$P$2))/1000000</f>
        <v>107.7684581</v>
      </c>
      <c r="E97" s="160">
        <f>VLOOKUP($A97,Controle!$B$10:$P$242,MATCH(RIGHT(E$3,LEN(E$3)-5),Controle!$B$2:$P$2))/1000000</f>
        <v>104.3572843</v>
      </c>
    </row>
    <row r="98">
      <c r="A98" s="157">
        <f>IFERROR(__xludf.DUMMYFUNCTION("""COMPUTED_VALUE"""),45141.0)</f>
        <v>45141</v>
      </c>
      <c r="B98" s="160">
        <f>VLOOKUP($A98,Controle!$B$10:$P$242,MATCH(RIGHT(B$3,LEN(B$3)-5),Controle!$B$2:$P$2))/1000000</f>
        <v>105.3076038</v>
      </c>
      <c r="C98" s="160">
        <f>VLOOKUP($A98,Controle!$B$10:$P$242,MATCH(RIGHT(C$3,LEN(C$3)-5),Controle!$B$2:$P$2))/1000000</f>
        <v>111.1088309</v>
      </c>
      <c r="D98" s="160">
        <f>VLOOKUP($A98,Controle!$B$10:$P$242,MATCH(RIGHT(D$3,LEN(D$3)-5),Controle!$B$2:$P$2))/1000000</f>
        <v>107.185649</v>
      </c>
      <c r="E98" s="160">
        <f>VLOOKUP($A98,Controle!$B$10:$P$242,MATCH(RIGHT(E$3,LEN(E$3)-5),Controle!$B$2:$P$2))/1000000</f>
        <v>105.3076038</v>
      </c>
    </row>
    <row r="99">
      <c r="A99" s="157">
        <f>IFERROR(__xludf.DUMMYFUNCTION("""COMPUTED_VALUE"""),45142.0)</f>
        <v>45142</v>
      </c>
      <c r="B99" s="160">
        <f>VLOOKUP($A99,Controle!$B$10:$P$242,MATCH(RIGHT(B$3,LEN(B$3)-5),Controle!$B$2:$P$2))/1000000</f>
        <v>105.2149133</v>
      </c>
      <c r="C99" s="160">
        <f>VLOOKUP($A99,Controle!$B$10:$P$242,MATCH(RIGHT(C$3,LEN(C$3)-5),Controle!$B$2:$P$2))/1000000</f>
        <v>111.150438</v>
      </c>
      <c r="D99" s="160">
        <f>VLOOKUP($A99,Controle!$B$10:$P$242,MATCH(RIGHT(D$3,LEN(D$3)-5),Controle!$B$2:$P$2))/1000000</f>
        <v>107.6922544</v>
      </c>
      <c r="E99" s="160">
        <f>VLOOKUP($A99,Controle!$B$10:$P$242,MATCH(RIGHT(E$3,LEN(E$3)-5),Controle!$B$2:$P$2))/1000000</f>
        <v>105.2149133</v>
      </c>
    </row>
    <row r="100">
      <c r="A100" s="157">
        <f>IFERROR(__xludf.DUMMYFUNCTION("""COMPUTED_VALUE"""),45145.0)</f>
        <v>45145</v>
      </c>
      <c r="B100" s="160">
        <f>VLOOKUP($A100,Controle!$B$10:$P$242,MATCH(RIGHT(B$3,LEN(B$3)-5),Controle!$B$2:$P$2))/1000000</f>
        <v>105.6109684</v>
      </c>
      <c r="C100" s="160">
        <f>VLOOKUP($A100,Controle!$B$10:$P$242,MATCH(RIGHT(C$3,LEN(C$3)-5),Controle!$B$2:$P$2))/1000000</f>
        <v>111.3598884</v>
      </c>
      <c r="D100" s="160">
        <f>VLOOKUP($A100,Controle!$B$10:$P$242,MATCH(RIGHT(D$3,LEN(D$3)-5),Controle!$B$2:$P$2))/1000000</f>
        <v>107.3750951</v>
      </c>
      <c r="E100" s="160">
        <f>VLOOKUP($A100,Controle!$B$10:$P$242,MATCH(RIGHT(E$3,LEN(E$3)-5),Controle!$B$2:$P$2))/1000000</f>
        <v>105.6109684</v>
      </c>
    </row>
    <row r="101">
      <c r="A101" s="157">
        <f>IFERROR(__xludf.DUMMYFUNCTION("""COMPUTED_VALUE"""),45146.0)</f>
        <v>45146</v>
      </c>
      <c r="B101" s="160">
        <f>VLOOKUP($A101,Controle!$B$10:$P$242,MATCH(RIGHT(B$3,LEN(B$3)-5),Controle!$B$2:$P$2))/1000000</f>
        <v>105.6993821</v>
      </c>
      <c r="C101" s="160">
        <f>VLOOKUP($A101,Controle!$B$10:$P$242,MATCH(RIGHT(C$3,LEN(C$3)-5),Controle!$B$2:$P$2))/1000000</f>
        <v>111.0169052</v>
      </c>
      <c r="D101" s="160">
        <f>VLOOKUP($A101,Controle!$B$10:$P$242,MATCH(RIGHT(D$3,LEN(D$3)-5),Controle!$B$2:$P$2))/1000000</f>
        <v>106.9515177</v>
      </c>
      <c r="E101" s="160">
        <f>VLOOKUP($A101,Controle!$B$10:$P$242,MATCH(RIGHT(E$3,LEN(E$3)-5),Controle!$B$2:$P$2))/1000000</f>
        <v>105.6993821</v>
      </c>
    </row>
    <row r="102">
      <c r="A102" s="157">
        <f>IFERROR(__xludf.DUMMYFUNCTION("""COMPUTED_VALUE"""),45147.0)</f>
        <v>45147</v>
      </c>
      <c r="B102" s="160">
        <f>VLOOKUP($A102,Controle!$B$10:$P$242,MATCH(RIGHT(B$3,LEN(B$3)-5),Controle!$B$2:$P$2))/1000000</f>
        <v>105.8459469</v>
      </c>
      <c r="C102" s="160">
        <f>VLOOKUP($A102,Controle!$B$10:$P$242,MATCH(RIGHT(C$3,LEN(C$3)-5),Controle!$B$2:$P$2))/1000000</f>
        <v>111.0909629</v>
      </c>
      <c r="D102" s="160">
        <f>VLOOKUP($A102,Controle!$B$10:$P$242,MATCH(RIGHT(D$3,LEN(D$3)-5),Controle!$B$2:$P$2))/1000000</f>
        <v>105.552881</v>
      </c>
      <c r="E102" s="160">
        <f>VLOOKUP($A102,Controle!$B$10:$P$242,MATCH(RIGHT(E$3,LEN(E$3)-5),Controle!$B$2:$P$2))/1000000</f>
        <v>105.8459469</v>
      </c>
    </row>
    <row r="103">
      <c r="A103" s="157">
        <f>IFERROR(__xludf.DUMMYFUNCTION("""COMPUTED_VALUE"""),45148.0)</f>
        <v>45148</v>
      </c>
      <c r="B103" s="160">
        <f>VLOOKUP($A103,Controle!$B$10:$P$242,MATCH(RIGHT(B$3,LEN(B$3)-5),Controle!$B$2:$P$2))/1000000</f>
        <v>106.2541318</v>
      </c>
      <c r="C103" s="160">
        <f>VLOOKUP($A103,Controle!$B$10:$P$242,MATCH(RIGHT(C$3,LEN(C$3)-5),Controle!$B$2:$P$2))/1000000</f>
        <v>111.1509244</v>
      </c>
      <c r="D103" s="160">
        <f>VLOOKUP($A103,Controle!$B$10:$P$242,MATCH(RIGHT(D$3,LEN(D$3)-5),Controle!$B$2:$P$2))/1000000</f>
        <v>106.0624894</v>
      </c>
      <c r="E103" s="160">
        <f>VLOOKUP($A103,Controle!$B$10:$P$242,MATCH(RIGHT(E$3,LEN(E$3)-5),Controle!$B$2:$P$2))/1000000</f>
        <v>106.2541318</v>
      </c>
    </row>
    <row r="104">
      <c r="A104" s="157">
        <f>IFERROR(__xludf.DUMMYFUNCTION("""COMPUTED_VALUE"""),45149.0)</f>
        <v>45149</v>
      </c>
      <c r="B104" s="160">
        <f>VLOOKUP($A104,Controle!$B$10:$P$242,MATCH(RIGHT(B$3,LEN(B$3)-5),Controle!$B$2:$P$2))/1000000</f>
        <v>106.6675046</v>
      </c>
      <c r="C104" s="160">
        <f>VLOOKUP($A104,Controle!$B$10:$P$242,MATCH(RIGHT(C$3,LEN(C$3)-5),Controle!$B$2:$P$2))/1000000</f>
        <v>111.1650547</v>
      </c>
      <c r="D104" s="160">
        <f>VLOOKUP($A104,Controle!$B$10:$P$242,MATCH(RIGHT(D$3,LEN(D$3)-5),Controle!$B$2:$P$2))/1000000</f>
        <v>105.334085</v>
      </c>
      <c r="E104" s="160">
        <f>VLOOKUP($A104,Controle!$B$10:$P$242,MATCH(RIGHT(E$3,LEN(E$3)-5),Controle!$B$2:$P$2))/1000000</f>
        <v>106.6675046</v>
      </c>
    </row>
    <row r="105">
      <c r="A105" s="157">
        <f>IFERROR(__xludf.DUMMYFUNCTION("""COMPUTED_VALUE"""),45152.0)</f>
        <v>45152</v>
      </c>
      <c r="B105" s="160">
        <f>VLOOKUP($A105,Controle!$B$10:$P$242,MATCH(RIGHT(B$3,LEN(B$3)-5),Controle!$B$2:$P$2))/1000000</f>
        <v>107.47127</v>
      </c>
      <c r="C105" s="160">
        <f>VLOOKUP($A105,Controle!$B$10:$P$242,MATCH(RIGHT(C$3,LEN(C$3)-5),Controle!$B$2:$P$2))/1000000</f>
        <v>111.1380693</v>
      </c>
      <c r="D105" s="160">
        <f>VLOOKUP($A105,Controle!$B$10:$P$242,MATCH(RIGHT(D$3,LEN(D$3)-5),Controle!$B$2:$P$2))/1000000</f>
        <v>104.3900369</v>
      </c>
      <c r="E105" s="160">
        <f>VLOOKUP($A105,Controle!$B$10:$P$242,MATCH(RIGHT(E$3,LEN(E$3)-5),Controle!$B$2:$P$2))/1000000</f>
        <v>107.47127</v>
      </c>
    </row>
    <row r="106">
      <c r="A106" s="157">
        <f>IFERROR(__xludf.DUMMYFUNCTION("""COMPUTED_VALUE"""),45153.0)</f>
        <v>45153</v>
      </c>
      <c r="B106" s="160">
        <f>VLOOKUP($A106,Controle!$B$10:$P$242,MATCH(RIGHT(B$3,LEN(B$3)-5),Controle!$B$2:$P$2))/1000000</f>
        <v>107.9136445</v>
      </c>
      <c r="C106" s="160">
        <f>VLOOKUP($A106,Controle!$B$10:$P$242,MATCH(RIGHT(C$3,LEN(C$3)-5),Controle!$B$2:$P$2))/1000000</f>
        <v>111.137074</v>
      </c>
      <c r="D106" s="160">
        <f>VLOOKUP($A106,Controle!$B$10:$P$242,MATCH(RIGHT(D$3,LEN(D$3)-5),Controle!$B$2:$P$2))/1000000</f>
        <v>104.1025611</v>
      </c>
      <c r="E106" s="160">
        <f>VLOOKUP($A106,Controle!$B$10:$P$242,MATCH(RIGHT(E$3,LEN(E$3)-5),Controle!$B$2:$P$2))/1000000</f>
        <v>107.9136445</v>
      </c>
    </row>
    <row r="107">
      <c r="A107" s="157">
        <f>IFERROR(__xludf.DUMMYFUNCTION("""COMPUTED_VALUE"""),45154.0)</f>
        <v>45154</v>
      </c>
      <c r="B107" s="160">
        <f>VLOOKUP($A107,Controle!$B$10:$P$242,MATCH(RIGHT(B$3,LEN(B$3)-5),Controle!$B$2:$P$2))/1000000</f>
        <v>107.8930702</v>
      </c>
      <c r="C107" s="160">
        <f>VLOOKUP($A107,Controle!$B$10:$P$242,MATCH(RIGHT(C$3,LEN(C$3)-5),Controle!$B$2:$P$2))/1000000</f>
        <v>111.1622206</v>
      </c>
      <c r="D107" s="160">
        <f>VLOOKUP($A107,Controle!$B$10:$P$242,MATCH(RIGHT(D$3,LEN(D$3)-5),Controle!$B$2:$P$2))/1000000</f>
        <v>103.4795156</v>
      </c>
      <c r="E107" s="160">
        <f>VLOOKUP($A107,Controle!$B$10:$P$242,MATCH(RIGHT(E$3,LEN(E$3)-5),Controle!$B$2:$P$2))/1000000</f>
        <v>107.8930702</v>
      </c>
    </row>
    <row r="108">
      <c r="A108" s="157">
        <f>IFERROR(__xludf.DUMMYFUNCTION("""COMPUTED_VALUE"""),45155.0)</f>
        <v>45155</v>
      </c>
      <c r="B108" s="160">
        <f>VLOOKUP($A108,Controle!$B$10:$P$242,MATCH(RIGHT(B$3,LEN(B$3)-5),Controle!$B$2:$P$2))/1000000</f>
        <v>108.0742414</v>
      </c>
      <c r="C108" s="160">
        <f>VLOOKUP($A108,Controle!$B$10:$P$242,MATCH(RIGHT(C$3,LEN(C$3)-5),Controle!$B$2:$P$2))/1000000</f>
        <v>111.1556188</v>
      </c>
      <c r="D108" s="160">
        <f>VLOOKUP($A108,Controle!$B$10:$P$242,MATCH(RIGHT(D$3,LEN(D$3)-5),Controle!$B$2:$P$2))/1000000</f>
        <v>103.2635717</v>
      </c>
      <c r="E108" s="160">
        <f>VLOOKUP($A108,Controle!$B$10:$P$242,MATCH(RIGHT(E$3,LEN(E$3)-5),Controle!$B$2:$P$2))/1000000</f>
        <v>108.0742414</v>
      </c>
    </row>
    <row r="109">
      <c r="A109" s="157">
        <f>IFERROR(__xludf.DUMMYFUNCTION("""COMPUTED_VALUE"""),45156.0)</f>
        <v>45156</v>
      </c>
      <c r="B109" s="160">
        <f>VLOOKUP($A109,Controle!$B$10:$P$242,MATCH(RIGHT(B$3,LEN(B$3)-5),Controle!$B$2:$P$2))/1000000</f>
        <v>107.84402</v>
      </c>
      <c r="C109" s="160">
        <f>VLOOKUP($A109,Controle!$B$10:$P$242,MATCH(RIGHT(C$3,LEN(C$3)-5),Controle!$B$2:$P$2))/1000000</f>
        <v>111.220201</v>
      </c>
      <c r="D109" s="160">
        <f>VLOOKUP($A109,Controle!$B$10:$P$242,MATCH(RIGHT(D$3,LEN(D$3)-5),Controle!$B$2:$P$2))/1000000</f>
        <v>103.5390042</v>
      </c>
      <c r="E109" s="160">
        <f>VLOOKUP($A109,Controle!$B$10:$P$242,MATCH(RIGHT(E$3,LEN(E$3)-5),Controle!$B$2:$P$2))/1000000</f>
        <v>107.84402</v>
      </c>
    </row>
    <row r="110">
      <c r="A110" s="157">
        <f>IFERROR(__xludf.DUMMYFUNCTION("""COMPUTED_VALUE"""),45159.0)</f>
        <v>45159</v>
      </c>
      <c r="B110" s="160">
        <f>VLOOKUP($A110,Controle!$B$10:$P$242,MATCH(RIGHT(B$3,LEN(B$3)-5),Controle!$B$2:$P$2))/1000000</f>
        <v>108.0687024</v>
      </c>
      <c r="C110" s="160">
        <f>VLOOKUP($A110,Controle!$B$10:$P$242,MATCH(RIGHT(C$3,LEN(C$3)-5),Controle!$B$2:$P$2))/1000000</f>
        <v>111.2457187</v>
      </c>
      <c r="D110" s="160">
        <f>VLOOKUP($A110,Controle!$B$10:$P$242,MATCH(RIGHT(D$3,LEN(D$3)-5),Controle!$B$2:$P$2))/1000000</f>
        <v>103.8597361</v>
      </c>
      <c r="E110" s="160">
        <f>VLOOKUP($A110,Controle!$B$10:$P$242,MATCH(RIGHT(E$3,LEN(E$3)-5),Controle!$B$2:$P$2))/1000000</f>
        <v>108.0687024</v>
      </c>
    </row>
    <row r="111">
      <c r="A111" s="157">
        <f>IFERROR(__xludf.DUMMYFUNCTION("""COMPUTED_VALUE"""),45160.0)</f>
        <v>45160</v>
      </c>
      <c r="B111" s="160">
        <f>VLOOKUP($A111,Controle!$B$10:$P$242,MATCH(RIGHT(B$3,LEN(B$3)-5),Controle!$B$2:$P$2))/1000000</f>
        <v>107.4415758</v>
      </c>
      <c r="C111" s="160">
        <f>VLOOKUP($A111,Controle!$B$10:$P$242,MATCH(RIGHT(C$3,LEN(C$3)-5),Controle!$B$2:$P$2))/1000000</f>
        <v>111.3405871</v>
      </c>
      <c r="D111" s="160">
        <f>VLOOKUP($A111,Controle!$B$10:$P$242,MATCH(RIGHT(D$3,LEN(D$3)-5),Controle!$B$2:$P$2))/1000000</f>
        <v>103.9868132</v>
      </c>
      <c r="E111" s="160">
        <f>VLOOKUP($A111,Controle!$B$10:$P$242,MATCH(RIGHT(E$3,LEN(E$3)-5),Controle!$B$2:$P$2))/1000000</f>
        <v>107.4415758</v>
      </c>
    </row>
    <row r="112">
      <c r="A112" s="157">
        <f>IFERROR(__xludf.DUMMYFUNCTION("""COMPUTED_VALUE"""),45161.0)</f>
        <v>45161</v>
      </c>
      <c r="B112" s="160">
        <f>VLOOKUP($A112,Controle!$B$10:$P$242,MATCH(RIGHT(B$3,LEN(B$3)-5),Controle!$B$2:$P$2))/1000000</f>
        <v>106.5148279</v>
      </c>
      <c r="C112" s="160">
        <f>VLOOKUP($A112,Controle!$B$10:$P$242,MATCH(RIGHT(C$3,LEN(C$3)-5),Controle!$B$2:$P$2))/1000000</f>
        <v>111.4726629</v>
      </c>
      <c r="D112" s="160">
        <f>VLOOKUP($A112,Controle!$B$10:$P$242,MATCH(RIGHT(D$3,LEN(D$3)-5),Controle!$B$2:$P$2))/1000000</f>
        <v>104.3238475</v>
      </c>
      <c r="E112" s="160">
        <f>VLOOKUP($A112,Controle!$B$10:$P$242,MATCH(RIGHT(E$3,LEN(E$3)-5),Controle!$B$2:$P$2))/1000000</f>
        <v>106.5148279</v>
      </c>
    </row>
    <row r="113">
      <c r="A113" s="157">
        <f>IFERROR(__xludf.DUMMYFUNCTION("""COMPUTED_VALUE"""),45162.0)</f>
        <v>45162</v>
      </c>
      <c r="B113" s="160">
        <f>VLOOKUP($A113,Controle!$B$10:$P$242,MATCH(RIGHT(B$3,LEN(B$3)-5),Controle!$B$2:$P$2))/1000000</f>
        <v>106.7748439</v>
      </c>
      <c r="C113" s="160">
        <f>VLOOKUP($A113,Controle!$B$10:$P$242,MATCH(RIGHT(C$3,LEN(C$3)-5),Controle!$B$2:$P$2))/1000000</f>
        <v>111.4099894</v>
      </c>
      <c r="D113" s="160">
        <f>VLOOKUP($A113,Controle!$B$10:$P$242,MATCH(RIGHT(D$3,LEN(D$3)-5),Controle!$B$2:$P$2))/1000000</f>
        <v>104.2177273</v>
      </c>
      <c r="E113" s="160">
        <f>VLOOKUP($A113,Controle!$B$10:$P$242,MATCH(RIGHT(E$3,LEN(E$3)-5),Controle!$B$2:$P$2))/1000000</f>
        <v>106.7748439</v>
      </c>
    </row>
    <row r="114">
      <c r="A114" s="157">
        <f>IFERROR(__xludf.DUMMYFUNCTION("""COMPUTED_VALUE"""),45163.0)</f>
        <v>45163</v>
      </c>
      <c r="B114" s="160">
        <f>VLOOKUP($A114,Controle!$B$10:$P$242,MATCH(RIGHT(B$3,LEN(B$3)-5),Controle!$B$2:$P$2))/1000000</f>
        <v>106.8047137</v>
      </c>
      <c r="C114" s="160">
        <f>VLOOKUP($A114,Controle!$B$10:$P$242,MATCH(RIGHT(C$3,LEN(C$3)-5),Controle!$B$2:$P$2))/1000000</f>
        <v>111.4100887</v>
      </c>
      <c r="D114" s="160">
        <f>VLOOKUP($A114,Controle!$B$10:$P$242,MATCH(RIGHT(D$3,LEN(D$3)-5),Controle!$B$2:$P$2))/1000000</f>
        <v>103.7341282</v>
      </c>
      <c r="E114" s="160">
        <f>VLOOKUP($A114,Controle!$B$10:$P$242,MATCH(RIGHT(E$3,LEN(E$3)-5),Controle!$B$2:$P$2))/1000000</f>
        <v>106.8047137</v>
      </c>
    </row>
    <row r="115">
      <c r="A115" s="157">
        <f>IFERROR(__xludf.DUMMYFUNCTION("""COMPUTED_VALUE"""),45166.0)</f>
        <v>45166</v>
      </c>
      <c r="B115" s="160">
        <f>VLOOKUP($A115,Controle!$B$10:$P$242,MATCH(RIGHT(B$3,LEN(B$3)-5),Controle!$B$2:$P$2))/1000000</f>
        <v>106.8923294</v>
      </c>
      <c r="C115" s="160">
        <f>VLOOKUP($A115,Controle!$B$10:$P$242,MATCH(RIGHT(C$3,LEN(C$3)-5),Controle!$B$2:$P$2))/1000000</f>
        <v>111.6574401</v>
      </c>
      <c r="D115" s="160">
        <f>VLOOKUP($A115,Controle!$B$10:$P$242,MATCH(RIGHT(D$3,LEN(D$3)-5),Controle!$B$2:$P$2))/1000000</f>
        <v>103.6560718</v>
      </c>
      <c r="E115" s="160">
        <f>VLOOKUP($A115,Controle!$B$10:$P$242,MATCH(RIGHT(E$3,LEN(E$3)-5),Controle!$B$2:$P$2))/1000000</f>
        <v>106.8923294</v>
      </c>
    </row>
    <row r="116">
      <c r="A116" s="157">
        <f>IFERROR(__xludf.DUMMYFUNCTION("""COMPUTED_VALUE"""),45167.0)</f>
        <v>45167</v>
      </c>
      <c r="B116" s="160">
        <f>VLOOKUP($A116,Controle!$B$10:$P$242,MATCH(RIGHT(B$3,LEN(B$3)-5),Controle!$B$2:$P$2))/1000000</f>
        <v>107.0930649</v>
      </c>
      <c r="C116" s="160">
        <f>VLOOKUP($A116,Controle!$B$10:$P$242,MATCH(RIGHT(C$3,LEN(C$3)-5),Controle!$B$2:$P$2))/1000000</f>
        <v>112.0549903</v>
      </c>
      <c r="D116" s="160">
        <f>VLOOKUP($A116,Controle!$B$10:$P$242,MATCH(RIGHT(D$3,LEN(D$3)-5),Controle!$B$2:$P$2))/1000000</f>
        <v>103.6599854</v>
      </c>
      <c r="E116" s="160">
        <f>VLOOKUP($A116,Controle!$B$10:$P$242,MATCH(RIGHT(E$3,LEN(E$3)-5),Controle!$B$2:$P$2))/1000000</f>
        <v>107.0930649</v>
      </c>
    </row>
    <row r="117">
      <c r="A117" s="157">
        <f>IFERROR(__xludf.DUMMYFUNCTION("""COMPUTED_VALUE"""),45168.0)</f>
        <v>45168</v>
      </c>
      <c r="B117" s="160">
        <f>VLOOKUP($A117,Controle!$B$10:$P$242,MATCH(RIGHT(B$3,LEN(B$3)-5),Controle!$B$2:$P$2))/1000000</f>
        <v>107.267229</v>
      </c>
      <c r="C117" s="160">
        <f>VLOOKUP($A117,Controle!$B$10:$P$242,MATCH(RIGHT(C$3,LEN(C$3)-5),Controle!$B$2:$P$2))/1000000</f>
        <v>112.1705559</v>
      </c>
      <c r="D117" s="160">
        <f>VLOOKUP($A117,Controle!$B$10:$P$242,MATCH(RIGHT(D$3,LEN(D$3)-5),Controle!$B$2:$P$2))/1000000</f>
        <v>102.998813</v>
      </c>
      <c r="E117" s="160">
        <f>VLOOKUP($A117,Controle!$B$10:$P$242,MATCH(RIGHT(E$3,LEN(E$3)-5),Controle!$B$2:$P$2))/1000000</f>
        <v>107.267229</v>
      </c>
    </row>
    <row r="118">
      <c r="A118" s="157">
        <f>IFERROR(__xludf.DUMMYFUNCTION("""COMPUTED_VALUE"""),45169.0)</f>
        <v>45169</v>
      </c>
      <c r="B118" s="160">
        <f>VLOOKUP($A118,Controle!$B$10:$P$242,MATCH(RIGHT(B$3,LEN(B$3)-5),Controle!$B$2:$P$2))/1000000</f>
        <v>108.0745591</v>
      </c>
      <c r="C118" s="160">
        <f>VLOOKUP($A118,Controle!$B$10:$P$242,MATCH(RIGHT(C$3,LEN(C$3)-5),Controle!$B$2:$P$2))/1000000</f>
        <v>112.4674322</v>
      </c>
      <c r="D118" s="160">
        <f>VLOOKUP($A118,Controle!$B$10:$P$242,MATCH(RIGHT(D$3,LEN(D$3)-5),Controle!$B$2:$P$2))/1000000</f>
        <v>102.7595953</v>
      </c>
      <c r="E118" s="160">
        <f>VLOOKUP($A118,Controle!$B$10:$P$242,MATCH(RIGHT(E$3,LEN(E$3)-5),Controle!$B$2:$P$2))/1000000</f>
        <v>108.0745591</v>
      </c>
    </row>
    <row r="119">
      <c r="A119" s="157">
        <f>IFERROR(__xludf.DUMMYFUNCTION("""COMPUTED_VALUE"""),45170.0)</f>
        <v>45170</v>
      </c>
      <c r="B119" s="160">
        <f>VLOOKUP($A119,Controle!$B$10:$P$242,MATCH(RIGHT(B$3,LEN(B$3)-5),Controle!$B$2:$P$2))/1000000</f>
        <v>107.9779505</v>
      </c>
      <c r="C119" s="160">
        <f>VLOOKUP($A119,Controle!$B$10:$P$242,MATCH(RIGHT(C$3,LEN(C$3)-5),Controle!$B$2:$P$2))/1000000</f>
        <v>112.4338719</v>
      </c>
      <c r="D119" s="160">
        <f>VLOOKUP($A119,Controle!$B$10:$P$242,MATCH(RIGHT(D$3,LEN(D$3)-5),Controle!$B$2:$P$2))/1000000</f>
        <v>103.6995054</v>
      </c>
      <c r="E119" s="160">
        <f>VLOOKUP($A119,Controle!$B$10:$P$242,MATCH(RIGHT(E$3,LEN(E$3)-5),Controle!$B$2:$P$2))/1000000</f>
        <v>107.9779505</v>
      </c>
    </row>
    <row r="120">
      <c r="A120" s="157"/>
    </row>
    <row r="121">
      <c r="A121" s="157"/>
    </row>
    <row r="122">
      <c r="A122" s="157"/>
    </row>
    <row r="123">
      <c r="A123" s="157"/>
    </row>
    <row r="124">
      <c r="A124" s="157"/>
    </row>
    <row r="125">
      <c r="A125" s="157"/>
    </row>
    <row r="126">
      <c r="A126" s="157"/>
    </row>
    <row r="127">
      <c r="A127" s="157"/>
    </row>
    <row r="128">
      <c r="A128" s="157"/>
    </row>
    <row r="129">
      <c r="A129" s="157"/>
    </row>
    <row r="130">
      <c r="A130" s="157"/>
    </row>
    <row r="131">
      <c r="A131" s="157"/>
    </row>
    <row r="132">
      <c r="A132" s="157"/>
    </row>
    <row r="133">
      <c r="A133" s="157"/>
    </row>
    <row r="134">
      <c r="A134" s="157"/>
    </row>
    <row r="135">
      <c r="A135" s="157"/>
    </row>
    <row r="136">
      <c r="A136" s="157"/>
    </row>
    <row r="137">
      <c r="A137" s="157"/>
    </row>
    <row r="138">
      <c r="A138" s="157"/>
    </row>
    <row r="139">
      <c r="A139" s="157"/>
    </row>
    <row r="140">
      <c r="A140" s="157"/>
    </row>
    <row r="141">
      <c r="A141" s="157"/>
    </row>
    <row r="142">
      <c r="A142" s="157"/>
    </row>
    <row r="143">
      <c r="A143" s="157"/>
    </row>
    <row r="144">
      <c r="A144" s="157"/>
    </row>
    <row r="145">
      <c r="A145" s="157"/>
    </row>
    <row r="146">
      <c r="A146" s="157"/>
    </row>
    <row r="147">
      <c r="A147" s="157"/>
    </row>
    <row r="148">
      <c r="A148" s="157"/>
    </row>
    <row r="149">
      <c r="A149" s="157"/>
    </row>
    <row r="150">
      <c r="A150" s="157"/>
    </row>
    <row r="151">
      <c r="A151" s="157"/>
    </row>
    <row r="152">
      <c r="A152" s="157"/>
    </row>
    <row r="153">
      <c r="A153" s="157"/>
    </row>
    <row r="154">
      <c r="A154" s="157"/>
    </row>
    <row r="155">
      <c r="A155" s="157"/>
    </row>
    <row r="156">
      <c r="A156" s="157"/>
    </row>
    <row r="157">
      <c r="A157" s="157"/>
    </row>
    <row r="158">
      <c r="A158" s="157"/>
    </row>
    <row r="159">
      <c r="A159" s="157"/>
    </row>
    <row r="160">
      <c r="A160" s="157"/>
    </row>
    <row r="161">
      <c r="A161" s="157"/>
    </row>
    <row r="162">
      <c r="A162" s="157"/>
    </row>
    <row r="163">
      <c r="A163" s="157"/>
    </row>
    <row r="164">
      <c r="A164" s="157"/>
    </row>
    <row r="165">
      <c r="A165" s="157"/>
    </row>
    <row r="166">
      <c r="A166" s="157"/>
    </row>
    <row r="167">
      <c r="A167" s="157"/>
    </row>
    <row r="168">
      <c r="A168" s="157"/>
    </row>
    <row r="169">
      <c r="A169" s="157"/>
    </row>
    <row r="170">
      <c r="A170" s="157"/>
    </row>
    <row r="171">
      <c r="A171" s="157"/>
    </row>
    <row r="172">
      <c r="A172" s="157"/>
    </row>
    <row r="173">
      <c r="A173" s="157"/>
    </row>
    <row r="174">
      <c r="A174" s="157"/>
    </row>
    <row r="175">
      <c r="A175" s="157"/>
    </row>
    <row r="176">
      <c r="A176" s="157"/>
    </row>
    <row r="177">
      <c r="A177" s="157"/>
    </row>
    <row r="178">
      <c r="A178" s="157"/>
    </row>
    <row r="179">
      <c r="A179" s="157"/>
    </row>
    <row r="180">
      <c r="A180" s="157"/>
    </row>
    <row r="181">
      <c r="A181" s="157"/>
    </row>
    <row r="182">
      <c r="A182" s="157"/>
    </row>
    <row r="183">
      <c r="A183" s="157"/>
    </row>
    <row r="184">
      <c r="A184" s="157"/>
    </row>
    <row r="185">
      <c r="A185" s="157"/>
    </row>
    <row r="186">
      <c r="A186" s="157"/>
    </row>
    <row r="187">
      <c r="A187" s="157"/>
    </row>
    <row r="188">
      <c r="A188" s="157"/>
    </row>
    <row r="189">
      <c r="A189" s="157"/>
    </row>
    <row r="190">
      <c r="A190" s="157"/>
    </row>
    <row r="191">
      <c r="A191" s="157"/>
    </row>
    <row r="192">
      <c r="A192" s="157"/>
    </row>
    <row r="193">
      <c r="A193" s="157"/>
    </row>
    <row r="194">
      <c r="A194" s="157"/>
    </row>
    <row r="195">
      <c r="A195" s="157"/>
    </row>
    <row r="196">
      <c r="A196" s="157"/>
    </row>
    <row r="197">
      <c r="A197" s="157"/>
    </row>
    <row r="198">
      <c r="A198" s="157"/>
    </row>
    <row r="199">
      <c r="A199" s="157"/>
    </row>
    <row r="200">
      <c r="A200" s="157"/>
    </row>
    <row r="201">
      <c r="A201" s="157"/>
    </row>
    <row r="202">
      <c r="A202" s="157"/>
    </row>
    <row r="203">
      <c r="A203" s="157"/>
    </row>
    <row r="204">
      <c r="A204" s="157"/>
    </row>
    <row r="205">
      <c r="A205" s="157"/>
    </row>
    <row r="206">
      <c r="A206" s="157"/>
    </row>
    <row r="207">
      <c r="A207" s="157"/>
    </row>
    <row r="208">
      <c r="A208" s="157"/>
    </row>
    <row r="209">
      <c r="A209" s="157"/>
    </row>
    <row r="210">
      <c r="A210" s="157"/>
    </row>
    <row r="211">
      <c r="A211" s="157"/>
    </row>
    <row r="212">
      <c r="A212" s="157"/>
    </row>
    <row r="213">
      <c r="A213" s="157"/>
    </row>
    <row r="214">
      <c r="A214" s="157"/>
    </row>
    <row r="215">
      <c r="A215" s="157"/>
    </row>
    <row r="216">
      <c r="A216" s="157"/>
    </row>
    <row r="217">
      <c r="A217" s="157"/>
    </row>
    <row r="218">
      <c r="A218" s="157"/>
    </row>
    <row r="219">
      <c r="A219" s="157"/>
    </row>
    <row r="220">
      <c r="A220" s="157"/>
    </row>
    <row r="221">
      <c r="A221" s="157"/>
    </row>
    <row r="222">
      <c r="A222" s="157"/>
    </row>
    <row r="223">
      <c r="A223" s="157"/>
    </row>
    <row r="224">
      <c r="A224" s="157"/>
    </row>
    <row r="225">
      <c r="A225" s="157"/>
    </row>
    <row r="226">
      <c r="A226" s="157"/>
    </row>
    <row r="227">
      <c r="A227" s="157"/>
    </row>
    <row r="228">
      <c r="A228" s="157"/>
    </row>
    <row r="229">
      <c r="A229" s="157"/>
    </row>
    <row r="230">
      <c r="A230" s="157"/>
    </row>
    <row r="231">
      <c r="A231" s="157"/>
    </row>
    <row r="232">
      <c r="A232" s="157"/>
    </row>
    <row r="233">
      <c r="A233" s="157"/>
    </row>
    <row r="234">
      <c r="A234" s="157"/>
    </row>
    <row r="235">
      <c r="A235" s="157"/>
    </row>
    <row r="236">
      <c r="A236" s="157"/>
    </row>
    <row r="237">
      <c r="A237" s="157"/>
    </row>
    <row r="238">
      <c r="A238" s="157"/>
    </row>
    <row r="239">
      <c r="A239" s="157"/>
    </row>
    <row r="240">
      <c r="A240" s="157"/>
    </row>
    <row r="241">
      <c r="A241" s="157"/>
    </row>
    <row r="242">
      <c r="A242" s="157"/>
    </row>
    <row r="243">
      <c r="A243" s="157"/>
    </row>
    <row r="244">
      <c r="A244" s="157"/>
    </row>
    <row r="245">
      <c r="A245" s="157"/>
    </row>
    <row r="246">
      <c r="A246" s="157"/>
    </row>
    <row r="247">
      <c r="A247" s="157"/>
    </row>
    <row r="248">
      <c r="A248" s="157"/>
    </row>
    <row r="249">
      <c r="A249" s="157"/>
    </row>
    <row r="250">
      <c r="A250" s="157"/>
    </row>
    <row r="251">
      <c r="A251" s="157"/>
    </row>
    <row r="252">
      <c r="A252" s="157"/>
    </row>
    <row r="253">
      <c r="A253" s="157"/>
    </row>
    <row r="254">
      <c r="A254" s="157"/>
    </row>
    <row r="255">
      <c r="A255" s="157"/>
    </row>
    <row r="256">
      <c r="A256" s="157"/>
    </row>
    <row r="257">
      <c r="A257" s="157"/>
    </row>
    <row r="258">
      <c r="A258" s="157"/>
    </row>
    <row r="259">
      <c r="A259" s="157"/>
    </row>
    <row r="260">
      <c r="A260" s="157"/>
    </row>
    <row r="261">
      <c r="A261" s="157"/>
    </row>
    <row r="262">
      <c r="A262" s="157"/>
    </row>
    <row r="263">
      <c r="A263" s="157"/>
    </row>
    <row r="264">
      <c r="A264" s="157"/>
    </row>
    <row r="265">
      <c r="A265" s="157"/>
    </row>
    <row r="266">
      <c r="A266" s="157"/>
    </row>
    <row r="267">
      <c r="A267" s="157"/>
    </row>
    <row r="268">
      <c r="A268" s="157"/>
    </row>
    <row r="269">
      <c r="A269" s="157"/>
    </row>
    <row r="270">
      <c r="A270" s="157"/>
    </row>
    <row r="271">
      <c r="A271" s="157"/>
    </row>
    <row r="272">
      <c r="A272" s="157"/>
    </row>
    <row r="273">
      <c r="A273" s="157"/>
    </row>
    <row r="274">
      <c r="A274" s="157"/>
    </row>
    <row r="275">
      <c r="A275" s="157"/>
    </row>
    <row r="276">
      <c r="A276" s="157"/>
    </row>
    <row r="277">
      <c r="A277" s="157"/>
    </row>
    <row r="278">
      <c r="A278" s="157"/>
    </row>
    <row r="279">
      <c r="A279" s="157"/>
    </row>
    <row r="280">
      <c r="A280" s="157"/>
    </row>
    <row r="281">
      <c r="A281" s="157"/>
    </row>
    <row r="282">
      <c r="A282" s="157"/>
    </row>
    <row r="283">
      <c r="A283" s="157"/>
    </row>
    <row r="284">
      <c r="A284" s="157"/>
    </row>
    <row r="285">
      <c r="A285" s="157"/>
    </row>
    <row r="286">
      <c r="A286" s="157"/>
    </row>
    <row r="287">
      <c r="A287" s="157"/>
    </row>
    <row r="288">
      <c r="A288" s="157"/>
    </row>
    <row r="289">
      <c r="A289" s="157"/>
    </row>
    <row r="290">
      <c r="A290" s="157"/>
    </row>
    <row r="291">
      <c r="A291" s="157"/>
    </row>
    <row r="292">
      <c r="A292" s="157"/>
    </row>
    <row r="293">
      <c r="A293" s="157"/>
    </row>
    <row r="294">
      <c r="A294" s="157"/>
    </row>
    <row r="295">
      <c r="A295" s="157"/>
    </row>
    <row r="296">
      <c r="A296" s="157"/>
    </row>
    <row r="297">
      <c r="A297" s="157"/>
    </row>
    <row r="298">
      <c r="A298" s="157"/>
    </row>
    <row r="299">
      <c r="A299" s="157"/>
    </row>
    <row r="300">
      <c r="A300" s="157"/>
    </row>
    <row r="301">
      <c r="A301" s="157"/>
    </row>
    <row r="302">
      <c r="A302" s="157"/>
    </row>
    <row r="303">
      <c r="A303" s="157"/>
    </row>
    <row r="304">
      <c r="A304" s="157"/>
    </row>
    <row r="305">
      <c r="A305" s="157"/>
    </row>
    <row r="306">
      <c r="A306" s="157"/>
    </row>
    <row r="307">
      <c r="A307" s="157"/>
    </row>
    <row r="308">
      <c r="A308" s="157"/>
    </row>
    <row r="309">
      <c r="A309" s="157"/>
    </row>
    <row r="310">
      <c r="A310" s="157"/>
    </row>
    <row r="311">
      <c r="A311" s="157"/>
    </row>
    <row r="312">
      <c r="A312" s="157"/>
    </row>
    <row r="313">
      <c r="A313" s="157"/>
    </row>
    <row r="314">
      <c r="A314" s="157"/>
    </row>
    <row r="315">
      <c r="A315" s="157"/>
    </row>
    <row r="316">
      <c r="A316" s="157"/>
    </row>
    <row r="317">
      <c r="A317" s="157"/>
    </row>
    <row r="318">
      <c r="A318" s="157"/>
    </row>
    <row r="319">
      <c r="A319" s="157"/>
    </row>
    <row r="320">
      <c r="A320" s="157"/>
    </row>
    <row r="321">
      <c r="A321" s="157"/>
    </row>
    <row r="322">
      <c r="A322" s="157"/>
    </row>
    <row r="323">
      <c r="A323" s="157"/>
    </row>
    <row r="324">
      <c r="A324" s="157"/>
    </row>
    <row r="325">
      <c r="A325" s="157"/>
    </row>
    <row r="326">
      <c r="A326" s="157"/>
    </row>
    <row r="327">
      <c r="A327" s="157"/>
    </row>
    <row r="328">
      <c r="A328" s="157"/>
    </row>
    <row r="329">
      <c r="A329" s="157"/>
    </row>
    <row r="330">
      <c r="A330" s="157"/>
    </row>
    <row r="331">
      <c r="A331" s="157"/>
    </row>
    <row r="332">
      <c r="A332" s="157"/>
    </row>
    <row r="333">
      <c r="A333" s="157"/>
    </row>
    <row r="334">
      <c r="A334" s="157"/>
    </row>
    <row r="335">
      <c r="A335" s="157"/>
    </row>
    <row r="336">
      <c r="A336" s="157"/>
    </row>
    <row r="337">
      <c r="A337" s="157"/>
    </row>
    <row r="338">
      <c r="A338" s="157"/>
    </row>
    <row r="339">
      <c r="A339" s="157"/>
    </row>
    <row r="340">
      <c r="A340" s="157"/>
    </row>
    <row r="341">
      <c r="A341" s="157"/>
    </row>
    <row r="342">
      <c r="A342" s="157"/>
    </row>
    <row r="343">
      <c r="A343" s="157"/>
    </row>
    <row r="344">
      <c r="A344" s="157"/>
    </row>
    <row r="345">
      <c r="A345" s="157"/>
    </row>
    <row r="346">
      <c r="A346" s="157"/>
    </row>
    <row r="347">
      <c r="A347" s="157"/>
    </row>
    <row r="348">
      <c r="A348" s="157"/>
    </row>
    <row r="349">
      <c r="A349" s="157"/>
    </row>
    <row r="350">
      <c r="A350" s="157"/>
    </row>
    <row r="351">
      <c r="A351" s="157"/>
    </row>
    <row r="352">
      <c r="A352" s="157"/>
    </row>
    <row r="353">
      <c r="A353" s="157"/>
    </row>
    <row r="354">
      <c r="A354" s="157"/>
    </row>
    <row r="355">
      <c r="A355" s="157"/>
    </row>
    <row r="356">
      <c r="A356" s="157"/>
    </row>
    <row r="357">
      <c r="A357" s="157"/>
    </row>
    <row r="358">
      <c r="A358" s="157"/>
    </row>
    <row r="359">
      <c r="A359" s="157"/>
    </row>
    <row r="360">
      <c r="A360" s="157"/>
    </row>
    <row r="361">
      <c r="A361" s="157"/>
    </row>
    <row r="362">
      <c r="A362" s="157"/>
    </row>
    <row r="363">
      <c r="A363" s="157"/>
    </row>
    <row r="364">
      <c r="A364" s="157"/>
    </row>
    <row r="365">
      <c r="A365" s="157"/>
    </row>
    <row r="366">
      <c r="A366" s="157"/>
    </row>
    <row r="367">
      <c r="A367" s="157"/>
    </row>
    <row r="368">
      <c r="A368" s="157"/>
    </row>
    <row r="369">
      <c r="A369" s="157"/>
    </row>
    <row r="370">
      <c r="A370" s="157"/>
    </row>
    <row r="371">
      <c r="A371" s="157"/>
    </row>
    <row r="372">
      <c r="A372" s="157"/>
    </row>
    <row r="373">
      <c r="A373" s="157"/>
    </row>
    <row r="374">
      <c r="A374" s="157"/>
    </row>
    <row r="375">
      <c r="A375" s="157"/>
    </row>
    <row r="376">
      <c r="A376" s="157"/>
    </row>
    <row r="377">
      <c r="A377" s="157"/>
    </row>
    <row r="378">
      <c r="A378" s="157"/>
    </row>
    <row r="379">
      <c r="A379" s="157"/>
    </row>
    <row r="380">
      <c r="A380" s="157"/>
    </row>
    <row r="381">
      <c r="A381" s="157"/>
    </row>
    <row r="382">
      <c r="A382" s="157"/>
    </row>
    <row r="383">
      <c r="A383" s="157"/>
    </row>
    <row r="384">
      <c r="A384" s="157"/>
    </row>
    <row r="385">
      <c r="A385" s="157"/>
    </row>
    <row r="386">
      <c r="A386" s="157"/>
    </row>
    <row r="387">
      <c r="A387" s="157"/>
    </row>
    <row r="388">
      <c r="A388" s="157"/>
    </row>
    <row r="389">
      <c r="A389" s="157"/>
    </row>
    <row r="390">
      <c r="A390" s="157"/>
    </row>
    <row r="391">
      <c r="A391" s="157"/>
    </row>
    <row r="392">
      <c r="A392" s="157"/>
    </row>
    <row r="393">
      <c r="A393" s="157"/>
    </row>
    <row r="394">
      <c r="A394" s="157"/>
    </row>
    <row r="395">
      <c r="A395" s="157"/>
    </row>
    <row r="396">
      <c r="A396" s="157"/>
    </row>
    <row r="397">
      <c r="A397" s="157"/>
    </row>
    <row r="398">
      <c r="A398" s="157"/>
    </row>
    <row r="399">
      <c r="A399" s="157"/>
    </row>
    <row r="400">
      <c r="A400" s="157"/>
    </row>
    <row r="401">
      <c r="A401" s="157"/>
    </row>
    <row r="402">
      <c r="A402" s="157"/>
    </row>
    <row r="403">
      <c r="A403" s="157"/>
    </row>
    <row r="404">
      <c r="A404" s="157"/>
    </row>
    <row r="405">
      <c r="A405" s="157"/>
    </row>
    <row r="406">
      <c r="A406" s="157"/>
    </row>
    <row r="407">
      <c r="A407" s="157"/>
    </row>
    <row r="408">
      <c r="A408" s="157"/>
    </row>
    <row r="409">
      <c r="A409" s="157"/>
    </row>
    <row r="410">
      <c r="A410" s="157"/>
    </row>
    <row r="411">
      <c r="A411" s="157"/>
    </row>
    <row r="412">
      <c r="A412" s="157"/>
    </row>
    <row r="413">
      <c r="A413" s="157"/>
    </row>
    <row r="414">
      <c r="A414" s="157"/>
    </row>
    <row r="415">
      <c r="A415" s="157"/>
    </row>
    <row r="416">
      <c r="A416" s="157"/>
    </row>
    <row r="417">
      <c r="A417" s="157"/>
    </row>
    <row r="418">
      <c r="A418" s="157"/>
    </row>
    <row r="419">
      <c r="A419" s="157"/>
    </row>
    <row r="420">
      <c r="A420" s="157"/>
    </row>
    <row r="421">
      <c r="A421" s="157"/>
    </row>
    <row r="422">
      <c r="A422" s="157"/>
    </row>
    <row r="423">
      <c r="A423" s="157"/>
    </row>
    <row r="424">
      <c r="A424" s="157"/>
    </row>
    <row r="425">
      <c r="A425" s="157"/>
    </row>
    <row r="426">
      <c r="A426" s="157"/>
    </row>
    <row r="427">
      <c r="A427" s="157"/>
    </row>
    <row r="428">
      <c r="A428" s="157"/>
    </row>
    <row r="429">
      <c r="A429" s="157"/>
    </row>
    <row r="430">
      <c r="A430" s="157"/>
    </row>
    <row r="431">
      <c r="A431" s="157"/>
    </row>
    <row r="432">
      <c r="A432" s="157"/>
    </row>
    <row r="433">
      <c r="A433" s="157"/>
    </row>
    <row r="434">
      <c r="A434" s="157"/>
    </row>
    <row r="435">
      <c r="A435" s="157"/>
    </row>
    <row r="436">
      <c r="A436" s="157"/>
    </row>
    <row r="437">
      <c r="A437" s="157"/>
    </row>
    <row r="438">
      <c r="A438" s="157"/>
    </row>
    <row r="439">
      <c r="A439" s="157"/>
    </row>
    <row r="440">
      <c r="A440" s="157"/>
    </row>
    <row r="441">
      <c r="A441" s="157"/>
    </row>
    <row r="442">
      <c r="A442" s="157"/>
    </row>
    <row r="443">
      <c r="A443" s="157"/>
    </row>
    <row r="444">
      <c r="A444" s="157"/>
    </row>
    <row r="445">
      <c r="A445" s="157"/>
    </row>
    <row r="446">
      <c r="A446" s="157"/>
    </row>
    <row r="447">
      <c r="A447" s="157"/>
    </row>
    <row r="448">
      <c r="A448" s="157"/>
    </row>
    <row r="449">
      <c r="A449" s="157"/>
    </row>
    <row r="450">
      <c r="A450" s="157"/>
    </row>
    <row r="451">
      <c r="A451" s="157"/>
    </row>
    <row r="452">
      <c r="A452" s="157"/>
    </row>
    <row r="453">
      <c r="A453" s="157"/>
    </row>
    <row r="454">
      <c r="A454" s="157"/>
    </row>
    <row r="455">
      <c r="A455" s="157"/>
    </row>
    <row r="456">
      <c r="A456" s="157"/>
    </row>
    <row r="457">
      <c r="A457" s="157"/>
    </row>
    <row r="458">
      <c r="A458" s="157"/>
    </row>
    <row r="459">
      <c r="A459" s="157"/>
    </row>
    <row r="460">
      <c r="A460" s="157"/>
    </row>
    <row r="461">
      <c r="A461" s="157"/>
    </row>
    <row r="462">
      <c r="A462" s="157"/>
    </row>
    <row r="463">
      <c r="A463" s="157"/>
    </row>
    <row r="464">
      <c r="A464" s="157"/>
    </row>
    <row r="465">
      <c r="A465" s="157"/>
    </row>
    <row r="466">
      <c r="A466" s="157"/>
    </row>
    <row r="467">
      <c r="A467" s="157"/>
    </row>
    <row r="468">
      <c r="A468" s="157"/>
    </row>
    <row r="469">
      <c r="A469" s="157"/>
    </row>
    <row r="470">
      <c r="A470" s="157"/>
    </row>
    <row r="471">
      <c r="A471" s="157"/>
    </row>
    <row r="472">
      <c r="A472" s="157"/>
    </row>
    <row r="473">
      <c r="A473" s="157"/>
    </row>
    <row r="474">
      <c r="A474" s="157"/>
    </row>
    <row r="475">
      <c r="A475" s="157"/>
    </row>
    <row r="476">
      <c r="A476" s="157"/>
    </row>
    <row r="477">
      <c r="A477" s="157"/>
    </row>
    <row r="478">
      <c r="A478" s="157"/>
    </row>
    <row r="479">
      <c r="A479" s="157"/>
    </row>
    <row r="480">
      <c r="A480" s="157"/>
    </row>
    <row r="481">
      <c r="A481" s="157"/>
    </row>
    <row r="482">
      <c r="A482" s="157"/>
    </row>
    <row r="483">
      <c r="A483" s="157"/>
    </row>
    <row r="484">
      <c r="A484" s="157"/>
    </row>
    <row r="485">
      <c r="A485" s="157"/>
    </row>
    <row r="486">
      <c r="A486" s="157"/>
    </row>
    <row r="487">
      <c r="A487" s="157"/>
    </row>
    <row r="488">
      <c r="A488" s="157"/>
    </row>
    <row r="489">
      <c r="A489" s="157"/>
    </row>
    <row r="490">
      <c r="A490" s="157"/>
    </row>
    <row r="491">
      <c r="A491" s="157"/>
    </row>
    <row r="492">
      <c r="A492" s="157"/>
    </row>
    <row r="493">
      <c r="A493" s="157"/>
    </row>
    <row r="494">
      <c r="A494" s="157"/>
    </row>
    <row r="495">
      <c r="A495" s="157"/>
    </row>
    <row r="496">
      <c r="A496" s="157"/>
    </row>
    <row r="497">
      <c r="A497" s="157"/>
    </row>
    <row r="498">
      <c r="A498" s="157"/>
    </row>
    <row r="499">
      <c r="A499" s="157"/>
    </row>
    <row r="500">
      <c r="A500" s="157"/>
    </row>
    <row r="501">
      <c r="A501" s="157"/>
    </row>
    <row r="502">
      <c r="A502" s="157"/>
    </row>
    <row r="503">
      <c r="A503" s="157"/>
    </row>
    <row r="504">
      <c r="A504" s="157"/>
    </row>
    <row r="505">
      <c r="A505" s="157"/>
    </row>
    <row r="506">
      <c r="A506" s="157"/>
    </row>
    <row r="507">
      <c r="A507" s="157"/>
    </row>
    <row r="508">
      <c r="A508" s="157"/>
    </row>
    <row r="509">
      <c r="A509" s="157"/>
    </row>
    <row r="510">
      <c r="A510" s="157"/>
    </row>
    <row r="511">
      <c r="A511" s="157"/>
    </row>
    <row r="512">
      <c r="A512" s="157"/>
    </row>
    <row r="513">
      <c r="A513" s="157"/>
    </row>
    <row r="514">
      <c r="A514" s="157"/>
    </row>
    <row r="515">
      <c r="A515" s="157"/>
    </row>
    <row r="516">
      <c r="A516" s="157"/>
    </row>
    <row r="517">
      <c r="A517" s="157"/>
    </row>
    <row r="518">
      <c r="A518" s="157"/>
    </row>
    <row r="519">
      <c r="A519" s="157"/>
    </row>
    <row r="520">
      <c r="A520" s="157"/>
    </row>
    <row r="521">
      <c r="A521" s="157"/>
    </row>
    <row r="522">
      <c r="A522" s="157"/>
    </row>
    <row r="523">
      <c r="A523" s="157"/>
    </row>
    <row r="524">
      <c r="A524" s="157"/>
    </row>
    <row r="525">
      <c r="A525" s="157"/>
    </row>
    <row r="526">
      <c r="A526" s="157"/>
    </row>
    <row r="527">
      <c r="A527" s="157"/>
    </row>
    <row r="528">
      <c r="A528" s="157"/>
    </row>
    <row r="529">
      <c r="A529" s="157"/>
    </row>
    <row r="530">
      <c r="A530" s="157"/>
    </row>
    <row r="531">
      <c r="A531" s="157"/>
    </row>
    <row r="532">
      <c r="A532" s="157"/>
    </row>
    <row r="533">
      <c r="A533" s="157"/>
    </row>
    <row r="534">
      <c r="A534" s="157"/>
    </row>
    <row r="535">
      <c r="A535" s="157"/>
    </row>
    <row r="536">
      <c r="A536" s="157"/>
    </row>
    <row r="537">
      <c r="A537" s="157"/>
    </row>
    <row r="538">
      <c r="A538" s="157"/>
    </row>
    <row r="539">
      <c r="A539" s="157"/>
    </row>
    <row r="540">
      <c r="A540" s="157"/>
    </row>
    <row r="541">
      <c r="A541" s="157"/>
    </row>
    <row r="542">
      <c r="A542" s="157"/>
    </row>
    <row r="543">
      <c r="A543" s="157"/>
    </row>
    <row r="544">
      <c r="A544" s="157"/>
    </row>
    <row r="545">
      <c r="A545" s="157"/>
    </row>
    <row r="546">
      <c r="A546" s="157"/>
    </row>
    <row r="547">
      <c r="A547" s="157"/>
    </row>
    <row r="548">
      <c r="A548" s="157"/>
    </row>
    <row r="549">
      <c r="A549" s="157"/>
    </row>
    <row r="550">
      <c r="A550" s="157"/>
    </row>
    <row r="551">
      <c r="A551" s="157"/>
    </row>
    <row r="552">
      <c r="A552" s="157"/>
    </row>
    <row r="553">
      <c r="A553" s="157"/>
    </row>
    <row r="554">
      <c r="A554" s="157"/>
    </row>
    <row r="555">
      <c r="A555" s="157"/>
    </row>
    <row r="556">
      <c r="A556" s="157"/>
    </row>
    <row r="557">
      <c r="A557" s="157"/>
    </row>
    <row r="558">
      <c r="A558" s="157"/>
    </row>
    <row r="559">
      <c r="A559" s="157"/>
    </row>
    <row r="560">
      <c r="A560" s="157"/>
    </row>
    <row r="561">
      <c r="A561" s="157"/>
    </row>
    <row r="562">
      <c r="A562" s="157"/>
    </row>
    <row r="563">
      <c r="A563" s="157"/>
    </row>
    <row r="564">
      <c r="A564" s="157"/>
    </row>
    <row r="565">
      <c r="A565" s="157"/>
    </row>
    <row r="566">
      <c r="A566" s="157"/>
    </row>
    <row r="567">
      <c r="A567" s="157"/>
    </row>
    <row r="568">
      <c r="A568" s="157"/>
    </row>
    <row r="569">
      <c r="A569" s="157"/>
    </row>
    <row r="570">
      <c r="A570" s="157"/>
    </row>
    <row r="571">
      <c r="A571" s="157"/>
    </row>
    <row r="572">
      <c r="A572" s="157"/>
    </row>
    <row r="573">
      <c r="A573" s="157"/>
    </row>
    <row r="574">
      <c r="A574" s="157"/>
    </row>
    <row r="575">
      <c r="A575" s="157"/>
    </row>
    <row r="576">
      <c r="A576" s="157"/>
    </row>
    <row r="577">
      <c r="A577" s="157"/>
    </row>
    <row r="578">
      <c r="A578" s="157"/>
    </row>
    <row r="579">
      <c r="A579" s="157"/>
    </row>
    <row r="580">
      <c r="A580" s="157"/>
    </row>
    <row r="581">
      <c r="A581" s="157"/>
    </row>
    <row r="582">
      <c r="A582" s="157"/>
    </row>
    <row r="583">
      <c r="A583" s="157"/>
    </row>
    <row r="584">
      <c r="A584" s="157"/>
    </row>
    <row r="585">
      <c r="A585" s="157"/>
    </row>
    <row r="586">
      <c r="A586" s="157"/>
    </row>
    <row r="587">
      <c r="A587" s="157"/>
    </row>
    <row r="588">
      <c r="A588" s="157"/>
    </row>
    <row r="589">
      <c r="A589" s="157"/>
    </row>
    <row r="590">
      <c r="A590" s="157"/>
    </row>
    <row r="591">
      <c r="A591" s="157"/>
    </row>
    <row r="592">
      <c r="A592" s="157"/>
    </row>
    <row r="593">
      <c r="A593" s="157"/>
    </row>
    <row r="594">
      <c r="A594" s="157"/>
    </row>
    <row r="595">
      <c r="A595" s="157"/>
    </row>
    <row r="596">
      <c r="A596" s="157"/>
    </row>
    <row r="597">
      <c r="A597" s="157"/>
    </row>
    <row r="598">
      <c r="A598" s="157"/>
    </row>
    <row r="599">
      <c r="A599" s="157"/>
    </row>
    <row r="600">
      <c r="A600" s="157"/>
    </row>
    <row r="601">
      <c r="A601" s="157"/>
    </row>
    <row r="602">
      <c r="A602" s="157"/>
    </row>
    <row r="603">
      <c r="A603" s="157"/>
    </row>
    <row r="604">
      <c r="A604" s="157"/>
    </row>
    <row r="605">
      <c r="A605" s="157"/>
    </row>
    <row r="606">
      <c r="A606" s="157"/>
    </row>
    <row r="607">
      <c r="A607" s="157"/>
    </row>
    <row r="608">
      <c r="A608" s="157"/>
    </row>
    <row r="609">
      <c r="A609" s="157"/>
    </row>
    <row r="610">
      <c r="A610" s="157"/>
    </row>
    <row r="611">
      <c r="A611" s="157"/>
    </row>
    <row r="612">
      <c r="A612" s="157"/>
    </row>
    <row r="613">
      <c r="A613" s="157"/>
    </row>
    <row r="614">
      <c r="A614" s="157"/>
    </row>
    <row r="615">
      <c r="A615" s="157"/>
    </row>
    <row r="616">
      <c r="A616" s="157"/>
    </row>
    <row r="617">
      <c r="A617" s="157"/>
    </row>
    <row r="618">
      <c r="A618" s="157"/>
    </row>
    <row r="619">
      <c r="A619" s="157"/>
    </row>
    <row r="620">
      <c r="A620" s="157"/>
    </row>
    <row r="621">
      <c r="A621" s="157"/>
    </row>
    <row r="622">
      <c r="A622" s="157"/>
    </row>
    <row r="623">
      <c r="A623" s="157"/>
    </row>
    <row r="624">
      <c r="A624" s="157"/>
    </row>
    <row r="625">
      <c r="A625" s="157"/>
    </row>
    <row r="626">
      <c r="A626" s="157"/>
    </row>
    <row r="627">
      <c r="A627" s="157"/>
    </row>
    <row r="628">
      <c r="A628" s="157"/>
    </row>
    <row r="629">
      <c r="A629" s="157"/>
    </row>
    <row r="630">
      <c r="A630" s="157"/>
    </row>
    <row r="631">
      <c r="A631" s="157"/>
    </row>
    <row r="632">
      <c r="A632" s="157"/>
    </row>
    <row r="633">
      <c r="A633" s="157"/>
    </row>
    <row r="634">
      <c r="A634" s="157"/>
    </row>
    <row r="635">
      <c r="A635" s="157"/>
    </row>
    <row r="636">
      <c r="A636" s="157"/>
    </row>
    <row r="637">
      <c r="A637" s="157"/>
    </row>
    <row r="638">
      <c r="A638" s="157"/>
    </row>
    <row r="639">
      <c r="A639" s="157"/>
    </row>
    <row r="640">
      <c r="A640" s="157"/>
    </row>
    <row r="641">
      <c r="A641" s="157"/>
    </row>
    <row r="642">
      <c r="A642" s="157"/>
    </row>
    <row r="643">
      <c r="A643" s="157"/>
    </row>
    <row r="644">
      <c r="A644" s="157"/>
    </row>
    <row r="645">
      <c r="A645" s="157"/>
    </row>
    <row r="646">
      <c r="A646" s="157"/>
    </row>
    <row r="647">
      <c r="A647" s="157"/>
    </row>
    <row r="648">
      <c r="A648" s="157"/>
    </row>
    <row r="649">
      <c r="A649" s="157"/>
    </row>
    <row r="650">
      <c r="A650" s="157"/>
    </row>
    <row r="651">
      <c r="A651" s="157"/>
    </row>
    <row r="652">
      <c r="A652" s="157"/>
    </row>
    <row r="653">
      <c r="A653" s="157"/>
    </row>
    <row r="654">
      <c r="A654" s="157"/>
    </row>
    <row r="655">
      <c r="A655" s="157"/>
    </row>
    <row r="656">
      <c r="A656" s="157"/>
    </row>
    <row r="657">
      <c r="A657" s="157"/>
    </row>
    <row r="658">
      <c r="A658" s="157"/>
    </row>
    <row r="659">
      <c r="A659" s="157"/>
    </row>
    <row r="660">
      <c r="A660" s="157"/>
    </row>
    <row r="661">
      <c r="A661" s="157"/>
    </row>
    <row r="662">
      <c r="A662" s="157"/>
    </row>
    <row r="663">
      <c r="A663" s="157"/>
    </row>
    <row r="664">
      <c r="A664" s="157"/>
    </row>
    <row r="665">
      <c r="A665" s="157"/>
    </row>
    <row r="666">
      <c r="A666" s="157"/>
    </row>
    <row r="667">
      <c r="A667" s="157"/>
    </row>
    <row r="668">
      <c r="A668" s="157"/>
    </row>
    <row r="669">
      <c r="A669" s="157"/>
    </row>
    <row r="670">
      <c r="A670" s="157"/>
    </row>
    <row r="671">
      <c r="A671" s="157"/>
    </row>
    <row r="672">
      <c r="A672" s="157"/>
    </row>
    <row r="673">
      <c r="A673" s="157"/>
    </row>
    <row r="674">
      <c r="A674" s="157"/>
    </row>
    <row r="675">
      <c r="A675" s="157"/>
    </row>
    <row r="676">
      <c r="A676" s="157"/>
    </row>
    <row r="677">
      <c r="A677" s="157"/>
    </row>
    <row r="678">
      <c r="A678" s="157"/>
    </row>
    <row r="679">
      <c r="A679" s="157"/>
    </row>
    <row r="680">
      <c r="A680" s="157"/>
    </row>
    <row r="681">
      <c r="A681" s="157"/>
    </row>
    <row r="682">
      <c r="A682" s="157"/>
    </row>
    <row r="683">
      <c r="A683" s="157"/>
    </row>
    <row r="684">
      <c r="A684" s="157"/>
    </row>
    <row r="685">
      <c r="A685" s="157"/>
    </row>
    <row r="686">
      <c r="A686" s="157"/>
    </row>
    <row r="687">
      <c r="A687" s="157"/>
    </row>
    <row r="688">
      <c r="A688" s="157"/>
    </row>
    <row r="689">
      <c r="A689" s="157"/>
    </row>
    <row r="690">
      <c r="A690" s="157"/>
    </row>
    <row r="691">
      <c r="A691" s="157"/>
    </row>
    <row r="692">
      <c r="A692" s="157"/>
    </row>
    <row r="693">
      <c r="A693" s="157"/>
    </row>
    <row r="694">
      <c r="A694" s="157"/>
    </row>
    <row r="695">
      <c r="A695" s="157"/>
    </row>
    <row r="696">
      <c r="A696" s="157"/>
    </row>
    <row r="697">
      <c r="A697" s="157"/>
    </row>
    <row r="698">
      <c r="A698" s="157"/>
    </row>
    <row r="699">
      <c r="A699" s="157"/>
    </row>
    <row r="700">
      <c r="A700" s="157"/>
    </row>
    <row r="701">
      <c r="A701" s="157"/>
    </row>
    <row r="702">
      <c r="A702" s="157"/>
    </row>
    <row r="703">
      <c r="A703" s="157"/>
    </row>
    <row r="704">
      <c r="A704" s="157"/>
    </row>
    <row r="705">
      <c r="A705" s="157"/>
    </row>
    <row r="706">
      <c r="A706" s="157"/>
    </row>
    <row r="707">
      <c r="A707" s="157"/>
    </row>
    <row r="708">
      <c r="A708" s="157"/>
    </row>
    <row r="709">
      <c r="A709" s="157"/>
    </row>
    <row r="710">
      <c r="A710" s="157"/>
    </row>
    <row r="711">
      <c r="A711" s="157"/>
    </row>
    <row r="712">
      <c r="A712" s="157"/>
    </row>
    <row r="713">
      <c r="A713" s="157"/>
    </row>
    <row r="714">
      <c r="A714" s="157"/>
    </row>
    <row r="715">
      <c r="A715" s="157"/>
    </row>
    <row r="716">
      <c r="A716" s="157"/>
    </row>
    <row r="717">
      <c r="A717" s="157"/>
    </row>
    <row r="718">
      <c r="A718" s="157"/>
    </row>
    <row r="719">
      <c r="A719" s="157"/>
    </row>
    <row r="720">
      <c r="A720" s="157"/>
    </row>
    <row r="721">
      <c r="A721" s="157"/>
    </row>
    <row r="722">
      <c r="A722" s="157"/>
    </row>
    <row r="723">
      <c r="A723" s="157"/>
    </row>
    <row r="724">
      <c r="A724" s="157"/>
    </row>
    <row r="725">
      <c r="A725" s="157"/>
    </row>
    <row r="726">
      <c r="A726" s="157"/>
    </row>
    <row r="727">
      <c r="A727" s="157"/>
    </row>
    <row r="728">
      <c r="A728" s="157"/>
    </row>
    <row r="729">
      <c r="A729" s="157"/>
    </row>
    <row r="730">
      <c r="A730" s="157"/>
    </row>
    <row r="731">
      <c r="A731" s="157"/>
    </row>
    <row r="732">
      <c r="A732" s="157"/>
    </row>
    <row r="733">
      <c r="A733" s="157"/>
    </row>
    <row r="734">
      <c r="A734" s="157"/>
    </row>
    <row r="735">
      <c r="A735" s="157"/>
    </row>
    <row r="736">
      <c r="A736" s="157"/>
    </row>
    <row r="737">
      <c r="A737" s="157"/>
    </row>
    <row r="738">
      <c r="A738" s="157"/>
    </row>
    <row r="739">
      <c r="A739" s="157"/>
    </row>
    <row r="740">
      <c r="A740" s="157"/>
    </row>
    <row r="741">
      <c r="A741" s="157"/>
    </row>
    <row r="742">
      <c r="A742" s="157"/>
    </row>
    <row r="743">
      <c r="A743" s="157"/>
    </row>
    <row r="744">
      <c r="A744" s="157"/>
    </row>
    <row r="745">
      <c r="A745" s="157"/>
    </row>
    <row r="746">
      <c r="A746" s="157"/>
    </row>
    <row r="747">
      <c r="A747" s="157"/>
    </row>
    <row r="748">
      <c r="A748" s="157"/>
    </row>
    <row r="749">
      <c r="A749" s="157"/>
    </row>
    <row r="750">
      <c r="A750" s="157"/>
    </row>
    <row r="751">
      <c r="A751" s="157"/>
    </row>
    <row r="752">
      <c r="A752" s="157"/>
    </row>
    <row r="753">
      <c r="A753" s="157"/>
    </row>
    <row r="754">
      <c r="A754" s="157"/>
    </row>
    <row r="755">
      <c r="A755" s="157"/>
    </row>
    <row r="756">
      <c r="A756" s="157"/>
    </row>
    <row r="757">
      <c r="A757" s="157"/>
    </row>
    <row r="758">
      <c r="A758" s="157"/>
    </row>
    <row r="759">
      <c r="A759" s="157"/>
    </row>
    <row r="760">
      <c r="A760" s="157"/>
    </row>
    <row r="761">
      <c r="A761" s="157"/>
    </row>
    <row r="762">
      <c r="A762" s="157"/>
    </row>
    <row r="763">
      <c r="A763" s="157"/>
    </row>
    <row r="764">
      <c r="A764" s="157"/>
    </row>
    <row r="765">
      <c r="A765" s="157"/>
    </row>
    <row r="766">
      <c r="A766" s="157"/>
    </row>
    <row r="767">
      <c r="A767" s="157"/>
    </row>
    <row r="768">
      <c r="A768" s="157"/>
    </row>
    <row r="769">
      <c r="A769" s="157"/>
    </row>
    <row r="770">
      <c r="A770" s="157"/>
    </row>
    <row r="771">
      <c r="A771" s="157"/>
    </row>
    <row r="772">
      <c r="A772" s="157"/>
    </row>
    <row r="773">
      <c r="A773" s="157"/>
    </row>
    <row r="774">
      <c r="A774" s="157"/>
    </row>
    <row r="775">
      <c r="A775" s="157"/>
    </row>
    <row r="776">
      <c r="A776" s="157"/>
    </row>
    <row r="777">
      <c r="A777" s="157"/>
    </row>
    <row r="778">
      <c r="A778" s="157"/>
    </row>
    <row r="779">
      <c r="A779" s="157"/>
    </row>
    <row r="780">
      <c r="A780" s="157"/>
    </row>
    <row r="781">
      <c r="A781" s="157"/>
    </row>
    <row r="782">
      <c r="A782" s="157"/>
    </row>
    <row r="783">
      <c r="A783" s="157"/>
    </row>
    <row r="784">
      <c r="A784" s="157"/>
    </row>
    <row r="785">
      <c r="A785" s="157"/>
    </row>
    <row r="786">
      <c r="A786" s="157"/>
    </row>
    <row r="787">
      <c r="A787" s="157"/>
    </row>
    <row r="788">
      <c r="A788" s="157"/>
    </row>
    <row r="789">
      <c r="A789" s="157"/>
    </row>
    <row r="790">
      <c r="A790" s="157"/>
    </row>
    <row r="791">
      <c r="A791" s="157"/>
    </row>
    <row r="792">
      <c r="A792" s="157"/>
    </row>
    <row r="793">
      <c r="A793" s="157"/>
    </row>
    <row r="794">
      <c r="A794" s="157"/>
    </row>
    <row r="795">
      <c r="A795" s="157"/>
    </row>
    <row r="796">
      <c r="A796" s="157"/>
    </row>
    <row r="797">
      <c r="A797" s="157"/>
    </row>
    <row r="798">
      <c r="A798" s="157"/>
    </row>
    <row r="799">
      <c r="A799" s="157"/>
    </row>
    <row r="800">
      <c r="A800" s="157"/>
    </row>
    <row r="801">
      <c r="A801" s="157"/>
    </row>
    <row r="802">
      <c r="A802" s="157"/>
    </row>
    <row r="803">
      <c r="A803" s="157"/>
    </row>
    <row r="804">
      <c r="A804" s="157"/>
    </row>
    <row r="805">
      <c r="A805" s="157"/>
    </row>
    <row r="806">
      <c r="A806" s="157"/>
    </row>
    <row r="807">
      <c r="A807" s="157"/>
    </row>
    <row r="808">
      <c r="A808" s="157"/>
    </row>
    <row r="809">
      <c r="A809" s="157"/>
    </row>
    <row r="810">
      <c r="A810" s="157"/>
    </row>
    <row r="811">
      <c r="A811" s="157"/>
    </row>
    <row r="812">
      <c r="A812" s="157"/>
    </row>
    <row r="813">
      <c r="A813" s="157"/>
    </row>
    <row r="814">
      <c r="A814" s="157"/>
    </row>
    <row r="815">
      <c r="A815" s="157"/>
    </row>
    <row r="816">
      <c r="A816" s="157"/>
    </row>
    <row r="817">
      <c r="A817" s="157"/>
    </row>
    <row r="818">
      <c r="A818" s="157"/>
    </row>
    <row r="819">
      <c r="A819" s="157"/>
    </row>
    <row r="820">
      <c r="A820" s="157"/>
    </row>
    <row r="821">
      <c r="A821" s="157"/>
    </row>
    <row r="822">
      <c r="A822" s="157"/>
    </row>
    <row r="823">
      <c r="A823" s="157"/>
    </row>
    <row r="824">
      <c r="A824" s="157"/>
    </row>
    <row r="825">
      <c r="A825" s="157"/>
    </row>
    <row r="826">
      <c r="A826" s="157"/>
    </row>
    <row r="827">
      <c r="A827" s="157"/>
    </row>
    <row r="828">
      <c r="A828" s="157"/>
    </row>
    <row r="829">
      <c r="A829" s="157"/>
    </row>
    <row r="830">
      <c r="A830" s="157"/>
    </row>
    <row r="831">
      <c r="A831" s="157"/>
    </row>
    <row r="832">
      <c r="A832" s="157"/>
    </row>
    <row r="833">
      <c r="A833" s="157"/>
    </row>
    <row r="834">
      <c r="A834" s="157"/>
    </row>
    <row r="835">
      <c r="A835" s="157"/>
    </row>
    <row r="836">
      <c r="A836" s="157"/>
    </row>
    <row r="837">
      <c r="A837" s="157"/>
    </row>
    <row r="838">
      <c r="A838" s="157"/>
    </row>
    <row r="839">
      <c r="A839" s="157"/>
    </row>
    <row r="840">
      <c r="A840" s="157"/>
    </row>
    <row r="841">
      <c r="A841" s="157"/>
    </row>
    <row r="842">
      <c r="A842" s="157"/>
    </row>
    <row r="843">
      <c r="A843" s="157"/>
    </row>
    <row r="844">
      <c r="A844" s="157"/>
    </row>
    <row r="845">
      <c r="A845" s="157"/>
    </row>
    <row r="846">
      <c r="A846" s="157"/>
    </row>
    <row r="847">
      <c r="A847" s="157"/>
    </row>
    <row r="848">
      <c r="A848" s="157"/>
    </row>
    <row r="849">
      <c r="A849" s="157"/>
    </row>
    <row r="850">
      <c r="A850" s="157"/>
    </row>
    <row r="851">
      <c r="A851" s="157"/>
    </row>
    <row r="852">
      <c r="A852" s="157"/>
    </row>
    <row r="853">
      <c r="A853" s="157"/>
    </row>
    <row r="854">
      <c r="A854" s="157"/>
    </row>
    <row r="855">
      <c r="A855" s="157"/>
    </row>
    <row r="856">
      <c r="A856" s="157"/>
    </row>
    <row r="857">
      <c r="A857" s="157"/>
    </row>
    <row r="858">
      <c r="A858" s="157"/>
    </row>
    <row r="859">
      <c r="A859" s="157"/>
    </row>
    <row r="860">
      <c r="A860" s="157"/>
    </row>
    <row r="861">
      <c r="A861" s="157"/>
    </row>
    <row r="862">
      <c r="A862" s="157"/>
    </row>
    <row r="863">
      <c r="A863" s="157"/>
    </row>
    <row r="864">
      <c r="A864" s="157"/>
    </row>
    <row r="865">
      <c r="A865" s="157"/>
    </row>
    <row r="866">
      <c r="A866" s="157"/>
    </row>
    <row r="867">
      <c r="A867" s="157"/>
    </row>
    <row r="868">
      <c r="A868" s="157"/>
    </row>
    <row r="869">
      <c r="A869" s="157"/>
    </row>
    <row r="870">
      <c r="A870" s="157"/>
    </row>
    <row r="871">
      <c r="A871" s="157"/>
    </row>
    <row r="872">
      <c r="A872" s="157"/>
    </row>
    <row r="873">
      <c r="A873" s="157"/>
    </row>
    <row r="874">
      <c r="A874" s="157"/>
    </row>
    <row r="875">
      <c r="A875" s="157"/>
    </row>
    <row r="876">
      <c r="A876" s="157"/>
    </row>
    <row r="877">
      <c r="A877" s="157"/>
    </row>
    <row r="878">
      <c r="A878" s="157"/>
    </row>
    <row r="879">
      <c r="A879" s="157"/>
    </row>
    <row r="880">
      <c r="A880" s="157"/>
    </row>
    <row r="881">
      <c r="A881" s="157"/>
    </row>
    <row r="882">
      <c r="A882" s="157"/>
    </row>
    <row r="883">
      <c r="A883" s="157"/>
    </row>
    <row r="884">
      <c r="A884" s="157"/>
    </row>
    <row r="885">
      <c r="A885" s="157"/>
    </row>
    <row r="886">
      <c r="A886" s="157"/>
    </row>
    <row r="887">
      <c r="A887" s="157"/>
    </row>
    <row r="888">
      <c r="A888" s="157"/>
    </row>
    <row r="889">
      <c r="A889" s="157"/>
    </row>
    <row r="890">
      <c r="A890" s="157"/>
    </row>
    <row r="891">
      <c r="A891" s="157"/>
    </row>
    <row r="892">
      <c r="A892" s="157"/>
    </row>
    <row r="893">
      <c r="A893" s="157"/>
    </row>
    <row r="894">
      <c r="A894" s="157"/>
    </row>
    <row r="895">
      <c r="A895" s="157"/>
    </row>
    <row r="896">
      <c r="A896" s="157"/>
    </row>
    <row r="897">
      <c r="A897" s="157"/>
    </row>
    <row r="898">
      <c r="A898" s="157"/>
    </row>
    <row r="899">
      <c r="A899" s="157"/>
    </row>
    <row r="900">
      <c r="A900" s="157"/>
    </row>
    <row r="901">
      <c r="A901" s="157"/>
    </row>
    <row r="902">
      <c r="A902" s="157"/>
    </row>
    <row r="903">
      <c r="A903" s="157"/>
    </row>
    <row r="904">
      <c r="A904" s="157"/>
    </row>
    <row r="905">
      <c r="A905" s="157"/>
    </row>
    <row r="906">
      <c r="A906" s="157"/>
    </row>
    <row r="907">
      <c r="A907" s="157"/>
    </row>
    <row r="908">
      <c r="A908" s="157"/>
    </row>
    <row r="909">
      <c r="A909" s="157"/>
    </row>
    <row r="910">
      <c r="A910" s="157"/>
    </row>
    <row r="911">
      <c r="A911" s="157"/>
    </row>
    <row r="912">
      <c r="A912" s="157"/>
    </row>
    <row r="913">
      <c r="A913" s="157"/>
    </row>
    <row r="914">
      <c r="A914" s="157"/>
    </row>
    <row r="915">
      <c r="A915" s="157"/>
    </row>
    <row r="916">
      <c r="A916" s="157"/>
    </row>
    <row r="917">
      <c r="A917" s="157"/>
    </row>
    <row r="918">
      <c r="A918" s="157"/>
    </row>
    <row r="919">
      <c r="A919" s="157"/>
    </row>
    <row r="920">
      <c r="A920" s="157"/>
    </row>
    <row r="921">
      <c r="A921" s="157"/>
    </row>
    <row r="922">
      <c r="A922" s="157"/>
    </row>
    <row r="923">
      <c r="A923" s="157"/>
    </row>
    <row r="924">
      <c r="A924" s="157"/>
    </row>
    <row r="925">
      <c r="A925" s="157"/>
    </row>
    <row r="926">
      <c r="A926" s="157"/>
    </row>
    <row r="927">
      <c r="A927" s="157"/>
    </row>
    <row r="928">
      <c r="A928" s="157"/>
    </row>
    <row r="929">
      <c r="A929" s="157"/>
    </row>
    <row r="930">
      <c r="A930" s="157"/>
    </row>
    <row r="931">
      <c r="A931" s="157"/>
    </row>
    <row r="932">
      <c r="A932" s="157"/>
    </row>
    <row r="933">
      <c r="A933" s="157"/>
    </row>
    <row r="934">
      <c r="A934" s="157"/>
    </row>
    <row r="935">
      <c r="A935" s="157"/>
    </row>
    <row r="936">
      <c r="A936" s="157"/>
    </row>
    <row r="937">
      <c r="A937" s="157"/>
    </row>
    <row r="938">
      <c r="A938" s="157"/>
    </row>
    <row r="939">
      <c r="A939" s="157"/>
    </row>
    <row r="940">
      <c r="A940" s="157"/>
    </row>
    <row r="941">
      <c r="A941" s="157"/>
    </row>
    <row r="942">
      <c r="A942" s="157"/>
    </row>
    <row r="943">
      <c r="A943" s="157"/>
    </row>
    <row r="944">
      <c r="A944" s="157"/>
    </row>
    <row r="945">
      <c r="A945" s="157"/>
    </row>
    <row r="946">
      <c r="A946" s="157"/>
    </row>
    <row r="947">
      <c r="A947" s="157"/>
    </row>
    <row r="948">
      <c r="A948" s="157"/>
    </row>
    <row r="949">
      <c r="A949" s="157"/>
    </row>
    <row r="950">
      <c r="A950" s="157"/>
    </row>
    <row r="951">
      <c r="A951" s="157"/>
    </row>
    <row r="952">
      <c r="A952" s="157"/>
    </row>
    <row r="953">
      <c r="A953" s="157"/>
    </row>
    <row r="954">
      <c r="A954" s="157"/>
    </row>
    <row r="955">
      <c r="A955" s="157"/>
    </row>
    <row r="956">
      <c r="A956" s="157"/>
    </row>
    <row r="957">
      <c r="A957" s="157"/>
    </row>
    <row r="958">
      <c r="A958" s="157"/>
    </row>
    <row r="959">
      <c r="A959" s="157"/>
    </row>
    <row r="960">
      <c r="A960" s="157"/>
    </row>
    <row r="961">
      <c r="A961" s="157"/>
    </row>
    <row r="962">
      <c r="A962" s="157"/>
    </row>
    <row r="963">
      <c r="A963" s="157"/>
    </row>
    <row r="964">
      <c r="A964" s="157"/>
    </row>
    <row r="965">
      <c r="A965" s="157"/>
    </row>
    <row r="966">
      <c r="A966" s="157"/>
    </row>
    <row r="967">
      <c r="A967" s="157"/>
    </row>
    <row r="968">
      <c r="A968" s="157"/>
    </row>
    <row r="969">
      <c r="A969" s="157"/>
    </row>
    <row r="970">
      <c r="A970" s="157"/>
    </row>
    <row r="971">
      <c r="A971" s="157"/>
    </row>
    <row r="972">
      <c r="A972" s="157"/>
    </row>
    <row r="973">
      <c r="A973" s="157"/>
    </row>
    <row r="974">
      <c r="A974" s="157"/>
    </row>
    <row r="975">
      <c r="A975" s="157"/>
    </row>
    <row r="976">
      <c r="A976" s="157"/>
    </row>
    <row r="977">
      <c r="A977" s="157"/>
    </row>
    <row r="978">
      <c r="A978" s="157"/>
    </row>
    <row r="979">
      <c r="A979" s="157"/>
    </row>
    <row r="980">
      <c r="A980" s="157"/>
    </row>
    <row r="981">
      <c r="A981" s="157"/>
    </row>
    <row r="982">
      <c r="A982" s="157"/>
    </row>
    <row r="983">
      <c r="A983" s="157"/>
    </row>
    <row r="984">
      <c r="A984" s="157"/>
    </row>
    <row r="985">
      <c r="A985" s="157"/>
    </row>
    <row r="986">
      <c r="A986" s="157"/>
    </row>
    <row r="987">
      <c r="A987" s="157"/>
    </row>
    <row r="988">
      <c r="A988" s="157"/>
    </row>
    <row r="989">
      <c r="A989" s="157"/>
    </row>
    <row r="990">
      <c r="A990" s="157"/>
    </row>
    <row r="991">
      <c r="A991" s="157"/>
    </row>
    <row r="992">
      <c r="A992" s="157"/>
    </row>
    <row r="993">
      <c r="A993" s="157"/>
    </row>
    <row r="994">
      <c r="A994" s="157"/>
    </row>
    <row r="995">
      <c r="A995" s="157"/>
    </row>
    <row r="996">
      <c r="A996" s="157"/>
    </row>
    <row r="997">
      <c r="A997" s="157"/>
    </row>
    <row r="998">
      <c r="A998" s="157"/>
    </row>
    <row r="999">
      <c r="A999" s="157"/>
    </row>
    <row r="1000">
      <c r="A1000" s="157"/>
    </row>
  </sheetData>
  <mergeCells count="1">
    <mergeCell ref="B2:E2"/>
  </mergeCells>
  <hyperlinks>
    <hyperlink r:id="rId2" ref="G47"/>
  </hyperlinks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 outlineLevelCol="1"/>
  <cols>
    <col customWidth="1" min="1" max="1" width="11.38"/>
    <col customWidth="1" min="2" max="3" width="15.13"/>
    <col customWidth="1" min="4" max="4" width="15.38"/>
    <col customWidth="1" min="5" max="5" width="9.88"/>
    <col customWidth="1" min="6" max="7" width="15.13"/>
    <col customWidth="1" min="8" max="8" width="9.88"/>
    <col customWidth="1" min="9" max="10" width="15.13"/>
    <col customWidth="1" min="11" max="11" width="9.88"/>
    <col customWidth="1" min="12" max="17" width="15.13"/>
    <col customWidth="1" min="18" max="18" width="11.5"/>
    <col customWidth="1" min="19" max="19" width="7.63"/>
    <col customWidth="1" min="20" max="20" width="15.13" outlineLevel="1"/>
    <col customWidth="1" min="21" max="22" width="14.38" outlineLevel="1"/>
    <col customWidth="1" min="23" max="26" width="11.88" outlineLevel="1"/>
    <col customWidth="1" min="27" max="27" width="7.63"/>
    <col customWidth="1" min="28" max="28" width="15.13"/>
    <col customWidth="1" min="29" max="29" width="16.63"/>
    <col customWidth="1" min="30" max="34" width="15.13"/>
    <col customWidth="1" min="35" max="35" width="16.63"/>
    <col customWidth="1" min="36" max="38" width="15.13"/>
    <col customWidth="1" min="39" max="40" width="14.38"/>
    <col customWidth="1" min="41" max="41" width="16.63"/>
    <col customWidth="1" min="42" max="46" width="14.38"/>
    <col customWidth="1" min="47" max="47" width="16.63"/>
    <col customWidth="1" min="48" max="51" width="14.38"/>
  </cols>
  <sheetData>
    <row r="1" ht="17.25" customHeight="1">
      <c r="A1" s="162"/>
      <c r="B1" s="162"/>
      <c r="C1" s="162"/>
      <c r="D1" s="162"/>
      <c r="E1" s="162"/>
      <c r="F1" s="162"/>
      <c r="G1" s="162"/>
      <c r="H1" s="162"/>
      <c r="I1" s="162"/>
      <c r="J1" s="163"/>
      <c r="K1" s="162"/>
      <c r="L1" s="164"/>
      <c r="M1" s="164"/>
      <c r="N1" s="164"/>
      <c r="O1" s="164"/>
      <c r="P1" s="164"/>
      <c r="Q1" s="164"/>
      <c r="R1" s="163"/>
      <c r="S1" s="163"/>
      <c r="T1" s="163"/>
      <c r="U1" s="163"/>
      <c r="V1" s="165"/>
      <c r="W1" s="165"/>
      <c r="X1" s="162"/>
      <c r="Y1" s="166"/>
      <c r="Z1" s="166"/>
      <c r="AA1" s="165"/>
      <c r="AB1" s="165"/>
      <c r="AC1" s="165"/>
      <c r="AD1" s="165"/>
      <c r="AE1" s="165"/>
      <c r="AF1" s="167"/>
      <c r="AG1" s="167"/>
      <c r="AH1" s="167"/>
      <c r="AI1" s="167"/>
      <c r="AJ1" s="167"/>
      <c r="AK1" s="167"/>
      <c r="AL1" s="167"/>
      <c r="AM1" s="167"/>
      <c r="AN1" s="167"/>
      <c r="AO1" s="167"/>
      <c r="AP1" s="167"/>
      <c r="AQ1" s="168"/>
      <c r="AR1" s="168"/>
      <c r="AS1" s="167"/>
      <c r="AT1" s="167"/>
      <c r="AU1" s="167"/>
      <c r="AV1" s="167"/>
      <c r="AW1" s="167"/>
      <c r="AX1" s="167"/>
      <c r="AY1" s="169"/>
    </row>
    <row r="2" ht="17.25" customHeight="1">
      <c r="A2" s="53"/>
      <c r="B2" s="53"/>
      <c r="C2" s="170" t="s">
        <v>199</v>
      </c>
      <c r="D2" s="171"/>
      <c r="E2" s="53"/>
      <c r="F2" s="172" t="s">
        <v>200</v>
      </c>
      <c r="G2" s="171"/>
      <c r="H2" s="53"/>
      <c r="I2" s="173" t="s">
        <v>201</v>
      </c>
      <c r="J2" s="171"/>
      <c r="K2" s="53"/>
      <c r="L2" s="174" t="s">
        <v>273</v>
      </c>
      <c r="M2" s="171"/>
      <c r="N2" s="175"/>
      <c r="O2" s="2"/>
      <c r="P2" s="2"/>
      <c r="Q2" s="2"/>
      <c r="R2" s="81"/>
      <c r="S2" s="176"/>
      <c r="T2" s="176"/>
      <c r="U2" s="176"/>
      <c r="V2" s="177"/>
      <c r="W2" s="177"/>
      <c r="X2" s="53"/>
      <c r="Y2" s="178"/>
      <c r="Z2" s="178"/>
      <c r="AA2" s="177"/>
      <c r="AB2" s="177"/>
      <c r="AC2" s="177"/>
      <c r="AD2" s="177"/>
      <c r="AE2" s="177"/>
      <c r="AF2" s="179" t="s">
        <v>290</v>
      </c>
      <c r="AG2" s="179" t="s">
        <v>291</v>
      </c>
      <c r="AH2" s="179" t="s">
        <v>292</v>
      </c>
      <c r="AI2" s="179" t="s">
        <v>293</v>
      </c>
      <c r="AJ2" s="179" t="s">
        <v>294</v>
      </c>
      <c r="AK2" s="179" t="s">
        <v>295</v>
      </c>
      <c r="AL2" s="179" t="s">
        <v>296</v>
      </c>
      <c r="AM2" s="179" t="s">
        <v>297</v>
      </c>
      <c r="AN2" s="179" t="s">
        <v>298</v>
      </c>
      <c r="AO2" s="179" t="s">
        <v>299</v>
      </c>
      <c r="AP2" s="179" t="s">
        <v>300</v>
      </c>
      <c r="AQ2" s="180" t="s">
        <v>301</v>
      </c>
      <c r="AR2" s="180" t="s">
        <v>302</v>
      </c>
      <c r="AS2" s="179" t="s">
        <v>303</v>
      </c>
      <c r="AT2" s="53"/>
      <c r="AU2" s="53"/>
      <c r="AV2" s="53"/>
      <c r="AW2" s="53"/>
      <c r="AX2" s="53"/>
      <c r="AY2" s="169"/>
    </row>
    <row r="3" ht="15.75" customHeight="1">
      <c r="A3" s="176"/>
      <c r="B3" s="181" t="s">
        <v>304</v>
      </c>
      <c r="C3" s="182" t="s">
        <v>305</v>
      </c>
      <c r="D3" s="182" t="s">
        <v>306</v>
      </c>
      <c r="E3" s="2"/>
      <c r="F3" s="182" t="s">
        <v>305</v>
      </c>
      <c r="G3" s="182" t="s">
        <v>306</v>
      </c>
      <c r="H3" s="2"/>
      <c r="I3" s="182" t="s">
        <v>305</v>
      </c>
      <c r="J3" s="182" t="s">
        <v>306</v>
      </c>
      <c r="K3" s="2"/>
      <c r="L3" s="182" t="s">
        <v>305</v>
      </c>
      <c r="M3" s="182" t="s">
        <v>306</v>
      </c>
      <c r="N3" s="175"/>
      <c r="O3" s="183"/>
      <c r="P3" s="175"/>
      <c r="Q3" s="175"/>
      <c r="R3" s="81"/>
      <c r="S3" s="2"/>
      <c r="T3" s="182" t="s">
        <v>305</v>
      </c>
      <c r="U3" s="182" t="s">
        <v>306</v>
      </c>
      <c r="V3" s="184"/>
      <c r="W3" s="53"/>
      <c r="X3" s="53"/>
      <c r="Y3" s="53"/>
      <c r="Z3" s="53"/>
      <c r="AA3" s="53"/>
      <c r="AB3" s="185" t="s">
        <v>307</v>
      </c>
      <c r="AC3" s="186" t="s">
        <v>308</v>
      </c>
      <c r="AD3" s="187">
        <v>2023.0</v>
      </c>
      <c r="AE3" s="188" t="s">
        <v>309</v>
      </c>
      <c r="AF3" s="189" t="s">
        <v>310</v>
      </c>
      <c r="AG3" s="189" t="s">
        <v>310</v>
      </c>
      <c r="AH3" s="190" t="s">
        <v>310</v>
      </c>
      <c r="AI3" s="190" t="s">
        <v>310</v>
      </c>
      <c r="AJ3" s="189" t="s">
        <v>310</v>
      </c>
      <c r="AK3" s="189" t="s">
        <v>310</v>
      </c>
      <c r="AL3" s="191"/>
      <c r="AM3" s="191" t="str">
        <f t="shared" ref="AM3:AQ3" si="1">IFERROR((VLOOKUP((#REF!-2021)*12 + AM$2, $A$10:$I1004, 4, FALSE)-VLOOKUP((#REF!-2021)*12 + AM$2-1, $A$10:$I1004, 4, FALSE))/VLOOKUP((#REF!-2021)*12 + AM$2-1, $A$10:$I1004, 4, FALSE), "")</f>
        <v/>
      </c>
      <c r="AN3" s="191" t="str">
        <f t="shared" si="1"/>
        <v/>
      </c>
      <c r="AO3" s="191" t="str">
        <f t="shared" si="1"/>
        <v/>
      </c>
      <c r="AP3" s="191" t="str">
        <f t="shared" si="1"/>
        <v/>
      </c>
      <c r="AQ3" s="191" t="str">
        <f t="shared" si="1"/>
        <v/>
      </c>
      <c r="AR3" s="191"/>
      <c r="AS3" s="191"/>
      <c r="AT3" s="192"/>
      <c r="AU3" s="192"/>
      <c r="AV3" s="192"/>
      <c r="AW3" s="192"/>
      <c r="AX3" s="192"/>
      <c r="AY3" s="192"/>
    </row>
    <row r="4" ht="15.75" customHeight="1">
      <c r="A4" s="176"/>
      <c r="B4" s="193">
        <f>WORKDAY(B6,-1,Feriados!A:A)</f>
        <v>45169</v>
      </c>
      <c r="C4" s="194">
        <f> SUMIFS($AF11:$AF1000,AC$11:AC$1000,"&lt;&gt;"&amp;"Futuros")  + D$4</f>
        <v>107977950.5</v>
      </c>
      <c r="D4" s="194">
        <f t="array" ref="D4">XLOOKUP($B$4,$B$10:$B$901,$D$10:$D$901)*(1+$AC$6) + 
SUMIFS($AF$11:$AF$1000,$AC$11:$AC$1000,"="&amp;"Futuros") + 
SUMIFS('Alocação'!$M:$M, 'Alocação'!$B:$B, $B$6,'Alocação'!$D:$D,"&lt;&gt;"&amp;"Futuros",'Alocação'!$F:$F,"="&amp;C2) - 
(XLOOKUP($B$4,$B$10:$B$901,$C$10:$C$901)*(POWER(1+$AC$4,1/252)-1))</f>
        <v>117672215.7</v>
      </c>
      <c r="E4" s="2"/>
      <c r="F4" s="194">
        <f> SUMIFS($AL11:$AL1000,AI$11:AI$1000,"&lt;&gt;"&amp;"Futuros")  + G$4</f>
        <v>112433871.9</v>
      </c>
      <c r="G4" s="194">
        <f t="array" ref="G4">XLOOKUP($B$4,$B$10:$B$1000,$G$10:$G$1000)*(1+$AC$6) + 
SUMIFS($AL$11:$AL$1000,$AI$11:$AI$1000,"="&amp;"Futuros") + 
SUMIFS('Alocação'!$M:$M, 'Alocação'!$B:$B, $B$6,'Alocação'!$D:$D,"&lt;&gt;"&amp;"Futuros",'Alocação'!$F:$F,"="&amp;F2) - 
(XLOOKUP($B$4,$B$10:$B$1000,$F$10:$F$1000)*(POWER(1+$AC$4,1/252)-1))</f>
        <v>104364886.6</v>
      </c>
      <c r="H4" s="2"/>
      <c r="I4" s="194">
        <f> SUMIFS($AR11:$AR1000,AO$11:AO$1000,"&lt;&gt;"&amp;"Futuros")  + J$4</f>
        <v>108181063</v>
      </c>
      <c r="J4" s="194">
        <f t="array" ref="J4">XLOOKUP($B$4,$B$10:$B$901,$J$10:$J$901)*(1+$AC$6) + 
SUMIFS($AR$11:$AR$1000,$AO$11:$AO$1000,"="&amp;"Futuros") + 
SUMIFS('Alocação'!$M:$M, 'Alocação'!$B:$B, $B$6,'Alocação'!$D:$D,"&lt;&gt;"&amp;"Futuros",'Alocação'!$F:$F,"="&amp;I2) - 
(XLOOKUP($B$4,$B$10:$B$901,$I$10:$I$901)*(POWER(1+$AC$4,1/252)-1))</f>
        <v>74661611.33</v>
      </c>
      <c r="K4" s="2"/>
      <c r="L4" s="194">
        <f> SUMIFS($AX11:$AX1000,AU$11:AU$1000,"&lt;&gt;"&amp;"Futuros")  + M$4</f>
        <v>103699505.4</v>
      </c>
      <c r="M4" s="194">
        <f t="array" ref="M4">XLOOKUP($B$4,$B$10:$B$901,$M$10:$M$901)*(1+$AC$6) + 
SUMIFS($AX$11:$AX$1000,$AU$11:$AU$1000,"="&amp;"Futuros") + 
SUMIFS('Alocação'!$M:$M, 'Alocação'!$B:$B, $B$6,'Alocação'!$D:$D,"&lt;&gt;"&amp;"Futuros",'Alocação'!$F:$F,"="&amp;L2) - 
(XLOOKUP($B$4,$B$10:$B$901,$L$10:$L$901)*(POWER(1+$AC$4,1/252)-1))</f>
        <v>74018920.15</v>
      </c>
      <c r="N4" s="175"/>
      <c r="O4" s="175"/>
      <c r="P4" s="175"/>
      <c r="Q4" s="175"/>
      <c r="R4" s="2"/>
      <c r="S4" s="2"/>
      <c r="T4" s="195">
        <f t="shared" ref="T4:U4" si="2">SUM(C4,F4,I4,L4)</f>
        <v>432292390.8</v>
      </c>
      <c r="U4" s="195">
        <f t="shared" si="2"/>
        <v>370717633.7</v>
      </c>
      <c r="V4" s="196"/>
      <c r="W4" s="53"/>
      <c r="X4" s="53"/>
      <c r="Y4" s="53"/>
      <c r="Z4" s="53"/>
      <c r="AA4" s="53"/>
      <c r="AB4" s="197">
        <f t="array" ref="AB4">xlookup($B$4,$B$10:$B$999,$U$10:$U$999)*((1+$AC$6))</f>
        <v>366051562.2</v>
      </c>
      <c r="AC4" s="198">
        <v>0.015</v>
      </c>
      <c r="AE4" s="199" t="s">
        <v>281</v>
      </c>
      <c r="AF4" s="200" t="s">
        <v>310</v>
      </c>
      <c r="AG4" s="200" t="s">
        <v>310</v>
      </c>
      <c r="AH4" s="201" t="s">
        <v>310</v>
      </c>
      <c r="AI4" s="201" t="s">
        <v>310</v>
      </c>
      <c r="AJ4" s="200" t="s">
        <v>310</v>
      </c>
      <c r="AK4" s="200" t="s">
        <v>310</v>
      </c>
      <c r="AL4" s="202" t="str">
        <f t="shared" ref="AL4:AQ4" si="3">IFERROR((VLOOKUP((#REF!-2021)*12 + AL$2, $A$10:$I1004, 8, FALSE)-VLOOKUP((#REF!-2021)*12 + AL$2-1, $A$10:$I1004, 8, FALSE))/VLOOKUP((#REF!-2021)*12 + AL$2-1, $A$10:$I1004, 8, FALSE), "")</f>
        <v/>
      </c>
      <c r="AM4" s="202" t="str">
        <f t="shared" si="3"/>
        <v/>
      </c>
      <c r="AN4" s="202" t="str">
        <f t="shared" si="3"/>
        <v/>
      </c>
      <c r="AO4" s="202" t="str">
        <f t="shared" si="3"/>
        <v/>
      </c>
      <c r="AP4" s="202" t="str">
        <f t="shared" si="3"/>
        <v/>
      </c>
      <c r="AQ4" s="202" t="str">
        <f t="shared" si="3"/>
        <v/>
      </c>
      <c r="AR4" s="202"/>
      <c r="AS4" s="203"/>
      <c r="AT4" s="204"/>
      <c r="AU4" s="204"/>
      <c r="AV4" s="204"/>
      <c r="AW4" s="204"/>
      <c r="AX4" s="204"/>
      <c r="AY4" s="205"/>
    </row>
    <row r="5" ht="15.75" customHeight="1">
      <c r="A5" s="176"/>
      <c r="B5" s="206" t="s">
        <v>311</v>
      </c>
      <c r="C5" s="182" t="s">
        <v>312</v>
      </c>
      <c r="D5" s="182" t="s">
        <v>313</v>
      </c>
      <c r="E5" s="2"/>
      <c r="F5" s="182" t="s">
        <v>312</v>
      </c>
      <c r="G5" s="182" t="s">
        <v>313</v>
      </c>
      <c r="H5" s="2"/>
      <c r="I5" s="182" t="s">
        <v>312</v>
      </c>
      <c r="J5" s="182" t="s">
        <v>313</v>
      </c>
      <c r="K5" s="196"/>
      <c r="L5" s="182" t="s">
        <v>312</v>
      </c>
      <c r="M5" s="182" t="s">
        <v>313</v>
      </c>
      <c r="N5" s="175"/>
      <c r="O5" s="175"/>
      <c r="P5" s="175"/>
      <c r="Q5" s="175"/>
      <c r="R5" s="2"/>
      <c r="S5" s="2"/>
      <c r="T5" s="182" t="s">
        <v>312</v>
      </c>
      <c r="U5" s="182" t="s">
        <v>313</v>
      </c>
      <c r="V5" s="184"/>
      <c r="W5" s="53"/>
      <c r="X5" s="53"/>
      <c r="Y5" s="53"/>
      <c r="Z5" s="53"/>
      <c r="AA5" s="53"/>
      <c r="AB5" s="207" t="s">
        <v>314</v>
      </c>
      <c r="AC5" s="208" t="str">
        <f>"CDI Diário "&amp;DAY($B$6)&amp;"/"&amp;MONTH($B$6)&amp;" :"</f>
        <v>CDI Diário 1/9 :</v>
      </c>
      <c r="AD5" s="53"/>
      <c r="AE5" s="53"/>
      <c r="AF5" s="53"/>
      <c r="AG5" s="53"/>
      <c r="AH5" s="53"/>
      <c r="AI5" s="53"/>
      <c r="AJ5" s="209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</row>
    <row r="6" ht="15.75" customHeight="1">
      <c r="A6" s="193">
        <f>WORKDAY(B6,1,Feriados!A:A)</f>
        <v>45173</v>
      </c>
      <c r="B6" s="210">
        <v>45170.0</v>
      </c>
      <c r="C6" s="194">
        <f>SUMIFS($AF$11:$AF$901,$AC$11:$AC$901,"&lt;&gt;"&amp;"Futuros")</f>
        <v>-9694265.189</v>
      </c>
      <c r="D6" s="211">
        <f t="array" ref="D6">(XLOOKUP($B$6,$B$10:$B$1001,$C$10:$C$1001)/XLOOKUP($B$4,$B$10:$B$1001,$C$10:$C$1001))-1</f>
        <v>-0.0008939066068</v>
      </c>
      <c r="E6" s="2"/>
      <c r="F6" s="194">
        <f>SUMIFS($AL$11:$AL$901,$AI$11:$AI$901,"&lt;&gt;"&amp;"Futuros")</f>
        <v>8068985.314</v>
      </c>
      <c r="G6" s="211">
        <f t="array" ref="G6">(XLOOKUP($B$6,$B$10:$B$1001,$F$10:$F$1001)/XLOOKUP($B$4,$B$10:$B$1001,$F$10:$F$1001))-1</f>
        <v>-0.0002984001501</v>
      </c>
      <c r="H6" s="53"/>
      <c r="I6" s="194">
        <f>SUMIFS($AR$11:$AR$901,$AO$11:$AO$901,"&lt;&gt;"&amp;"Futuros")</f>
        <v>33519451.69</v>
      </c>
      <c r="J6" s="212">
        <f t="array" ref="J6">(XLOOKUP($B$6,$B$10:$B$1001,$I$10:$I$1001)/XLOOKUP($B$4,$B$10:$B$1001,$I$10:$I$1001))-1</f>
        <v>0.005125910578</v>
      </c>
      <c r="K6" s="53"/>
      <c r="L6" s="194">
        <f>SUMIFS($AX$11:$AX$901,$AT$11:$AT$901,"&lt;&gt;"&amp;"Futuros")</f>
        <v>29680585.26</v>
      </c>
      <c r="M6" s="212">
        <f t="array" ref="M6">(XLOOKUP($B$6,$B$10:$B$1001,$L$10:$L$1001)/XLOOKUP($B$4,$B$10:$B$1001,$L$10:$L$1001))-1</f>
        <v>0.009146689304</v>
      </c>
      <c r="N6" s="175"/>
      <c r="O6" s="175"/>
      <c r="P6" s="175"/>
      <c r="Q6" s="175"/>
      <c r="R6" s="2"/>
      <c r="S6" s="2"/>
      <c r="T6" s="195">
        <f>SUM($C$6,$F$6,$I$6)</f>
        <v>31894171.81</v>
      </c>
      <c r="U6" s="212">
        <f t="array" ref="U6">(XLOOKUP($B$6,$B$10:$B$1001,$T$10:$T$1001)/XLOOKUP($B$4,$B$10:$B$1001,$T$10:$T$1001))-1</f>
        <v>0.003159299013</v>
      </c>
      <c r="V6" s="213"/>
      <c r="W6" s="53"/>
      <c r="X6" s="177"/>
      <c r="Y6" s="53"/>
      <c r="Z6" s="53"/>
      <c r="AA6" s="53"/>
      <c r="AB6" s="214">
        <f>SUMIFS('Alocação'!$M:$M, 'Alocação'!$B:$B, $B$6,'Alocação'!$D:$D,"&lt;&gt;"&amp;"Futuros")</f>
        <v>4620000</v>
      </c>
      <c r="AC6" s="215">
        <f t="array" ref="AC6">INDEX('Histórico'!$B$1:$AEB981, MATCH($B$6, 'Histórico'!$A:$A, 0), MATCH("CDI", 'Histórico'!$1:$1, 0)-1)</f>
        <v>0.00049037</v>
      </c>
      <c r="AD6" s="53"/>
      <c r="AE6" s="53"/>
      <c r="AF6" s="53"/>
      <c r="AG6" s="53"/>
      <c r="AH6" s="53"/>
      <c r="AI6" s="53"/>
      <c r="AJ6" s="53"/>
      <c r="AK6" s="216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</row>
    <row r="7" ht="15.75" customHeight="1">
      <c r="A7" s="176"/>
      <c r="B7" s="176"/>
      <c r="C7" s="183" t="b">
        <f t="array" ref="C7">C4=xlookup($B$6,$B$10:$B$242,C$10:C$242)</f>
        <v>1</v>
      </c>
      <c r="D7" s="183" t="b">
        <f t="array" ref="D7">D4=xlookup($B$6,$B$10:$B$242,D$10:D$242)</f>
        <v>1</v>
      </c>
      <c r="E7" s="2"/>
      <c r="F7" s="183" t="b">
        <f t="array" ref="F7">F4=xlookup($B$6,$B$10:$B$242,F$10:F$242)</f>
        <v>1</v>
      </c>
      <c r="G7" s="183" t="b">
        <f t="array" ref="G7">G4=xlookup($B$6,$B$10:$B$242,G$10:G$242)</f>
        <v>1</v>
      </c>
      <c r="H7" s="2"/>
      <c r="I7" s="183" t="b">
        <f t="array" ref="I7">I4=xlookup($B$6,$B$10:$B$242,I$10:I$242)</f>
        <v>1</v>
      </c>
      <c r="J7" s="183" t="b">
        <f t="array" ref="J7">J4=xlookup($B$6,$B$10:$B$242,J$10:J$242)</f>
        <v>1</v>
      </c>
      <c r="K7" s="2"/>
      <c r="L7" s="183" t="b">
        <f t="array" ref="L7">L4=xlookup($B$6,$B$10:$B$242,L$10:L$242)</f>
        <v>1</v>
      </c>
      <c r="M7" s="183" t="b">
        <f t="array" ref="M7">M4=xlookup($B$6,$B$10:$B$242,M$10:M$242)</f>
        <v>1</v>
      </c>
      <c r="N7" s="175"/>
      <c r="O7" s="175"/>
      <c r="P7" s="175"/>
      <c r="Q7" s="175"/>
      <c r="R7" s="177"/>
      <c r="S7" s="177"/>
      <c r="T7" s="53"/>
      <c r="U7" s="178"/>
      <c r="V7" s="178"/>
      <c r="W7" s="177"/>
      <c r="X7" s="177"/>
      <c r="Y7" s="177"/>
      <c r="Z7" s="177"/>
      <c r="AA7" s="177"/>
      <c r="AB7" s="53"/>
      <c r="AC7" s="53"/>
      <c r="AD7" s="53"/>
      <c r="AE7" s="178"/>
      <c r="AF7" s="53"/>
      <c r="AG7" s="53"/>
      <c r="AH7" s="81"/>
      <c r="AI7" s="53"/>
      <c r="AJ7" s="53"/>
      <c r="AK7" s="81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</row>
    <row r="8" ht="15.75" customHeight="1">
      <c r="A8" s="176"/>
      <c r="B8" s="217"/>
      <c r="C8" s="217"/>
      <c r="D8" s="183"/>
      <c r="E8" s="2"/>
      <c r="F8" s="81"/>
      <c r="G8" s="183"/>
      <c r="H8" s="2"/>
      <c r="I8" s="183"/>
      <c r="J8" s="183"/>
      <c r="K8" s="2"/>
      <c r="L8" s="175"/>
      <c r="M8" s="175"/>
      <c r="N8" s="175"/>
      <c r="O8" s="175"/>
      <c r="P8" s="175"/>
      <c r="Q8" s="175"/>
      <c r="R8" s="218"/>
      <c r="S8" s="53"/>
      <c r="T8" s="218"/>
      <c r="U8" s="175"/>
      <c r="V8" s="175"/>
      <c r="W8" s="218"/>
      <c r="X8" s="218"/>
      <c r="Y8" s="218"/>
      <c r="Z8" s="218"/>
      <c r="AA8" s="218"/>
      <c r="AB8" s="53"/>
      <c r="AC8" s="53"/>
      <c r="AD8" s="53"/>
      <c r="AE8" s="53"/>
      <c r="AF8" s="53"/>
      <c r="AG8" s="53"/>
      <c r="AH8" s="53"/>
      <c r="AI8" s="53"/>
      <c r="AJ8" s="53"/>
      <c r="AK8" s="81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</row>
    <row r="9" ht="15.75" customHeight="1">
      <c r="A9" s="176"/>
      <c r="B9" s="219" t="s">
        <v>182</v>
      </c>
      <c r="C9" s="220" t="s">
        <v>315</v>
      </c>
      <c r="D9" s="220" t="s">
        <v>316</v>
      </c>
      <c r="E9" s="2"/>
      <c r="F9" s="221" t="s">
        <v>315</v>
      </c>
      <c r="G9" s="221" t="s">
        <v>316</v>
      </c>
      <c r="H9" s="2"/>
      <c r="I9" s="222" t="s">
        <v>315</v>
      </c>
      <c r="J9" s="222" t="s">
        <v>316</v>
      </c>
      <c r="K9" s="2"/>
      <c r="L9" s="223" t="s">
        <v>315</v>
      </c>
      <c r="M9" s="223" t="s">
        <v>316</v>
      </c>
      <c r="N9" s="220" t="s">
        <v>317</v>
      </c>
      <c r="O9" s="221" t="s">
        <v>317</v>
      </c>
      <c r="P9" s="222" t="s">
        <v>317</v>
      </c>
      <c r="Q9" s="223" t="s">
        <v>317</v>
      </c>
      <c r="R9" s="182" t="s">
        <v>318</v>
      </c>
      <c r="S9" s="177"/>
      <c r="T9" s="224" t="s">
        <v>319</v>
      </c>
      <c r="U9" s="225" t="s">
        <v>320</v>
      </c>
      <c r="V9" s="225" t="s">
        <v>321</v>
      </c>
      <c r="W9" s="226" t="s">
        <v>317</v>
      </c>
      <c r="X9" s="226" t="s">
        <v>322</v>
      </c>
      <c r="Y9" s="226" t="s">
        <v>323</v>
      </c>
      <c r="Z9" s="226" t="s">
        <v>281</v>
      </c>
      <c r="AA9" s="165"/>
      <c r="AB9" s="227" t="str">
        <f>$C$2</f>
        <v>Endor</v>
      </c>
      <c r="AC9" s="97"/>
      <c r="AD9" s="97"/>
      <c r="AE9" s="97"/>
      <c r="AF9" s="171"/>
      <c r="AG9" s="53"/>
      <c r="AH9" s="228" t="str">
        <f>$F$2</f>
        <v>Polaris</v>
      </c>
      <c r="AI9" s="97"/>
      <c r="AJ9" s="97"/>
      <c r="AK9" s="97"/>
      <c r="AL9" s="171"/>
      <c r="AM9" s="53"/>
      <c r="AN9" s="229" t="str">
        <f>$I$2</f>
        <v>Vega</v>
      </c>
      <c r="AO9" s="97"/>
      <c r="AP9" s="97"/>
      <c r="AQ9" s="97"/>
      <c r="AR9" s="171"/>
      <c r="AS9" s="53"/>
      <c r="AT9" s="230" t="s">
        <v>273</v>
      </c>
      <c r="AU9" s="97"/>
      <c r="AV9" s="97"/>
      <c r="AW9" s="97"/>
      <c r="AX9" s="171"/>
      <c r="AY9" s="231"/>
    </row>
    <row r="10" ht="15.75" customHeight="1">
      <c r="A10" s="176"/>
      <c r="B10" s="232">
        <v>45005.0</v>
      </c>
      <c r="C10" s="233">
        <v>1.0E8</v>
      </c>
      <c r="D10" s="233">
        <v>1.0E8</v>
      </c>
      <c r="E10" s="234"/>
      <c r="F10" s="233">
        <v>1.0E8</v>
      </c>
      <c r="G10" s="233">
        <v>1.0E8</v>
      </c>
      <c r="H10" s="234"/>
      <c r="I10" s="233">
        <v>1.0E8</v>
      </c>
      <c r="J10" s="233">
        <v>1.0E8</v>
      </c>
      <c r="K10" s="234"/>
      <c r="L10" s="233">
        <v>1.0E8</v>
      </c>
      <c r="M10" s="233">
        <v>1.0E8</v>
      </c>
      <c r="N10" s="235"/>
      <c r="O10" s="235"/>
      <c r="P10" s="235"/>
      <c r="Q10" s="235"/>
      <c r="R10" s="236">
        <v>100.0</v>
      </c>
      <c r="S10" s="177"/>
      <c r="T10" s="233">
        <f t="shared" ref="T10:U10" si="4">IF(AND(C10&lt;&gt;"",F10&lt;&gt;"",I10&lt;&gt;""), SUM(I10,F10,C10,L10),"")</f>
        <v>400000000</v>
      </c>
      <c r="U10" s="233">
        <f t="shared" si="4"/>
        <v>400000000</v>
      </c>
      <c r="V10" s="233">
        <f t="shared" ref="V10:V242" si="6">if(T10&lt;&gt;"",T10/4000000,"")</f>
        <v>100</v>
      </c>
      <c r="W10" s="233"/>
      <c r="X10" s="233"/>
      <c r="Y10" s="233"/>
      <c r="Z10" s="233">
        <f t="shared" ref="Z10:Z242" si="7">if(T10&lt;&gt;"",R10,"")</f>
        <v>100</v>
      </c>
      <c r="AA10" s="165"/>
      <c r="AB10" s="237" t="s">
        <v>183</v>
      </c>
      <c r="AC10" s="237" t="s">
        <v>2</v>
      </c>
      <c r="AD10" s="237" t="s">
        <v>324</v>
      </c>
      <c r="AE10" s="237" t="s">
        <v>325</v>
      </c>
      <c r="AF10" s="238" t="s">
        <v>326</v>
      </c>
      <c r="AG10" s="53"/>
      <c r="AH10" s="237" t="s">
        <v>183</v>
      </c>
      <c r="AI10" s="237" t="s">
        <v>2</v>
      </c>
      <c r="AJ10" s="237" t="s">
        <v>324</v>
      </c>
      <c r="AK10" s="237" t="s">
        <v>325</v>
      </c>
      <c r="AL10" s="238" t="s">
        <v>326</v>
      </c>
      <c r="AM10" s="53"/>
      <c r="AN10" s="237" t="s">
        <v>183</v>
      </c>
      <c r="AO10" s="237" t="s">
        <v>2</v>
      </c>
      <c r="AP10" s="237" t="s">
        <v>324</v>
      </c>
      <c r="AQ10" s="237" t="s">
        <v>325</v>
      </c>
      <c r="AR10" s="238" t="s">
        <v>326</v>
      </c>
      <c r="AS10" s="53"/>
      <c r="AT10" s="237" t="s">
        <v>183</v>
      </c>
      <c r="AU10" s="237" t="s">
        <v>2</v>
      </c>
      <c r="AV10" s="237" t="s">
        <v>324</v>
      </c>
      <c r="AW10" s="237" t="s">
        <v>325</v>
      </c>
      <c r="AX10" s="238" t="s">
        <v>326</v>
      </c>
      <c r="AY10" s="239"/>
    </row>
    <row r="11" ht="15.75" customHeight="1">
      <c r="A11" s="176"/>
      <c r="B11" s="232">
        <v>45006.0</v>
      </c>
      <c r="C11" s="233">
        <v>1.000448795059031E8</v>
      </c>
      <c r="D11" s="233">
        <v>1.000448924459026E8</v>
      </c>
      <c r="E11" s="234"/>
      <c r="F11" s="233">
        <v>1.000448795059031E8</v>
      </c>
      <c r="G11" s="233">
        <v>1.000448924459026E8</v>
      </c>
      <c r="H11" s="234"/>
      <c r="I11" s="233">
        <v>1.000448795059031E8</v>
      </c>
      <c r="J11" s="233">
        <v>1.000448924459026E8</v>
      </c>
      <c r="K11" s="234"/>
      <c r="L11" s="233">
        <f t="shared" ref="L11:L44" si="8">L10*(1+$AC$6)-(L10*(POWER(1+$AC$4,1/252)-1))</f>
        <v>100043128.6</v>
      </c>
      <c r="M11" s="233">
        <v>1.000448796459026E8</v>
      </c>
      <c r="N11" s="240">
        <f t="shared" ref="N11:N242" si="9">IFERROR(if(C11&lt;&gt;"",(C11/C10)-1,""),"")</f>
        <v>0.000448795059</v>
      </c>
      <c r="O11" s="240">
        <f t="shared" ref="O11:O242" si="10">IFERROR(if(F11&lt;&gt;"",(F11/F10)-1,""),"")</f>
        <v>0.000448795059</v>
      </c>
      <c r="P11" s="240">
        <f t="shared" ref="P11:P242" si="11">IFERROR(if(I11&lt;&gt;"",(I11/I10)-1,""),"")</f>
        <v>0.000448795059</v>
      </c>
      <c r="Q11" s="240">
        <f t="shared" ref="Q11:Q242" si="12">IFERROR(if(L11&lt;&gt;"",(L11/L10)-1,""),"")</f>
        <v>0.000431286459</v>
      </c>
      <c r="R11" s="236">
        <f t="shared" ref="R11:R242" si="13">IF(I11&lt;&gt;"",R10*(1+$AC$6),"")</f>
        <v>100.049037</v>
      </c>
      <c r="S11" s="177"/>
      <c r="T11" s="233">
        <f t="shared" ref="T11:U11" si="5">IF(AND(C11&lt;&gt;"",F11&lt;&gt;"",I11&lt;&gt;""), SUM(I11,F11,C11,L11),"")</f>
        <v>400177767.2</v>
      </c>
      <c r="U11" s="233">
        <f t="shared" si="5"/>
        <v>400179557</v>
      </c>
      <c r="V11" s="233">
        <f t="shared" si="6"/>
        <v>100.0444418</v>
      </c>
      <c r="W11" s="241">
        <f t="shared" ref="W11:W242" si="15">IFERROR(if(T11&lt;&gt;"",(T11/T10)-1,""),"")</f>
        <v>0.000444417909</v>
      </c>
      <c r="X11" s="241">
        <f t="shared" ref="X11:X242" si="16">IF(T11&lt;&gt;"",(T11/MAX($T$10:T11))-1,"")</f>
        <v>0</v>
      </c>
      <c r="Y11" s="233"/>
      <c r="Z11" s="233">
        <f t="shared" si="7"/>
        <v>100.049037</v>
      </c>
      <c r="AA11" s="165"/>
      <c r="AB11" s="242" t="str">
        <f>IFERROR(__xludf.DUMMYFUNCTION("iferror(UNIQUE(FILTER('Alocação'!$C$3:$C$1002,'Alocação'!$R$3:$R$1002&lt;&gt;0,'Alocação'!$F$3:$F$1002=$AB$9)),"""")"),"AZUL4")</f>
        <v>AZUL4</v>
      </c>
      <c r="AC11" s="242" t="str">
        <f>IF(ISTEXT(AB11),VLOOKUP(AB11,'Cadastro dos Ativos'!$A$2:$C$1000,3,0),"")</f>
        <v>Ações Listadas na B3</v>
      </c>
      <c r="AD11" s="242">
        <f>IF(AB11 &lt;&gt; "",IF(AC11="Futuros", (SUMIFS('Alocação'!$O$3:$O$1002,'Alocação'!$C$3:$C$1002,AB11,'Alocação'!$F$3:$F$1002,AB$9,'Alocação'!$B$3:$B$1002,"&lt;="&amp;$B$4)), (SUMIFS('Alocação'!$O$3:$O$1002,'Alocação'!$C$3:$C$1002,AB11,'Alocação'!$F$3:$F$1002,AB$9,'Alocação'!$B$3:$B$1002,"&lt;="&amp;$B$6))),"")</f>
        <v>-1</v>
      </c>
      <c r="AE11" s="243">
        <f>iferror(IF(AC11="Ações Americanas", HLOOKUP(AB11,'Histórico'!$A$1:$DD$990,MATCH($B$6,'Histórico'!$A:$A),FALSE)*HLOOKUP("PTAX",'Histórico'!$A$1:$FG$983,MATCH($B$6,'Histórico'!$A:$A),FALSE),IF(AC11="Ações Europeias", HLOOKUP(AB11,'Histórico'!$A$1:$DD$990,MATCH($B$6,'Histórico'!$A:$A),FALSE)*HLOOKUP("EUR/BRL",'Histórico'!$A$1:$FG$983,MATCH($B$6,'Histórico'!$A:$A),FALSE), HLOOKUP(AB11,'Histórico'!$A$1:$DD$990,MATCH($B$6,'Histórico'!$A:$A),FALSE))),"")</f>
        <v>14.93000031</v>
      </c>
      <c r="AF11" s="243">
        <f>IF(AD11&lt;&gt;"",AD11*AE11,"")</f>
        <v>-14.93000031</v>
      </c>
      <c r="AG11" s="53"/>
      <c r="AH11" s="242" t="str">
        <f>IFERROR(__xludf.DUMMYFUNCTION("iferror(UNIQUE(FILTER('Alocação'!$C$3:$C$1002,'Alocação'!$R$3:$R$1002&lt;&gt;0,'Alocação'!$F$3:$F$1002=$AH$9,'Alocação'!$B$3:$B$1002&lt;=$B$6)),"""")"),"AZUL4")</f>
        <v>AZUL4</v>
      </c>
      <c r="AI11" s="242" t="str">
        <f>IF(ISTEXT(AH11),VLOOKUP(AH11,'Cadastro dos Ativos'!$A$2:$C$1000,3,0),"")</f>
        <v>Ações Listadas na B3</v>
      </c>
      <c r="AJ11" s="242">
        <f>IF(AH11 &lt;&gt; "",IF(AI11="Futuros", (SUMIFS('Alocação'!$O$3:$O$1002,'Alocação'!$C$3:$C$1002,AH11,'Alocação'!$F$3:$F$1002,AH$9,'Alocação'!$B$3:$B$1002,"&lt;="&amp;$B$4)), (SUMIFS('Alocação'!$O$3:$O$1002,'Alocação'!$C$3:$C$1002,AH11,'Alocação'!$F$3:$F$1002,AH$9,'Alocação'!$B$3:$B$1002,"&lt;="&amp;$B$6))),"")</f>
        <v>-1</v>
      </c>
      <c r="AK11" s="243">
        <f>iferror(IF(AI11="Ações Americanas", HLOOKUP(AH11,'Histórico'!$A$1:$DD$990,MATCH($B$6,'Histórico'!$A:$A),FALSE)*HLOOKUP("PTAX",'Histórico'!$A$1:$FG$983,MATCH($B$6,'Histórico'!$A:$A),FALSE),IF(AI11="Ações Europeias", HLOOKUP(AH11,'Histórico'!$A$1:$DD$990,MATCH($B$6,'Histórico'!$A:$A),FALSE)*HLOOKUP("EUR/BRL",'Histórico'!$A$1:$FG$983,MATCH($B$6,'Histórico'!$A:$A),FALSE),  HLOOKUP(AH11,'Histórico'!$A$1:$DD$990,MATCH($B$6,'Histórico'!$A:$A),FALSE))),"")</f>
        <v>14.93000031</v>
      </c>
      <c r="AL11" s="243">
        <f t="shared" ref="AL11:AL221" si="17">IF(AJ11&lt;&gt;"", AJ11*AK11, "")</f>
        <v>-14.93000031</v>
      </c>
      <c r="AM11" s="53"/>
      <c r="AN11" s="242" t="str">
        <f>IFERROR(__xludf.DUMMYFUNCTION("IFERROR(UNIQUE(FILTER('Alocação'!$C$3:$C$1002,'Alocação'!$R$3:$R$1002&lt;&gt;0,'Alocação'!$F$3:$F$1002=$AN$9)),"""")"),"AZUL4")</f>
        <v>AZUL4</v>
      </c>
      <c r="AO11" s="242" t="str">
        <f>IF(ISTEXT(AN11),VLOOKUP(AN11,'Cadastro dos Ativos'!$A$2:$C$1000,3,0),"")</f>
        <v>Ações Listadas na B3</v>
      </c>
      <c r="AP11" s="242">
        <f>IF(AN11 &lt;&gt; "",IF(AO11="Futuros", (SUMIFS('Alocação'!$O$3:$O$1002,'Alocação'!$C$3:$C$1002,AN11,'Alocação'!$F$3:$F$1002,AN$9,'Alocação'!$B$3:$B$1002,"&lt;="&amp;$B$4)), (SUMIFS('Alocação'!$O$3:$O$1002,'Alocação'!$C$3:$C$1002,AN11,'Alocação'!$F$3:$F$1002,AN$9,'Alocação'!$B$3:$B$1002,"&lt;="&amp;$B$6))),"")</f>
        <v>-1</v>
      </c>
      <c r="AQ11" s="243">
        <f>iferror(IF(AO11="Ações Americanas", HLOOKUP(AN11,'Histórico'!$A$1:$DD$990,MATCH($B$6,'Histórico'!$A:$A),FALSE)*HLOOKUP("PTAX",'Histórico'!$A$1:$FG$983,MATCH($B$6,'Histórico'!$A:$A),FALSE),IF(AO11="Ações Europeias", HLOOKUP(AN11,'Histórico'!$A$1:$DD$990,MATCH($B$6,'Histórico'!$A:$A),FALSE)*HLOOKUP("EUR/BRL",'Histórico'!$A$1:$FG$983,MATCH($B$6,'Histórico'!$A:$A),FALSE),  HLOOKUP(AN11,'Histórico'!$A$1:$DD$990,MATCH($B$6,'Histórico'!$A:$A),FALSE))),"")</f>
        <v>14.93000031</v>
      </c>
      <c r="AR11" s="243">
        <f t="shared" ref="AR11:AR221" si="18">IF(AP11&lt;&gt;"", AP11*AQ11, "")</f>
        <v>-14.93000031</v>
      </c>
      <c r="AS11" s="53"/>
      <c r="AT11" s="242" t="str">
        <f>IFERROR(__xludf.DUMMYFUNCTION("IFERROR(UNIQUE(FILTER('Alocação'!$C$3:$C$996,'Alocação'!$R$3:$R$996&lt;&gt;0,'Alocação'!$F$3:$F$996=$AT$9)),"""")"),"AZUL4")</f>
        <v>AZUL4</v>
      </c>
      <c r="AU11" s="242" t="str">
        <f>IF(ISTEXT(AT11),VLOOKUP(AT11,'Cadastro dos Ativos'!$A$2:$C$1000,3,0),"")</f>
        <v>Ações Listadas na B3</v>
      </c>
      <c r="AV11" s="242">
        <f>IF(AT11 &lt;&gt; "",IF(AU11="Futuros", (SUMIFS('Alocação'!$O$3:$O$1002,'Alocação'!$C$3:$C$1002,AT11,'Alocação'!$F$3:$F$1002,AT$9,'Alocação'!$B$3:$B$1002,"&lt;="&amp;$B$4)), (SUMIFS('Alocação'!$O$3:$O$1002,'Alocação'!$C$3:$C$1002,AT11,'Alocação'!$F$3:$F$1002,AT$9,'Alocação'!$B$3:$B$1002,"&lt;="&amp;$B$6))),"")</f>
        <v>-1</v>
      </c>
      <c r="AW11" s="243">
        <f>iferror(IF(AU11="Ações Americanas", HLOOKUP(AT11,'Histórico'!$A$1:$DD$990,MATCH($B$6,'Histórico'!$A:$A),FALSE)*HLOOKUP("PTAX",'Histórico'!$A$1:$FG$983,MATCH($B$6,'Histórico'!$A:$A),FALSE),IF(AU11="Ações Europeias", HLOOKUP(AT11,'Histórico'!$A$1:$DD$990,MATCH($B$6,'Histórico'!$A:$A),FALSE)*HLOOKUP("EUR/BRL",'Histórico'!$A$1:$FG$983,MATCH($B$6,'Histórico'!$A:$A),FALSE),  HLOOKUP(AT11,'Histórico'!$A$1:$DD$990,MATCH($B$6,'Histórico'!$A:$A),FALSE))),"")</f>
        <v>14.93000031</v>
      </c>
      <c r="AX11" s="243">
        <f t="shared" ref="AX11:AX14" si="19">IF(AV11&lt;&gt;"", AV11*AW11, "")</f>
        <v>-14.93000031</v>
      </c>
      <c r="AY11" s="183"/>
    </row>
    <row r="12" ht="15.75" customHeight="1">
      <c r="A12" s="244"/>
      <c r="B12" s="232">
        <v>45007.0</v>
      </c>
      <c r="C12" s="233">
        <v>1.000897799601408E8</v>
      </c>
      <c r="D12" s="233">
        <v>1.000897922401405E8</v>
      </c>
      <c r="E12" s="234"/>
      <c r="F12" s="233">
        <v>1.000897799601408E8</v>
      </c>
      <c r="G12" s="233">
        <v>1.000897922401405E8</v>
      </c>
      <c r="H12" s="234"/>
      <c r="I12" s="233">
        <v>1.000897799601408E8</v>
      </c>
      <c r="J12" s="233">
        <v>1.000897922401405E8</v>
      </c>
      <c r="K12" s="234"/>
      <c r="L12" s="233">
        <f t="shared" si="8"/>
        <v>100086275.9</v>
      </c>
      <c r="M12" s="233">
        <v>1.000897794336314E8</v>
      </c>
      <c r="N12" s="240">
        <f t="shared" si="9"/>
        <v>0.0004488031218</v>
      </c>
      <c r="O12" s="240">
        <f t="shared" si="10"/>
        <v>0.0004488031218</v>
      </c>
      <c r="P12" s="240">
        <f t="shared" si="11"/>
        <v>0.0004488031218</v>
      </c>
      <c r="Q12" s="240">
        <f t="shared" si="12"/>
        <v>0.000431286459</v>
      </c>
      <c r="R12" s="236">
        <f t="shared" si="13"/>
        <v>100.098098</v>
      </c>
      <c r="S12" s="177"/>
      <c r="T12" s="233">
        <f t="shared" ref="T12:U12" si="14">IF(AND(C12&lt;&gt;"",F12&lt;&gt;"",I12&lt;&gt;""), SUM(I12,F12,C12,L12),"")</f>
        <v>400355615.8</v>
      </c>
      <c r="U12" s="233">
        <f t="shared" si="14"/>
        <v>400359156.2</v>
      </c>
      <c r="V12" s="233">
        <f t="shared" si="6"/>
        <v>100.0889039</v>
      </c>
      <c r="W12" s="241">
        <f t="shared" si="15"/>
        <v>0.0004444240136</v>
      </c>
      <c r="X12" s="241">
        <f t="shared" si="16"/>
        <v>0</v>
      </c>
      <c r="Y12" s="233"/>
      <c r="Z12" s="233">
        <f t="shared" si="7"/>
        <v>100.098098</v>
      </c>
      <c r="AA12" s="165"/>
      <c r="AB12" s="242" t="str">
        <f>IFERROR(__xludf.DUMMYFUNCTION("""COMPUTED_VALUE"""),"BOVA11")</f>
        <v>BOVA11</v>
      </c>
      <c r="AC12" s="242" t="str">
        <f>IF(ISTEXT(AB12),VLOOKUP(AB12,'Cadastro dos Ativos'!$A$2:$C$1000,3,0),"")</f>
        <v>Ações Listadas na B3</v>
      </c>
      <c r="AD12" s="242">
        <f>IF(AB12 &lt;&gt; "",IF(AC12="Futuros", (SUMIFS('Alocação'!$O$3:$O$1002,'Alocação'!$C$3:$C$1002,AB12,'Alocação'!$F$3:$F$1002,AB$9,'Alocação'!$B$3:$B$1002,"&lt;="&amp;$B$4)), (SUMIFS('Alocação'!$O$3:$O$1002,'Alocação'!$C$3:$C$1002,AB12,'Alocação'!$F$3:$F$1002,AB$9,'Alocação'!$B$3:$B$1002,"&lt;="&amp;$B$6))),"")</f>
        <v>-85000</v>
      </c>
      <c r="AE12" s="243">
        <f>iferror(IF(AC12="Ações Americanas", HLOOKUP(AB12,'Histórico'!$A$1:$DD$990,MATCH($B$6,'Histórico'!$A:$A),FALSE)*HLOOKUP("PTAX",'Histórico'!$A$1:$FG$983,MATCH($B$6,'Histórico'!$A:$A),FALSE),IF(AC12="Ações Europeias", HLOOKUP(AB12,'Histórico'!$A$1:$DD$990,MATCH($B$6,'Histórico'!$A:$A),FALSE)*HLOOKUP("EUR/BRL",'Histórico'!$A$1:$FG$983,MATCH($B$6,'Histórico'!$A:$A),FALSE), HLOOKUP(AB12,'Histórico'!$A$1:$DD$990,MATCH($B$6,'Histórico'!$A:$A),FALSE))),"")</f>
        <v>114.0500031</v>
      </c>
      <c r="AF12" s="243">
        <f t="shared" ref="AF12:AF221" si="21">IF(AD12&lt;&gt;"", AD12*AE12, "")</f>
        <v>-9694250.259</v>
      </c>
      <c r="AG12" s="53"/>
      <c r="AH12" s="242" t="str">
        <f>IFERROR(__xludf.DUMMYFUNCTION("""COMPUTED_VALUE"""),"DIVO11")</f>
        <v>DIVO11</v>
      </c>
      <c r="AI12" s="242" t="str">
        <f>IF(ISTEXT(AH12),VLOOKUP(AH12,'Cadastro dos Ativos'!$A$2:$C$1000,3,0),"")</f>
        <v>Ações Listadas na B3</v>
      </c>
      <c r="AJ12" s="242">
        <f>IF(AH12 &lt;&gt; "",IF(AI12="Futuros", (SUMIFS('Alocação'!$O$3:$O$1002,'Alocação'!$C$3:$C$1002,AH12,'Alocação'!$F$3:$F$1002,AH$9,'Alocação'!$B$3:$B$1002,"&lt;="&amp;$B$4)), (SUMIFS('Alocação'!$O$3:$O$1002,'Alocação'!$C$3:$C$1002,AH12,'Alocação'!$F$3:$F$1002,AH$9,'Alocação'!$B$3:$B$1002,"&lt;="&amp;$B$6))),"")</f>
        <v>100000</v>
      </c>
      <c r="AK12" s="243">
        <f>iferror(IF(AI12="Ações Americanas", HLOOKUP(AH12,'Histórico'!$A$1:$DD$990,MATCH($B$6,'Histórico'!$A:$A),FALSE)*HLOOKUP("PTAX",'Histórico'!$A$1:$FG$983,MATCH($B$6,'Histórico'!$A:$A),FALSE),IF(AI12="Ações Europeias", HLOOKUP(AH12,'Histórico'!$A$1:$DD$990,MATCH($B$6,'Histórico'!$A:$A),FALSE)*HLOOKUP("EUR/BRL",'Histórico'!$A$1:$FG$983,MATCH($B$6,'Histórico'!$A:$A),FALSE),  HLOOKUP(AH12,'Histórico'!$A$1:$DD$990,MATCH($B$6,'Histórico'!$A:$A),FALSE))),"")</f>
        <v>80.69000244</v>
      </c>
      <c r="AL12" s="243">
        <f t="shared" si="17"/>
        <v>8069000.244</v>
      </c>
      <c r="AM12" s="53"/>
      <c r="AN12" s="242" t="str">
        <f>IFERROR(__xludf.DUMMYFUNCTION("""COMPUTED_VALUE"""),"DRIV")</f>
        <v>DRIV</v>
      </c>
      <c r="AO12" s="242" t="str">
        <f>IF(ISTEXT(AN12),VLOOKUP(AN12,'Cadastro dos Ativos'!$A$2:$C$1000,3,0),"")</f>
        <v>Ações Americanas</v>
      </c>
      <c r="AP12" s="242">
        <f>IF(AN12 &lt;&gt; "",IF(AO12="Futuros", (SUMIFS('Alocação'!$O$3:$O$1002,'Alocação'!$C$3:$C$1002,AN12,'Alocação'!$F$3:$F$1002,AN$9,'Alocação'!$B$3:$B$1002,"&lt;="&amp;$B$4)), (SUMIFS('Alocação'!$O$3:$O$1002,'Alocação'!$C$3:$C$1002,AN12,'Alocação'!$F$3:$F$1002,AN$9,'Alocação'!$B$3:$B$1002,"&lt;="&amp;$B$6))),"")</f>
        <v>50000</v>
      </c>
      <c r="AQ12" s="243">
        <f>iferror(IF(AO12="Ações Americanas", HLOOKUP(AN12,'Histórico'!$A$1:$DD$990,MATCH($B$6,'Histórico'!$A:$A),FALSE)*HLOOKUP("PTAX",'Histórico'!$A$1:$FG$983,MATCH($B$6,'Histórico'!$A:$A),FALSE),IF(AO12="Ações Europeias", HLOOKUP(AN12,'Histórico'!$A$1:$DD$990,MATCH($B$6,'Histórico'!$A:$A),FALSE)*HLOOKUP("EUR/BRL",'Histórico'!$A$1:$FG$983,MATCH($B$6,'Histórico'!$A:$A),FALSE),  HLOOKUP(AN12,'Histórico'!$A$1:$DD$990,MATCH($B$6,'Histórico'!$A:$A),FALSE))),"")</f>
        <v>124.3403869</v>
      </c>
      <c r="AR12" s="243">
        <f t="shared" si="18"/>
        <v>6217019.347</v>
      </c>
      <c r="AS12" s="53"/>
      <c r="AT12" s="242" t="str">
        <f>IFERROR(__xludf.DUMMYFUNCTION("""COMPUTED_VALUE"""),"RDOR3")</f>
        <v>RDOR3</v>
      </c>
      <c r="AU12" s="242" t="str">
        <f>IF(ISTEXT(AT12),VLOOKUP(AT12,'Cadastro dos Ativos'!$A$2:$C$1000,3,0),"")</f>
        <v>Ações Listadas na B3</v>
      </c>
      <c r="AV12" s="242">
        <f>IF(AT12 &lt;&gt; "",IF(AU12="Futuros", (SUMIFS('Alocação'!$O$3:$O$1002,'Alocação'!$C$3:$C$1002,AT12,'Alocação'!$F$3:$F$1002,AT$9,'Alocação'!$B$3:$B$1002,"&lt;="&amp;$B$4)), (SUMIFS('Alocação'!$O$3:$O$1002,'Alocação'!$C$3:$C$1002,AT12,'Alocação'!$F$3:$F$1002,AT$9,'Alocação'!$B$3:$B$1002,"&lt;="&amp;$B$6))),"")</f>
        <v>355000</v>
      </c>
      <c r="AW12" s="243">
        <f>iferror(IF(AU12="Ações Americanas", HLOOKUP(AT12,'Histórico'!$A$1:$DD$990,MATCH($B$6,'Histórico'!$A:$A),FALSE)*HLOOKUP("PTAX",'Histórico'!$A$1:$FG$983,MATCH($B$6,'Histórico'!$A:$A),FALSE),IF(AU12="Ações Europeias", HLOOKUP(AT12,'Histórico'!$A$1:$DD$990,MATCH($B$6,'Histórico'!$A:$A),FALSE)*HLOOKUP("EUR/BRL",'Histórico'!$A$1:$FG$983,MATCH($B$6,'Histórico'!$A:$A),FALSE),  HLOOKUP(AT12,'Histórico'!$A$1:$DD$990,MATCH($B$6,'Histórico'!$A:$A),FALSE))),"")</f>
        <v>28.86000061</v>
      </c>
      <c r="AX12" s="243">
        <f t="shared" si="19"/>
        <v>10245300.22</v>
      </c>
      <c r="AY12" s="183"/>
    </row>
    <row r="13" ht="15.75" customHeight="1">
      <c r="A13" s="176"/>
      <c r="B13" s="232">
        <v>45008.0</v>
      </c>
      <c r="C13" s="233">
        <v>1.001347009952085E8</v>
      </c>
      <c r="D13" s="233">
        <v>1.001347121852081E8</v>
      </c>
      <c r="E13" s="234"/>
      <c r="F13" s="233">
        <v>1.001347009952085E8</v>
      </c>
      <c r="G13" s="233">
        <v>1.001347121852081E8</v>
      </c>
      <c r="H13" s="234"/>
      <c r="I13" s="233">
        <v>1.001347009952085E8</v>
      </c>
      <c r="J13" s="233">
        <v>1.001347121852081E8</v>
      </c>
      <c r="K13" s="234"/>
      <c r="L13" s="233">
        <f t="shared" si="8"/>
        <v>100129441.7</v>
      </c>
      <c r="M13" s="233">
        <v>1.00134699372226E8</v>
      </c>
      <c r="N13" s="240">
        <f t="shared" si="9"/>
        <v>0.0004488074116</v>
      </c>
      <c r="O13" s="240">
        <f t="shared" si="10"/>
        <v>0.0004488074116</v>
      </c>
      <c r="P13" s="240">
        <f t="shared" si="11"/>
        <v>0.0004488074116</v>
      </c>
      <c r="Q13" s="240">
        <f t="shared" si="12"/>
        <v>0.000431286459</v>
      </c>
      <c r="R13" s="236">
        <f t="shared" si="13"/>
        <v>100.1471832</v>
      </c>
      <c r="S13" s="177"/>
      <c r="T13" s="233">
        <f t="shared" ref="T13:U13" si="20">IF(AND(C13&lt;&gt;"",F13&lt;&gt;"",I13&lt;&gt;""), SUM(I13,F13,C13,L13),"")</f>
        <v>400533544.7</v>
      </c>
      <c r="U13" s="233">
        <f t="shared" si="20"/>
        <v>400538835.9</v>
      </c>
      <c r="V13" s="233">
        <f t="shared" si="6"/>
        <v>100.1333862</v>
      </c>
      <c r="W13" s="241">
        <f t="shared" si="15"/>
        <v>0.0004444272884</v>
      </c>
      <c r="X13" s="241">
        <f t="shared" si="16"/>
        <v>0</v>
      </c>
      <c r="Y13" s="233"/>
      <c r="Z13" s="233">
        <f t="shared" si="7"/>
        <v>100.1471832</v>
      </c>
      <c r="AA13" s="165"/>
      <c r="AB13" s="242" t="str">
        <f>IFERROR(__xludf.DUMMYFUNCTION("""COMPUTED_VALUE"""),"DOL-V23")</f>
        <v>DOL-V23</v>
      </c>
      <c r="AC13" s="242" t="str">
        <f>IF(ISTEXT(AB13),VLOOKUP(AB13,'Cadastro dos Ativos'!$A$2:$C$1000,3,0),"")</f>
        <v>Futuros</v>
      </c>
      <c r="AD13" s="242">
        <f>IF(AB13 &lt;&gt; "",IF(AC13="Futuros", (SUMIFS('Alocação'!$O$3:$O$1002,'Alocação'!$C$3:$C$1002,AB13,'Alocação'!$F$3:$F$1002,AB$9,'Alocação'!$B$3:$B$1002,"&lt;="&amp;$B$4)), (SUMIFS('Alocação'!$O$3:$O$1002,'Alocação'!$C$3:$C$1002,AB13,'Alocação'!$F$3:$F$1002,AB$9,'Alocação'!$B$3:$B$1002,"&lt;="&amp;$B$6))),"")</f>
        <v>0</v>
      </c>
      <c r="AE13" s="243">
        <f>iferror(IF(AC13="Ações Americanas", HLOOKUP(AB13,'Histórico'!$A$1:$DD$990,MATCH($B$6,'Histórico'!$A:$A),FALSE)*HLOOKUP("PTAX",'Histórico'!$A$1:$FG$983,MATCH($B$6,'Histórico'!$A:$A),FALSE),IF(AC13="Ações Europeias", HLOOKUP(AB13,'Histórico'!$A$1:$DD$990,MATCH($B$6,'Histórico'!$A:$A),FALSE)*HLOOKUP("EUR/BRL",'Histórico'!$A$1:$FG$983,MATCH($B$6,'Histórico'!$A:$A),FALSE), HLOOKUP(AB13,'Histórico'!$A$1:$DD$990,MATCH($B$6,'Histórico'!$A:$A),FALSE))),"")</f>
        <v>-773.75</v>
      </c>
      <c r="AF13" s="243">
        <f t="shared" si="21"/>
        <v>0</v>
      </c>
      <c r="AG13" s="53"/>
      <c r="AH13" s="242" t="str">
        <f>IFERROR(__xludf.DUMMYFUNCTION("""COMPUTED_VALUE"""),"CNH-V23")</f>
        <v>CNH-V23</v>
      </c>
      <c r="AI13" s="242" t="str">
        <f>IF(ISTEXT(AH13),VLOOKUP(AH13,'Cadastro dos Ativos'!$A$2:$C$1000,3,0),"")</f>
        <v>Futuros</v>
      </c>
      <c r="AJ13" s="242">
        <f>IF(AH13 &lt;&gt; "",IF(AI13="Futuros", (SUMIFS('Alocação'!$O$3:$O$1002,'Alocação'!$C$3:$C$1002,AH13,'Alocação'!$F$3:$F$1002,AH$9,'Alocação'!$B$3:$B$1002,"&lt;="&amp;$B$4)), (SUMIFS('Alocação'!$O$3:$O$1002,'Alocação'!$C$3:$C$1002,AH13,'Alocação'!$F$3:$F$1002,AH$9,'Alocação'!$B$3:$B$1002,"&lt;="&amp;$B$6))),"")</f>
        <v>600</v>
      </c>
      <c r="AK13" s="243">
        <f>iferror(IF(AI13="Ações Americanas", HLOOKUP(AH13,'Histórico'!$A$1:$DD$990,MATCH($B$6,'Histórico'!$A:$A),FALSE)*HLOOKUP("PTAX",'Histórico'!$A$1:$FG$983,MATCH($B$6,'Histórico'!$A:$A),FALSE),IF(AI13="Ações Europeias", HLOOKUP(AH13,'Histórico'!$A$1:$DD$990,MATCH($B$6,'Histórico'!$A:$A),FALSE)*HLOOKUP("EUR/BRL",'Histórico'!$A$1:$FG$983,MATCH($B$6,'Histórico'!$A:$A),FALSE),  HLOOKUP(AH13,'Histórico'!$A$1:$DD$990,MATCH($B$6,'Histórico'!$A:$A),FALSE))),"")</f>
        <v>-25.85</v>
      </c>
      <c r="AL13" s="243">
        <f t="shared" si="17"/>
        <v>-15510</v>
      </c>
      <c r="AM13" s="53"/>
      <c r="AN13" s="242" t="str">
        <f>IFERROR(__xludf.DUMMYFUNCTION("""COMPUTED_VALUE"""),"XLP")</f>
        <v>XLP</v>
      </c>
      <c r="AO13" s="242" t="str">
        <f>IF(ISTEXT(AN13),VLOOKUP(AN13,'Cadastro dos Ativos'!$A$2:$C$1000,3,0),"")</f>
        <v>Ações Americanas</v>
      </c>
      <c r="AP13" s="242">
        <f>IF(AN13 &lt;&gt; "",IF(AO13="Futuros", (SUMIFS('Alocação'!$O$3:$O$1002,'Alocação'!$C$3:$C$1002,AN13,'Alocação'!$F$3:$F$1002,AN$9,'Alocação'!$B$3:$B$1002,"&lt;="&amp;$B$4)), (SUMIFS('Alocação'!$O$3:$O$1002,'Alocação'!$C$3:$C$1002,AN13,'Alocação'!$F$3:$F$1002,AN$9,'Alocação'!$B$3:$B$1002,"&lt;="&amp;$B$6))),"")</f>
        <v>30000</v>
      </c>
      <c r="AQ13" s="243">
        <f>iferror(IF(AO13="Ações Americanas", HLOOKUP(AN13,'Histórico'!$A$1:$DD$990,MATCH($B$6,'Histórico'!$A:$A),FALSE)*HLOOKUP("PTAX",'Histórico'!$A$1:$FG$983,MATCH($B$6,'Histórico'!$A:$A),FALSE),IF(AO13="Ações Europeias", HLOOKUP(AN13,'Histórico'!$A$1:$DD$990,MATCH($B$6,'Histórico'!$A:$A),FALSE)*HLOOKUP("EUR/BRL",'Histórico'!$A$1:$FG$983,MATCH($B$6,'Histórico'!$A:$A),FALSE),  HLOOKUP(AN13,'Histórico'!$A$1:$DD$990,MATCH($B$6,'Histórico'!$A:$A),FALSE))),"")</f>
        <v>357.3671435</v>
      </c>
      <c r="AR13" s="243">
        <f t="shared" si="18"/>
        <v>10721014.31</v>
      </c>
      <c r="AS13" s="53"/>
      <c r="AT13" s="242" t="str">
        <f>IFERROR(__xludf.DUMMYFUNCTION("""COMPUTED_VALUE"""),"VIVA3")</f>
        <v>VIVA3</v>
      </c>
      <c r="AU13" s="242" t="str">
        <f>IF(ISTEXT(AT13),VLOOKUP(AT13,'Cadastro dos Ativos'!$A$2:$C$1000,3,0),"")</f>
        <v>Ações Listadas na B3</v>
      </c>
      <c r="AV13" s="242">
        <f>IF(AT13 &lt;&gt; "",IF(AU13="Futuros", (SUMIFS('Alocação'!$O$3:$O$1002,'Alocação'!$C$3:$C$1002,AT13,'Alocação'!$F$3:$F$1002,AT$9,'Alocação'!$B$3:$B$1002,"&lt;="&amp;$B$4)), (SUMIFS('Alocação'!$O$3:$O$1002,'Alocação'!$C$3:$C$1002,AT13,'Alocação'!$F$3:$F$1002,AT$9,'Alocação'!$B$3:$B$1002,"&lt;="&amp;$B$6))),"")</f>
        <v>410000</v>
      </c>
      <c r="AW13" s="243">
        <f>iferror(IF(AU13="Ações Americanas", HLOOKUP(AT13,'Histórico'!$A$1:$DD$990,MATCH($B$6,'Histórico'!$A:$A),FALSE)*HLOOKUP("PTAX",'Histórico'!$A$1:$FG$983,MATCH($B$6,'Histórico'!$A:$A),FALSE),IF(AU13="Ações Europeias", HLOOKUP(AT13,'Histórico'!$A$1:$DD$990,MATCH($B$6,'Histórico'!$A:$A),FALSE)*HLOOKUP("EUR/BRL",'Histórico'!$A$1:$FG$983,MATCH($B$6,'Histórico'!$A:$A),FALSE),  HLOOKUP(AT13,'Histórico'!$A$1:$DD$990,MATCH($B$6,'Histórico'!$A:$A),FALSE))),"")</f>
        <v>28.32999992</v>
      </c>
      <c r="AX13" s="243">
        <f t="shared" si="19"/>
        <v>11615299.97</v>
      </c>
      <c r="AY13" s="183"/>
    </row>
    <row r="14" ht="15.75" customHeight="1">
      <c r="A14" s="176"/>
      <c r="B14" s="232">
        <v>45009.0</v>
      </c>
      <c r="C14" s="233">
        <v>1.001796522901236E8</v>
      </c>
      <c r="D14" s="233">
        <v>1.001796522901236E8</v>
      </c>
      <c r="E14" s="234"/>
      <c r="F14" s="233">
        <v>1.001796522901236E8</v>
      </c>
      <c r="G14" s="233">
        <v>1.001796522901236E8</v>
      </c>
      <c r="H14" s="234"/>
      <c r="I14" s="233">
        <v>1.001796522901236E8</v>
      </c>
      <c r="J14" s="233">
        <v>1.001796522901236E8</v>
      </c>
      <c r="K14" s="234"/>
      <c r="L14" s="233">
        <f t="shared" si="8"/>
        <v>100172626.2</v>
      </c>
      <c r="M14" s="233">
        <v>1.001796394707299E8</v>
      </c>
      <c r="N14" s="240">
        <f t="shared" si="9"/>
        <v>0.0004489082653</v>
      </c>
      <c r="O14" s="240">
        <f t="shared" si="10"/>
        <v>0.0004489082653</v>
      </c>
      <c r="P14" s="240">
        <f t="shared" si="11"/>
        <v>0.0004489082653</v>
      </c>
      <c r="Q14" s="240">
        <f t="shared" si="12"/>
        <v>0.000431286459</v>
      </c>
      <c r="R14" s="236">
        <f t="shared" si="13"/>
        <v>100.1962923</v>
      </c>
      <c r="S14" s="177"/>
      <c r="T14" s="233">
        <f t="shared" ref="T14:U14" si="22">IF(AND(C14&lt;&gt;"",F14&lt;&gt;"",I14&lt;&gt;""), SUM(I14,F14,C14,L14),"")</f>
        <v>400711583.1</v>
      </c>
      <c r="U14" s="233">
        <f t="shared" si="22"/>
        <v>400718596.3</v>
      </c>
      <c r="V14" s="233">
        <f t="shared" si="6"/>
        <v>100.1778958</v>
      </c>
      <c r="W14" s="241">
        <f t="shared" si="15"/>
        <v>0.0004445029872</v>
      </c>
      <c r="X14" s="241">
        <f t="shared" si="16"/>
        <v>0</v>
      </c>
      <c r="Y14" s="233"/>
      <c r="Z14" s="233">
        <f t="shared" si="7"/>
        <v>100.1962923</v>
      </c>
      <c r="AA14" s="165"/>
      <c r="AB14" s="242" t="str">
        <f>IFERROR(__xludf.DUMMYFUNCTION("""COMPUTED_VALUE"""),"DI1-F25")</f>
        <v>DI1-F25</v>
      </c>
      <c r="AC14" s="242" t="str">
        <f>IF(ISTEXT(AB14),VLOOKUP(AB14,'Cadastro dos Ativos'!$A$2:$C$1000,3,0),"")</f>
        <v>Futuros</v>
      </c>
      <c r="AD14" s="242">
        <f>IF(AB14 &lt;&gt; "",IF(AC14="Futuros", (SUMIFS('Alocação'!$O$3:$O$1002,'Alocação'!$C$3:$C$1002,AB14,'Alocação'!$F$3:$F$1002,AB$9,'Alocação'!$B$3:$B$1002,"&lt;="&amp;$B$4)), (SUMIFS('Alocação'!$O$3:$O$1002,'Alocação'!$C$3:$C$1002,AB14,'Alocação'!$F$3:$F$1002,AB$9,'Alocação'!$B$3:$B$1002,"&lt;="&amp;$B$6))),"")</f>
        <v>0</v>
      </c>
      <c r="AE14" s="243">
        <f>iferror(IF(AC14="Ações Americanas", HLOOKUP(AB14,'Histórico'!$A$1:$DD$990,MATCH($B$6,'Histórico'!$A:$A),FALSE)*HLOOKUP("PTAX",'Histórico'!$A$1:$FG$983,MATCH($B$6,'Histórico'!$A:$A),FALSE),IF(AC14="Ações Europeias", HLOOKUP(AB14,'Histórico'!$A$1:$DD$990,MATCH($B$6,'Histórico'!$A:$A),FALSE)*HLOOKUP("EUR/BRL",'Histórico'!$A$1:$FG$983,MATCH($B$6,'Histórico'!$A:$A),FALSE), HLOOKUP(AB14,'Histórico'!$A$1:$DD$990,MATCH($B$6,'Histórico'!$A:$A),FALSE))),"")</f>
        <v>-63.9</v>
      </c>
      <c r="AF14" s="243">
        <f t="shared" si="21"/>
        <v>0</v>
      </c>
      <c r="AG14" s="53"/>
      <c r="AH14" s="242" t="str">
        <f>IFERROR(__xludf.DUMMYFUNCTION("""COMPUTED_VALUE"""),"DI1-J24")</f>
        <v>DI1-J24</v>
      </c>
      <c r="AI14" s="242" t="str">
        <f>IF(ISTEXT(AH14),VLOOKUP(AH14,'Cadastro dos Ativos'!$A$2:$C$1000,3,0),"")</f>
        <v>Futuros</v>
      </c>
      <c r="AJ14" s="242">
        <f>IF(AH14 &lt;&gt; "",IF(AI14="Futuros", (SUMIFS('Alocação'!$O$3:$O$1002,'Alocação'!$C$3:$C$1002,AH14,'Alocação'!$F$3:$F$1002,AH$9,'Alocação'!$B$3:$B$1002,"&lt;="&amp;$B$4)), (SUMIFS('Alocação'!$O$3:$O$1002,'Alocação'!$C$3:$C$1002,AH14,'Alocação'!$F$3:$F$1002,AH$9,'Alocação'!$B$3:$B$1002,"&lt;="&amp;$B$6))),"")</f>
        <v>300</v>
      </c>
      <c r="AK14" s="243">
        <f>iferror(IF(AI14="Ações Americanas", HLOOKUP(AH14,'Histórico'!$A$1:$DD$990,MATCH($B$6,'Histórico'!$A:$A),FALSE)*HLOOKUP("PTAX",'Histórico'!$A$1:$FG$983,MATCH($B$6,'Histórico'!$A:$A),FALSE),IF(AI14="Ações Europeias", HLOOKUP(AH14,'Histórico'!$A$1:$DD$990,MATCH($B$6,'Histórico'!$A:$A),FALSE)*HLOOKUP("EUR/BRL",'Histórico'!$A$1:$FG$983,MATCH($B$6,'Histórico'!$A:$A),FALSE),  HLOOKUP(AH14,'Histórico'!$A$1:$DD$990,MATCH($B$6,'Histórico'!$A:$A),FALSE))),"")</f>
        <v>-9.53</v>
      </c>
      <c r="AL14" s="243">
        <f t="shared" si="17"/>
        <v>-2859</v>
      </c>
      <c r="AM14" s="53"/>
      <c r="AN14" s="242" t="str">
        <f>IFERROR(__xludf.DUMMYFUNCTION("""COMPUTED_VALUE"""),"NKE")</f>
        <v>NKE</v>
      </c>
      <c r="AO14" s="242" t="str">
        <f>IF(ISTEXT(AN14),VLOOKUP(AN14,'Cadastro dos Ativos'!$A$2:$C$1000,3,0),"")</f>
        <v>Ações Americanas</v>
      </c>
      <c r="AP14" s="242">
        <f>IF(AN14 &lt;&gt; "",IF(AO14="Futuros", (SUMIFS('Alocação'!$O$3:$O$1002,'Alocação'!$C$3:$C$1002,AN14,'Alocação'!$F$3:$F$1002,AN$9,'Alocação'!$B$3:$B$1002,"&lt;="&amp;$B$4)), (SUMIFS('Alocação'!$O$3:$O$1002,'Alocação'!$C$3:$C$1002,AN14,'Alocação'!$F$3:$F$1002,AN$9,'Alocação'!$B$3:$B$1002,"&lt;="&amp;$B$6))),"")</f>
        <v>11000</v>
      </c>
      <c r="AQ14" s="243">
        <f>iferror(IF(AO14="Ações Americanas", HLOOKUP(AN14,'Histórico'!$A$1:$DD$990,MATCH($B$6,'Histórico'!$A:$A),FALSE)*HLOOKUP("PTAX",'Histórico'!$A$1:$FG$983,MATCH($B$6,'Histórico'!$A:$A),FALSE),IF(AO14="Ações Europeias", HLOOKUP(AN14,'Histórico'!$A$1:$DD$990,MATCH($B$6,'Histórico'!$A:$A),FALSE)*HLOOKUP("EUR/BRL",'Histórico'!$A$1:$FG$983,MATCH($B$6,'Histórico'!$A:$A),FALSE),  HLOOKUP(AN14,'Histórico'!$A$1:$DD$990,MATCH($B$6,'Histórico'!$A:$A),FALSE))),"")</f>
        <v>507.0709916</v>
      </c>
      <c r="AR14" s="243">
        <f t="shared" si="18"/>
        <v>5577780.908</v>
      </c>
      <c r="AS14" s="53"/>
      <c r="AT14" s="242" t="str">
        <f>IFERROR(__xludf.DUMMYFUNCTION("""COMPUTED_VALUE"""),"PETZ3")</f>
        <v>PETZ3</v>
      </c>
      <c r="AU14" s="242" t="str">
        <f>IF(ISTEXT(AT14),VLOOKUP(AT14,'Cadastro dos Ativos'!$A$2:$C$1000,3,0),"")</f>
        <v>Ações Listadas na B3</v>
      </c>
      <c r="AV14" s="242">
        <f>IF(AT14 &lt;&gt; "",IF(AU14="Futuros", (SUMIFS('Alocação'!$O$3:$O$1002,'Alocação'!$C$3:$C$1002,AT14,'Alocação'!$F$3:$F$1002,AT$9,'Alocação'!$B$3:$B$1002,"&lt;="&amp;$B$4)), (SUMIFS('Alocação'!$O$3:$O$1002,'Alocação'!$C$3:$C$1002,AT14,'Alocação'!$F$3:$F$1002,AT$9,'Alocação'!$B$3:$B$1002,"&lt;="&amp;$B$6))),"")</f>
        <v>1360000</v>
      </c>
      <c r="AW14" s="243">
        <f>iferror(IF(AU14="Ações Americanas", HLOOKUP(AT14,'Histórico'!$A$1:$DD$990,MATCH($B$6,'Histórico'!$A:$A),FALSE)*HLOOKUP("PTAX",'Histórico'!$A$1:$FG$983,MATCH($B$6,'Histórico'!$A:$A),FALSE),IF(AU14="Ações Europeias", HLOOKUP(AT14,'Histórico'!$A$1:$DD$990,MATCH($B$6,'Histórico'!$A:$A),FALSE)*HLOOKUP("EUR/BRL",'Histórico'!$A$1:$FG$983,MATCH($B$6,'Histórico'!$A:$A),FALSE),  HLOOKUP(AT14,'Histórico'!$A$1:$DD$990,MATCH($B$6,'Histórico'!$A:$A),FALSE))),"")</f>
        <v>5.75</v>
      </c>
      <c r="AX14" s="243">
        <f t="shared" si="19"/>
        <v>7820000</v>
      </c>
      <c r="AY14" s="183"/>
    </row>
    <row r="15" ht="15.75" customHeight="1">
      <c r="A15" s="176"/>
      <c r="B15" s="232">
        <v>45012.0</v>
      </c>
      <c r="C15" s="233">
        <v>1.002246125633379E8</v>
      </c>
      <c r="D15" s="233">
        <v>1.002246125633379E8</v>
      </c>
      <c r="E15" s="234"/>
      <c r="F15" s="233">
        <v>1.002246125633379E8</v>
      </c>
      <c r="G15" s="233">
        <v>1.002246125633379E8</v>
      </c>
      <c r="H15" s="234"/>
      <c r="I15" s="233">
        <v>1.002246125633379E8</v>
      </c>
      <c r="J15" s="233">
        <v>1.002246125633379E8</v>
      </c>
      <c r="K15" s="234"/>
      <c r="L15" s="233">
        <f t="shared" si="8"/>
        <v>100215829.3</v>
      </c>
      <c r="M15" s="233">
        <v>1.002245997381909E8</v>
      </c>
      <c r="N15" s="240">
        <f t="shared" si="9"/>
        <v>0.000448796459</v>
      </c>
      <c r="O15" s="240">
        <f t="shared" si="10"/>
        <v>0.000448796459</v>
      </c>
      <c r="P15" s="240">
        <f t="shared" si="11"/>
        <v>0.000448796459</v>
      </c>
      <c r="Q15" s="240">
        <f t="shared" si="12"/>
        <v>0.000431286459</v>
      </c>
      <c r="R15" s="236">
        <f t="shared" si="13"/>
        <v>100.2454256</v>
      </c>
      <c r="S15" s="177"/>
      <c r="T15" s="233">
        <f t="shared" ref="T15:U15" si="23">IF(AND(C15&lt;&gt;"",F15&lt;&gt;"",I15&lt;&gt;""), SUM(I15,F15,C15,L15),"")</f>
        <v>400889667</v>
      </c>
      <c r="U15" s="233">
        <f t="shared" si="23"/>
        <v>400898437.4</v>
      </c>
      <c r="V15" s="233">
        <f t="shared" si="6"/>
        <v>100.2224168</v>
      </c>
      <c r="W15" s="241">
        <f t="shared" si="15"/>
        <v>0.0004444191893</v>
      </c>
      <c r="X15" s="241">
        <f t="shared" si="16"/>
        <v>0</v>
      </c>
      <c r="Y15" s="241">
        <f t="shared" ref="Y15:Y242" si="25">IF(W15&lt;&gt;"", STDEV(W11:W15),"")</f>
        <v>0.00000003636895487</v>
      </c>
      <c r="Z15" s="233">
        <f t="shared" si="7"/>
        <v>100.2454256</v>
      </c>
      <c r="AA15" s="165"/>
      <c r="AB15" s="242" t="str">
        <f>IFERROR(__xludf.DUMMYFUNCTION("""COMPUTED_VALUE"""),"DI1-F29")</f>
        <v>DI1-F29</v>
      </c>
      <c r="AC15" s="242" t="str">
        <f>IF(ISTEXT(AB15),VLOOKUP(AB15,'Cadastro dos Ativos'!$A$2:$C$1000,3,0),"")</f>
        <v>Futuros</v>
      </c>
      <c r="AD15" s="242">
        <f>IF(AB15 &lt;&gt; "",IF(AC15="Futuros", (SUMIFS('Alocação'!$O$3:$O$1002,'Alocação'!$C$3:$C$1002,AB15,'Alocação'!$F$3:$F$1002,AB$9,'Alocação'!$B$3:$B$1002,"&lt;="&amp;$B$4)), (SUMIFS('Alocação'!$O$3:$O$1002,'Alocação'!$C$3:$C$1002,AB15,'Alocação'!$F$3:$F$1002,AB$9,'Alocação'!$B$3:$B$1002,"&lt;="&amp;$B$6))),"")</f>
        <v>0</v>
      </c>
      <c r="AE15" s="243">
        <f>iferror(IF(AC15="Ações Americanas", HLOOKUP(AB15,'Histórico'!$A$1:$DD$990,MATCH($B$6,'Histórico'!$A:$A),FALSE)*HLOOKUP("PTAX",'Histórico'!$A$1:$FG$983,MATCH($B$6,'Histórico'!$A:$A),FALSE),IF(AC15="Ações Europeias", HLOOKUP(AB15,'Histórico'!$A$1:$DD$990,MATCH($B$6,'Histórico'!$A:$A),FALSE)*HLOOKUP("EUR/BRL",'Histórico'!$A$1:$FG$983,MATCH($B$6,'Histórico'!$A:$A),FALSE), HLOOKUP(AB15,'Histórico'!$A$1:$DD$990,MATCH($B$6,'Histórico'!$A:$A),FALSE))),"")</f>
        <v>39.66</v>
      </c>
      <c r="AF15" s="243">
        <f t="shared" si="21"/>
        <v>0</v>
      </c>
      <c r="AG15" s="53"/>
      <c r="AH15" s="242" t="str">
        <f>IFERROR(__xludf.DUMMYFUNCTION("""COMPUTED_VALUE"""),"DI1-F24")</f>
        <v>DI1-F24</v>
      </c>
      <c r="AI15" s="242" t="str">
        <f>IF(ISTEXT(AH15),VLOOKUP(AH15,'Cadastro dos Ativos'!$A$2:$C$1000,3,0),"")</f>
        <v>Futuros</v>
      </c>
      <c r="AJ15" s="242">
        <f>IF(AH15 &lt;&gt; "",IF(AI15="Futuros", (SUMIFS('Alocação'!$O$3:$O$1002,'Alocação'!$C$3:$C$1002,AH15,'Alocação'!$F$3:$F$1002,AH$9,'Alocação'!$B$3:$B$1002,"&lt;="&amp;$B$4)), (SUMIFS('Alocação'!$O$3:$O$1002,'Alocação'!$C$3:$C$1002,AH15,'Alocação'!$F$3:$F$1002,AH$9,'Alocação'!$B$3:$B$1002,"&lt;="&amp;$B$6))),"")</f>
        <v>-280</v>
      </c>
      <c r="AK15" s="243">
        <f>iferror(IF(AI15="Ações Americanas", HLOOKUP(AH15,'Histórico'!$A$1:$DD$990,MATCH($B$6,'Histórico'!$A:$A),FALSE)*HLOOKUP("PTAX",'Histórico'!$A$1:$FG$983,MATCH($B$6,'Histórico'!$A:$A),FALSE),IF(AI15="Ações Europeias", HLOOKUP(AH15,'Histórico'!$A$1:$DD$990,MATCH($B$6,'Histórico'!$A:$A),FALSE)*HLOOKUP("EUR/BRL",'Histórico'!$A$1:$FG$983,MATCH($B$6,'Histórico'!$A:$A),FALSE),  HLOOKUP(AH15,'Histórico'!$A$1:$DD$990,MATCH($B$6,'Histórico'!$A:$A),FALSE))),"")</f>
        <v>-0.63</v>
      </c>
      <c r="AL15" s="243">
        <f t="shared" si="17"/>
        <v>176.4</v>
      </c>
      <c r="AM15" s="53"/>
      <c r="AN15" s="242" t="str">
        <f>IFERROR(__xludf.DUMMYFUNCTION("""COMPUTED_VALUE"""),"SJC-F24")</f>
        <v>SJC-F24</v>
      </c>
      <c r="AO15" s="242" t="str">
        <f>IF(ISTEXT(AN15),VLOOKUP(AN15,'Cadastro dos Ativos'!$A$2:$C$1000,3,0),"")</f>
        <v>Futuros</v>
      </c>
      <c r="AP15" s="242">
        <f>IF(AN15 &lt;&gt; "",IF(AO15="Futuros", (SUMIFS('Alocação'!$O$3:$O$1002,'Alocação'!$C$3:$C$1002,AN15,'Alocação'!$F$3:$F$1002,AN$9,'Alocação'!$B$3:$B$1002,"&lt;="&amp;$B$4)), (SUMIFS('Alocação'!$O$3:$O$1002,'Alocação'!$C$3:$C$1002,AN15,'Alocação'!$F$3:$F$1002,AN$9,'Alocação'!$B$3:$B$1002,"&lt;="&amp;$B$6))),"")</f>
        <v>120</v>
      </c>
      <c r="AQ15" s="243">
        <f>iferror(IF(AO15="Ações Americanas", HLOOKUP(AN15,'Histórico'!$A$1:$DD$990,MATCH($B$6,'Histórico'!$A:$A),FALSE)*HLOOKUP("PTAX",'Histórico'!$A$1:$FG$983,MATCH($B$6,'Histórico'!$A:$A),FALSE),IF(AO15="Ações Europeias", HLOOKUP(AN15,'Histórico'!$A$1:$DD$990,MATCH($B$6,'Histórico'!$A:$A),FALSE)*HLOOKUP("EUR/BRL",'Histórico'!$A$1:$FG$983,MATCH($B$6,'Histórico'!$A:$A),FALSE),  HLOOKUP(AN15,'Histórico'!$A$1:$DD$990,MATCH($B$6,'Histórico'!$A:$A),FALSE))),"")</f>
        <v>36.63</v>
      </c>
      <c r="AR15" s="243">
        <f t="shared" si="18"/>
        <v>4395.6</v>
      </c>
      <c r="AS15" s="53"/>
      <c r="AT15" s="242"/>
      <c r="AU15" s="242"/>
      <c r="AV15" s="242" t="str">
        <f>IF(AT15 &lt;&gt; "",IF(AU15="Futuros", (SUMIFS('Alocação'!$O$3:$O$1002,'Alocação'!$C$3:$C$1002,AT15,'Alocação'!$F$3:$F$1002,AT$9,'Alocação'!$B$3:$B$1002,"&lt;="&amp;$B$4)), (SUMIFS('Alocação'!$O$3:$O$1002,'Alocação'!$C$3:$C$1002,AT15,'Alocação'!$F$3:$F$1002,AT$9,'Alocação'!$B$3:$B$1002,"&lt;="&amp;$B$6))),"")</f>
        <v/>
      </c>
      <c r="AW15" s="243"/>
      <c r="AX15" s="243"/>
      <c r="AY15" s="183"/>
    </row>
    <row r="16" ht="15.75" customHeight="1">
      <c r="A16" s="176"/>
      <c r="B16" s="232">
        <v>45013.0</v>
      </c>
      <c r="C16" s="233">
        <v>1.002695930145636E8</v>
      </c>
      <c r="D16" s="233">
        <v>1.002695930145636E8</v>
      </c>
      <c r="E16" s="234"/>
      <c r="F16" s="233">
        <v>1.002695930145636E8</v>
      </c>
      <c r="G16" s="233">
        <v>1.002695930145636E8</v>
      </c>
      <c r="H16" s="234"/>
      <c r="I16" s="233">
        <v>1.002695930145636E8</v>
      </c>
      <c r="J16" s="233">
        <v>1.002695930145636E8</v>
      </c>
      <c r="K16" s="234"/>
      <c r="L16" s="233">
        <f t="shared" si="8"/>
        <v>100259051</v>
      </c>
      <c r="M16" s="233">
        <v>1.002695801836607E8</v>
      </c>
      <c r="N16" s="240">
        <f t="shared" si="9"/>
        <v>0.000448796459</v>
      </c>
      <c r="O16" s="240">
        <f t="shared" si="10"/>
        <v>0.000448796459</v>
      </c>
      <c r="P16" s="240">
        <f t="shared" si="11"/>
        <v>0.000448796459</v>
      </c>
      <c r="Q16" s="240">
        <f t="shared" si="12"/>
        <v>0.000431286459</v>
      </c>
      <c r="R16" s="236">
        <f t="shared" si="13"/>
        <v>100.2945829</v>
      </c>
      <c r="S16" s="177"/>
      <c r="T16" s="233">
        <f t="shared" ref="T16:U16" si="24">IF(AND(C16&lt;&gt;"",F16&lt;&gt;"",I16&lt;&gt;""), SUM(I16,F16,C16,L16),"")</f>
        <v>401067830.1</v>
      </c>
      <c r="U16" s="233">
        <f t="shared" si="24"/>
        <v>401078359.2</v>
      </c>
      <c r="V16" s="233">
        <f t="shared" si="6"/>
        <v>100.2669575</v>
      </c>
      <c r="W16" s="241">
        <f t="shared" si="15"/>
        <v>0.0004444192468</v>
      </c>
      <c r="X16" s="241">
        <f t="shared" si="16"/>
        <v>0</v>
      </c>
      <c r="Y16" s="241">
        <f t="shared" si="25"/>
        <v>0.00000003618611753</v>
      </c>
      <c r="Z16" s="233">
        <f t="shared" si="7"/>
        <v>100.2945829</v>
      </c>
      <c r="AA16" s="165"/>
      <c r="AB16" s="242"/>
      <c r="AC16" s="242" t="str">
        <f>IF(ISTEXT(AB16),VLOOKUP(AB16,'Cadastro dos Ativos'!$A$2:$C$1000,3,0),"")</f>
        <v/>
      </c>
      <c r="AD16" s="242" t="str">
        <f>IF(AB16 &lt;&gt; "",IF(AC16="Futuros", (SUMIFS('Alocação'!$O$3:$O$1002,'Alocação'!$C$3:$C$1002,AB16,'Alocação'!$F$3:$F$1002,AB$9,'Alocação'!$B$3:$B$1002,"&lt;="&amp;$B$4)), (SUMIFS('Alocação'!$O$3:$O$1002,'Alocação'!$C$3:$C$1002,AB16,'Alocação'!$F$3:$F$1002,AB$9,'Alocação'!$B$3:$B$1002,"&lt;="&amp;$B$6))),"")</f>
        <v/>
      </c>
      <c r="AE16" s="243" t="str">
        <f>iferror(IF(AC16="Ações Americanas", HLOOKUP(AB16,'Histórico'!$A$1:$DD$990,MATCH($B$6,'Histórico'!$A:$A),FALSE)*HLOOKUP("PTAX",'Histórico'!$A$1:$FG$983,MATCH($B$6,'Histórico'!$A:$A),FALSE),IF(AC16="Ações Europeias", HLOOKUP(AB16,'Histórico'!$A$1:$DD$990,MATCH($B$6,'Histórico'!$A:$A),FALSE)*HLOOKUP("EUR/BRL",'Histórico'!$A$1:$FG$983,MATCH($B$6,'Histórico'!$A:$A),FALSE), HLOOKUP(AB16,'Histórico'!$A$1:$DD$990,MATCH($B$6,'Histórico'!$A:$A),FALSE))),"")</f>
        <v/>
      </c>
      <c r="AF16" s="243" t="str">
        <f t="shared" si="21"/>
        <v/>
      </c>
      <c r="AG16" s="53"/>
      <c r="AH16" s="242" t="str">
        <f>IFERROR(__xludf.DUMMYFUNCTION("""COMPUTED_VALUE"""),"T10-Z23")</f>
        <v>T10-Z23</v>
      </c>
      <c r="AI16" s="242" t="str">
        <f>IF(ISTEXT(AH16),VLOOKUP(AH16,'Cadastro dos Ativos'!$A$2:$C$1000,3,0),"")</f>
        <v>Futuros</v>
      </c>
      <c r="AJ16" s="242">
        <f>IF(AH16 &lt;&gt; "",IF(AI16="Futuros", (SUMIFS('Alocação'!$O$3:$O$1002,'Alocação'!$C$3:$C$1002,AH16,'Alocação'!$F$3:$F$1002,AH$9,'Alocação'!$B$3:$B$1002,"&lt;="&amp;$B$4)), (SUMIFS('Alocação'!$O$3:$O$1002,'Alocação'!$C$3:$C$1002,AH16,'Alocação'!$F$3:$F$1002,AH$9,'Alocação'!$B$3:$B$1002,"&lt;="&amp;$B$6))),"")</f>
        <v>50</v>
      </c>
      <c r="AK16" s="243">
        <f>iferror(IF(AI16="Ações Americanas", HLOOKUP(AH16,'Histórico'!$A$1:$DD$990,MATCH($B$6,'Histórico'!$A:$A),FALSE)*HLOOKUP("PTAX",'Histórico'!$A$1:$FG$983,MATCH($B$6,'Histórico'!$A:$A),FALSE),IF(AI16="Ações Europeias", HLOOKUP(AH16,'Histórico'!$A$1:$DD$990,MATCH($B$6,'Histórico'!$A:$A),FALSE)*HLOOKUP("EUR/BRL",'Histórico'!$A$1:$FG$983,MATCH($B$6,'Histórico'!$A:$A),FALSE),  HLOOKUP(AH16,'Histórico'!$A$1:$DD$990,MATCH($B$6,'Histórico'!$A:$A),FALSE))),"")</f>
        <v>-2234.59</v>
      </c>
      <c r="AL16" s="243">
        <f t="shared" si="17"/>
        <v>-111729.5</v>
      </c>
      <c r="AM16" s="53"/>
      <c r="AN16" s="242" t="str">
        <f>IFERROR(__xludf.DUMMYFUNCTION("""COMPUTED_VALUE"""),"BP")</f>
        <v>BP</v>
      </c>
      <c r="AO16" s="242" t="str">
        <f>IF(ISTEXT(AN16),VLOOKUP(AN16,'Cadastro dos Ativos'!$A$2:$C$1000,3,0),"")</f>
        <v>Ações Americanas</v>
      </c>
      <c r="AP16" s="242">
        <f>IF(AN16 &lt;&gt; "",IF(AO16="Futuros", (SUMIFS('Alocação'!$O$3:$O$1002,'Alocação'!$C$3:$C$1002,AN16,'Alocação'!$F$3:$F$1002,AN$9,'Alocação'!$B$3:$B$1002,"&lt;="&amp;$B$4)), (SUMIFS('Alocação'!$O$3:$O$1002,'Alocação'!$C$3:$C$1002,AN16,'Alocação'!$F$3:$F$1002,AN$9,'Alocação'!$B$3:$B$1002,"&lt;="&amp;$B$6))),"")</f>
        <v>30000</v>
      </c>
      <c r="AQ16" s="243">
        <f>iferror(IF(AO16="Ações Americanas", HLOOKUP(AN16,'Histórico'!$A$1:$DD$990,MATCH($B$6,'Histórico'!$A:$A),FALSE)*HLOOKUP("PTAX",'Histórico'!$A$1:$FG$983,MATCH($B$6,'Histórico'!$A:$A),FALSE),IF(AO16="Ações Europeias", HLOOKUP(AN16,'Histórico'!$A$1:$DD$990,MATCH($B$6,'Histórico'!$A:$A),FALSE)*HLOOKUP("EUR/BRL",'Histórico'!$A$1:$FG$983,MATCH($B$6,'Histórico'!$A:$A),FALSE),  HLOOKUP(AN16,'Histórico'!$A$1:$DD$990,MATCH($B$6,'Histórico'!$A:$A),FALSE))),"")</f>
        <v>188.888407</v>
      </c>
      <c r="AR16" s="243">
        <f t="shared" si="18"/>
        <v>5666652.209</v>
      </c>
      <c r="AS16" s="53"/>
      <c r="AT16" s="242"/>
      <c r="AU16" s="242" t="str">
        <f>IF(ISTEXT(AT16),VLOOKUP(AT16,'Cadastro dos Ativos'!$A$2:$C$1000,3,0),"")</f>
        <v/>
      </c>
      <c r="AV16" s="242" t="str">
        <f>IF(AT16 &lt;&gt; "",IF(AU16="Futuros", (SUMIFS('Alocação'!$O$3:$O$1002,'Alocação'!$C$3:$C$1002,AT16,'Alocação'!$F$3:$F$1002,AT$9,'Alocação'!$B$3:$B$1002,"&lt;="&amp;$B$4)), (SUMIFS('Alocação'!$O$3:$O$1002,'Alocação'!$C$3:$C$1002,AT16,'Alocação'!$F$3:$F$1002,AT$9,'Alocação'!$B$3:$B$1002,"&lt;="&amp;$B$6))),"")</f>
        <v/>
      </c>
      <c r="AW16" s="243" t="str">
        <f>iferror(IF(AU16="Ações Americanas", HLOOKUP(AT16,'Histórico'!$A$1:$DD$990,MATCH($B$6,'Histórico'!$A:$A),FALSE)*HLOOKUP("PTAX",'Histórico'!$A$1:$FG$983,MATCH($B$6,'Histórico'!$A:$A),FALSE),IF(AU16="Ações Europeias", HLOOKUP(AT16,'Histórico'!$A$1:$DD$990,MATCH($B$6,'Histórico'!$A:$A),FALSE)*HLOOKUP("EUR/BRL",'Histórico'!$A$1:$FG$983,MATCH($B$6,'Histórico'!$A:$A),FALSE),  HLOOKUP(AT16,'Histórico'!$A$1:$DD$990,MATCH($B$6,'Histórico'!$A:$A),FALSE))),"")</f>
        <v/>
      </c>
      <c r="AX16" s="243" t="str">
        <f t="shared" ref="AX16:AX221" si="27">IF(AV16&lt;&gt;"", AV16*AW16, "")</f>
        <v/>
      </c>
      <c r="AY16" s="183"/>
    </row>
    <row r="17" ht="15.75" customHeight="1">
      <c r="A17" s="176"/>
      <c r="B17" s="232">
        <v>45014.0</v>
      </c>
      <c r="C17" s="233">
        <v>1.003145936528565E8</v>
      </c>
      <c r="D17" s="233">
        <v>1.003145936528565E8</v>
      </c>
      <c r="E17" s="234"/>
      <c r="F17" s="233">
        <v>1.00330892424344E8</v>
      </c>
      <c r="G17" s="233">
        <v>1.00330892424344E8</v>
      </c>
      <c r="H17" s="234"/>
      <c r="I17" s="233">
        <v>1.003145936528565E8</v>
      </c>
      <c r="J17" s="233">
        <v>1.003145936528565E8</v>
      </c>
      <c r="K17" s="234"/>
      <c r="L17" s="233">
        <f t="shared" si="8"/>
        <v>100302291.4</v>
      </c>
      <c r="M17" s="233">
        <v>1.003145808161952E8</v>
      </c>
      <c r="N17" s="240">
        <f t="shared" si="9"/>
        <v>0.000448796459</v>
      </c>
      <c r="O17" s="240">
        <f t="shared" si="10"/>
        <v>0.0006113459518</v>
      </c>
      <c r="P17" s="240">
        <f t="shared" si="11"/>
        <v>0.000448796459</v>
      </c>
      <c r="Q17" s="240">
        <f t="shared" si="12"/>
        <v>0.000431286459</v>
      </c>
      <c r="R17" s="236">
        <f t="shared" si="13"/>
        <v>100.3437644</v>
      </c>
      <c r="S17" s="177"/>
      <c r="T17" s="233">
        <f t="shared" ref="T17:U17" si="26">IF(AND(C17&lt;&gt;"",F17&lt;&gt;"",I17&lt;&gt;""), SUM(I17,F17,C17,L17),"")</f>
        <v>401262371.1</v>
      </c>
      <c r="U17" s="233">
        <f t="shared" si="26"/>
        <v>401274660.5</v>
      </c>
      <c r="V17" s="233">
        <f t="shared" si="6"/>
        <v>100.3155928</v>
      </c>
      <c r="W17" s="241">
        <f t="shared" si="15"/>
        <v>0.0004850577456</v>
      </c>
      <c r="X17" s="241">
        <f t="shared" si="16"/>
        <v>0</v>
      </c>
      <c r="Y17" s="241">
        <f t="shared" si="25"/>
        <v>0.00001816386826</v>
      </c>
      <c r="Z17" s="233">
        <f t="shared" si="7"/>
        <v>100.3437644</v>
      </c>
      <c r="AA17" s="165"/>
      <c r="AB17" s="242"/>
      <c r="AC17" s="242" t="str">
        <f>IF(ISTEXT(AB17),VLOOKUP(AB17,'Cadastro dos Ativos'!$A$2:$C$1000,3,0),"")</f>
        <v/>
      </c>
      <c r="AD17" s="242" t="str">
        <f>IF(AB17 &lt;&gt; "",IF(AC17="Futuros", (SUMIFS('Alocação'!$O$3:$O$1002,'Alocação'!$C$3:$C$1002,AB17,'Alocação'!$F$3:$F$1002,AB$9,'Alocação'!$B$3:$B$1002,"&lt;="&amp;$B$4)), (SUMIFS('Alocação'!$O$3:$O$1002,'Alocação'!$C$3:$C$1002,AB17,'Alocação'!$F$3:$F$1002,AB$9,'Alocação'!$B$3:$B$1002,"&lt;="&amp;$B$6))),"")</f>
        <v/>
      </c>
      <c r="AE17" s="243" t="str">
        <f>iferror(IF(AC17="Ações Americanas", HLOOKUP(AB17,'Histórico'!$A$1:$DD$990,MATCH($B$6,'Histórico'!$A:$A),FALSE)*HLOOKUP("PTAX",'Histórico'!$A$1:$FG$983,MATCH($B$6,'Histórico'!$A:$A),FALSE),IF(AC17="Ações Europeias", HLOOKUP(AB17,'Histórico'!$A$1:$DD$990,MATCH($B$6,'Histórico'!$A:$A),FALSE)*HLOOKUP("EUR/BRL",'Histórico'!$A$1:$FG$983,MATCH($B$6,'Histórico'!$A:$A),FALSE), HLOOKUP(AB17,'Histórico'!$A$1:$DD$990,MATCH($B$6,'Histórico'!$A:$A),FALSE))),"")</f>
        <v/>
      </c>
      <c r="AF17" s="243" t="str">
        <f t="shared" si="21"/>
        <v/>
      </c>
      <c r="AG17" s="53"/>
      <c r="AH17" s="242" t="str">
        <f>IFERROR(__xludf.DUMMYFUNCTION("""COMPUTED_VALUE"""),"DOL-Z23")</f>
        <v>DOL-Z23</v>
      </c>
      <c r="AI17" s="242" t="str">
        <f>IF(ISTEXT(AH17),VLOOKUP(AH17,'Cadastro dos Ativos'!$A$2:$C$1000,3,0),"")</f>
        <v>Futuros</v>
      </c>
      <c r="AJ17" s="242">
        <f>IF(AH17 &lt;&gt; "",IF(AI17="Futuros", (SUMIFS('Alocação'!$O$3:$O$1002,'Alocação'!$C$3:$C$1002,AH17,'Alocação'!$F$3:$F$1002,AH$9,'Alocação'!$B$3:$B$1002,"&lt;="&amp;$B$4)), (SUMIFS('Alocação'!$O$3:$O$1002,'Alocação'!$C$3:$C$1002,AH17,'Alocação'!$F$3:$F$1002,AH$9,'Alocação'!$B$3:$B$1002,"&lt;="&amp;$B$6))),"")</f>
        <v>100</v>
      </c>
      <c r="AK17" s="243">
        <f>iferror(IF(AI17="Ações Americanas", HLOOKUP(AH17,'Histórico'!$A$1:$DD$990,MATCH($B$6,'Histórico'!$A:$A),FALSE)*HLOOKUP("PTAX",'Histórico'!$A$1:$FG$983,MATCH($B$6,'Histórico'!$A:$A),FALSE),IF(AI17="Ações Europeias", HLOOKUP(AH17,'Histórico'!$A$1:$DD$990,MATCH($B$6,'Histórico'!$A:$A),FALSE)*HLOOKUP("EUR/BRL",'Histórico'!$A$1:$FG$983,MATCH($B$6,'Histórico'!$A:$A),FALSE),  HLOOKUP(AH17,'Histórico'!$A$1:$DD$990,MATCH($B$6,'Histórico'!$A:$A),FALSE))),"")</f>
        <v>-772.5</v>
      </c>
      <c r="AL17" s="243">
        <f t="shared" si="17"/>
        <v>-77250</v>
      </c>
      <c r="AM17" s="53"/>
      <c r="AN17" s="242" t="str">
        <f>IFERROR(__xludf.DUMMYFUNCTION("""COMPUTED_VALUE"""),"IND-V23")</f>
        <v>IND-V23</v>
      </c>
      <c r="AO17" s="242" t="str">
        <f>IF(ISTEXT(AN17),VLOOKUP(AN17,'Cadastro dos Ativos'!$A$2:$C$1000,3,0),"")</f>
        <v>Futuros</v>
      </c>
      <c r="AP17" s="242">
        <f>IF(AN17 &lt;&gt; "",IF(AO17="Futuros", (SUMIFS('Alocação'!$O$3:$O$1002,'Alocação'!$C$3:$C$1002,AN17,'Alocação'!$F$3:$F$1002,AN$9,'Alocação'!$B$3:$B$1002,"&lt;="&amp;$B$4)), (SUMIFS('Alocação'!$O$3:$O$1002,'Alocação'!$C$3:$C$1002,AN17,'Alocação'!$F$3:$F$1002,AN$9,'Alocação'!$B$3:$B$1002,"&lt;="&amp;$B$6))),"")</f>
        <v>115</v>
      </c>
      <c r="AQ17" s="243">
        <f>iferror(IF(AO17="Ações Americanas", HLOOKUP(AN17,'Histórico'!$A$1:$DD$990,MATCH($B$6,'Histórico'!$A:$A),FALSE)*HLOOKUP("PTAX",'Histórico'!$A$1:$FG$983,MATCH($B$6,'Histórico'!$A:$A),FALSE),IF(AO17="Ações Europeias", HLOOKUP(AN17,'Histórico'!$A$1:$DD$990,MATCH($B$6,'Histórico'!$A:$A),FALSE)*HLOOKUP("EUR/BRL",'Histórico'!$A$1:$FG$983,MATCH($B$6,'Histórico'!$A:$A),FALSE),  HLOOKUP(AN17,'Histórico'!$A$1:$DD$990,MATCH($B$6,'Histórico'!$A:$A),FALSE))),"")</f>
        <v>1900</v>
      </c>
      <c r="AR17" s="243">
        <f t="shared" si="18"/>
        <v>218500</v>
      </c>
      <c r="AS17" s="53"/>
      <c r="AT17" s="242"/>
      <c r="AU17" s="242" t="str">
        <f>IF(ISTEXT(AT17),VLOOKUP(AT17,'Cadastro dos Ativos'!$A$2:$C$1000,3,0),"")</f>
        <v/>
      </c>
      <c r="AV17" s="242" t="str">
        <f>IF(AT17 &lt;&gt; "",IF(AU17="Futuros", (SUMIFS('Alocação'!$O$3:$O$1002,'Alocação'!$C$3:$C$1002,AT17,'Alocação'!$F$3:$F$1002,AT$9,'Alocação'!$B$3:$B$1002,"&lt;="&amp;$B$4)), (SUMIFS('Alocação'!$O$3:$O$1002,'Alocação'!$C$3:$C$1002,AT17,'Alocação'!$F$3:$F$1002,AT$9,'Alocação'!$B$3:$B$1002,"&lt;="&amp;$B$6))),"")</f>
        <v/>
      </c>
      <c r="AW17" s="243" t="str">
        <f>iferror(IF(AU17="Ações Americanas", HLOOKUP(AT17,'Histórico'!$A$1:$DD$990,MATCH($B$6,'Histórico'!$A:$A),FALSE)*HLOOKUP("PTAX",'Histórico'!$A$1:$FG$983,MATCH($B$6,'Histórico'!$A:$A),FALSE),IF(AU17="Ações Europeias", HLOOKUP(AT17,'Histórico'!$A$1:$DD$990,MATCH($B$6,'Histórico'!$A:$A),FALSE)*HLOOKUP("EUR/BRL",'Histórico'!$A$1:$FG$983,MATCH($B$6,'Histórico'!$A:$A),FALSE),  HLOOKUP(AT17,'Histórico'!$A$1:$DD$990,MATCH($B$6,'Histórico'!$A:$A),FALSE))),"")</f>
        <v/>
      </c>
      <c r="AX17" s="243" t="str">
        <f t="shared" si="27"/>
        <v/>
      </c>
      <c r="AY17" s="183"/>
    </row>
    <row r="18" ht="15.75" customHeight="1">
      <c r="A18" s="176"/>
      <c r="B18" s="232">
        <v>45015.0</v>
      </c>
      <c r="C18" s="233">
        <v>1.003596023672767E8</v>
      </c>
      <c r="D18" s="233">
        <v>1.003596144872766E8</v>
      </c>
      <c r="E18" s="234"/>
      <c r="F18" s="233">
        <v>1.003759084535951E8</v>
      </c>
      <c r="G18" s="233">
        <v>1.00375920573595E8</v>
      </c>
      <c r="H18" s="234"/>
      <c r="I18" s="233">
        <v>1.003596023672767E8</v>
      </c>
      <c r="J18" s="233">
        <v>1.003596144872766E8</v>
      </c>
      <c r="K18" s="234"/>
      <c r="L18" s="233">
        <f t="shared" si="8"/>
        <v>100345550.4</v>
      </c>
      <c r="M18" s="233">
        <v>1.003596016448542E8</v>
      </c>
      <c r="N18" s="240">
        <f t="shared" si="9"/>
        <v>0.0004486756391</v>
      </c>
      <c r="O18" s="240">
        <f t="shared" si="10"/>
        <v>0.0004486756587</v>
      </c>
      <c r="P18" s="240">
        <f t="shared" si="11"/>
        <v>0.0004486756391</v>
      </c>
      <c r="Q18" s="240">
        <f t="shared" si="12"/>
        <v>0.000431286459</v>
      </c>
      <c r="R18" s="236">
        <f t="shared" si="13"/>
        <v>100.39297</v>
      </c>
      <c r="S18" s="177"/>
      <c r="T18" s="233">
        <f t="shared" ref="T18:U18" si="28">IF(AND(C18&lt;&gt;"",F18&lt;&gt;"",I18&lt;&gt;""), SUM(I18,F18,C18,L18),"")</f>
        <v>401440663.6</v>
      </c>
      <c r="U18" s="233">
        <f t="shared" si="28"/>
        <v>401454751.2</v>
      </c>
      <c r="V18" s="233">
        <f t="shared" si="6"/>
        <v>100.3601659</v>
      </c>
      <c r="W18" s="241">
        <f t="shared" si="15"/>
        <v>0.0004443289254</v>
      </c>
      <c r="X18" s="241">
        <f t="shared" si="16"/>
        <v>0</v>
      </c>
      <c r="Y18" s="241">
        <f t="shared" si="25"/>
        <v>0.00001817493561</v>
      </c>
      <c r="Z18" s="233">
        <f t="shared" si="7"/>
        <v>100.39297</v>
      </c>
      <c r="AA18" s="165"/>
      <c r="AB18" s="242"/>
      <c r="AC18" s="242" t="str">
        <f>IF(ISTEXT(AB18),VLOOKUP(AB18,'Cadastro dos Ativos'!$A$2:$C$1000,3,0),"")</f>
        <v/>
      </c>
      <c r="AD18" s="242" t="str">
        <f>IF(AB18 &lt;&gt; "",IF(AC18="Futuros", (SUMIFS('Alocação'!$O$3:$O$1002,'Alocação'!$C$3:$C$1002,AB18,'Alocação'!$F$3:$F$1002,AB$9,'Alocação'!$B$3:$B$1002,"&lt;="&amp;$B$4)), (SUMIFS('Alocação'!$O$3:$O$1002,'Alocação'!$C$3:$C$1002,AB18,'Alocação'!$F$3:$F$1002,AB$9,'Alocação'!$B$3:$B$1002,"&lt;="&amp;$B$6))),"")</f>
        <v/>
      </c>
      <c r="AE18" s="243" t="str">
        <f>iferror(IF(AC18="Ações Americanas", HLOOKUP(AB18,'Histórico'!$A$1:$DD$990,MATCH($B$6,'Histórico'!$A:$A),FALSE)*HLOOKUP("PTAX",'Histórico'!$A$1:$FG$983,MATCH($B$6,'Histórico'!$A:$A),FALSE),IF(AC18="Ações Europeias", HLOOKUP(AB18,'Histórico'!$A$1:$DD$990,MATCH($B$6,'Histórico'!$A:$A),FALSE)*HLOOKUP("EUR/BRL",'Histórico'!$A$1:$FG$983,MATCH($B$6,'Histórico'!$A:$A),FALSE), HLOOKUP(AB18,'Histórico'!$A$1:$DD$990,MATCH($B$6,'Histórico'!$A:$A),FALSE))),"")</f>
        <v/>
      </c>
      <c r="AF18" s="243" t="str">
        <f t="shared" si="21"/>
        <v/>
      </c>
      <c r="AG18" s="53"/>
      <c r="AH18" s="242"/>
      <c r="AI18" s="242" t="str">
        <f>IF(ISTEXT(AH18),VLOOKUP(AH18,'Cadastro dos Ativos'!$A$2:$C$1000,3,0),"")</f>
        <v/>
      </c>
      <c r="AJ18" s="242" t="str">
        <f>IF(AH18 &lt;&gt; "",IF(AI18="Futuros", (SUMIFS('Alocação'!$O$3:$O$1002,'Alocação'!$C$3:$C$1002,AH18,'Alocação'!$F$3:$F$1002,AH$9,'Alocação'!$B$3:$B$1002,"&lt;="&amp;$B$4)), (SUMIFS('Alocação'!$O$3:$O$1002,'Alocação'!$C$3:$C$1002,AH18,'Alocação'!$F$3:$F$1002,AH$9,'Alocação'!$B$3:$B$1002,"&lt;="&amp;$B$6))),"")</f>
        <v/>
      </c>
      <c r="AK18" s="243" t="str">
        <f>iferror(IF(AI18="Ações Americanas", HLOOKUP(AH18,'Histórico'!$A$1:$DD$990,MATCH($B$6,'Histórico'!$A:$A),FALSE)*HLOOKUP("PTAX",'Histórico'!$A$1:$FG$983,MATCH($B$6,'Histórico'!$A:$A),FALSE),IF(AI18="Ações Europeias", HLOOKUP(AH18,'Histórico'!$A$1:$DD$990,MATCH($B$6,'Histórico'!$A:$A),FALSE)*HLOOKUP("EUR/BRL",'Histórico'!$A$1:$FG$983,MATCH($B$6,'Histórico'!$A:$A),FALSE),  HLOOKUP(AH18,'Histórico'!$A$1:$DD$990,MATCH($B$6,'Histórico'!$A:$A),FALSE))),"")</f>
        <v/>
      </c>
      <c r="AL18" s="243" t="str">
        <f t="shared" si="17"/>
        <v/>
      </c>
      <c r="AM18" s="53"/>
      <c r="AN18" s="242" t="str">
        <f>IFERROR(__xludf.DUMMYFUNCTION("""COMPUTED_VALUE"""),"ASAI3")</f>
        <v>ASAI3</v>
      </c>
      <c r="AO18" s="242" t="str">
        <f>IF(ISTEXT(AN18),VLOOKUP(AN18,'Cadastro dos Ativos'!$A$2:$C$1000,3,0),"")</f>
        <v>Ações Listadas na B3</v>
      </c>
      <c r="AP18" s="242">
        <f>IF(AN18 &lt;&gt; "",IF(AO18="Futuros", (SUMIFS('Alocação'!$O$3:$O$1002,'Alocação'!$C$3:$C$1002,AN18,'Alocação'!$F$3:$F$1002,AN$9,'Alocação'!$B$3:$B$1002,"&lt;="&amp;$B$4)), (SUMIFS('Alocação'!$O$3:$O$1002,'Alocação'!$C$3:$C$1002,AN18,'Alocação'!$F$3:$F$1002,AN$9,'Alocação'!$B$3:$B$1002,"&lt;="&amp;$B$6))),"")</f>
        <v>450000</v>
      </c>
      <c r="AQ18" s="243">
        <f>iferror(IF(AO18="Ações Americanas", HLOOKUP(AN18,'Histórico'!$A$1:$DD$990,MATCH($B$6,'Histórico'!$A:$A),FALSE)*HLOOKUP("PTAX",'Histórico'!$A$1:$FG$983,MATCH($B$6,'Histórico'!$A:$A),FALSE),IF(AO18="Ações Europeias", HLOOKUP(AN18,'Histórico'!$A$1:$DD$990,MATCH($B$6,'Histórico'!$A:$A),FALSE)*HLOOKUP("EUR/BRL",'Histórico'!$A$1:$FG$983,MATCH($B$6,'Histórico'!$A:$A),FALSE),  HLOOKUP(AN18,'Histórico'!$A$1:$DD$990,MATCH($B$6,'Histórico'!$A:$A),FALSE))),"")</f>
        <v>11.85999966</v>
      </c>
      <c r="AR18" s="243">
        <f t="shared" si="18"/>
        <v>5336999.846</v>
      </c>
      <c r="AS18" s="53"/>
      <c r="AT18" s="242"/>
      <c r="AU18" s="242" t="str">
        <f>IF(ISTEXT(AT18),VLOOKUP(AT18,'Cadastro dos Ativos'!$A$2:$C$1000,3,0),"")</f>
        <v/>
      </c>
      <c r="AV18" s="242" t="str">
        <f>IF(AT18 &lt;&gt; "",IF(AU18="Futuros", (SUMIFS('Alocação'!$O$3:$O$1002,'Alocação'!$C$3:$C$1002,AT18,'Alocação'!$F$3:$F$1002,AT$9,'Alocação'!$B$3:$B$1002,"&lt;="&amp;$B$4)), (SUMIFS('Alocação'!$O$3:$O$1002,'Alocação'!$C$3:$C$1002,AT18,'Alocação'!$F$3:$F$1002,AT$9,'Alocação'!$B$3:$B$1002,"&lt;="&amp;$B$6))),"")</f>
        <v/>
      </c>
      <c r="AW18" s="243" t="str">
        <f>iferror(IF(AU18="Ações Americanas", HLOOKUP(AT18,'Histórico'!$A$1:$DD$990,MATCH($B$6,'Histórico'!$A:$A),FALSE)*HLOOKUP("PTAX",'Histórico'!$A$1:$FG$983,MATCH($B$6,'Histórico'!$A:$A),FALSE),IF(AU18="Ações Europeias", HLOOKUP(AT18,'Histórico'!$A$1:$DD$990,MATCH($B$6,'Histórico'!$A:$A),FALSE)*HLOOKUP("EUR/BRL",'Histórico'!$A$1:$FG$983,MATCH($B$6,'Histórico'!$A:$A),FALSE),  HLOOKUP(AT18,'Histórico'!$A$1:$DD$990,MATCH($B$6,'Histórico'!$A:$A),FALSE))),"")</f>
        <v/>
      </c>
      <c r="AX18" s="243" t="str">
        <f t="shared" si="27"/>
        <v/>
      </c>
      <c r="AY18" s="183"/>
    </row>
    <row r="19" ht="15.75" customHeight="1">
      <c r="A19" s="176"/>
      <c r="B19" s="232">
        <v>45016.0</v>
      </c>
      <c r="C19" s="233">
        <v>1.004046434976041E8</v>
      </c>
      <c r="D19" s="233">
        <v>1.004046555276038E8</v>
      </c>
      <c r="E19" s="234"/>
      <c r="F19" s="233">
        <v>1.008258790776567E8</v>
      </c>
      <c r="G19" s="233">
        <v>2.45136043324822E7</v>
      </c>
      <c r="H19" s="234"/>
      <c r="I19" s="233">
        <v>1.004046434976041E8</v>
      </c>
      <c r="J19" s="233">
        <v>1.004046555276038E8</v>
      </c>
      <c r="K19" s="234"/>
      <c r="L19" s="233">
        <f t="shared" si="8"/>
        <v>100388828.1</v>
      </c>
      <c r="M19" s="233">
        <v>1.004046426787017E8</v>
      </c>
      <c r="N19" s="240">
        <f t="shared" si="9"/>
        <v>0.0004487974171</v>
      </c>
      <c r="O19" s="240">
        <f t="shared" si="10"/>
        <v>0.00448285481</v>
      </c>
      <c r="P19" s="240">
        <f t="shared" si="11"/>
        <v>0.0004487974171</v>
      </c>
      <c r="Q19" s="240">
        <f t="shared" si="12"/>
        <v>0.000431286459</v>
      </c>
      <c r="R19" s="236">
        <f t="shared" si="13"/>
        <v>100.4421997</v>
      </c>
      <c r="S19" s="177"/>
      <c r="T19" s="233">
        <f t="shared" ref="T19:U19" si="29">IF(AND(C19&lt;&gt;"",F19&lt;&gt;"",I19&lt;&gt;""), SUM(I19,F19,C19,L19),"")</f>
        <v>402023994.2</v>
      </c>
      <c r="U19" s="233">
        <f t="shared" si="29"/>
        <v>325727558.1</v>
      </c>
      <c r="V19" s="233">
        <f t="shared" si="6"/>
        <v>100.5059985</v>
      </c>
      <c r="W19" s="241">
        <f t="shared" si="15"/>
        <v>0.00145309286</v>
      </c>
      <c r="X19" s="241">
        <f t="shared" si="16"/>
        <v>0</v>
      </c>
      <c r="Y19" s="241">
        <f t="shared" si="25"/>
        <v>0.0004469062273</v>
      </c>
      <c r="Z19" s="233">
        <f t="shared" si="7"/>
        <v>100.4421997</v>
      </c>
      <c r="AA19" s="165"/>
      <c r="AB19" s="242"/>
      <c r="AC19" s="242" t="str">
        <f>IF(ISTEXT(AB19),VLOOKUP(AB19,'Cadastro dos Ativos'!$A$2:$C$1000,3,0),"")</f>
        <v/>
      </c>
      <c r="AD19" s="242" t="str">
        <f>IF(AB19 &lt;&gt; "",IF(AC19="Futuros", (SUMIFS('Alocação'!$O$3:$O$1002,'Alocação'!$C$3:$C$1002,AB19,'Alocação'!$F$3:$F$1002,AB$9,'Alocação'!$B$3:$B$1002,"&lt;="&amp;$B$4)), (SUMIFS('Alocação'!$O$3:$O$1002,'Alocação'!$C$3:$C$1002,AB19,'Alocação'!$F$3:$F$1002,AB$9,'Alocação'!$B$3:$B$1002,"&lt;="&amp;$B$6))),"")</f>
        <v/>
      </c>
      <c r="AE19" s="243" t="str">
        <f>iferror(IF(AC19="Ações Americanas", HLOOKUP(AB19,'Histórico'!$A$1:$DD$990,MATCH($B$6,'Histórico'!$A:$A),FALSE)*HLOOKUP("PTAX",'Histórico'!$A$1:$FG$983,MATCH($B$6,'Histórico'!$A:$A),FALSE),IF(AC19="Ações Europeias", HLOOKUP(AB19,'Histórico'!$A$1:$DD$990,MATCH($B$6,'Histórico'!$A:$A),FALSE)*HLOOKUP("EUR/BRL",'Histórico'!$A$1:$FG$983,MATCH($B$6,'Histórico'!$A:$A),FALSE), HLOOKUP(AB19,'Histórico'!$A$1:$DD$990,MATCH($B$6,'Histórico'!$A:$A),FALSE))),"")</f>
        <v/>
      </c>
      <c r="AF19" s="243" t="str">
        <f t="shared" si="21"/>
        <v/>
      </c>
      <c r="AG19" s="53"/>
      <c r="AH19" s="242"/>
      <c r="AI19" s="242" t="str">
        <f>IF(ISTEXT(AH19),VLOOKUP(AH19,'Cadastro dos Ativos'!$A$2:$C$1000,3,0),"")</f>
        <v/>
      </c>
      <c r="AJ19" s="242" t="str">
        <f>IF(AH19 &lt;&gt; "",IF(AI19="Futuros", (SUMIFS('Alocação'!$O$3:$O$1002,'Alocação'!$C$3:$C$1002,AH19,'Alocação'!$F$3:$F$1002,AH$9,'Alocação'!$B$3:$B$1002,"&lt;="&amp;$B$4)), (SUMIFS('Alocação'!$O$3:$O$1002,'Alocação'!$C$3:$C$1002,AH19,'Alocação'!$F$3:$F$1002,AH$9,'Alocação'!$B$3:$B$1002,"&lt;="&amp;$B$6))),"")</f>
        <v/>
      </c>
      <c r="AK19" s="243" t="str">
        <f>iferror(IF(AI19="Ações Americanas", HLOOKUP(AH19,'Histórico'!$A$1:$DD$990,MATCH($B$6,'Histórico'!$A:$A),FALSE)*HLOOKUP("PTAX",'Histórico'!$A$1:$FG$983,MATCH($B$6,'Histórico'!$A:$A),FALSE),IF(AI19="Ações Europeias", HLOOKUP(AH19,'Histórico'!$A$1:$DD$990,MATCH($B$6,'Histórico'!$A:$A),FALSE)*HLOOKUP("EUR/BRL",'Histórico'!$A$1:$FG$983,MATCH($B$6,'Histórico'!$A:$A),FALSE),  HLOOKUP(AH19,'Histórico'!$A$1:$DD$990,MATCH($B$6,'Histórico'!$A:$A),FALSE))),"")</f>
        <v/>
      </c>
      <c r="AL19" s="243" t="str">
        <f t="shared" si="17"/>
        <v/>
      </c>
      <c r="AM19" s="53"/>
      <c r="AN19" s="242" t="str">
        <f>IFERROR(__xludf.DUMMYFUNCTION("""COMPUTED_VALUE"""),"DI1-F24")</f>
        <v>DI1-F24</v>
      </c>
      <c r="AO19" s="242" t="str">
        <f>IF(ISTEXT(AN19),VLOOKUP(AN19,'Cadastro dos Ativos'!$A$2:$C$1000,3,0),"")</f>
        <v>Futuros</v>
      </c>
      <c r="AP19" s="242">
        <f>IF(AN19 &lt;&gt; "",IF(AO19="Futuros", (SUMIFS('Alocação'!$O$3:$O$1002,'Alocação'!$C$3:$C$1002,AN19,'Alocação'!$F$3:$F$1002,AN$9,'Alocação'!$B$3:$B$1002,"&lt;="&amp;$B$4)), (SUMIFS('Alocação'!$O$3:$O$1002,'Alocação'!$C$3:$C$1002,AN19,'Alocação'!$F$3:$F$1002,AN$9,'Alocação'!$B$3:$B$1002,"&lt;="&amp;$B$6))),"")</f>
        <v>403</v>
      </c>
      <c r="AQ19" s="243">
        <f>iferror(IF(AO19="Ações Americanas", HLOOKUP(AN19,'Histórico'!$A$1:$DD$990,MATCH($B$6,'Histórico'!$A:$A),FALSE)*HLOOKUP("PTAX",'Histórico'!$A$1:$FG$983,MATCH($B$6,'Histórico'!$A:$A),FALSE),IF(AO19="Ações Europeias", HLOOKUP(AN19,'Histórico'!$A$1:$DD$990,MATCH($B$6,'Histórico'!$A:$A),FALSE)*HLOOKUP("EUR/BRL",'Histórico'!$A$1:$FG$983,MATCH($B$6,'Histórico'!$A:$A),FALSE),  HLOOKUP(AN19,'Histórico'!$A$1:$DD$990,MATCH($B$6,'Histórico'!$A:$A),FALSE))),"")</f>
        <v>-0.63</v>
      </c>
      <c r="AR19" s="243">
        <f t="shared" si="18"/>
        <v>-253.89</v>
      </c>
      <c r="AS19" s="53"/>
      <c r="AT19" s="242"/>
      <c r="AU19" s="242" t="str">
        <f>IF(ISTEXT(AT19),VLOOKUP(AT19,'Cadastro dos Ativos'!$A$2:$C$1000,3,0),"")</f>
        <v/>
      </c>
      <c r="AV19" s="242" t="str">
        <f>IF(AT19 &lt;&gt; "",IF(AU19="Futuros", (SUMIFS('Alocação'!$O$3:$O$1002,'Alocação'!$C$3:$C$1002,AT19,'Alocação'!$F$3:$F$1002,AT$9,'Alocação'!$B$3:$B$1002,"&lt;="&amp;$B$4)), (SUMIFS('Alocação'!$O$3:$O$1002,'Alocação'!$C$3:$C$1002,AT19,'Alocação'!$F$3:$F$1002,AT$9,'Alocação'!$B$3:$B$1002,"&lt;="&amp;$B$6))),"")</f>
        <v/>
      </c>
      <c r="AW19" s="243" t="str">
        <f>iferror(IF(AU19="Ações Americanas", HLOOKUP(AT19,'Histórico'!$A$1:$DD$990,MATCH($B$6,'Histórico'!$A:$A),FALSE)*HLOOKUP("PTAX",'Histórico'!$A$1:$FG$983,MATCH($B$6,'Histórico'!$A:$A),FALSE),IF(AU19="Ações Europeias", HLOOKUP(AT19,'Histórico'!$A$1:$DD$990,MATCH($B$6,'Histórico'!$A:$A),FALSE)*HLOOKUP("EUR/BRL",'Histórico'!$A$1:$FG$983,MATCH($B$6,'Histórico'!$A:$A),FALSE),  HLOOKUP(AT19,'Histórico'!$A$1:$DD$990,MATCH($B$6,'Histórico'!$A:$A),FALSE))),"")</f>
        <v/>
      </c>
      <c r="AX19" s="243" t="str">
        <f t="shared" si="27"/>
        <v/>
      </c>
      <c r="AY19" s="183"/>
    </row>
    <row r="20" ht="15.75" customHeight="1">
      <c r="A20" s="176"/>
      <c r="B20" s="232">
        <v>45019.0</v>
      </c>
      <c r="C20" s="233">
        <v>1.004497052521854E8</v>
      </c>
      <c r="D20" s="233">
        <v>1.004497167821851E8</v>
      </c>
      <c r="E20" s="234"/>
      <c r="F20" s="233">
        <v>1.02936653914073E8</v>
      </c>
      <c r="G20" s="233">
        <v>2.459098344910775E7</v>
      </c>
      <c r="H20" s="234"/>
      <c r="I20" s="233">
        <v>1.004497052521854E8</v>
      </c>
      <c r="J20" s="233">
        <v>1.004497167821851E8</v>
      </c>
      <c r="K20" s="234"/>
      <c r="L20" s="233">
        <f t="shared" si="8"/>
        <v>100432124.5</v>
      </c>
      <c r="M20" s="233">
        <v>1.004497039268057E8</v>
      </c>
      <c r="N20" s="240">
        <f t="shared" si="9"/>
        <v>0.0004488014997</v>
      </c>
      <c r="O20" s="240">
        <f t="shared" si="10"/>
        <v>0.0209348518</v>
      </c>
      <c r="P20" s="240">
        <f t="shared" si="11"/>
        <v>0.0004488014997</v>
      </c>
      <c r="Q20" s="240">
        <f t="shared" si="12"/>
        <v>0.000431286459</v>
      </c>
      <c r="R20" s="236">
        <f t="shared" si="13"/>
        <v>100.4914535</v>
      </c>
      <c r="S20" s="177"/>
      <c r="T20" s="233">
        <f t="shared" ref="T20:U20" si="30">IF(AND(C20&lt;&gt;"",F20&lt;&gt;"",I20&lt;&gt;""), SUM(I20,F20,C20,L20),"")</f>
        <v>404268188.9</v>
      </c>
      <c r="U20" s="233">
        <f t="shared" si="30"/>
        <v>325940120.9</v>
      </c>
      <c r="V20" s="233">
        <f t="shared" si="6"/>
        <v>101.0670472</v>
      </c>
      <c r="W20" s="241">
        <f t="shared" si="15"/>
        <v>0.005582240663</v>
      </c>
      <c r="X20" s="241">
        <f t="shared" si="16"/>
        <v>0</v>
      </c>
      <c r="Y20" s="241">
        <f t="shared" si="25"/>
        <v>0.002222632568</v>
      </c>
      <c r="Z20" s="233">
        <f t="shared" si="7"/>
        <v>100.4914535</v>
      </c>
      <c r="AA20" s="165"/>
      <c r="AB20" s="242"/>
      <c r="AC20" s="242" t="str">
        <f>IF(ISTEXT(AB20),VLOOKUP(AB20,'Cadastro dos Ativos'!$A$2:$C$1000,3,0),"")</f>
        <v/>
      </c>
      <c r="AD20" s="242" t="str">
        <f>IF(AB20 &lt;&gt; "",IF(AC20="Futuros", (SUMIFS('Alocação'!$O$3:$O$1002,'Alocação'!$C$3:$C$1002,AB20,'Alocação'!$F$3:$F$1002,AB$9,'Alocação'!$B$3:$B$1002,"&lt;="&amp;$B$4)), (SUMIFS('Alocação'!$O$3:$O$1002,'Alocação'!$C$3:$C$1002,AB20,'Alocação'!$F$3:$F$1002,AB$9,'Alocação'!$B$3:$B$1002,"&lt;="&amp;$B$6))),"")</f>
        <v/>
      </c>
      <c r="AE20" s="243" t="str">
        <f>iferror(IF(AC20="Ações Americanas", HLOOKUP(AB20,'Histórico'!$A$1:$DD$990,MATCH($B$6,'Histórico'!$A:$A),FALSE)*HLOOKUP("PTAX",'Histórico'!$A$1:$FG$983,MATCH($B$6,'Histórico'!$A:$A),FALSE),IF(AC20="Ações Europeias", HLOOKUP(AB20,'Histórico'!$A$1:$DD$990,MATCH($B$6,'Histórico'!$A:$A),FALSE)*HLOOKUP("EUR/BRL",'Histórico'!$A$1:$FG$983,MATCH($B$6,'Histórico'!$A:$A),FALSE), HLOOKUP(AB20,'Histórico'!$A$1:$DD$990,MATCH($B$6,'Histórico'!$A:$A),FALSE))),"")</f>
        <v/>
      </c>
      <c r="AF20" s="243" t="str">
        <f t="shared" si="21"/>
        <v/>
      </c>
      <c r="AG20" s="53"/>
      <c r="AH20" s="242"/>
      <c r="AI20" s="242" t="str">
        <f>IF(ISTEXT(AH20),VLOOKUP(AH20,'Cadastro dos Ativos'!$A$2:$C$1000,3,0),"")</f>
        <v/>
      </c>
      <c r="AJ20" s="242" t="str">
        <f>IF(AH20 &lt;&gt; "",IF(AI20="Futuros", (SUMIFS('Alocação'!$O$3:$O$1002,'Alocação'!$C$3:$C$1002,AH20,'Alocação'!$F$3:$F$1002,AH$9,'Alocação'!$B$3:$B$1002,"&lt;="&amp;$B$4)), (SUMIFS('Alocação'!$O$3:$O$1002,'Alocação'!$C$3:$C$1002,AH20,'Alocação'!$F$3:$F$1002,AH$9,'Alocação'!$B$3:$B$1002,"&lt;="&amp;$B$6))),"")</f>
        <v/>
      </c>
      <c r="AK20" s="243" t="str">
        <f>iferror(IF(AI20="Ações Americanas", HLOOKUP(AH20,'Histórico'!$A$1:$DD$990,MATCH($B$6,'Histórico'!$A:$A),FALSE)*HLOOKUP("PTAX",'Histórico'!$A$1:$FG$983,MATCH($B$6,'Histórico'!$A:$A),FALSE),IF(AI20="Ações Europeias", HLOOKUP(AH20,'Histórico'!$A$1:$DD$990,MATCH($B$6,'Histórico'!$A:$A),FALSE)*HLOOKUP("EUR/BRL",'Histórico'!$A$1:$FG$983,MATCH($B$6,'Histórico'!$A:$A),FALSE),  HLOOKUP(AH20,'Histórico'!$A$1:$DD$990,MATCH($B$6,'Histórico'!$A:$A),FALSE))),"")</f>
        <v/>
      </c>
      <c r="AL20" s="243" t="str">
        <f t="shared" si="17"/>
        <v/>
      </c>
      <c r="AM20" s="53"/>
      <c r="AN20" s="242" t="str">
        <f>IFERROR(__xludf.DUMMYFUNCTION("""COMPUTED_VALUE"""),"DI1-F27")</f>
        <v>DI1-F27</v>
      </c>
      <c r="AO20" s="242" t="str">
        <f>IF(ISTEXT(AN20),VLOOKUP(AN20,'Cadastro dos Ativos'!$A$2:$C$1000,3,0),"")</f>
        <v>Futuros</v>
      </c>
      <c r="AP20" s="242">
        <f>IF(AN20 &lt;&gt; "",IF(AO20="Futuros", (SUMIFS('Alocação'!$O$3:$O$1002,'Alocação'!$C$3:$C$1002,AN20,'Alocação'!$F$3:$F$1002,AN$9,'Alocação'!$B$3:$B$1002,"&lt;="&amp;$B$4)), (SUMIFS('Alocação'!$O$3:$O$1002,'Alocação'!$C$3:$C$1002,AN20,'Alocação'!$F$3:$F$1002,AN$9,'Alocação'!$B$3:$B$1002,"&lt;="&amp;$B$6))),"")</f>
        <v>-650</v>
      </c>
      <c r="AQ20" s="243">
        <f>iferror(IF(AO20="Ações Americanas", HLOOKUP(AN20,'Histórico'!$A$1:$DD$990,MATCH($B$6,'Histórico'!$A:$A),FALSE)*HLOOKUP("PTAX",'Histórico'!$A$1:$FG$983,MATCH($B$6,'Histórico'!$A:$A),FALSE),IF(AO20="Ações Europeias", HLOOKUP(AN20,'Histórico'!$A$1:$DD$990,MATCH($B$6,'Histórico'!$A:$A),FALSE)*HLOOKUP("EUR/BRL",'Histórico'!$A$1:$FG$983,MATCH($B$6,'Histórico'!$A:$A),FALSE),  HLOOKUP(AN20,'Histórico'!$A$1:$DD$990,MATCH($B$6,'Histórico'!$A:$A),FALSE))),"")</f>
        <v>-35.39</v>
      </c>
      <c r="AR20" s="243">
        <f t="shared" si="18"/>
        <v>23003.5</v>
      </c>
      <c r="AS20" s="53"/>
      <c r="AT20" s="242"/>
      <c r="AU20" s="242" t="str">
        <f>IF(ISTEXT(AT20),VLOOKUP(AT20,'Cadastro dos Ativos'!$A$2:$C$1000,3,0),"")</f>
        <v/>
      </c>
      <c r="AV20" s="242" t="str">
        <f>IF(AT20 &lt;&gt; "",IF(AU20="Futuros", (SUMIFS('Alocação'!$O$3:$O$1002,'Alocação'!$C$3:$C$1002,AT20,'Alocação'!$F$3:$F$1002,AT$9,'Alocação'!$B$3:$B$1002,"&lt;="&amp;$B$4)), (SUMIFS('Alocação'!$O$3:$O$1002,'Alocação'!$C$3:$C$1002,AT20,'Alocação'!$F$3:$F$1002,AT$9,'Alocação'!$B$3:$B$1002,"&lt;="&amp;$B$6))),"")</f>
        <v/>
      </c>
      <c r="AW20" s="243" t="str">
        <f>iferror(IF(AU20="Ações Americanas", HLOOKUP(AT20,'Histórico'!$A$1:$DD$990,MATCH($B$6,'Histórico'!$A:$A),FALSE)*HLOOKUP("PTAX",'Histórico'!$A$1:$FG$983,MATCH($B$6,'Histórico'!$A:$A),FALSE),IF(AU20="Ações Europeias", HLOOKUP(AT20,'Histórico'!$A$1:$DD$990,MATCH($B$6,'Histórico'!$A:$A),FALSE)*HLOOKUP("EUR/BRL",'Histórico'!$A$1:$FG$983,MATCH($B$6,'Histórico'!$A:$A),FALSE),  HLOOKUP(AT20,'Histórico'!$A$1:$DD$990,MATCH($B$6,'Histórico'!$A:$A),FALSE))),"")</f>
        <v/>
      </c>
      <c r="AX20" s="243" t="str">
        <f t="shared" si="27"/>
        <v/>
      </c>
      <c r="AY20" s="183"/>
    </row>
    <row r="21" ht="15.75" customHeight="1">
      <c r="A21" s="176"/>
      <c r="B21" s="232">
        <v>45020.0</v>
      </c>
      <c r="C21" s="233">
        <v>1.0132369417512E8</v>
      </c>
      <c r="D21" s="233">
        <v>1.159079788544893E8</v>
      </c>
      <c r="E21" s="234"/>
      <c r="F21" s="233">
        <v>1.022701022023306E8</v>
      </c>
      <c r="G21" s="233">
        <v>4.829758064697876E7</v>
      </c>
      <c r="H21" s="234"/>
      <c r="I21" s="233">
        <v>1.004947870500683E8</v>
      </c>
      <c r="J21" s="233">
        <v>1.004947982600684E8</v>
      </c>
      <c r="K21" s="234"/>
      <c r="L21" s="233">
        <f t="shared" si="8"/>
        <v>100475439.5</v>
      </c>
      <c r="M21" s="233">
        <v>1.004947853982383E8</v>
      </c>
      <c r="N21" s="240">
        <f t="shared" si="9"/>
        <v>0.008700761448</v>
      </c>
      <c r="O21" s="240">
        <f t="shared" si="10"/>
        <v>-0.006475358256</v>
      </c>
      <c r="P21" s="240">
        <f t="shared" si="11"/>
        <v>0.000448799703</v>
      </c>
      <c r="Q21" s="240">
        <f t="shared" si="12"/>
        <v>0.000431286459</v>
      </c>
      <c r="R21" s="236">
        <f t="shared" si="13"/>
        <v>100.5407315</v>
      </c>
      <c r="S21" s="177"/>
      <c r="T21" s="233">
        <f t="shared" ref="T21:U21" si="31">IF(AND(C21&lt;&gt;"",F21&lt;&gt;"",I21&lt;&gt;""), SUM(I21,F21,C21,L21),"")</f>
        <v>404564022.9</v>
      </c>
      <c r="U21" s="233">
        <f t="shared" si="31"/>
        <v>365195143.2</v>
      </c>
      <c r="V21" s="233">
        <f t="shared" si="6"/>
        <v>101.1410057</v>
      </c>
      <c r="W21" s="241">
        <f t="shared" si="15"/>
        <v>0.0007317766585</v>
      </c>
      <c r="X21" s="241">
        <f t="shared" si="16"/>
        <v>0</v>
      </c>
      <c r="Y21" s="241">
        <f t="shared" si="25"/>
        <v>0.00218605149</v>
      </c>
      <c r="Z21" s="233">
        <f t="shared" si="7"/>
        <v>100.5407315</v>
      </c>
      <c r="AA21" s="165"/>
      <c r="AB21" s="242"/>
      <c r="AC21" s="242" t="str">
        <f>IF(ISTEXT(AB21),VLOOKUP(AB21,'Cadastro dos Ativos'!$A$2:$C$1000,3,0),"")</f>
        <v/>
      </c>
      <c r="AD21" s="242" t="str">
        <f>IF(AB21 &lt;&gt; "",IF(AC21="Futuros", (SUMIFS('Alocação'!$O$3:$O$1002,'Alocação'!$C$3:$C$1002,AB21,'Alocação'!$F$3:$F$1002,AB$9,'Alocação'!$B$3:$B$1002,"&lt;="&amp;$B$4)), (SUMIFS('Alocação'!$O$3:$O$1002,'Alocação'!$C$3:$C$1002,AB21,'Alocação'!$F$3:$F$1002,AB$9,'Alocação'!$B$3:$B$1002,"&lt;="&amp;$B$6))),"")</f>
        <v/>
      </c>
      <c r="AE21" s="243" t="str">
        <f>iferror(IF(AC21="Ações Americanas", HLOOKUP(AB21,'Histórico'!$A$1:$DD$990,MATCH($B$6,'Histórico'!$A:$A),FALSE)*HLOOKUP("PTAX",'Histórico'!$A$1:$FG$983,MATCH($B$6,'Histórico'!$A:$A),FALSE),IF(AC21="Ações Europeias", HLOOKUP(AB21,'Histórico'!$A$1:$DD$990,MATCH($B$6,'Histórico'!$A:$A),FALSE)*HLOOKUP("EUR/BRL",'Histórico'!$A$1:$FG$983,MATCH($B$6,'Histórico'!$A:$A),FALSE), HLOOKUP(AB21,'Histórico'!$A$1:$DD$990,MATCH($B$6,'Histórico'!$A:$A),FALSE))),"")</f>
        <v/>
      </c>
      <c r="AF21" s="243" t="str">
        <f t="shared" si="21"/>
        <v/>
      </c>
      <c r="AG21" s="53"/>
      <c r="AH21" s="242"/>
      <c r="AI21" s="242" t="str">
        <f>IF(ISTEXT(AH21),VLOOKUP(AH21,'Cadastro dos Ativos'!$A$2:$C$1000,3,0),"")</f>
        <v/>
      </c>
      <c r="AJ21" s="242" t="str">
        <f>IF(AH21 &lt;&gt; "",IF(AI21="Futuros", (SUMIFS('Alocação'!$O$3:$O$1002,'Alocação'!$C$3:$C$1002,AH21,'Alocação'!$F$3:$F$1002,AH$9,'Alocação'!$B$3:$B$1002,"&lt;="&amp;$B$4)), (SUMIFS('Alocação'!$O$3:$O$1002,'Alocação'!$C$3:$C$1002,AH21,'Alocação'!$F$3:$F$1002,AH$9,'Alocação'!$B$3:$B$1002,"&lt;="&amp;$B$6))),"")</f>
        <v/>
      </c>
      <c r="AK21" s="243" t="str">
        <f>iferror(IF(AI21="Ações Americanas", HLOOKUP(AH21,'Histórico'!$A$1:$DD$990,MATCH($B$6,'Histórico'!$A:$A),FALSE)*HLOOKUP("PTAX",'Histórico'!$A$1:$FG$983,MATCH($B$6,'Histórico'!$A:$A),FALSE),IF(AI21="Ações Europeias", HLOOKUP(AH21,'Histórico'!$A$1:$DD$990,MATCH($B$6,'Histórico'!$A:$A),FALSE)*HLOOKUP("EUR/BRL",'Histórico'!$A$1:$FG$983,MATCH($B$6,'Histórico'!$A:$A),FALSE),  HLOOKUP(AH21,'Histórico'!$A$1:$DD$990,MATCH($B$6,'Histórico'!$A:$A),FALSE))),"")</f>
        <v/>
      </c>
      <c r="AL21" s="243" t="str">
        <f t="shared" si="17"/>
        <v/>
      </c>
      <c r="AM21" s="53"/>
      <c r="AN21" s="242" t="str">
        <f>IFERROR(__xludf.DUMMYFUNCTION("""COMPUTED_VALUE"""),"T10-Z23")</f>
        <v>T10-Z23</v>
      </c>
      <c r="AO21" s="242" t="str">
        <f>IF(ISTEXT(AN21),VLOOKUP(AN21,'Cadastro dos Ativos'!$A$2:$C$1000,3,0),"")</f>
        <v>Futuros</v>
      </c>
      <c r="AP21" s="242">
        <f>IF(AN21 &lt;&gt; "",IF(AO21="Futuros", (SUMIFS('Alocação'!$O$3:$O$1002,'Alocação'!$C$3:$C$1002,AN21,'Alocação'!$F$3:$F$1002,AN$9,'Alocação'!$B$3:$B$1002,"&lt;="&amp;$B$4)), (SUMIFS('Alocação'!$O$3:$O$1002,'Alocação'!$C$3:$C$1002,AN21,'Alocação'!$F$3:$F$1002,AN$9,'Alocação'!$B$3:$B$1002,"&lt;="&amp;$B$6))),"")</f>
        <v>-20</v>
      </c>
      <c r="AQ21" s="243">
        <f>iferror(IF(AO21="Ações Americanas", HLOOKUP(AN21,'Histórico'!$A$1:$DD$990,MATCH($B$6,'Histórico'!$A:$A),FALSE)*HLOOKUP("PTAX",'Histórico'!$A$1:$FG$983,MATCH($B$6,'Histórico'!$A:$A),FALSE),IF(AO21="Ações Europeias", HLOOKUP(AN21,'Histórico'!$A$1:$DD$990,MATCH($B$6,'Histórico'!$A:$A),FALSE)*HLOOKUP("EUR/BRL",'Histórico'!$A$1:$FG$983,MATCH($B$6,'Histórico'!$A:$A),FALSE),  HLOOKUP(AN21,'Histórico'!$A$1:$DD$990,MATCH($B$6,'Histórico'!$A:$A),FALSE))),"")</f>
        <v>-2234.59</v>
      </c>
      <c r="AR21" s="243">
        <f t="shared" si="18"/>
        <v>44691.8</v>
      </c>
      <c r="AS21" s="53"/>
      <c r="AT21" s="242"/>
      <c r="AU21" s="242" t="str">
        <f>IF(ISTEXT(AT21),VLOOKUP(AT21,'Cadastro dos Ativos'!$A$2:$C$1000,3,0),"")</f>
        <v/>
      </c>
      <c r="AV21" s="242" t="str">
        <f>IF(AT21 &lt;&gt; "",IF(AU21="Futuros", (SUMIFS('Alocação'!$O$3:$O$1002,'Alocação'!$C$3:$C$1002,AT21,'Alocação'!$F$3:$F$1002,AT$9,'Alocação'!$B$3:$B$1002,"&lt;="&amp;$B$4)), (SUMIFS('Alocação'!$O$3:$O$1002,'Alocação'!$C$3:$C$1002,AT21,'Alocação'!$F$3:$F$1002,AT$9,'Alocação'!$B$3:$B$1002,"&lt;="&amp;$B$6))),"")</f>
        <v/>
      </c>
      <c r="AW21" s="243" t="str">
        <f>iferror(IF(AU21="Ações Americanas", HLOOKUP(AT21,'Histórico'!$A$1:$DD$990,MATCH($B$6,'Histórico'!$A:$A),FALSE)*HLOOKUP("PTAX",'Histórico'!$A$1:$FG$983,MATCH($B$6,'Histórico'!$A:$A),FALSE),IF(AU21="Ações Europeias", HLOOKUP(AT21,'Histórico'!$A$1:$DD$990,MATCH($B$6,'Histórico'!$A:$A),FALSE)*HLOOKUP("EUR/BRL",'Histórico'!$A$1:$FG$983,MATCH($B$6,'Histórico'!$A:$A),FALSE),  HLOOKUP(AT21,'Histórico'!$A$1:$DD$990,MATCH($B$6,'Histórico'!$A:$A),FALSE))),"")</f>
        <v/>
      </c>
      <c r="AX21" s="243" t="str">
        <f t="shared" si="27"/>
        <v/>
      </c>
      <c r="AY21" s="183"/>
    </row>
    <row r="22" ht="15.75" customHeight="1">
      <c r="A22" s="176"/>
      <c r="B22" s="232">
        <v>45021.0</v>
      </c>
      <c r="C22" s="233">
        <v>1.008114027281812E8</v>
      </c>
      <c r="D22" s="233">
        <v>1.153452389361535E8</v>
      </c>
      <c r="E22" s="234"/>
      <c r="F22" s="233">
        <v>1.015496246875132E8</v>
      </c>
      <c r="G22" s="233">
        <v>4.804209594246389E7</v>
      </c>
      <c r="H22" s="234"/>
      <c r="I22" s="233">
        <v>1.005398891703402E8</v>
      </c>
      <c r="J22" s="233">
        <v>1.005398999703404E8</v>
      </c>
      <c r="K22" s="234"/>
      <c r="L22" s="233">
        <f t="shared" si="8"/>
        <v>100518773.2</v>
      </c>
      <c r="M22" s="233">
        <v>1.005398871020757E8</v>
      </c>
      <c r="N22" s="240">
        <f t="shared" si="9"/>
        <v>-0.005055988642</v>
      </c>
      <c r="O22" s="240">
        <f t="shared" si="10"/>
        <v>-0.007044849856</v>
      </c>
      <c r="P22" s="240">
        <f t="shared" si="11"/>
        <v>0.0004488005955</v>
      </c>
      <c r="Q22" s="240">
        <f t="shared" si="12"/>
        <v>0.000431286459</v>
      </c>
      <c r="R22" s="236">
        <f t="shared" si="13"/>
        <v>100.5900337</v>
      </c>
      <c r="S22" s="177"/>
      <c r="T22" s="233">
        <f t="shared" ref="T22:U22" si="32">IF(AND(C22&lt;&gt;"",F22&lt;&gt;"",I22&lt;&gt;""), SUM(I22,F22,C22,L22),"")</f>
        <v>403419689.8</v>
      </c>
      <c r="U22" s="233">
        <f t="shared" si="32"/>
        <v>364467122</v>
      </c>
      <c r="V22" s="233">
        <f t="shared" si="6"/>
        <v>100.8549224</v>
      </c>
      <c r="W22" s="241">
        <f t="shared" si="15"/>
        <v>-0.002828558844</v>
      </c>
      <c r="X22" s="241">
        <f t="shared" si="16"/>
        <v>-0.002828558844</v>
      </c>
      <c r="Y22" s="241">
        <f t="shared" si="25"/>
        <v>0.003008798768</v>
      </c>
      <c r="Z22" s="233">
        <f t="shared" si="7"/>
        <v>100.5900337</v>
      </c>
      <c r="AA22" s="165"/>
      <c r="AB22" s="245"/>
      <c r="AC22" s="242" t="str">
        <f>IF(ISTEXT(AB22),VLOOKUP(AB22,'Cadastro dos Ativos'!$A$2:$C$1000,3,0),"")</f>
        <v/>
      </c>
      <c r="AD22" s="242" t="str">
        <f>IF(AB22 &lt;&gt; "",IF(AC22="Futuros", (SUMIFS('Alocação'!$O$3:$O$1002,'Alocação'!$C$3:$C$1002,AB22,'Alocação'!$F$3:$F$1002,AB$9,'Alocação'!$B$3:$B$1002,"&lt;="&amp;$B$4)), (SUMIFS('Alocação'!$O$3:$O$1002,'Alocação'!$C$3:$C$1002,AB22,'Alocação'!$F$3:$F$1002,AB$9,'Alocação'!$B$3:$B$1002,"&lt;="&amp;$B$6))),"")</f>
        <v/>
      </c>
      <c r="AE22" s="243" t="str">
        <f>iferror(IF(AC22="Ações Americanas", HLOOKUP(AB22,'Histórico'!$A$1:$DD$990,MATCH($B$6,'Histórico'!$A:$A),FALSE)*HLOOKUP("PTAX",'Histórico'!$A$1:$FG$983,MATCH($B$6,'Histórico'!$A:$A),FALSE),IF(AC22="Ações Europeias", HLOOKUP(AB22,'Histórico'!$A$1:$DD$990,MATCH($B$6,'Histórico'!$A:$A),FALSE)*HLOOKUP("EUR/BRL",'Histórico'!$A$1:$FG$983,MATCH($B$6,'Histórico'!$A:$A),FALSE), HLOOKUP(AB22,'Histórico'!$A$1:$DD$990,MATCH($B$6,'Histórico'!$A:$A),FALSE))),"")</f>
        <v/>
      </c>
      <c r="AF22" s="243" t="str">
        <f t="shared" si="21"/>
        <v/>
      </c>
      <c r="AG22" s="53"/>
      <c r="AH22" s="245"/>
      <c r="AI22" s="242" t="str">
        <f>IF(ISTEXT(AH22),VLOOKUP(AH22,'Cadastro dos Ativos'!$A$2:$C$1000,3,0),"")</f>
        <v/>
      </c>
      <c r="AJ22" s="242" t="str">
        <f>IF(AH22 &lt;&gt; "",IF(AI22="Futuros", (SUMIFS('Alocação'!$O$3:$O$1002,'Alocação'!$C$3:$C$1002,AH22,'Alocação'!$F$3:$F$1002,AH$9,'Alocação'!$B$3:$B$1002,"&lt;="&amp;$B$4)), (SUMIFS('Alocação'!$O$3:$O$1002,'Alocação'!$C$3:$C$1002,AH22,'Alocação'!$F$3:$F$1002,AH$9,'Alocação'!$B$3:$B$1002,"&lt;="&amp;$B$6))),"")</f>
        <v/>
      </c>
      <c r="AK22" s="243" t="str">
        <f>iferror(IF(AI22="Ações Americanas", HLOOKUP(AH22,'Histórico'!$A$1:$DD$990,MATCH($B$6,'Histórico'!$A:$A),FALSE)*HLOOKUP("PTAX",'Histórico'!$A$1:$FG$983,MATCH($B$6,'Histórico'!$A:$A),FALSE),IF(AI22="Ações Europeias", HLOOKUP(AH22,'Histórico'!$A$1:$DD$990,MATCH($B$6,'Histórico'!$A:$A),FALSE)*HLOOKUP("EUR/BRL",'Histórico'!$A$1:$FG$983,MATCH($B$6,'Histórico'!$A:$A),FALSE),  HLOOKUP(AH22,'Histórico'!$A$1:$DD$990,MATCH($B$6,'Histórico'!$A:$A),FALSE))),"")</f>
        <v/>
      </c>
      <c r="AL22" s="243" t="str">
        <f t="shared" si="17"/>
        <v/>
      </c>
      <c r="AM22" s="53"/>
      <c r="AN22" s="245" t="str">
        <f>IFERROR(__xludf.DUMMYFUNCTION("""COMPUTED_VALUE"""),"CNH-V23")</f>
        <v>CNH-V23</v>
      </c>
      <c r="AO22" s="242" t="str">
        <f>IF(ISTEXT(AN22),VLOOKUP(AN22,'Cadastro dos Ativos'!$A$2:$C$1000,3,0),"")</f>
        <v>Futuros</v>
      </c>
      <c r="AP22" s="242">
        <f>IF(AN22 &lt;&gt; "",IF(AO22="Futuros", (SUMIFS('Alocação'!$O$3:$O$1002,'Alocação'!$C$3:$C$1002,AN22,'Alocação'!$F$3:$F$1002,AN$9,'Alocação'!$B$3:$B$1002,"&lt;="&amp;$B$4)), (SUMIFS('Alocação'!$O$3:$O$1002,'Alocação'!$C$3:$C$1002,AN22,'Alocação'!$F$3:$F$1002,AN$9,'Alocação'!$B$3:$B$1002,"&lt;="&amp;$B$6))),"")</f>
        <v>450</v>
      </c>
      <c r="AQ22" s="243">
        <f>iferror(IF(AO22="Ações Americanas", HLOOKUP(AN22,'Histórico'!$A$1:$DD$990,MATCH($B$6,'Histórico'!$A:$A),FALSE)*HLOOKUP("PTAX",'Histórico'!$A$1:$FG$983,MATCH($B$6,'Histórico'!$A:$A),FALSE),IF(AO22="Ações Europeias", HLOOKUP(AN22,'Histórico'!$A$1:$DD$990,MATCH($B$6,'Histórico'!$A:$A),FALSE)*HLOOKUP("EUR/BRL",'Histórico'!$A$1:$FG$983,MATCH($B$6,'Histórico'!$A:$A),FALSE),  HLOOKUP(AN22,'Histórico'!$A$1:$DD$990,MATCH($B$6,'Histórico'!$A:$A),FALSE))),"")</f>
        <v>-25.85</v>
      </c>
      <c r="AR22" s="243">
        <f t="shared" si="18"/>
        <v>-11632.5</v>
      </c>
      <c r="AS22" s="53"/>
      <c r="AT22" s="245"/>
      <c r="AU22" s="242" t="str">
        <f>IF(ISTEXT(AT22),VLOOKUP(AT22,'Cadastro dos Ativos'!$A$2:$C$1000,3,0),"")</f>
        <v/>
      </c>
      <c r="AV22" s="242" t="str">
        <f>IF(AT22 &lt;&gt; "",IF(AU22="Futuros", (SUMIFS('Alocação'!$O$3:$O$1002,'Alocação'!$C$3:$C$1002,AT22,'Alocação'!$F$3:$F$1002,AT$9,'Alocação'!$B$3:$B$1002,"&lt;="&amp;$B$4)), (SUMIFS('Alocação'!$O$3:$O$1002,'Alocação'!$C$3:$C$1002,AT22,'Alocação'!$F$3:$F$1002,AT$9,'Alocação'!$B$3:$B$1002,"&lt;="&amp;$B$6))),"")</f>
        <v/>
      </c>
      <c r="AW22" s="243" t="str">
        <f>iferror(IF(AU22="Ações Americanas", HLOOKUP(AT22,'Histórico'!$A$1:$DD$990,MATCH($B$6,'Histórico'!$A:$A),FALSE)*HLOOKUP("PTAX",'Histórico'!$A$1:$FG$983,MATCH($B$6,'Histórico'!$A:$A),FALSE),IF(AU22="Ações Europeias", HLOOKUP(AT22,'Histórico'!$A$1:$DD$990,MATCH($B$6,'Histórico'!$A:$A),FALSE)*HLOOKUP("EUR/BRL",'Histórico'!$A$1:$FG$983,MATCH($B$6,'Histórico'!$A:$A),FALSE),  HLOOKUP(AT22,'Histórico'!$A$1:$DD$990,MATCH($B$6,'Histórico'!$A:$A),FALSE))),"")</f>
        <v/>
      </c>
      <c r="AX22" s="243" t="str">
        <f t="shared" si="27"/>
        <v/>
      </c>
      <c r="AY22" s="183"/>
    </row>
    <row r="23" ht="15.75" customHeight="1">
      <c r="A23" s="176"/>
      <c r="B23" s="232">
        <v>45022.0</v>
      </c>
      <c r="C23" s="233">
        <v>1.006266040561686E8</v>
      </c>
      <c r="D23" s="233">
        <v>1.154101880014607E8</v>
      </c>
      <c r="E23" s="234"/>
      <c r="F23" s="233">
        <v>1.015202475167736E8</v>
      </c>
      <c r="G23" s="233">
        <v>5.728888989946061E7</v>
      </c>
      <c r="H23" s="234"/>
      <c r="I23" s="233">
        <v>1.005850111620758E8</v>
      </c>
      <c r="J23" s="233">
        <v>1.00585021922076E8</v>
      </c>
      <c r="K23" s="234"/>
      <c r="L23" s="233">
        <f t="shared" si="8"/>
        <v>100562125.6</v>
      </c>
      <c r="M23" s="233">
        <v>1.00585009047398E8</v>
      </c>
      <c r="N23" s="240">
        <f t="shared" si="9"/>
        <v>-0.001833112793</v>
      </c>
      <c r="O23" s="240">
        <f t="shared" si="10"/>
        <v>-0.0002892888165</v>
      </c>
      <c r="P23" s="240">
        <f t="shared" si="11"/>
        <v>0.0004487969114</v>
      </c>
      <c r="Q23" s="240">
        <f t="shared" si="12"/>
        <v>0.000431286459</v>
      </c>
      <c r="R23" s="236">
        <f t="shared" si="13"/>
        <v>100.63936</v>
      </c>
      <c r="S23" s="177"/>
      <c r="T23" s="233">
        <f t="shared" ref="T23:U23" si="33">IF(AND(C23&lt;&gt;"",F23&lt;&gt;"",I23&lt;&gt;""), SUM(I23,F23,C23,L23),"")</f>
        <v>403293988.3</v>
      </c>
      <c r="U23" s="233">
        <f t="shared" si="33"/>
        <v>373869108.9</v>
      </c>
      <c r="V23" s="233">
        <f t="shared" si="6"/>
        <v>100.8234971</v>
      </c>
      <c r="W23" s="241">
        <f t="shared" si="15"/>
        <v>-0.000311589812</v>
      </c>
      <c r="X23" s="241">
        <f t="shared" si="16"/>
        <v>-0.003139267306</v>
      </c>
      <c r="Y23" s="241">
        <f t="shared" si="25"/>
        <v>0.003066939252</v>
      </c>
      <c r="Z23" s="233">
        <f t="shared" si="7"/>
        <v>100.63936</v>
      </c>
      <c r="AA23" s="165"/>
      <c r="AB23" s="245"/>
      <c r="AC23" s="242" t="str">
        <f>IF(ISTEXT(AB23),VLOOKUP(AB23,'Cadastro dos Ativos'!$A$2:$C$1000,3,0),"")</f>
        <v/>
      </c>
      <c r="AD23" s="242" t="str">
        <f>IF(AB23 &lt;&gt; "",IF(AC23="Futuros", (SUMIFS('Alocação'!$O$3:$O$1002,'Alocação'!$C$3:$C$1002,AB23,'Alocação'!$F$3:$F$1002,AB$9,'Alocação'!$B$3:$B$1002,"&lt;="&amp;$B$4)), (SUMIFS('Alocação'!$O$3:$O$1002,'Alocação'!$C$3:$C$1002,AB23,'Alocação'!$F$3:$F$1002,AB$9,'Alocação'!$B$3:$B$1002,"&lt;="&amp;$B$6))),"")</f>
        <v/>
      </c>
      <c r="AE23" s="243" t="str">
        <f>iferror(IF(AC23="Ações Americanas", HLOOKUP(AB23,'Histórico'!$A$1:$DD$990,MATCH($B$6,'Histórico'!$A:$A),FALSE)*HLOOKUP("PTAX",'Histórico'!$A$1:$FG$983,MATCH($B$6,'Histórico'!$A:$A),FALSE),IF(AC23="Ações Europeias", HLOOKUP(AB23,'Histórico'!$A$1:$DD$990,MATCH($B$6,'Histórico'!$A:$A),FALSE)*HLOOKUP("EUR/BRL",'Histórico'!$A$1:$FG$983,MATCH($B$6,'Histórico'!$A:$A),FALSE), HLOOKUP(AB23,'Histórico'!$A$1:$DD$990,MATCH($B$6,'Histórico'!$A:$A),FALSE))),"")</f>
        <v/>
      </c>
      <c r="AF23" s="243" t="str">
        <f t="shared" si="21"/>
        <v/>
      </c>
      <c r="AG23" s="53"/>
      <c r="AH23" s="245"/>
      <c r="AI23" s="242" t="str">
        <f>IF(ISTEXT(AH23),VLOOKUP(AH23,'Cadastro dos Ativos'!$A$2:$C$1000,3,0),"")</f>
        <v/>
      </c>
      <c r="AJ23" s="242" t="str">
        <f>IF(AH23 &lt;&gt; "",IF(AI23="Futuros", (SUMIFS('Alocação'!$O$3:$O$1002,'Alocação'!$C$3:$C$1002,AH23,'Alocação'!$F$3:$F$1002,AH$9,'Alocação'!$B$3:$B$1002,"&lt;="&amp;$B$4)), (SUMIFS('Alocação'!$O$3:$O$1002,'Alocação'!$C$3:$C$1002,AH23,'Alocação'!$F$3:$F$1002,AH$9,'Alocação'!$B$3:$B$1002,"&lt;="&amp;$B$6))),"")</f>
        <v/>
      </c>
      <c r="AK23" s="243" t="str">
        <f>iferror(IF(AI23="Ações Americanas", HLOOKUP(AH23,'Histórico'!$A$1:$DD$990,MATCH($B$6,'Histórico'!$A:$A),FALSE)*HLOOKUP("PTAX",'Histórico'!$A$1:$FG$983,MATCH($B$6,'Histórico'!$A:$A),FALSE),IF(AI23="Ações Europeias", HLOOKUP(AH23,'Histórico'!$A$1:$DD$990,MATCH($B$6,'Histórico'!$A:$A),FALSE)*HLOOKUP("EUR/BRL",'Histórico'!$A$1:$FG$983,MATCH($B$6,'Histórico'!$A:$A),FALSE),  HLOOKUP(AH23,'Histórico'!$A$1:$DD$990,MATCH($B$6,'Histórico'!$A:$A),FALSE))),"")</f>
        <v/>
      </c>
      <c r="AL23" s="243" t="str">
        <f t="shared" si="17"/>
        <v/>
      </c>
      <c r="AM23" s="53"/>
      <c r="AN23" s="245"/>
      <c r="AO23" s="242" t="str">
        <f>IF(ISTEXT(AN23),VLOOKUP(AN23,'Cadastro dos Ativos'!$A$2:$C$1000,3,0),"")</f>
        <v/>
      </c>
      <c r="AP23" s="242" t="str">
        <f>IF(AN23 &lt;&gt; "",IF(AO23="Futuros", (SUMIFS('Alocação'!$O$3:$O$1002,'Alocação'!$C$3:$C$1002,AN23,'Alocação'!$F$3:$F$1002,AN$9,'Alocação'!$B$3:$B$1002,"&lt;="&amp;$B$4)), (SUMIFS('Alocação'!$O$3:$O$1002,'Alocação'!$C$3:$C$1002,AN23,'Alocação'!$F$3:$F$1002,AN$9,'Alocação'!$B$3:$B$1002,"&lt;="&amp;$B$6))),"")</f>
        <v/>
      </c>
      <c r="AQ23" s="243" t="str">
        <f>iferror(IF(AO23="Ações Americanas", HLOOKUP(AN23,'Histórico'!$A$1:$DD$990,MATCH($B$6,'Histórico'!$A:$A),FALSE)*HLOOKUP("PTAX",'Histórico'!$A$1:$FG$983,MATCH($B$6,'Histórico'!$A:$A),FALSE),IF(AO23="Ações Europeias", HLOOKUP(AN23,'Histórico'!$A$1:$DD$990,MATCH($B$6,'Histórico'!$A:$A),FALSE)*HLOOKUP("EUR/BRL",'Histórico'!$A$1:$FG$983,MATCH($B$6,'Histórico'!$A:$A),FALSE),  HLOOKUP(AN23,'Histórico'!$A$1:$DD$990,MATCH($B$6,'Histórico'!$A:$A),FALSE))),"")</f>
        <v/>
      </c>
      <c r="AR23" s="243" t="str">
        <f t="shared" si="18"/>
        <v/>
      </c>
      <c r="AS23" s="53"/>
      <c r="AT23" s="245"/>
      <c r="AU23" s="242" t="str">
        <f>IF(ISTEXT(AT23),VLOOKUP(AT23,'Cadastro dos Ativos'!$A$2:$C$1000,3,0),"")</f>
        <v/>
      </c>
      <c r="AV23" s="242" t="str">
        <f>IF(AT23 &lt;&gt; "",IF(AU23="Futuros", (SUMIFS('Alocação'!$O$3:$O$1002,'Alocação'!$C$3:$C$1002,AT23,'Alocação'!$F$3:$F$1002,AT$9,'Alocação'!$B$3:$B$1002,"&lt;="&amp;$B$4)), (SUMIFS('Alocação'!$O$3:$O$1002,'Alocação'!$C$3:$C$1002,AT23,'Alocação'!$F$3:$F$1002,AT$9,'Alocação'!$B$3:$B$1002,"&lt;="&amp;$B$6))),"")</f>
        <v/>
      </c>
      <c r="AW23" s="243" t="str">
        <f>iferror(IF(AU23="Ações Americanas", HLOOKUP(AT23,'Histórico'!$A$1:$DD$990,MATCH($B$6,'Histórico'!$A:$A),FALSE)*HLOOKUP("PTAX",'Histórico'!$A$1:$FG$983,MATCH($B$6,'Histórico'!$A:$A),FALSE),IF(AU23="Ações Europeias", HLOOKUP(AT23,'Histórico'!$A$1:$DD$990,MATCH($B$6,'Histórico'!$A:$A),FALSE)*HLOOKUP("EUR/BRL",'Histórico'!$A$1:$FG$983,MATCH($B$6,'Histórico'!$A:$A),FALSE),  HLOOKUP(AT23,'Histórico'!$A$1:$DD$990,MATCH($B$6,'Histórico'!$A:$A),FALSE))),"")</f>
        <v/>
      </c>
      <c r="AX23" s="243" t="str">
        <f t="shared" si="27"/>
        <v/>
      </c>
      <c r="AY23" s="183"/>
    </row>
    <row r="24" ht="15.75" customHeight="1">
      <c r="A24" s="176"/>
      <c r="B24" s="232">
        <v>45026.0</v>
      </c>
      <c r="C24" s="233">
        <v>9.984246017316024E7</v>
      </c>
      <c r="D24" s="233">
        <v>1.146680825516591E8</v>
      </c>
      <c r="E24" s="234"/>
      <c r="F24" s="233">
        <v>1.00643163989141E8</v>
      </c>
      <c r="G24" s="233">
        <v>5.670322040515892E7</v>
      </c>
      <c r="H24" s="234"/>
      <c r="I24" s="233">
        <v>1.004757215610055E8</v>
      </c>
      <c r="J24" s="233">
        <v>9.266709560866466E7</v>
      </c>
      <c r="K24" s="234"/>
      <c r="L24" s="233">
        <f t="shared" si="8"/>
        <v>100605496.6</v>
      </c>
      <c r="M24" s="233">
        <v>1.006301512432896E8</v>
      </c>
      <c r="N24" s="240">
        <f t="shared" si="9"/>
        <v>-0.00779261002</v>
      </c>
      <c r="O24" s="240">
        <f t="shared" si="10"/>
        <v>-0.00863949359</v>
      </c>
      <c r="P24" s="240">
        <f t="shared" si="11"/>
        <v>-0.001086539633</v>
      </c>
      <c r="Q24" s="240">
        <f t="shared" si="12"/>
        <v>0.000431286459</v>
      </c>
      <c r="R24" s="236">
        <f t="shared" si="13"/>
        <v>100.6887105</v>
      </c>
      <c r="S24" s="177"/>
      <c r="T24" s="233">
        <f t="shared" ref="T24:U24" si="34">IF(AND(C24&lt;&gt;"",F24&lt;&gt;"",I24&lt;&gt;""), SUM(I24,F24,C24,L24),"")</f>
        <v>401566842.4</v>
      </c>
      <c r="U24" s="233">
        <f t="shared" si="34"/>
        <v>364668549.8</v>
      </c>
      <c r="V24" s="233">
        <f t="shared" si="6"/>
        <v>100.3917106</v>
      </c>
      <c r="W24" s="241">
        <f t="shared" si="15"/>
        <v>-0.004282597755</v>
      </c>
      <c r="X24" s="241">
        <f t="shared" si="16"/>
        <v>-0.007408420841</v>
      </c>
      <c r="Y24" s="241">
        <f t="shared" si="25"/>
        <v>0.003804258427</v>
      </c>
      <c r="Z24" s="233">
        <f t="shared" si="7"/>
        <v>100.6887105</v>
      </c>
      <c r="AA24" s="165"/>
      <c r="AB24" s="245"/>
      <c r="AC24" s="242" t="str">
        <f>IF(ISTEXT(AB24),VLOOKUP(AB24,'Cadastro dos Ativos'!$A$2:$C$1000,3,0),"")</f>
        <v/>
      </c>
      <c r="AD24" s="242" t="str">
        <f>IF(AB24 &lt;&gt; "",IF(AC24="Futuros", (SUMIFS('Alocação'!$O$3:$O$1002,'Alocação'!$C$3:$C$1002,AB24,'Alocação'!$F$3:$F$1002,AB$9,'Alocação'!$B$3:$B$1002,"&lt;="&amp;$B$4)), (SUMIFS('Alocação'!$O$3:$O$1002,'Alocação'!$C$3:$C$1002,AB24,'Alocação'!$F$3:$F$1002,AB$9,'Alocação'!$B$3:$B$1002,"&lt;="&amp;$B$6))),"")</f>
        <v/>
      </c>
      <c r="AE24" s="243" t="str">
        <f>iferror(IF(AC24="Ações Americanas", HLOOKUP(AB24,'Histórico'!$A$1:$DD$990,MATCH($B$6,'Histórico'!$A:$A),FALSE)*HLOOKUP("PTAX",'Histórico'!$A$1:$FG$983,MATCH($B$6,'Histórico'!$A:$A),FALSE),IF(AC24="Ações Europeias", HLOOKUP(AB24,'Histórico'!$A$1:$DD$990,MATCH($B$6,'Histórico'!$A:$A),FALSE)*HLOOKUP("EUR/BRL",'Histórico'!$A$1:$FG$983,MATCH($B$6,'Histórico'!$A:$A),FALSE), HLOOKUP(AB24,'Histórico'!$A$1:$DD$990,MATCH($B$6,'Histórico'!$A:$A),FALSE))),"")</f>
        <v/>
      </c>
      <c r="AF24" s="243" t="str">
        <f t="shared" si="21"/>
        <v/>
      </c>
      <c r="AG24" s="53"/>
      <c r="AH24" s="245"/>
      <c r="AI24" s="242" t="str">
        <f>IF(ISTEXT(AH24),VLOOKUP(AH24,'Cadastro dos Ativos'!$A$2:$C$1000,3,0),"")</f>
        <v/>
      </c>
      <c r="AJ24" s="242" t="str">
        <f>IF(AH24 &lt;&gt; "",IF(AI24="Futuros", (SUMIFS('Alocação'!$O$3:$O$1002,'Alocação'!$C$3:$C$1002,AH24,'Alocação'!$F$3:$F$1002,AH$9,'Alocação'!$B$3:$B$1002,"&lt;="&amp;$B$4)), (SUMIFS('Alocação'!$O$3:$O$1002,'Alocação'!$C$3:$C$1002,AH24,'Alocação'!$F$3:$F$1002,AH$9,'Alocação'!$B$3:$B$1002,"&lt;="&amp;$B$6))),"")</f>
        <v/>
      </c>
      <c r="AK24" s="243" t="str">
        <f>iferror(IF(AI24="Ações Americanas", HLOOKUP(AH24,'Histórico'!$A$1:$DD$990,MATCH($B$6,'Histórico'!$A:$A),FALSE)*HLOOKUP("PTAX",'Histórico'!$A$1:$FG$983,MATCH($B$6,'Histórico'!$A:$A),FALSE),IF(AI24="Ações Europeias", HLOOKUP(AH24,'Histórico'!$A$1:$DD$990,MATCH($B$6,'Histórico'!$A:$A),FALSE)*HLOOKUP("EUR/BRL",'Histórico'!$A$1:$FG$983,MATCH($B$6,'Histórico'!$A:$A),FALSE),  HLOOKUP(AH24,'Histórico'!$A$1:$DD$990,MATCH($B$6,'Histórico'!$A:$A),FALSE))),"")</f>
        <v/>
      </c>
      <c r="AL24" s="243" t="str">
        <f t="shared" si="17"/>
        <v/>
      </c>
      <c r="AM24" s="53"/>
      <c r="AN24" s="245"/>
      <c r="AO24" s="242" t="str">
        <f>IF(ISTEXT(AN24),VLOOKUP(AN24,'Cadastro dos Ativos'!$A$2:$C$1000,3,0),"")</f>
        <v/>
      </c>
      <c r="AP24" s="242" t="str">
        <f>IF(AN24 &lt;&gt; "",IF(AO24="Futuros", (SUMIFS('Alocação'!$O$3:$O$1002,'Alocação'!$C$3:$C$1002,AN24,'Alocação'!$F$3:$F$1002,AN$9,'Alocação'!$B$3:$B$1002,"&lt;="&amp;$B$4)), (SUMIFS('Alocação'!$O$3:$O$1002,'Alocação'!$C$3:$C$1002,AN24,'Alocação'!$F$3:$F$1002,AN$9,'Alocação'!$B$3:$B$1002,"&lt;="&amp;$B$6))),"")</f>
        <v/>
      </c>
      <c r="AQ24" s="243" t="str">
        <f>iferror(IF(AO24="Ações Americanas", HLOOKUP(AN24,'Histórico'!$A$1:$DD$990,MATCH($B$6,'Histórico'!$A:$A),FALSE)*HLOOKUP("PTAX",'Histórico'!$A$1:$FG$983,MATCH($B$6,'Histórico'!$A:$A),FALSE),IF(AO24="Ações Europeias", HLOOKUP(AN24,'Histórico'!$A$1:$DD$990,MATCH($B$6,'Histórico'!$A:$A),FALSE)*HLOOKUP("EUR/BRL",'Histórico'!$A$1:$FG$983,MATCH($B$6,'Histórico'!$A:$A),FALSE),  HLOOKUP(AN24,'Histórico'!$A$1:$DD$990,MATCH($B$6,'Histórico'!$A:$A),FALSE))),"")</f>
        <v/>
      </c>
      <c r="AR24" s="243" t="str">
        <f t="shared" si="18"/>
        <v/>
      </c>
      <c r="AS24" s="53"/>
      <c r="AT24" s="245"/>
      <c r="AU24" s="242" t="str">
        <f>IF(ISTEXT(AT24),VLOOKUP(AT24,'Cadastro dos Ativos'!$A$2:$C$1000,3,0),"")</f>
        <v/>
      </c>
      <c r="AV24" s="242" t="str">
        <f>IF(AT24 &lt;&gt; "",IF(AU24="Futuros", (SUMIFS('Alocação'!$O$3:$O$1002,'Alocação'!$C$3:$C$1002,AT24,'Alocação'!$F$3:$F$1002,AT$9,'Alocação'!$B$3:$B$1002,"&lt;="&amp;$B$4)), (SUMIFS('Alocação'!$O$3:$O$1002,'Alocação'!$C$3:$C$1002,AT24,'Alocação'!$F$3:$F$1002,AT$9,'Alocação'!$B$3:$B$1002,"&lt;="&amp;$B$6))),"")</f>
        <v/>
      </c>
      <c r="AW24" s="243" t="str">
        <f>iferror(IF(AU24="Ações Americanas", HLOOKUP(AT24,'Histórico'!$A$1:$DD$990,MATCH($B$6,'Histórico'!$A:$A),FALSE)*HLOOKUP("PTAX",'Histórico'!$A$1:$FG$983,MATCH($B$6,'Histórico'!$A:$A),FALSE),IF(AU24="Ações Europeias", HLOOKUP(AT24,'Histórico'!$A$1:$DD$990,MATCH($B$6,'Histórico'!$A:$A),FALSE)*HLOOKUP("EUR/BRL",'Histórico'!$A$1:$FG$983,MATCH($B$6,'Histórico'!$A:$A),FALSE),  HLOOKUP(AT24,'Histórico'!$A$1:$DD$990,MATCH($B$6,'Histórico'!$A:$A),FALSE))),"")</f>
        <v/>
      </c>
      <c r="AX24" s="243" t="str">
        <f t="shared" si="27"/>
        <v/>
      </c>
      <c r="AY24" s="183"/>
    </row>
    <row r="25" ht="15.75" customHeight="1">
      <c r="A25" s="176"/>
      <c r="B25" s="232">
        <v>45027.0</v>
      </c>
      <c r="C25" s="233">
        <v>1.006008791252546E8</v>
      </c>
      <c r="D25" s="233">
        <v>1.153969465113389E8</v>
      </c>
      <c r="E25" s="234"/>
      <c r="F25" s="233">
        <v>1.013579438876973E8</v>
      </c>
      <c r="G25" s="233">
        <v>1.10490524372235E8</v>
      </c>
      <c r="H25" s="234"/>
      <c r="I25" s="233">
        <v>1.005280156812568E8</v>
      </c>
      <c r="J25" s="233">
        <v>9.298050861177067E7</v>
      </c>
      <c r="K25" s="234"/>
      <c r="L25" s="233">
        <f t="shared" si="8"/>
        <v>100648886.4</v>
      </c>
      <c r="M25" s="233">
        <v>1.006753136988388E8</v>
      </c>
      <c r="N25" s="240">
        <f t="shared" si="9"/>
        <v>0.007596156493</v>
      </c>
      <c r="O25" s="240">
        <f t="shared" si="10"/>
        <v>0.007102120703</v>
      </c>
      <c r="P25" s="240">
        <f t="shared" si="11"/>
        <v>0.0005204652372</v>
      </c>
      <c r="Q25" s="240">
        <f t="shared" si="12"/>
        <v>0.000431286459</v>
      </c>
      <c r="R25" s="236">
        <f t="shared" si="13"/>
        <v>100.7380852</v>
      </c>
      <c r="S25" s="177"/>
      <c r="T25" s="233">
        <f t="shared" ref="T25:U25" si="35">IF(AND(C25&lt;&gt;"",F25&lt;&gt;"",I25&lt;&gt;""), SUM(I25,F25,C25,L25),"")</f>
        <v>403135725.1</v>
      </c>
      <c r="U25" s="233">
        <f t="shared" si="35"/>
        <v>419543293.2</v>
      </c>
      <c r="V25" s="233">
        <f t="shared" si="6"/>
        <v>100.7839313</v>
      </c>
      <c r="W25" s="241">
        <f t="shared" si="15"/>
        <v>0.003906903145</v>
      </c>
      <c r="X25" s="241">
        <f t="shared" si="16"/>
        <v>-0.003530461679</v>
      </c>
      <c r="Y25" s="241">
        <f t="shared" si="25"/>
        <v>0.003189344006</v>
      </c>
      <c r="Z25" s="233">
        <f t="shared" si="7"/>
        <v>100.7380852</v>
      </c>
      <c r="AA25" s="165"/>
      <c r="AB25" s="245"/>
      <c r="AC25" s="242" t="str">
        <f>IF(ISTEXT(AB25),VLOOKUP(AB25,'Cadastro dos Ativos'!$A$2:$C$1000,3,0),"")</f>
        <v/>
      </c>
      <c r="AD25" s="242" t="str">
        <f>IF(AB25 &lt;&gt; "",IF(AC25="Futuros", (SUMIFS('Alocação'!$O$3:$O$1002,'Alocação'!$C$3:$C$1002,AB25,'Alocação'!$F$3:$F$1002,AB$9,'Alocação'!$B$3:$B$1002,"&lt;="&amp;$B$4)), (SUMIFS('Alocação'!$O$3:$O$1002,'Alocação'!$C$3:$C$1002,AB25,'Alocação'!$F$3:$F$1002,AB$9,'Alocação'!$B$3:$B$1002,"&lt;="&amp;$B$6))),"")</f>
        <v/>
      </c>
      <c r="AE25" s="243" t="str">
        <f>iferror(IF(AC25="Ações Americanas", HLOOKUP(AB25,'Histórico'!$A$1:$DD$990,MATCH($B$6,'Histórico'!$A:$A),FALSE)*HLOOKUP("PTAX",'Histórico'!$A$1:$FG$983,MATCH($B$6,'Histórico'!$A:$A),FALSE),IF(AC25="Ações Europeias", HLOOKUP(AB25,'Histórico'!$A$1:$DD$990,MATCH($B$6,'Histórico'!$A:$A),FALSE)*HLOOKUP("EUR/BRL",'Histórico'!$A$1:$FG$983,MATCH($B$6,'Histórico'!$A:$A),FALSE), HLOOKUP(AB25,'Histórico'!$A$1:$DD$990,MATCH($B$6,'Histórico'!$A:$A),FALSE))),"")</f>
        <v/>
      </c>
      <c r="AF25" s="243" t="str">
        <f t="shared" si="21"/>
        <v/>
      </c>
      <c r="AG25" s="53"/>
      <c r="AH25" s="245"/>
      <c r="AI25" s="242" t="str">
        <f>IF(ISTEXT(AH25),VLOOKUP(AH25,'Cadastro dos Ativos'!$A$2:$C$1000,3,0),"")</f>
        <v/>
      </c>
      <c r="AJ25" s="242" t="str">
        <f>IF(AH25 &lt;&gt; "",IF(AI25="Futuros", (SUMIFS('Alocação'!$O$3:$O$1002,'Alocação'!$C$3:$C$1002,AH25,'Alocação'!$F$3:$F$1002,AH$9,'Alocação'!$B$3:$B$1002,"&lt;="&amp;$B$4)), (SUMIFS('Alocação'!$O$3:$O$1002,'Alocação'!$C$3:$C$1002,AH25,'Alocação'!$F$3:$F$1002,AH$9,'Alocação'!$B$3:$B$1002,"&lt;="&amp;$B$6))),"")</f>
        <v/>
      </c>
      <c r="AK25" s="243" t="str">
        <f>iferror(IF(AI25="Ações Americanas", HLOOKUP(AH25,'Histórico'!$A$1:$DD$990,MATCH($B$6,'Histórico'!$A:$A),FALSE)*HLOOKUP("PTAX",'Histórico'!$A$1:$FG$983,MATCH($B$6,'Histórico'!$A:$A),FALSE),IF(AI25="Ações Europeias", HLOOKUP(AH25,'Histórico'!$A$1:$DD$990,MATCH($B$6,'Histórico'!$A:$A),FALSE)*HLOOKUP("EUR/BRL",'Histórico'!$A$1:$FG$983,MATCH($B$6,'Histórico'!$A:$A),FALSE),  HLOOKUP(AH25,'Histórico'!$A$1:$DD$990,MATCH($B$6,'Histórico'!$A:$A),FALSE))),"")</f>
        <v/>
      </c>
      <c r="AL25" s="243" t="str">
        <f t="shared" si="17"/>
        <v/>
      </c>
      <c r="AM25" s="53"/>
      <c r="AN25" s="245"/>
      <c r="AO25" s="242" t="str">
        <f>IF(ISTEXT(AN25),VLOOKUP(AN25,'Cadastro dos Ativos'!$A$2:$C$1000,3,0),"")</f>
        <v/>
      </c>
      <c r="AP25" s="242" t="str">
        <f>IF(AN25 &lt;&gt; "",IF(AO25="Futuros", (SUMIFS('Alocação'!$O$3:$O$1002,'Alocação'!$C$3:$C$1002,AN25,'Alocação'!$F$3:$F$1002,AN$9,'Alocação'!$B$3:$B$1002,"&lt;="&amp;$B$4)), (SUMIFS('Alocação'!$O$3:$O$1002,'Alocação'!$C$3:$C$1002,AN25,'Alocação'!$F$3:$F$1002,AN$9,'Alocação'!$B$3:$B$1002,"&lt;="&amp;$B$6))),"")</f>
        <v/>
      </c>
      <c r="AQ25" s="243" t="str">
        <f>iferror(IF(AO25="Ações Americanas", HLOOKUP(AN25,'Histórico'!$A$1:$DD$990,MATCH($B$6,'Histórico'!$A:$A),FALSE)*HLOOKUP("PTAX",'Histórico'!$A$1:$FG$983,MATCH($B$6,'Histórico'!$A:$A),FALSE),IF(AO25="Ações Europeias", HLOOKUP(AN25,'Histórico'!$A$1:$DD$990,MATCH($B$6,'Histórico'!$A:$A),FALSE)*HLOOKUP("EUR/BRL",'Histórico'!$A$1:$FG$983,MATCH($B$6,'Histórico'!$A:$A),FALSE),  HLOOKUP(AN25,'Histórico'!$A$1:$DD$990,MATCH($B$6,'Histórico'!$A:$A),FALSE))),"")</f>
        <v/>
      </c>
      <c r="AR25" s="243" t="str">
        <f t="shared" si="18"/>
        <v/>
      </c>
      <c r="AS25" s="53"/>
      <c r="AT25" s="245"/>
      <c r="AU25" s="242" t="str">
        <f>IF(ISTEXT(AT25),VLOOKUP(AT25,'Cadastro dos Ativos'!$A$2:$C$1000,3,0),"")</f>
        <v/>
      </c>
      <c r="AV25" s="242" t="str">
        <f>IF(AT25 &lt;&gt; "",IF(AU25="Futuros", (SUMIFS('Alocação'!$O$3:$O$1002,'Alocação'!$C$3:$C$1002,AT25,'Alocação'!$F$3:$F$1002,AT$9,'Alocação'!$B$3:$B$1002,"&lt;="&amp;$B$4)), (SUMIFS('Alocação'!$O$3:$O$1002,'Alocação'!$C$3:$C$1002,AT25,'Alocação'!$F$3:$F$1002,AT$9,'Alocação'!$B$3:$B$1002,"&lt;="&amp;$B$6))),"")</f>
        <v/>
      </c>
      <c r="AW25" s="243" t="str">
        <f>iferror(IF(AU25="Ações Americanas", HLOOKUP(AT25,'Histórico'!$A$1:$DD$990,MATCH($B$6,'Histórico'!$A:$A),FALSE)*HLOOKUP("PTAX",'Histórico'!$A$1:$FG$983,MATCH($B$6,'Histórico'!$A:$A),FALSE),IF(AU25="Ações Europeias", HLOOKUP(AT25,'Histórico'!$A$1:$DD$990,MATCH($B$6,'Histórico'!$A:$A),FALSE)*HLOOKUP("EUR/BRL",'Histórico'!$A$1:$FG$983,MATCH($B$6,'Histórico'!$A:$A),FALSE),  HLOOKUP(AT25,'Histórico'!$A$1:$DD$990,MATCH($B$6,'Histórico'!$A:$A),FALSE))),"")</f>
        <v/>
      </c>
      <c r="AX25" s="243" t="str">
        <f t="shared" si="27"/>
        <v/>
      </c>
      <c r="AY25" s="183"/>
    </row>
    <row r="26" ht="15.75" customHeight="1">
      <c r="A26" s="176"/>
      <c r="B26" s="232">
        <v>45028.0</v>
      </c>
      <c r="C26" s="233">
        <v>1.011162914702187E8</v>
      </c>
      <c r="D26" s="233">
        <v>1.160021167563693E8</v>
      </c>
      <c r="E26" s="234"/>
      <c r="F26" s="233">
        <v>1.020628465106014E8</v>
      </c>
      <c r="G26" s="233">
        <v>1.263255738856709E8</v>
      </c>
      <c r="H26" s="234"/>
      <c r="I26" s="233">
        <v>1.006332093729036E8</v>
      </c>
      <c r="J26" s="233">
        <v>9.315244432957886E7</v>
      </c>
      <c r="K26" s="234"/>
      <c r="L26" s="233">
        <f t="shared" si="8"/>
        <v>100692294.9</v>
      </c>
      <c r="M26" s="233">
        <v>1.007204964231382E8</v>
      </c>
      <c r="N26" s="240">
        <f t="shared" si="9"/>
        <v>0.005123338379</v>
      </c>
      <c r="O26" s="240">
        <f t="shared" si="10"/>
        <v>0.006954586842</v>
      </c>
      <c r="P26" s="240">
        <f t="shared" si="11"/>
        <v>0.001046411699</v>
      </c>
      <c r="Q26" s="240">
        <f t="shared" si="12"/>
        <v>0.000431286459</v>
      </c>
      <c r="R26" s="236">
        <f t="shared" si="13"/>
        <v>100.7874842</v>
      </c>
      <c r="S26" s="177"/>
      <c r="T26" s="233">
        <f t="shared" ref="T26:U26" si="36">IF(AND(C26&lt;&gt;"",F26&lt;&gt;"",I26&lt;&gt;""), SUM(I26,F26,C26,L26),"")</f>
        <v>404504642.3</v>
      </c>
      <c r="U26" s="233">
        <f t="shared" si="36"/>
        <v>436200631.4</v>
      </c>
      <c r="V26" s="233">
        <f t="shared" si="6"/>
        <v>101.1261606</v>
      </c>
      <c r="W26" s="241">
        <f t="shared" si="15"/>
        <v>0.003395673159</v>
      </c>
      <c r="X26" s="241">
        <f t="shared" si="16"/>
        <v>-0.0001467768138</v>
      </c>
      <c r="Y26" s="241">
        <f t="shared" si="25"/>
        <v>0.003647947268</v>
      </c>
      <c r="Z26" s="233">
        <f t="shared" si="7"/>
        <v>100.7874842</v>
      </c>
      <c r="AA26" s="165"/>
      <c r="AB26" s="245"/>
      <c r="AC26" s="242" t="str">
        <f>IF(ISTEXT(AB26),VLOOKUP(AB26,'Cadastro dos Ativos'!$A$2:$C$1000,3,0),"")</f>
        <v/>
      </c>
      <c r="AD26" s="242" t="str">
        <f>IF(AB26 &lt;&gt; "",IF(AC26="Futuros", (SUMIFS('Alocação'!$O$3:$O$1002,'Alocação'!$C$3:$C$1002,AB26,'Alocação'!$F$3:$F$1002,AB$9,'Alocação'!$B$3:$B$1002,"&lt;="&amp;$B$4)), (SUMIFS('Alocação'!$O$3:$O$1002,'Alocação'!$C$3:$C$1002,AB26,'Alocação'!$F$3:$F$1002,AB$9,'Alocação'!$B$3:$B$1002,"&lt;="&amp;$B$6))),"")</f>
        <v/>
      </c>
      <c r="AE26" s="243" t="str">
        <f>iferror(IF(AC26="Ações Americanas", HLOOKUP(AB26,'Histórico'!$A$1:$DD$990,MATCH($B$6,'Histórico'!$A:$A),FALSE)*HLOOKUP("PTAX",'Histórico'!$A$1:$FG$983,MATCH($B$6,'Histórico'!$A:$A),FALSE),IF(AC26="Ações Europeias", HLOOKUP(AB26,'Histórico'!$A$1:$DD$990,MATCH($B$6,'Histórico'!$A:$A),FALSE)*HLOOKUP("EUR/BRL",'Histórico'!$A$1:$FG$983,MATCH($B$6,'Histórico'!$A:$A),FALSE), HLOOKUP(AB26,'Histórico'!$A$1:$DD$990,MATCH($B$6,'Histórico'!$A:$A),FALSE))),"")</f>
        <v/>
      </c>
      <c r="AF26" s="243" t="str">
        <f t="shared" si="21"/>
        <v/>
      </c>
      <c r="AG26" s="53"/>
      <c r="AH26" s="245"/>
      <c r="AI26" s="242" t="str">
        <f>IF(ISTEXT(AH26),VLOOKUP(AH26,'Cadastro dos Ativos'!$A$2:$C$1000,3,0),"")</f>
        <v/>
      </c>
      <c r="AJ26" s="242" t="str">
        <f>IF(AH26 &lt;&gt; "",IF(AI26="Futuros", (SUMIFS('Alocação'!$O$3:$O$1002,'Alocação'!$C$3:$C$1002,AH26,'Alocação'!$F$3:$F$1002,AH$9,'Alocação'!$B$3:$B$1002,"&lt;="&amp;$B$4)), (SUMIFS('Alocação'!$O$3:$O$1002,'Alocação'!$C$3:$C$1002,AH26,'Alocação'!$F$3:$F$1002,AH$9,'Alocação'!$B$3:$B$1002,"&lt;="&amp;$B$6))),"")</f>
        <v/>
      </c>
      <c r="AK26" s="243" t="str">
        <f>iferror(IF(AI26="Ações Americanas", HLOOKUP(AH26,'Histórico'!$A$1:$DD$990,MATCH($B$6,'Histórico'!$A:$A),FALSE)*HLOOKUP("PTAX",'Histórico'!$A$1:$FG$983,MATCH($B$6,'Histórico'!$A:$A),FALSE),IF(AI26="Ações Europeias", HLOOKUP(AH26,'Histórico'!$A$1:$DD$990,MATCH($B$6,'Histórico'!$A:$A),FALSE)*HLOOKUP("EUR/BRL",'Histórico'!$A$1:$FG$983,MATCH($B$6,'Histórico'!$A:$A),FALSE),  HLOOKUP(AH26,'Histórico'!$A$1:$DD$990,MATCH($B$6,'Histórico'!$A:$A),FALSE))),"")</f>
        <v/>
      </c>
      <c r="AL26" s="243" t="str">
        <f t="shared" si="17"/>
        <v/>
      </c>
      <c r="AM26" s="53"/>
      <c r="AN26" s="245"/>
      <c r="AO26" s="242" t="str">
        <f>IF(ISTEXT(AN26),VLOOKUP(AN26,'Cadastro dos Ativos'!$A$2:$C$1000,3,0),"")</f>
        <v/>
      </c>
      <c r="AP26" s="242" t="str">
        <f>IF(AN26 &lt;&gt; "",IF(AO26="Futuros", (SUMIFS('Alocação'!$O$3:$O$1002,'Alocação'!$C$3:$C$1002,AN26,'Alocação'!$F$3:$F$1002,AN$9,'Alocação'!$B$3:$B$1002,"&lt;="&amp;$B$4)), (SUMIFS('Alocação'!$O$3:$O$1002,'Alocação'!$C$3:$C$1002,AN26,'Alocação'!$F$3:$F$1002,AN$9,'Alocação'!$B$3:$B$1002,"&lt;="&amp;$B$6))),"")</f>
        <v/>
      </c>
      <c r="AQ26" s="243" t="str">
        <f>iferror(IF(AO26="Ações Americanas", HLOOKUP(AN26,'Histórico'!$A$1:$DD$990,MATCH($B$6,'Histórico'!$A:$A),FALSE)*HLOOKUP("PTAX",'Histórico'!$A$1:$FG$983,MATCH($B$6,'Histórico'!$A:$A),FALSE),IF(AO26="Ações Europeias", HLOOKUP(AN26,'Histórico'!$A$1:$DD$990,MATCH($B$6,'Histórico'!$A:$A),FALSE)*HLOOKUP("EUR/BRL",'Histórico'!$A$1:$FG$983,MATCH($B$6,'Histórico'!$A:$A),FALSE),  HLOOKUP(AN26,'Histórico'!$A$1:$DD$990,MATCH($B$6,'Histórico'!$A:$A),FALSE))),"")</f>
        <v/>
      </c>
      <c r="AR26" s="243" t="str">
        <f t="shared" si="18"/>
        <v/>
      </c>
      <c r="AS26" s="53"/>
      <c r="AT26" s="245"/>
      <c r="AU26" s="242" t="str">
        <f>IF(ISTEXT(AT26),VLOOKUP(AT26,'Cadastro dos Ativos'!$A$2:$C$1000,3,0),"")</f>
        <v/>
      </c>
      <c r="AV26" s="242" t="str">
        <f>IF(AT26 &lt;&gt; "",IF(AU26="Futuros", (SUMIFS('Alocação'!$O$3:$O$1002,'Alocação'!$C$3:$C$1002,AT26,'Alocação'!$F$3:$F$1002,AT$9,'Alocação'!$B$3:$B$1002,"&lt;="&amp;$B$4)), (SUMIFS('Alocação'!$O$3:$O$1002,'Alocação'!$C$3:$C$1002,AT26,'Alocação'!$F$3:$F$1002,AT$9,'Alocação'!$B$3:$B$1002,"&lt;="&amp;$B$6))),"")</f>
        <v/>
      </c>
      <c r="AW26" s="243" t="str">
        <f>iferror(IF(AU26="Ações Americanas", HLOOKUP(AT26,'Histórico'!$A$1:$DD$990,MATCH($B$6,'Histórico'!$A:$A),FALSE)*HLOOKUP("PTAX",'Histórico'!$A$1:$FG$983,MATCH($B$6,'Histórico'!$A:$A),FALSE),IF(AU26="Ações Europeias", HLOOKUP(AT26,'Histórico'!$A$1:$DD$990,MATCH($B$6,'Histórico'!$A:$A),FALSE)*HLOOKUP("EUR/BRL",'Histórico'!$A$1:$FG$983,MATCH($B$6,'Histórico'!$A:$A),FALSE),  HLOOKUP(AT26,'Histórico'!$A$1:$DD$990,MATCH($B$6,'Histórico'!$A:$A),FALSE))),"")</f>
        <v/>
      </c>
      <c r="AX26" s="243" t="str">
        <f t="shared" si="27"/>
        <v/>
      </c>
      <c r="AY26" s="183"/>
    </row>
    <row r="27" ht="15.75" customHeight="1">
      <c r="A27" s="176"/>
      <c r="B27" s="232">
        <v>45029.0</v>
      </c>
      <c r="C27" s="233">
        <v>1.017371841373163E8</v>
      </c>
      <c r="D27" s="233">
        <v>1.165871742428773E8</v>
      </c>
      <c r="E27" s="234"/>
      <c r="F27" s="233">
        <v>1.03029683773039E8</v>
      </c>
      <c r="G27" s="233">
        <v>1.270187357937623E8</v>
      </c>
      <c r="H27" s="234"/>
      <c r="I27" s="233">
        <v>1.008823531424171E8</v>
      </c>
      <c r="J27" s="233">
        <v>9.330565092665567E7</v>
      </c>
      <c r="K27" s="234"/>
      <c r="L27" s="233">
        <f t="shared" si="8"/>
        <v>100735722.2</v>
      </c>
      <c r="M27" s="233">
        <v>1.007656994252843E8</v>
      </c>
      <c r="N27" s="240">
        <f t="shared" si="9"/>
        <v>0.006140382109</v>
      </c>
      <c r="O27" s="240">
        <f t="shared" si="10"/>
        <v>0.00947296</v>
      </c>
      <c r="P27" s="240">
        <f t="shared" si="11"/>
        <v>0.002475760945</v>
      </c>
      <c r="Q27" s="240">
        <f t="shared" si="12"/>
        <v>0.000431286459</v>
      </c>
      <c r="R27" s="236">
        <f t="shared" si="13"/>
        <v>100.8369073</v>
      </c>
      <c r="S27" s="177"/>
      <c r="T27" s="233">
        <f t="shared" ref="T27:U27" si="37">IF(AND(C27&lt;&gt;"",F27&lt;&gt;"",I27&lt;&gt;""), SUM(I27,F27,C27,L27),"")</f>
        <v>406384943.2</v>
      </c>
      <c r="U27" s="233">
        <f t="shared" si="37"/>
        <v>437677260.4</v>
      </c>
      <c r="V27" s="233">
        <f t="shared" si="6"/>
        <v>101.5962358</v>
      </c>
      <c r="W27" s="241">
        <f t="shared" si="15"/>
        <v>0.004648403815</v>
      </c>
      <c r="X27" s="241">
        <f t="shared" si="16"/>
        <v>0</v>
      </c>
      <c r="Y27" s="241">
        <f t="shared" si="25"/>
        <v>0.00374217179</v>
      </c>
      <c r="Z27" s="233">
        <f t="shared" si="7"/>
        <v>100.8369073</v>
      </c>
      <c r="AA27" s="165"/>
      <c r="AB27" s="245"/>
      <c r="AC27" s="242" t="str">
        <f>IF(ISTEXT(AB27),VLOOKUP(AB27,'Cadastro dos Ativos'!$A$2:$C$1000,3,0),"")</f>
        <v/>
      </c>
      <c r="AD27" s="242" t="str">
        <f>IF(AB27 &lt;&gt; "",IF(AC27="Futuros", (SUMIFS('Alocação'!$O$3:$O$1002,'Alocação'!$C$3:$C$1002,AB27,'Alocação'!$F$3:$F$1002,AB$9,'Alocação'!$B$3:$B$1002,"&lt;="&amp;$B$4)), (SUMIFS('Alocação'!$O$3:$O$1002,'Alocação'!$C$3:$C$1002,AB27,'Alocação'!$F$3:$F$1002,AB$9,'Alocação'!$B$3:$B$1002,"&lt;="&amp;$B$6))),"")</f>
        <v/>
      </c>
      <c r="AE27" s="243" t="str">
        <f>iferror(IF(AC27="Ações Americanas", HLOOKUP(AB27,'Histórico'!$A$1:$DD$990,MATCH($B$6,'Histórico'!$A:$A),FALSE)*HLOOKUP("PTAX",'Histórico'!$A$1:$FG$983,MATCH($B$6,'Histórico'!$A:$A),FALSE),IF(AC27="Ações Europeias", HLOOKUP(AB27,'Histórico'!$A$1:$DD$990,MATCH($B$6,'Histórico'!$A:$A),FALSE)*HLOOKUP("EUR/BRL",'Histórico'!$A$1:$FG$983,MATCH($B$6,'Histórico'!$A:$A),FALSE), HLOOKUP(AB27,'Histórico'!$A$1:$DD$990,MATCH($B$6,'Histórico'!$A:$A),FALSE))),"")</f>
        <v/>
      </c>
      <c r="AF27" s="243" t="str">
        <f t="shared" si="21"/>
        <v/>
      </c>
      <c r="AG27" s="53"/>
      <c r="AH27" s="245"/>
      <c r="AI27" s="242" t="str">
        <f>IF(ISTEXT(AH27),VLOOKUP(AH27,'Cadastro dos Ativos'!$A$2:$C$1000,3,0),"")</f>
        <v/>
      </c>
      <c r="AJ27" s="242" t="str">
        <f>IF(AH27 &lt;&gt; "",IF(AI27="Futuros", (SUMIFS('Alocação'!$O$3:$O$1002,'Alocação'!$C$3:$C$1002,AH27,'Alocação'!$F$3:$F$1002,AH$9,'Alocação'!$B$3:$B$1002,"&lt;="&amp;$B$4)), (SUMIFS('Alocação'!$O$3:$O$1002,'Alocação'!$C$3:$C$1002,AH27,'Alocação'!$F$3:$F$1002,AH$9,'Alocação'!$B$3:$B$1002,"&lt;="&amp;$B$6))),"")</f>
        <v/>
      </c>
      <c r="AK27" s="243" t="str">
        <f>iferror(IF(AI27="Ações Americanas", HLOOKUP(AH27,'Histórico'!$A$1:$DD$990,MATCH($B$6,'Histórico'!$A:$A),FALSE)*HLOOKUP("PTAX",'Histórico'!$A$1:$FG$983,MATCH($B$6,'Histórico'!$A:$A),FALSE),IF(AI27="Ações Europeias", HLOOKUP(AH27,'Histórico'!$A$1:$DD$990,MATCH($B$6,'Histórico'!$A:$A),FALSE)*HLOOKUP("EUR/BRL",'Histórico'!$A$1:$FG$983,MATCH($B$6,'Histórico'!$A:$A),FALSE),  HLOOKUP(AH27,'Histórico'!$A$1:$DD$990,MATCH($B$6,'Histórico'!$A:$A),FALSE))),"")</f>
        <v/>
      </c>
      <c r="AL27" s="243" t="str">
        <f t="shared" si="17"/>
        <v/>
      </c>
      <c r="AM27" s="53"/>
      <c r="AN27" s="245"/>
      <c r="AO27" s="242" t="str">
        <f>IF(ISTEXT(AN27),VLOOKUP(AN27,'Cadastro dos Ativos'!$A$2:$C$1000,3,0),"")</f>
        <v/>
      </c>
      <c r="AP27" s="242" t="str">
        <f>IF(AN27 &lt;&gt; "",IF(AO27="Futuros", (SUMIFS('Alocação'!$O$3:$O$1002,'Alocação'!$C$3:$C$1002,AN27,'Alocação'!$F$3:$F$1002,AN$9,'Alocação'!$B$3:$B$1002,"&lt;="&amp;$B$4)), (SUMIFS('Alocação'!$O$3:$O$1002,'Alocação'!$C$3:$C$1002,AN27,'Alocação'!$F$3:$F$1002,AN$9,'Alocação'!$B$3:$B$1002,"&lt;="&amp;$B$6))),"")</f>
        <v/>
      </c>
      <c r="AQ27" s="243" t="str">
        <f>iferror(IF(AO27="Ações Americanas", HLOOKUP(AN27,'Histórico'!$A$1:$DD$990,MATCH($B$6,'Histórico'!$A:$A),FALSE)*HLOOKUP("PTAX",'Histórico'!$A$1:$FG$983,MATCH($B$6,'Histórico'!$A:$A),FALSE),IF(AO27="Ações Europeias", HLOOKUP(AN27,'Histórico'!$A$1:$DD$990,MATCH($B$6,'Histórico'!$A:$A),FALSE)*HLOOKUP("EUR/BRL",'Histórico'!$A$1:$FG$983,MATCH($B$6,'Histórico'!$A:$A),FALSE),  HLOOKUP(AN27,'Histórico'!$A$1:$DD$990,MATCH($B$6,'Histórico'!$A:$A),FALSE))),"")</f>
        <v/>
      </c>
      <c r="AR27" s="243" t="str">
        <f t="shared" si="18"/>
        <v/>
      </c>
      <c r="AS27" s="53"/>
      <c r="AT27" s="245"/>
      <c r="AU27" s="242" t="str">
        <f>IF(ISTEXT(AT27),VLOOKUP(AT27,'Cadastro dos Ativos'!$A$2:$C$1000,3,0),"")</f>
        <v/>
      </c>
      <c r="AV27" s="242" t="str">
        <f>IF(AT27 &lt;&gt; "",IF(AU27="Futuros", (SUMIFS('Alocação'!$O$3:$O$1002,'Alocação'!$C$3:$C$1002,AT27,'Alocação'!$F$3:$F$1002,AT$9,'Alocação'!$B$3:$B$1002,"&lt;="&amp;$B$4)), (SUMIFS('Alocação'!$O$3:$O$1002,'Alocação'!$C$3:$C$1002,AT27,'Alocação'!$F$3:$F$1002,AT$9,'Alocação'!$B$3:$B$1002,"&lt;="&amp;$B$6))),"")</f>
        <v/>
      </c>
      <c r="AW27" s="243" t="str">
        <f>iferror(IF(AU27="Ações Americanas", HLOOKUP(AT27,'Histórico'!$A$1:$DD$990,MATCH($B$6,'Histórico'!$A:$A),FALSE)*HLOOKUP("PTAX",'Histórico'!$A$1:$FG$983,MATCH($B$6,'Histórico'!$A:$A),FALSE),IF(AU27="Ações Europeias", HLOOKUP(AT27,'Histórico'!$A$1:$DD$990,MATCH($B$6,'Histórico'!$A:$A),FALSE)*HLOOKUP("EUR/BRL",'Histórico'!$A$1:$FG$983,MATCH($B$6,'Histórico'!$A:$A),FALSE),  HLOOKUP(AT27,'Histórico'!$A$1:$DD$990,MATCH($B$6,'Histórico'!$A:$A),FALSE))),"")</f>
        <v/>
      </c>
      <c r="AX27" s="243" t="str">
        <f t="shared" si="27"/>
        <v/>
      </c>
      <c r="AY27" s="183"/>
    </row>
    <row r="28" ht="15.75" customHeight="1">
      <c r="A28" s="176"/>
      <c r="B28" s="232">
        <v>45030.0</v>
      </c>
      <c r="C28" s="233">
        <v>1.011826650595839E8</v>
      </c>
      <c r="D28" s="233">
        <v>1.161133776038443E8</v>
      </c>
      <c r="E28" s="234"/>
      <c r="F28" s="233">
        <v>1.025167343804352E8</v>
      </c>
      <c r="G28" s="233">
        <v>1.382033757563539E8</v>
      </c>
      <c r="H28" s="234"/>
      <c r="I28" s="233">
        <v>1.008502677355081E8</v>
      </c>
      <c r="J28" s="233">
        <v>9.325673036400287E7</v>
      </c>
      <c r="K28" s="234"/>
      <c r="L28" s="233">
        <f t="shared" si="8"/>
        <v>100779168.1</v>
      </c>
      <c r="M28" s="233">
        <v>1.008109227143777E8</v>
      </c>
      <c r="N28" s="240">
        <f t="shared" si="9"/>
        <v>-0.005450505461</v>
      </c>
      <c r="O28" s="240">
        <f t="shared" si="10"/>
        <v>-0.004978656382</v>
      </c>
      <c r="P28" s="240">
        <f t="shared" si="11"/>
        <v>-0.0003180477646</v>
      </c>
      <c r="Q28" s="240">
        <f t="shared" si="12"/>
        <v>0.000431286459</v>
      </c>
      <c r="R28" s="236">
        <f t="shared" si="13"/>
        <v>100.8863547</v>
      </c>
      <c r="S28" s="177"/>
      <c r="T28" s="233">
        <f t="shared" ref="T28:U28" si="38">IF(AND(C28&lt;&gt;"",F28&lt;&gt;"",I28&lt;&gt;""), SUM(I28,F28,C28,L28),"")</f>
        <v>405328835.3</v>
      </c>
      <c r="U28" s="233">
        <f t="shared" si="38"/>
        <v>448384406.4</v>
      </c>
      <c r="V28" s="233">
        <f t="shared" si="6"/>
        <v>101.3322088</v>
      </c>
      <c r="W28" s="241">
        <f t="shared" si="15"/>
        <v>-0.002598787042</v>
      </c>
      <c r="X28" s="241">
        <f t="shared" si="16"/>
        <v>-0.002598787042</v>
      </c>
      <c r="Y28" s="241">
        <f t="shared" si="25"/>
        <v>0.00413389419</v>
      </c>
      <c r="Z28" s="233">
        <f t="shared" si="7"/>
        <v>100.8863547</v>
      </c>
      <c r="AA28" s="165"/>
      <c r="AB28" s="245"/>
      <c r="AC28" s="242" t="str">
        <f>IF(ISTEXT(AB28),VLOOKUP(AB28,'Cadastro dos Ativos'!$A$2:$C$1000,3,0),"")</f>
        <v/>
      </c>
      <c r="AD28" s="242" t="str">
        <f>IF(AB28 &lt;&gt; "",IF(AC28="Futuros", (SUMIFS('Alocação'!$O$3:$O$1002,'Alocação'!$C$3:$C$1002,AB28,'Alocação'!$F$3:$F$1002,AB$9,'Alocação'!$B$3:$B$1002,"&lt;="&amp;$B$4)), (SUMIFS('Alocação'!$O$3:$O$1002,'Alocação'!$C$3:$C$1002,AB28,'Alocação'!$F$3:$F$1002,AB$9,'Alocação'!$B$3:$B$1002,"&lt;="&amp;$B$6))),"")</f>
        <v/>
      </c>
      <c r="AE28" s="243" t="str">
        <f>iferror(IF(AC28="Ações Americanas", HLOOKUP(AB28,'Histórico'!$A$1:$DD$990,MATCH($B$6,'Histórico'!$A:$A),FALSE)*HLOOKUP("PTAX",'Histórico'!$A$1:$FG$983,MATCH($B$6,'Histórico'!$A:$A),FALSE),IF(AC28="Ações Europeias", HLOOKUP(AB28,'Histórico'!$A$1:$DD$990,MATCH($B$6,'Histórico'!$A:$A),FALSE)*HLOOKUP("EUR/BRL",'Histórico'!$A$1:$FG$983,MATCH($B$6,'Histórico'!$A:$A),FALSE), HLOOKUP(AB28,'Histórico'!$A$1:$DD$990,MATCH($B$6,'Histórico'!$A:$A),FALSE))),"")</f>
        <v/>
      </c>
      <c r="AF28" s="243" t="str">
        <f t="shared" si="21"/>
        <v/>
      </c>
      <c r="AG28" s="53"/>
      <c r="AH28" s="245"/>
      <c r="AI28" s="242" t="str">
        <f>IF(ISTEXT(AH28),VLOOKUP(AH28,'Cadastro dos Ativos'!$A$2:$C$1000,3,0),"")</f>
        <v/>
      </c>
      <c r="AJ28" s="242" t="str">
        <f>IF(AH28 &lt;&gt; "",IF(AI28="Futuros", (SUMIFS('Alocação'!$O$3:$O$1002,'Alocação'!$C$3:$C$1002,AH28,'Alocação'!$F$3:$F$1002,AH$9,'Alocação'!$B$3:$B$1002,"&lt;="&amp;$B$4)), (SUMIFS('Alocação'!$O$3:$O$1002,'Alocação'!$C$3:$C$1002,AH28,'Alocação'!$F$3:$F$1002,AH$9,'Alocação'!$B$3:$B$1002,"&lt;="&amp;$B$6))),"")</f>
        <v/>
      </c>
      <c r="AK28" s="243" t="str">
        <f>iferror(IF(AI28="Ações Americanas", HLOOKUP(AH28,'Histórico'!$A$1:$DD$990,MATCH($B$6,'Histórico'!$A:$A),FALSE)*HLOOKUP("PTAX",'Histórico'!$A$1:$FG$983,MATCH($B$6,'Histórico'!$A:$A),FALSE),IF(AI28="Ações Europeias", HLOOKUP(AH28,'Histórico'!$A$1:$DD$990,MATCH($B$6,'Histórico'!$A:$A),FALSE)*HLOOKUP("EUR/BRL",'Histórico'!$A$1:$FG$983,MATCH($B$6,'Histórico'!$A:$A),FALSE),  HLOOKUP(AH28,'Histórico'!$A$1:$DD$990,MATCH($B$6,'Histórico'!$A:$A),FALSE))),"")</f>
        <v/>
      </c>
      <c r="AL28" s="243" t="str">
        <f t="shared" si="17"/>
        <v/>
      </c>
      <c r="AM28" s="53"/>
      <c r="AN28" s="245"/>
      <c r="AO28" s="242" t="str">
        <f>IF(ISTEXT(AN28),VLOOKUP(AN28,'Cadastro dos Ativos'!$A$2:$C$1000,3,0),"")</f>
        <v/>
      </c>
      <c r="AP28" s="242" t="str">
        <f>IF(AN28 &lt;&gt; "",IF(AO28="Futuros", (SUMIFS('Alocação'!$O$3:$O$1002,'Alocação'!$C$3:$C$1002,AN28,'Alocação'!$F$3:$F$1002,AN$9,'Alocação'!$B$3:$B$1002,"&lt;="&amp;$B$4)), (SUMIFS('Alocação'!$O$3:$O$1002,'Alocação'!$C$3:$C$1002,AN28,'Alocação'!$F$3:$F$1002,AN$9,'Alocação'!$B$3:$B$1002,"&lt;="&amp;$B$6))),"")</f>
        <v/>
      </c>
      <c r="AQ28" s="243" t="str">
        <f>iferror(IF(AO28="Ações Americanas", HLOOKUP(AN28,'Histórico'!$A$1:$DD$990,MATCH($B$6,'Histórico'!$A:$A),FALSE)*HLOOKUP("PTAX",'Histórico'!$A$1:$FG$983,MATCH($B$6,'Histórico'!$A:$A),FALSE),IF(AO28="Ações Europeias", HLOOKUP(AN28,'Histórico'!$A$1:$DD$990,MATCH($B$6,'Histórico'!$A:$A),FALSE)*HLOOKUP("EUR/BRL",'Histórico'!$A$1:$FG$983,MATCH($B$6,'Histórico'!$A:$A),FALSE),  HLOOKUP(AN28,'Histórico'!$A$1:$DD$990,MATCH($B$6,'Histórico'!$A:$A),FALSE))),"")</f>
        <v/>
      </c>
      <c r="AR28" s="243" t="str">
        <f t="shared" si="18"/>
        <v/>
      </c>
      <c r="AS28" s="53"/>
      <c r="AT28" s="245"/>
      <c r="AU28" s="242" t="str">
        <f>IF(ISTEXT(AT28),VLOOKUP(AT28,'Cadastro dos Ativos'!$A$2:$C$1000,3,0),"")</f>
        <v/>
      </c>
      <c r="AV28" s="242" t="str">
        <f>IF(AT28 &lt;&gt; "",IF(AU28="Futuros", (SUMIFS('Alocação'!$O$3:$O$1002,'Alocação'!$C$3:$C$1002,AT28,'Alocação'!$F$3:$F$1002,AT$9,'Alocação'!$B$3:$B$1002,"&lt;="&amp;$B$4)), (SUMIFS('Alocação'!$O$3:$O$1002,'Alocação'!$C$3:$C$1002,AT28,'Alocação'!$F$3:$F$1002,AT$9,'Alocação'!$B$3:$B$1002,"&lt;="&amp;$B$6))),"")</f>
        <v/>
      </c>
      <c r="AW28" s="243" t="str">
        <f>iferror(IF(AU28="Ações Americanas", HLOOKUP(AT28,'Histórico'!$A$1:$DD$990,MATCH($B$6,'Histórico'!$A:$A),FALSE)*HLOOKUP("PTAX",'Histórico'!$A$1:$FG$983,MATCH($B$6,'Histórico'!$A:$A),FALSE),IF(AU28="Ações Europeias", HLOOKUP(AT28,'Histórico'!$A$1:$DD$990,MATCH($B$6,'Histórico'!$A:$A),FALSE)*HLOOKUP("EUR/BRL",'Histórico'!$A$1:$FG$983,MATCH($B$6,'Histórico'!$A:$A),FALSE),  HLOOKUP(AT28,'Histórico'!$A$1:$DD$990,MATCH($B$6,'Histórico'!$A:$A),FALSE))),"")</f>
        <v/>
      </c>
      <c r="AX28" s="243" t="str">
        <f t="shared" si="27"/>
        <v/>
      </c>
      <c r="AY28" s="183"/>
    </row>
    <row r="29" ht="15.75" customHeight="1">
      <c r="A29" s="176"/>
      <c r="B29" s="232">
        <v>45033.0</v>
      </c>
      <c r="C29" s="233">
        <v>1.014886882531941E8</v>
      </c>
      <c r="D29" s="233">
        <v>1.014886996431945E8</v>
      </c>
      <c r="E29" s="234"/>
      <c r="F29" s="233">
        <v>1.017112189361016E8</v>
      </c>
      <c r="G29" s="233">
        <v>1.375243131151568E8</v>
      </c>
      <c r="H29" s="234"/>
      <c r="I29" s="233">
        <v>1.005987334606214E8</v>
      </c>
      <c r="J29" s="233">
        <v>9.314545520129418E7</v>
      </c>
      <c r="K29" s="234"/>
      <c r="L29" s="233">
        <f t="shared" si="8"/>
        <v>100822632.8</v>
      </c>
      <c r="M29" s="233">
        <v>1.008561662995231E8</v>
      </c>
      <c r="N29" s="240">
        <f t="shared" si="9"/>
        <v>0.003024462673</v>
      </c>
      <c r="O29" s="240">
        <f t="shared" si="10"/>
        <v>-0.007857404444</v>
      </c>
      <c r="P29" s="240">
        <f t="shared" si="11"/>
        <v>-0.002494135916</v>
      </c>
      <c r="Q29" s="240">
        <f t="shared" si="12"/>
        <v>0.000431286459</v>
      </c>
      <c r="R29" s="236">
        <f t="shared" si="13"/>
        <v>100.9358264</v>
      </c>
      <c r="S29" s="177"/>
      <c r="T29" s="233">
        <f t="shared" ref="T29:U29" si="39">IF(AND(C29&lt;&gt;"",F29&lt;&gt;"",I29&lt;&gt;""), SUM(I29,F29,C29,L29),"")</f>
        <v>404621273.4</v>
      </c>
      <c r="U29" s="233">
        <f t="shared" si="39"/>
        <v>433014634.3</v>
      </c>
      <c r="V29" s="233">
        <f t="shared" si="6"/>
        <v>101.1553184</v>
      </c>
      <c r="W29" s="241">
        <f t="shared" si="15"/>
        <v>-0.001745648899</v>
      </c>
      <c r="X29" s="241">
        <f t="shared" si="16"/>
        <v>-0.004339899371</v>
      </c>
      <c r="Y29" s="241">
        <f t="shared" si="25"/>
        <v>0.003414353076</v>
      </c>
      <c r="Z29" s="233">
        <f t="shared" si="7"/>
        <v>100.9358264</v>
      </c>
      <c r="AA29" s="165"/>
      <c r="AB29" s="245"/>
      <c r="AC29" s="242" t="str">
        <f>IF(ISTEXT(AB29),VLOOKUP(AB29,'Cadastro dos Ativos'!$A$2:$C$1000,3,0),"")</f>
        <v/>
      </c>
      <c r="AD29" s="242" t="str">
        <f>IF(AB29 &lt;&gt; "",IF(AC29="Futuros", (SUMIFS('Alocação'!$O$3:$O$1002,'Alocação'!$C$3:$C$1002,AB29,'Alocação'!$F$3:$F$1002,AB$9,'Alocação'!$B$3:$B$1002,"&lt;="&amp;$B$4)), (SUMIFS('Alocação'!$O$3:$O$1002,'Alocação'!$C$3:$C$1002,AB29,'Alocação'!$F$3:$F$1002,AB$9,'Alocação'!$B$3:$B$1002,"&lt;="&amp;$B$6))),"")</f>
        <v/>
      </c>
      <c r="AE29" s="243" t="str">
        <f>iferror(IF(AC29="Ações Americanas", HLOOKUP(AB29,'Histórico'!$A$1:$DD$990,MATCH($B$6,'Histórico'!$A:$A),FALSE)*HLOOKUP("PTAX",'Histórico'!$A$1:$FG$983,MATCH($B$6,'Histórico'!$A:$A),FALSE),IF(AC29="Ações Europeias", HLOOKUP(AB29,'Histórico'!$A$1:$DD$990,MATCH($B$6,'Histórico'!$A:$A),FALSE)*HLOOKUP("EUR/BRL",'Histórico'!$A$1:$FG$983,MATCH($B$6,'Histórico'!$A:$A),FALSE), HLOOKUP(AB29,'Histórico'!$A$1:$DD$990,MATCH($B$6,'Histórico'!$A:$A),FALSE))),"")</f>
        <v/>
      </c>
      <c r="AF29" s="243" t="str">
        <f t="shared" si="21"/>
        <v/>
      </c>
      <c r="AG29" s="53"/>
      <c r="AH29" s="245"/>
      <c r="AI29" s="242" t="str">
        <f>IF(ISTEXT(AH29),VLOOKUP(AH29,'Cadastro dos Ativos'!$A$2:$C$1000,3,0),"")</f>
        <v/>
      </c>
      <c r="AJ29" s="242" t="str">
        <f>IF(AH29 &lt;&gt; "",IF(AI29="Futuros", (SUMIFS('Alocação'!$O$3:$O$1002,'Alocação'!$C$3:$C$1002,AH29,'Alocação'!$F$3:$F$1002,AH$9,'Alocação'!$B$3:$B$1002,"&lt;="&amp;$B$4)), (SUMIFS('Alocação'!$O$3:$O$1002,'Alocação'!$C$3:$C$1002,AH29,'Alocação'!$F$3:$F$1002,AH$9,'Alocação'!$B$3:$B$1002,"&lt;="&amp;$B$6))),"")</f>
        <v/>
      </c>
      <c r="AK29" s="243" t="str">
        <f>iferror(IF(AI29="Ações Americanas", HLOOKUP(AH29,'Histórico'!$A$1:$DD$990,MATCH($B$6,'Histórico'!$A:$A),FALSE)*HLOOKUP("PTAX",'Histórico'!$A$1:$FG$983,MATCH($B$6,'Histórico'!$A:$A),FALSE),IF(AI29="Ações Europeias", HLOOKUP(AH29,'Histórico'!$A$1:$DD$990,MATCH($B$6,'Histórico'!$A:$A),FALSE)*HLOOKUP("EUR/BRL",'Histórico'!$A$1:$FG$983,MATCH($B$6,'Histórico'!$A:$A),FALSE),  HLOOKUP(AH29,'Histórico'!$A$1:$DD$990,MATCH($B$6,'Histórico'!$A:$A),FALSE))),"")</f>
        <v/>
      </c>
      <c r="AL29" s="243" t="str">
        <f t="shared" si="17"/>
        <v/>
      </c>
      <c r="AM29" s="53"/>
      <c r="AN29" s="245"/>
      <c r="AO29" s="242" t="str">
        <f>IF(ISTEXT(AN29),VLOOKUP(AN29,'Cadastro dos Ativos'!$A$2:$C$1000,3,0),"")</f>
        <v/>
      </c>
      <c r="AP29" s="242" t="str">
        <f>IF(AN29 &lt;&gt; "",IF(AO29="Futuros", (SUMIFS('Alocação'!$O$3:$O$1002,'Alocação'!$C$3:$C$1002,AN29,'Alocação'!$F$3:$F$1002,AN$9,'Alocação'!$B$3:$B$1002,"&lt;="&amp;$B$4)), (SUMIFS('Alocação'!$O$3:$O$1002,'Alocação'!$C$3:$C$1002,AN29,'Alocação'!$F$3:$F$1002,AN$9,'Alocação'!$B$3:$B$1002,"&lt;="&amp;$B$6))),"")</f>
        <v/>
      </c>
      <c r="AQ29" s="243" t="str">
        <f>iferror(IF(AO29="Ações Americanas", HLOOKUP(AN29,'Histórico'!$A$1:$DD$990,MATCH($B$6,'Histórico'!$A:$A),FALSE)*HLOOKUP("PTAX",'Histórico'!$A$1:$FG$983,MATCH($B$6,'Histórico'!$A:$A),FALSE),IF(AO29="Ações Europeias", HLOOKUP(AN29,'Histórico'!$A$1:$DD$990,MATCH($B$6,'Histórico'!$A:$A),FALSE)*HLOOKUP("EUR/BRL",'Histórico'!$A$1:$FG$983,MATCH($B$6,'Histórico'!$A:$A),FALSE),  HLOOKUP(AN29,'Histórico'!$A$1:$DD$990,MATCH($B$6,'Histórico'!$A:$A),FALSE))),"")</f>
        <v/>
      </c>
      <c r="AR29" s="243" t="str">
        <f t="shared" si="18"/>
        <v/>
      </c>
      <c r="AS29" s="53"/>
      <c r="AT29" s="245"/>
      <c r="AU29" s="242" t="str">
        <f>IF(ISTEXT(AT29),VLOOKUP(AT29,'Cadastro dos Ativos'!$A$2:$C$1000,3,0),"")</f>
        <v/>
      </c>
      <c r="AV29" s="242" t="str">
        <f>IF(AT29 &lt;&gt; "",IF(AU29="Futuros", (SUMIFS('Alocação'!$O$3:$O$1002,'Alocação'!$C$3:$C$1002,AT29,'Alocação'!$F$3:$F$1002,AT$9,'Alocação'!$B$3:$B$1002,"&lt;="&amp;$B$4)), (SUMIFS('Alocação'!$O$3:$O$1002,'Alocação'!$C$3:$C$1002,AT29,'Alocação'!$F$3:$F$1002,AT$9,'Alocação'!$B$3:$B$1002,"&lt;="&amp;$B$6))),"")</f>
        <v/>
      </c>
      <c r="AW29" s="243" t="str">
        <f>iferror(IF(AU29="Ações Americanas", HLOOKUP(AT29,'Histórico'!$A$1:$DD$990,MATCH($B$6,'Histórico'!$A:$A),FALSE)*HLOOKUP("PTAX",'Histórico'!$A$1:$FG$983,MATCH($B$6,'Histórico'!$A:$A),FALSE),IF(AU29="Ações Europeias", HLOOKUP(AT29,'Histórico'!$A$1:$DD$990,MATCH($B$6,'Histórico'!$A:$A),FALSE)*HLOOKUP("EUR/BRL",'Histórico'!$A$1:$FG$983,MATCH($B$6,'Histórico'!$A:$A),FALSE),  HLOOKUP(AT29,'Histórico'!$A$1:$DD$990,MATCH($B$6,'Histórico'!$A:$A),FALSE))),"")</f>
        <v/>
      </c>
      <c r="AX29" s="243" t="str">
        <f t="shared" si="27"/>
        <v/>
      </c>
      <c r="AY29" s="183"/>
    </row>
    <row r="30" ht="15.75" customHeight="1">
      <c r="A30" s="176"/>
      <c r="B30" s="232">
        <v>45034.0</v>
      </c>
      <c r="C30" s="233">
        <v>1.015095586928986E8</v>
      </c>
      <c r="D30" s="233">
        <v>1.015095698128985E8</v>
      </c>
      <c r="E30" s="234"/>
      <c r="F30" s="233">
        <v>1.021723042992462E8</v>
      </c>
      <c r="G30" s="233">
        <v>1.369816372288803E8</v>
      </c>
      <c r="H30" s="234"/>
      <c r="I30" s="233">
        <v>1.009033560500724E8</v>
      </c>
      <c r="J30" s="233">
        <v>9.32671613856915E7</v>
      </c>
      <c r="K30" s="234"/>
      <c r="L30" s="233">
        <f t="shared" si="8"/>
        <v>100866116.2</v>
      </c>
      <c r="M30" s="233">
        <v>1.009014301898293E8</v>
      </c>
      <c r="N30" s="240">
        <f t="shared" si="9"/>
        <v>0.0002056430137</v>
      </c>
      <c r="O30" s="240">
        <f t="shared" si="10"/>
        <v>0.004533279298</v>
      </c>
      <c r="P30" s="240">
        <f t="shared" si="11"/>
        <v>0.003028095672</v>
      </c>
      <c r="Q30" s="240">
        <f t="shared" si="12"/>
        <v>0.000431286459</v>
      </c>
      <c r="R30" s="236">
        <f t="shared" si="13"/>
        <v>100.9853223</v>
      </c>
      <c r="S30" s="177"/>
      <c r="T30" s="233">
        <f t="shared" ref="T30:U30" si="40">IF(AND(C30&lt;&gt;"",F30&lt;&gt;"",I30&lt;&gt;""), SUM(I30,F30,C30,L30),"")</f>
        <v>405451335.3</v>
      </c>
      <c r="U30" s="233">
        <f t="shared" si="40"/>
        <v>432659798.6</v>
      </c>
      <c r="V30" s="233">
        <f t="shared" si="6"/>
        <v>101.3628338</v>
      </c>
      <c r="W30" s="241">
        <f t="shared" si="15"/>
        <v>0.00205145375</v>
      </c>
      <c r="X30" s="241">
        <f t="shared" si="16"/>
        <v>-0.002297348724</v>
      </c>
      <c r="Y30" s="241">
        <f t="shared" si="25"/>
        <v>0.003183264152</v>
      </c>
      <c r="Z30" s="233">
        <f t="shared" si="7"/>
        <v>100.9853223</v>
      </c>
      <c r="AA30" s="165"/>
      <c r="AB30" s="245"/>
      <c r="AC30" s="242" t="str">
        <f>IF(ISTEXT(AB30),VLOOKUP(AB30,'Cadastro dos Ativos'!$A$2:$C$1000,3,0),"")</f>
        <v/>
      </c>
      <c r="AD30" s="242" t="str">
        <f>IF(AB30 &lt;&gt; "",IF(AC30="Futuros", (SUMIFS('Alocação'!$O$3:$O$1002,'Alocação'!$C$3:$C$1002,AB30,'Alocação'!$F$3:$F$1002,AB$9,'Alocação'!$B$3:$B$1002,"&lt;="&amp;$B$4)), (SUMIFS('Alocação'!$O$3:$O$1002,'Alocação'!$C$3:$C$1002,AB30,'Alocação'!$F$3:$F$1002,AB$9,'Alocação'!$B$3:$B$1002,"&lt;="&amp;$B$6))),"")</f>
        <v/>
      </c>
      <c r="AE30" s="243" t="str">
        <f>iferror(IF(AC30="Ações Americanas", HLOOKUP(AB30,'Histórico'!$A$1:$DD$990,MATCH($B$6,'Histórico'!$A:$A),FALSE)*HLOOKUP("PTAX",'Histórico'!$A$1:$FG$983,MATCH($B$6,'Histórico'!$A:$A),FALSE),IF(AC30="Ações Europeias", HLOOKUP(AB30,'Histórico'!$A$1:$DD$990,MATCH($B$6,'Histórico'!$A:$A),FALSE)*HLOOKUP("EUR/BRL",'Histórico'!$A$1:$FG$983,MATCH($B$6,'Histórico'!$A:$A),FALSE), HLOOKUP(AB30,'Histórico'!$A$1:$DD$990,MATCH($B$6,'Histórico'!$A:$A),FALSE))),"")</f>
        <v/>
      </c>
      <c r="AF30" s="243" t="str">
        <f t="shared" si="21"/>
        <v/>
      </c>
      <c r="AG30" s="53"/>
      <c r="AH30" s="245"/>
      <c r="AI30" s="242" t="str">
        <f>IF(ISTEXT(AH30),VLOOKUP(AH30,'Cadastro dos Ativos'!$A$2:$C$1000,3,0),"")</f>
        <v/>
      </c>
      <c r="AJ30" s="242" t="str">
        <f>IF(AH30 &lt;&gt; "",IF(AI30="Futuros", (SUMIFS('Alocação'!$O$3:$O$1002,'Alocação'!$C$3:$C$1002,AH30,'Alocação'!$F$3:$F$1002,AH$9,'Alocação'!$B$3:$B$1002,"&lt;="&amp;$B$4)), (SUMIFS('Alocação'!$O$3:$O$1002,'Alocação'!$C$3:$C$1002,AH30,'Alocação'!$F$3:$F$1002,AH$9,'Alocação'!$B$3:$B$1002,"&lt;="&amp;$B$6))),"")</f>
        <v/>
      </c>
      <c r="AK30" s="243" t="str">
        <f>iferror(IF(AI30="Ações Americanas", HLOOKUP(AH30,'Histórico'!$A$1:$DD$990,MATCH($B$6,'Histórico'!$A:$A),FALSE)*HLOOKUP("PTAX",'Histórico'!$A$1:$FG$983,MATCH($B$6,'Histórico'!$A:$A),FALSE),IF(AI30="Ações Europeias", HLOOKUP(AH30,'Histórico'!$A$1:$DD$990,MATCH($B$6,'Histórico'!$A:$A),FALSE)*HLOOKUP("EUR/BRL",'Histórico'!$A$1:$FG$983,MATCH($B$6,'Histórico'!$A:$A),FALSE),  HLOOKUP(AH30,'Histórico'!$A$1:$DD$990,MATCH($B$6,'Histórico'!$A:$A),FALSE))),"")</f>
        <v/>
      </c>
      <c r="AL30" s="243" t="str">
        <f t="shared" si="17"/>
        <v/>
      </c>
      <c r="AM30" s="53"/>
      <c r="AN30" s="245"/>
      <c r="AO30" s="242" t="str">
        <f>IF(ISTEXT(AN30),VLOOKUP(AN30,'Cadastro dos Ativos'!$A$2:$C$1000,3,0),"")</f>
        <v/>
      </c>
      <c r="AP30" s="242" t="str">
        <f>IF(AN30 &lt;&gt; "",IF(AO30="Futuros", (SUMIFS('Alocação'!$O$3:$O$1002,'Alocação'!$C$3:$C$1002,AN30,'Alocação'!$F$3:$F$1002,AN$9,'Alocação'!$B$3:$B$1002,"&lt;="&amp;$B$4)), (SUMIFS('Alocação'!$O$3:$O$1002,'Alocação'!$C$3:$C$1002,AN30,'Alocação'!$F$3:$F$1002,AN$9,'Alocação'!$B$3:$B$1002,"&lt;="&amp;$B$6))),"")</f>
        <v/>
      </c>
      <c r="AQ30" s="243" t="str">
        <f>iferror(IF(AO30="Ações Americanas", HLOOKUP(AN30,'Histórico'!$A$1:$DD$990,MATCH($B$6,'Histórico'!$A:$A),FALSE)*HLOOKUP("PTAX",'Histórico'!$A$1:$FG$983,MATCH($B$6,'Histórico'!$A:$A),FALSE),IF(AO30="Ações Europeias", HLOOKUP(AN30,'Histórico'!$A$1:$DD$990,MATCH($B$6,'Histórico'!$A:$A),FALSE)*HLOOKUP("EUR/BRL",'Histórico'!$A$1:$FG$983,MATCH($B$6,'Histórico'!$A:$A),FALSE),  HLOOKUP(AN30,'Histórico'!$A$1:$DD$990,MATCH($B$6,'Histórico'!$A:$A),FALSE))),"")</f>
        <v/>
      </c>
      <c r="AR30" s="243" t="str">
        <f t="shared" si="18"/>
        <v/>
      </c>
      <c r="AS30" s="53"/>
      <c r="AT30" s="245"/>
      <c r="AU30" s="242" t="str">
        <f>IF(ISTEXT(AT30),VLOOKUP(AT30,'Cadastro dos Ativos'!$A$2:$C$1000,3,0),"")</f>
        <v/>
      </c>
      <c r="AV30" s="242" t="str">
        <f>IF(AT30 &lt;&gt; "",IF(AU30="Futuros", (SUMIFS('Alocação'!$O$3:$O$1002,'Alocação'!$C$3:$C$1002,AT30,'Alocação'!$F$3:$F$1002,AT$9,'Alocação'!$B$3:$B$1002,"&lt;="&amp;$B$4)), (SUMIFS('Alocação'!$O$3:$O$1002,'Alocação'!$C$3:$C$1002,AT30,'Alocação'!$F$3:$F$1002,AT$9,'Alocação'!$B$3:$B$1002,"&lt;="&amp;$B$6))),"")</f>
        <v/>
      </c>
      <c r="AW30" s="243" t="str">
        <f>iferror(IF(AU30="Ações Americanas", HLOOKUP(AT30,'Histórico'!$A$1:$DD$990,MATCH($B$6,'Histórico'!$A:$A),FALSE)*HLOOKUP("PTAX",'Histórico'!$A$1:$FG$983,MATCH($B$6,'Histórico'!$A:$A),FALSE),IF(AU30="Ações Europeias", HLOOKUP(AT30,'Histórico'!$A$1:$DD$990,MATCH($B$6,'Histórico'!$A:$A),FALSE)*HLOOKUP("EUR/BRL",'Histórico'!$A$1:$FG$983,MATCH($B$6,'Histórico'!$A:$A),FALSE),  HLOOKUP(AT30,'Histórico'!$A$1:$DD$990,MATCH($B$6,'Histórico'!$A:$A),FALSE))),"")</f>
        <v/>
      </c>
      <c r="AX30" s="243" t="str">
        <f t="shared" si="27"/>
        <v/>
      </c>
      <c r="AY30" s="183"/>
    </row>
    <row r="31" ht="15.75" customHeight="1">
      <c r="A31" s="176"/>
      <c r="B31" s="232">
        <v>45035.0</v>
      </c>
      <c r="C31" s="233">
        <v>1.01261898749045E8</v>
      </c>
      <c r="D31" s="233">
        <v>1.012619094490448E8</v>
      </c>
      <c r="E31" s="234"/>
      <c r="F31" s="233">
        <v>1.018426287578752E8</v>
      </c>
      <c r="G31" s="233">
        <v>1.367112037012686E8</v>
      </c>
      <c r="H31" s="234"/>
      <c r="I31" s="233">
        <v>1.0073893935728E8</v>
      </c>
      <c r="J31" s="233">
        <v>9.327732088404448E7</v>
      </c>
      <c r="K31" s="234"/>
      <c r="L31" s="233">
        <f t="shared" si="8"/>
        <v>100909618.4</v>
      </c>
      <c r="M31" s="233">
        <v>1.009467143944092E8</v>
      </c>
      <c r="N31" s="240">
        <f t="shared" si="9"/>
        <v>-0.002439769683</v>
      </c>
      <c r="O31" s="240">
        <f t="shared" si="10"/>
        <v>-0.003226662486</v>
      </c>
      <c r="P31" s="240">
        <f t="shared" si="11"/>
        <v>-0.001629447218</v>
      </c>
      <c r="Q31" s="240">
        <f t="shared" si="12"/>
        <v>0.000431286459</v>
      </c>
      <c r="R31" s="236">
        <f t="shared" si="13"/>
        <v>101.0348424</v>
      </c>
      <c r="S31" s="177"/>
      <c r="T31" s="233">
        <f t="shared" ref="T31:U31" si="41">IF(AND(C31&lt;&gt;"",F31&lt;&gt;"",I31&lt;&gt;""), SUM(I31,F31,C31,L31),"")</f>
        <v>404753085.3</v>
      </c>
      <c r="U31" s="233">
        <f t="shared" si="41"/>
        <v>432197148.4</v>
      </c>
      <c r="V31" s="233">
        <f t="shared" si="6"/>
        <v>101.1882713</v>
      </c>
      <c r="W31" s="241">
        <f t="shared" si="15"/>
        <v>-0.001722154861</v>
      </c>
      <c r="X31" s="241">
        <f t="shared" si="16"/>
        <v>-0.004015547195</v>
      </c>
      <c r="Y31" s="241">
        <f t="shared" si="25"/>
        <v>0.003102527868</v>
      </c>
      <c r="Z31" s="233">
        <f t="shared" si="7"/>
        <v>101.0348424</v>
      </c>
      <c r="AA31" s="165"/>
      <c r="AB31" s="245"/>
      <c r="AC31" s="242" t="str">
        <f>IF(ISTEXT(AB31),VLOOKUP(AB31,'Cadastro dos Ativos'!$A$2:$C$1000,3,0),"")</f>
        <v/>
      </c>
      <c r="AD31" s="242" t="str">
        <f>IF(AB31 &lt;&gt; "",IF(AC31="Futuros", (SUMIFS('Alocação'!$O$3:$O$1002,'Alocação'!$C$3:$C$1002,AB31,'Alocação'!$F$3:$F$1002,AB$9,'Alocação'!$B$3:$B$1002,"&lt;="&amp;$B$4)), (SUMIFS('Alocação'!$O$3:$O$1002,'Alocação'!$C$3:$C$1002,AB31,'Alocação'!$F$3:$F$1002,AB$9,'Alocação'!$B$3:$B$1002,"&lt;="&amp;$B$6))),"")</f>
        <v/>
      </c>
      <c r="AE31" s="243" t="str">
        <f>iferror(IF(AC31="Ações Americanas", HLOOKUP(AB31,'Histórico'!$A$1:$DD$990,MATCH($B$6,'Histórico'!$A:$A),FALSE)*HLOOKUP("PTAX",'Histórico'!$A$1:$FG$983,MATCH($B$6,'Histórico'!$A:$A),FALSE),IF(AC31="Ações Europeias", HLOOKUP(AB31,'Histórico'!$A$1:$DD$990,MATCH($B$6,'Histórico'!$A:$A),FALSE)*HLOOKUP("EUR/BRL",'Histórico'!$A$1:$FG$983,MATCH($B$6,'Histórico'!$A:$A),FALSE), HLOOKUP(AB31,'Histórico'!$A$1:$DD$990,MATCH($B$6,'Histórico'!$A:$A),FALSE))),"")</f>
        <v/>
      </c>
      <c r="AF31" s="243" t="str">
        <f t="shared" si="21"/>
        <v/>
      </c>
      <c r="AG31" s="53"/>
      <c r="AH31" s="245"/>
      <c r="AI31" s="242" t="str">
        <f>IF(ISTEXT(AH31),VLOOKUP(AH31,'Cadastro dos Ativos'!$A$2:$C$1000,3,0),"")</f>
        <v/>
      </c>
      <c r="AJ31" s="242" t="str">
        <f>IF(AH31 &lt;&gt; "",IF(AI31="Futuros", (SUMIFS('Alocação'!$O$3:$O$1002,'Alocação'!$C$3:$C$1002,AH31,'Alocação'!$F$3:$F$1002,AH$9,'Alocação'!$B$3:$B$1002,"&lt;="&amp;$B$4)), (SUMIFS('Alocação'!$O$3:$O$1002,'Alocação'!$C$3:$C$1002,AH31,'Alocação'!$F$3:$F$1002,AH$9,'Alocação'!$B$3:$B$1002,"&lt;="&amp;$B$6))),"")</f>
        <v/>
      </c>
      <c r="AK31" s="243" t="str">
        <f>iferror(IF(AI31="Ações Americanas", HLOOKUP(AH31,'Histórico'!$A$1:$DD$990,MATCH($B$6,'Histórico'!$A:$A),FALSE)*HLOOKUP("PTAX",'Histórico'!$A$1:$FG$983,MATCH($B$6,'Histórico'!$A:$A),FALSE),IF(AI31="Ações Europeias", HLOOKUP(AH31,'Histórico'!$A$1:$DD$990,MATCH($B$6,'Histórico'!$A:$A),FALSE)*HLOOKUP("EUR/BRL",'Histórico'!$A$1:$FG$983,MATCH($B$6,'Histórico'!$A:$A),FALSE),  HLOOKUP(AH31,'Histórico'!$A$1:$DD$990,MATCH($B$6,'Histórico'!$A:$A),FALSE))),"")</f>
        <v/>
      </c>
      <c r="AL31" s="243" t="str">
        <f t="shared" si="17"/>
        <v/>
      </c>
      <c r="AM31" s="53"/>
      <c r="AN31" s="245"/>
      <c r="AO31" s="242" t="str">
        <f>IF(ISTEXT(AN31),VLOOKUP(AN31,'Cadastro dos Ativos'!$A$2:$C$1000,3,0),"")</f>
        <v/>
      </c>
      <c r="AP31" s="242" t="str">
        <f>IF(AN31 &lt;&gt; "",IF(AO31="Futuros", (SUMIFS('Alocação'!$O$3:$O$1002,'Alocação'!$C$3:$C$1002,AN31,'Alocação'!$F$3:$F$1002,AN$9,'Alocação'!$B$3:$B$1002,"&lt;="&amp;$B$4)), (SUMIFS('Alocação'!$O$3:$O$1002,'Alocação'!$C$3:$C$1002,AN31,'Alocação'!$F$3:$F$1002,AN$9,'Alocação'!$B$3:$B$1002,"&lt;="&amp;$B$6))),"")</f>
        <v/>
      </c>
      <c r="AQ31" s="243" t="str">
        <f>iferror(IF(AO31="Ações Americanas", HLOOKUP(AN31,'Histórico'!$A$1:$DD$990,MATCH($B$6,'Histórico'!$A:$A),FALSE)*HLOOKUP("PTAX",'Histórico'!$A$1:$FG$983,MATCH($B$6,'Histórico'!$A:$A),FALSE),IF(AO31="Ações Europeias", HLOOKUP(AN31,'Histórico'!$A$1:$DD$990,MATCH($B$6,'Histórico'!$A:$A),FALSE)*HLOOKUP("EUR/BRL",'Histórico'!$A$1:$FG$983,MATCH($B$6,'Histórico'!$A:$A),FALSE),  HLOOKUP(AN31,'Histórico'!$A$1:$DD$990,MATCH($B$6,'Histórico'!$A:$A),FALSE))),"")</f>
        <v/>
      </c>
      <c r="AR31" s="243" t="str">
        <f t="shared" si="18"/>
        <v/>
      </c>
      <c r="AS31" s="53"/>
      <c r="AT31" s="245"/>
      <c r="AU31" s="242" t="str">
        <f>IF(ISTEXT(AT31),VLOOKUP(AT31,'Cadastro dos Ativos'!$A$2:$C$1000,3,0),"")</f>
        <v/>
      </c>
      <c r="AV31" s="242" t="str">
        <f>IF(AT31 &lt;&gt; "",IF(AU31="Futuros", (SUMIFS('Alocação'!$O$3:$O$1002,'Alocação'!$C$3:$C$1002,AT31,'Alocação'!$F$3:$F$1002,AT$9,'Alocação'!$B$3:$B$1002,"&lt;="&amp;$B$4)), (SUMIFS('Alocação'!$O$3:$O$1002,'Alocação'!$C$3:$C$1002,AT31,'Alocação'!$F$3:$F$1002,AT$9,'Alocação'!$B$3:$B$1002,"&lt;="&amp;$B$6))),"")</f>
        <v/>
      </c>
      <c r="AW31" s="243" t="str">
        <f>iferror(IF(AU31="Ações Americanas", HLOOKUP(AT31,'Histórico'!$A$1:$DD$990,MATCH($B$6,'Histórico'!$A:$A),FALSE)*HLOOKUP("PTAX",'Histórico'!$A$1:$FG$983,MATCH($B$6,'Histórico'!$A:$A),FALSE),IF(AU31="Ações Europeias", HLOOKUP(AT31,'Histórico'!$A$1:$DD$990,MATCH($B$6,'Histórico'!$A:$A),FALSE)*HLOOKUP("EUR/BRL",'Histórico'!$A$1:$FG$983,MATCH($B$6,'Histórico'!$A:$A),FALSE),  HLOOKUP(AT31,'Histórico'!$A$1:$DD$990,MATCH($B$6,'Histórico'!$A:$A),FALSE))),"")</f>
        <v/>
      </c>
      <c r="AX31" s="243" t="str">
        <f t="shared" si="27"/>
        <v/>
      </c>
      <c r="AY31" s="183"/>
    </row>
    <row r="32" ht="15.75" customHeight="1">
      <c r="A32" s="176"/>
      <c r="B32" s="232">
        <v>45036.0</v>
      </c>
      <c r="C32" s="233">
        <v>1.015289908660717E8</v>
      </c>
      <c r="D32" s="233">
        <v>1.01529001586072E8</v>
      </c>
      <c r="E32" s="234"/>
      <c r="F32" s="233">
        <v>1.016446938183716E8</v>
      </c>
      <c r="G32" s="233">
        <v>1.371975182142753E8</v>
      </c>
      <c r="H32" s="234"/>
      <c r="I32" s="233">
        <v>1.008690326585358E8</v>
      </c>
      <c r="J32" s="233">
        <v>9.334756595652391E7</v>
      </c>
      <c r="K32" s="234"/>
      <c r="L32" s="233">
        <f t="shared" si="8"/>
        <v>100953139.4</v>
      </c>
      <c r="M32" s="233">
        <v>1.009920189223797E8</v>
      </c>
      <c r="N32" s="240">
        <f t="shared" si="9"/>
        <v>0.002637636864</v>
      </c>
      <c r="O32" s="240">
        <f t="shared" si="10"/>
        <v>-0.001943537219</v>
      </c>
      <c r="P32" s="240">
        <f t="shared" si="11"/>
        <v>0.00129139042</v>
      </c>
      <c r="Q32" s="240">
        <f t="shared" si="12"/>
        <v>0.000431286459</v>
      </c>
      <c r="R32" s="236">
        <f t="shared" si="13"/>
        <v>101.0843869</v>
      </c>
      <c r="S32" s="177"/>
      <c r="T32" s="233">
        <f t="shared" ref="T32:U32" si="42">IF(AND(C32&lt;&gt;"",F32&lt;&gt;"",I32&lt;&gt;""), SUM(I32,F32,C32,L32),"")</f>
        <v>404995856.7</v>
      </c>
      <c r="U32" s="233">
        <f t="shared" si="42"/>
        <v>433066104.7</v>
      </c>
      <c r="V32" s="233">
        <f t="shared" si="6"/>
        <v>101.2489642</v>
      </c>
      <c r="W32" s="241">
        <f t="shared" si="15"/>
        <v>0.00059980131</v>
      </c>
      <c r="X32" s="241">
        <f t="shared" si="16"/>
        <v>-0.003418154415</v>
      </c>
      <c r="Y32" s="241">
        <f t="shared" si="25"/>
        <v>0.001936628642</v>
      </c>
      <c r="Z32" s="233">
        <f t="shared" si="7"/>
        <v>101.0843869</v>
      </c>
      <c r="AA32" s="165"/>
      <c r="AB32" s="245"/>
      <c r="AC32" s="242" t="str">
        <f>IF(ISTEXT(AB32),VLOOKUP(AB32,'Cadastro dos Ativos'!$A$2:$C$1000,3,0),"")</f>
        <v/>
      </c>
      <c r="AD32" s="242" t="str">
        <f>IF(AB32 &lt;&gt; "",IF(AC32="Futuros", (SUMIFS('Alocação'!$O$3:$O$1002,'Alocação'!$C$3:$C$1002,AB32,'Alocação'!$F$3:$F$1002,AB$9,'Alocação'!$B$3:$B$1002,"&lt;="&amp;$B$4)), (SUMIFS('Alocação'!$O$3:$O$1002,'Alocação'!$C$3:$C$1002,AB32,'Alocação'!$F$3:$F$1002,AB$9,'Alocação'!$B$3:$B$1002,"&lt;="&amp;$B$6))),"")</f>
        <v/>
      </c>
      <c r="AE32" s="243" t="str">
        <f>iferror(IF(AC32="Ações Americanas", HLOOKUP(AB32,'Histórico'!$A$1:$DD$990,MATCH($B$6,'Histórico'!$A:$A),FALSE)*HLOOKUP("PTAX",'Histórico'!$A$1:$FG$983,MATCH($B$6,'Histórico'!$A:$A),FALSE),IF(AC32="Ações Europeias", HLOOKUP(AB32,'Histórico'!$A$1:$DD$990,MATCH($B$6,'Histórico'!$A:$A),FALSE)*HLOOKUP("EUR/BRL",'Histórico'!$A$1:$FG$983,MATCH($B$6,'Histórico'!$A:$A),FALSE), HLOOKUP(AB32,'Histórico'!$A$1:$DD$990,MATCH($B$6,'Histórico'!$A:$A),FALSE))),"")</f>
        <v/>
      </c>
      <c r="AF32" s="243" t="str">
        <f t="shared" si="21"/>
        <v/>
      </c>
      <c r="AG32" s="53"/>
      <c r="AH32" s="245"/>
      <c r="AI32" s="242" t="str">
        <f>IF(ISTEXT(AH32),VLOOKUP(AH32,'Cadastro dos Ativos'!$A$2:$C$1000,3,0),"")</f>
        <v/>
      </c>
      <c r="AJ32" s="242" t="str">
        <f>IF(AH32 &lt;&gt; "",IF(AI32="Futuros", (SUMIFS('Alocação'!$O$3:$O$1002,'Alocação'!$C$3:$C$1002,AH32,'Alocação'!$F$3:$F$1002,AH$9,'Alocação'!$B$3:$B$1002,"&lt;="&amp;$B$4)), (SUMIFS('Alocação'!$O$3:$O$1002,'Alocação'!$C$3:$C$1002,AH32,'Alocação'!$F$3:$F$1002,AH$9,'Alocação'!$B$3:$B$1002,"&lt;="&amp;$B$6))),"")</f>
        <v/>
      </c>
      <c r="AK32" s="243" t="str">
        <f>iferror(IF(AI32="Ações Americanas", HLOOKUP(AH32,'Histórico'!$A$1:$DD$990,MATCH($B$6,'Histórico'!$A:$A),FALSE)*HLOOKUP("PTAX",'Histórico'!$A$1:$FG$983,MATCH($B$6,'Histórico'!$A:$A),FALSE),IF(AI32="Ações Europeias", HLOOKUP(AH32,'Histórico'!$A$1:$DD$990,MATCH($B$6,'Histórico'!$A:$A),FALSE)*HLOOKUP("EUR/BRL",'Histórico'!$A$1:$FG$983,MATCH($B$6,'Histórico'!$A:$A),FALSE),  HLOOKUP(AH32,'Histórico'!$A$1:$DD$990,MATCH($B$6,'Histórico'!$A:$A),FALSE))),"")</f>
        <v/>
      </c>
      <c r="AL32" s="243" t="str">
        <f t="shared" si="17"/>
        <v/>
      </c>
      <c r="AM32" s="53"/>
      <c r="AN32" s="245"/>
      <c r="AO32" s="242" t="str">
        <f>IF(ISTEXT(AN32),VLOOKUP(AN32,'Cadastro dos Ativos'!$A$2:$C$1000,3,0),"")</f>
        <v/>
      </c>
      <c r="AP32" s="242" t="str">
        <f>IF(AN32 &lt;&gt; "",IF(AO32="Futuros", (SUMIFS('Alocação'!$O$3:$O$1002,'Alocação'!$C$3:$C$1002,AN32,'Alocação'!$F$3:$F$1002,AN$9,'Alocação'!$B$3:$B$1002,"&lt;="&amp;$B$4)), (SUMIFS('Alocação'!$O$3:$O$1002,'Alocação'!$C$3:$C$1002,AN32,'Alocação'!$F$3:$F$1002,AN$9,'Alocação'!$B$3:$B$1002,"&lt;="&amp;$B$6))),"")</f>
        <v/>
      </c>
      <c r="AQ32" s="243" t="str">
        <f>iferror(IF(AO32="Ações Americanas", HLOOKUP(AN32,'Histórico'!$A$1:$DD$990,MATCH($B$6,'Histórico'!$A:$A),FALSE)*HLOOKUP("PTAX",'Histórico'!$A$1:$FG$983,MATCH($B$6,'Histórico'!$A:$A),FALSE),IF(AO32="Ações Europeias", HLOOKUP(AN32,'Histórico'!$A$1:$DD$990,MATCH($B$6,'Histórico'!$A:$A),FALSE)*HLOOKUP("EUR/BRL",'Histórico'!$A$1:$FG$983,MATCH($B$6,'Histórico'!$A:$A),FALSE),  HLOOKUP(AN32,'Histórico'!$A$1:$DD$990,MATCH($B$6,'Histórico'!$A:$A),FALSE))),"")</f>
        <v/>
      </c>
      <c r="AR32" s="243" t="str">
        <f t="shared" si="18"/>
        <v/>
      </c>
      <c r="AS32" s="53"/>
      <c r="AT32" s="245"/>
      <c r="AU32" s="242" t="str">
        <f>IF(ISTEXT(AT32),VLOOKUP(AT32,'Cadastro dos Ativos'!$A$2:$C$1000,3,0),"")</f>
        <v/>
      </c>
      <c r="AV32" s="242" t="str">
        <f>IF(AT32 &lt;&gt; "",IF(AU32="Futuros", (SUMIFS('Alocação'!$O$3:$O$1002,'Alocação'!$C$3:$C$1002,AT32,'Alocação'!$F$3:$F$1002,AT$9,'Alocação'!$B$3:$B$1002,"&lt;="&amp;$B$4)), (SUMIFS('Alocação'!$O$3:$O$1002,'Alocação'!$C$3:$C$1002,AT32,'Alocação'!$F$3:$F$1002,AT$9,'Alocação'!$B$3:$B$1002,"&lt;="&amp;$B$6))),"")</f>
        <v/>
      </c>
      <c r="AW32" s="243" t="str">
        <f>iferror(IF(AU32="Ações Americanas", HLOOKUP(AT32,'Histórico'!$A$1:$DD$990,MATCH($B$6,'Histórico'!$A:$A),FALSE)*HLOOKUP("PTAX",'Histórico'!$A$1:$FG$983,MATCH($B$6,'Histórico'!$A:$A),FALSE),IF(AU32="Ações Europeias", HLOOKUP(AT32,'Histórico'!$A$1:$DD$990,MATCH($B$6,'Histórico'!$A:$A),FALSE)*HLOOKUP("EUR/BRL",'Histórico'!$A$1:$FG$983,MATCH($B$6,'Histórico'!$A:$A),FALSE),  HLOOKUP(AT32,'Histórico'!$A$1:$DD$990,MATCH($B$6,'Histórico'!$A:$A),FALSE))),"")</f>
        <v/>
      </c>
      <c r="AX32" s="243" t="str">
        <f t="shared" si="27"/>
        <v/>
      </c>
      <c r="AY32" s="183"/>
    </row>
    <row r="33" ht="15.75" customHeight="1">
      <c r="A33" s="176"/>
      <c r="B33" s="232">
        <v>45040.0</v>
      </c>
      <c r="C33" s="233">
        <v>1.021482872731058E8</v>
      </c>
      <c r="D33" s="233">
        <v>1.021482978931057E8</v>
      </c>
      <c r="E33" s="234"/>
      <c r="F33" s="233">
        <v>1.016370743436537E8</v>
      </c>
      <c r="G33" s="233">
        <v>1.37247077711394E8</v>
      </c>
      <c r="H33" s="234"/>
      <c r="I33" s="233">
        <v>1.011599868877748E8</v>
      </c>
      <c r="J33" s="233">
        <v>9.353107286869785E7</v>
      </c>
      <c r="K33" s="234"/>
      <c r="L33" s="233">
        <f t="shared" si="8"/>
        <v>100996679.1</v>
      </c>
      <c r="M33" s="233">
        <v>1.01037343782862E8</v>
      </c>
      <c r="N33" s="240">
        <f t="shared" si="9"/>
        <v>0.006099700211</v>
      </c>
      <c r="O33" s="240">
        <f t="shared" si="10"/>
        <v>-0.0000749618542</v>
      </c>
      <c r="P33" s="240">
        <f t="shared" si="11"/>
        <v>0.00288447526</v>
      </c>
      <c r="Q33" s="240">
        <f t="shared" si="12"/>
        <v>0.000431286459</v>
      </c>
      <c r="R33" s="236">
        <f t="shared" si="13"/>
        <v>101.1339556</v>
      </c>
      <c r="S33" s="177"/>
      <c r="T33" s="233">
        <f t="shared" ref="T33:U33" si="43">IF(AND(C33&lt;&gt;"",F33&lt;&gt;"",I33&lt;&gt;""), SUM(I33,F33,C33,L33),"")</f>
        <v>405942027.6</v>
      </c>
      <c r="U33" s="233">
        <f t="shared" si="43"/>
        <v>433963792.3</v>
      </c>
      <c r="V33" s="233">
        <f t="shared" si="6"/>
        <v>101.4855069</v>
      </c>
      <c r="W33" s="241">
        <f t="shared" si="15"/>
        <v>0.002336248304</v>
      </c>
      <c r="X33" s="241">
        <f t="shared" si="16"/>
        <v>-0.001089891768</v>
      </c>
      <c r="Y33" s="241">
        <f t="shared" si="25"/>
        <v>0.001973416473</v>
      </c>
      <c r="Z33" s="233">
        <f t="shared" si="7"/>
        <v>101.1339556</v>
      </c>
      <c r="AA33" s="165"/>
      <c r="AB33" s="245"/>
      <c r="AC33" s="242" t="str">
        <f>IF(ISTEXT(AB33),VLOOKUP(AB33,'Cadastro dos Ativos'!$A$2:$C$1000,3,0),"")</f>
        <v/>
      </c>
      <c r="AD33" s="242" t="str">
        <f>IF(AB33 &lt;&gt; "",IF(AC33="Futuros", (SUMIFS('Alocação'!$O$3:$O$1002,'Alocação'!$C$3:$C$1002,AB33,'Alocação'!$F$3:$F$1002,AB$9,'Alocação'!$B$3:$B$1002,"&lt;="&amp;$B$4)), (SUMIFS('Alocação'!$O$3:$O$1002,'Alocação'!$C$3:$C$1002,AB33,'Alocação'!$F$3:$F$1002,AB$9,'Alocação'!$B$3:$B$1002,"&lt;="&amp;$B$6))),"")</f>
        <v/>
      </c>
      <c r="AE33" s="243" t="str">
        <f>iferror(IF(AC33="Ações Americanas", HLOOKUP(AB33,'Histórico'!$A$1:$DD$990,MATCH($B$6,'Histórico'!$A:$A),FALSE)*HLOOKUP("PTAX",'Histórico'!$A$1:$FG$983,MATCH($B$6,'Histórico'!$A:$A),FALSE),IF(AC33="Ações Europeias", HLOOKUP(AB33,'Histórico'!$A$1:$DD$990,MATCH($B$6,'Histórico'!$A:$A),FALSE)*HLOOKUP("EUR/BRL",'Histórico'!$A$1:$FG$983,MATCH($B$6,'Histórico'!$A:$A),FALSE), HLOOKUP(AB33,'Histórico'!$A$1:$DD$990,MATCH($B$6,'Histórico'!$A:$A),FALSE))),"")</f>
        <v/>
      </c>
      <c r="AF33" s="243" t="str">
        <f t="shared" si="21"/>
        <v/>
      </c>
      <c r="AG33" s="53"/>
      <c r="AH33" s="245"/>
      <c r="AI33" s="242" t="str">
        <f>IF(ISTEXT(AH33),VLOOKUP(AH33,'Cadastro dos Ativos'!$A$2:$C$1000,3,0),"")</f>
        <v/>
      </c>
      <c r="AJ33" s="242" t="str">
        <f>IF(AH33 &lt;&gt; "",IF(AI33="Futuros", (SUMIFS('Alocação'!$O$3:$O$1002,'Alocação'!$C$3:$C$1002,AH33,'Alocação'!$F$3:$F$1002,AH$9,'Alocação'!$B$3:$B$1002,"&lt;="&amp;$B$4)), (SUMIFS('Alocação'!$O$3:$O$1002,'Alocação'!$C$3:$C$1002,AH33,'Alocação'!$F$3:$F$1002,AH$9,'Alocação'!$B$3:$B$1002,"&lt;="&amp;$B$6))),"")</f>
        <v/>
      </c>
      <c r="AK33" s="243" t="str">
        <f>iferror(IF(AI33="Ações Americanas", HLOOKUP(AH33,'Histórico'!$A$1:$DD$990,MATCH($B$6,'Histórico'!$A:$A),FALSE)*HLOOKUP("PTAX",'Histórico'!$A$1:$FG$983,MATCH($B$6,'Histórico'!$A:$A),FALSE),IF(AI33="Ações Europeias", HLOOKUP(AH33,'Histórico'!$A$1:$DD$990,MATCH($B$6,'Histórico'!$A:$A),FALSE)*HLOOKUP("EUR/BRL",'Histórico'!$A$1:$FG$983,MATCH($B$6,'Histórico'!$A:$A),FALSE),  HLOOKUP(AH33,'Histórico'!$A$1:$DD$990,MATCH($B$6,'Histórico'!$A:$A),FALSE))),"")</f>
        <v/>
      </c>
      <c r="AL33" s="243" t="str">
        <f t="shared" si="17"/>
        <v/>
      </c>
      <c r="AM33" s="53"/>
      <c r="AN33" s="245"/>
      <c r="AO33" s="242" t="str">
        <f>IF(ISTEXT(AN33),VLOOKUP(AN33,'Cadastro dos Ativos'!$A$2:$C$1000,3,0),"")</f>
        <v/>
      </c>
      <c r="AP33" s="242" t="str">
        <f>IF(AN33 &lt;&gt; "",IF(AO33="Futuros", (SUMIFS('Alocação'!$O$3:$O$1002,'Alocação'!$C$3:$C$1002,AN33,'Alocação'!$F$3:$F$1002,AN$9,'Alocação'!$B$3:$B$1002,"&lt;="&amp;$B$4)), (SUMIFS('Alocação'!$O$3:$O$1002,'Alocação'!$C$3:$C$1002,AN33,'Alocação'!$F$3:$F$1002,AN$9,'Alocação'!$B$3:$B$1002,"&lt;="&amp;$B$6))),"")</f>
        <v/>
      </c>
      <c r="AQ33" s="243" t="str">
        <f>iferror(IF(AO33="Ações Americanas", HLOOKUP(AN33,'Histórico'!$A$1:$DD$990,MATCH($B$6,'Histórico'!$A:$A),FALSE)*HLOOKUP("PTAX",'Histórico'!$A$1:$FG$983,MATCH($B$6,'Histórico'!$A:$A),FALSE),IF(AO33="Ações Europeias", HLOOKUP(AN33,'Histórico'!$A$1:$DD$990,MATCH($B$6,'Histórico'!$A:$A),FALSE)*HLOOKUP("EUR/BRL",'Histórico'!$A$1:$FG$983,MATCH($B$6,'Histórico'!$A:$A),FALSE),  HLOOKUP(AN33,'Histórico'!$A$1:$DD$990,MATCH($B$6,'Histórico'!$A:$A),FALSE))),"")</f>
        <v/>
      </c>
      <c r="AR33" s="243" t="str">
        <f t="shared" si="18"/>
        <v/>
      </c>
      <c r="AS33" s="53"/>
      <c r="AT33" s="245"/>
      <c r="AU33" s="242" t="str">
        <f>IF(ISTEXT(AT33),VLOOKUP(AT33,'Cadastro dos Ativos'!$A$2:$C$1000,3,0),"")</f>
        <v/>
      </c>
      <c r="AV33" s="242" t="str">
        <f>IF(AT33 &lt;&gt; "",IF(AU33="Futuros", (SUMIFS('Alocação'!$O$3:$O$1002,'Alocação'!$C$3:$C$1002,AT33,'Alocação'!$F$3:$F$1002,AT$9,'Alocação'!$B$3:$B$1002,"&lt;="&amp;$B$4)), (SUMIFS('Alocação'!$O$3:$O$1002,'Alocação'!$C$3:$C$1002,AT33,'Alocação'!$F$3:$F$1002,AT$9,'Alocação'!$B$3:$B$1002,"&lt;="&amp;$B$6))),"")</f>
        <v/>
      </c>
      <c r="AW33" s="243" t="str">
        <f>iferror(IF(AU33="Ações Americanas", HLOOKUP(AT33,'Histórico'!$A$1:$DD$990,MATCH($B$6,'Histórico'!$A:$A),FALSE)*HLOOKUP("PTAX",'Histórico'!$A$1:$FG$983,MATCH($B$6,'Histórico'!$A:$A),FALSE),IF(AU33="Ações Europeias", HLOOKUP(AT33,'Histórico'!$A$1:$DD$990,MATCH($B$6,'Histórico'!$A:$A),FALSE)*HLOOKUP("EUR/BRL",'Histórico'!$A$1:$FG$983,MATCH($B$6,'Histórico'!$A:$A),FALSE),  HLOOKUP(AT33,'Histórico'!$A$1:$DD$990,MATCH($B$6,'Histórico'!$A:$A),FALSE))),"")</f>
        <v/>
      </c>
      <c r="AX33" s="243" t="str">
        <f t="shared" si="27"/>
        <v/>
      </c>
      <c r="AY33" s="183"/>
    </row>
    <row r="34" ht="15.75" customHeight="1">
      <c r="A34" s="176"/>
      <c r="B34" s="232">
        <v>45041.0</v>
      </c>
      <c r="C34" s="233">
        <v>1.018755320324065E8</v>
      </c>
      <c r="D34" s="233">
        <v>7.906500667362316E7</v>
      </c>
      <c r="E34" s="234"/>
      <c r="F34" s="233">
        <v>1.016861612018075E8</v>
      </c>
      <c r="G34" s="233">
        <v>1.106390534404632E8</v>
      </c>
      <c r="H34" s="234"/>
      <c r="I34" s="233">
        <v>1.009906533626328E8</v>
      </c>
      <c r="J34" s="233">
        <v>9.343992418975623E7</v>
      </c>
      <c r="K34" s="234"/>
      <c r="L34" s="233">
        <f t="shared" si="8"/>
        <v>101040237.6</v>
      </c>
      <c r="M34" s="233">
        <v>1.010826889849812E8</v>
      </c>
      <c r="N34" s="240">
        <f t="shared" si="9"/>
        <v>-0.002670189075</v>
      </c>
      <c r="O34" s="240">
        <f t="shared" si="10"/>
        <v>0.0004829621324</v>
      </c>
      <c r="P34" s="240">
        <f t="shared" si="11"/>
        <v>-0.001673918022</v>
      </c>
      <c r="Q34" s="240">
        <f t="shared" si="12"/>
        <v>0.000431286459</v>
      </c>
      <c r="R34" s="236">
        <f t="shared" si="13"/>
        <v>101.1835487</v>
      </c>
      <c r="S34" s="177"/>
      <c r="T34" s="233">
        <f t="shared" ref="T34:U34" si="44">IF(AND(C34&lt;&gt;"",F34&lt;&gt;"",I34&lt;&gt;""), SUM(I34,F34,C34,L34),"")</f>
        <v>405592584.2</v>
      </c>
      <c r="U34" s="233">
        <f t="shared" si="44"/>
        <v>384226673.3</v>
      </c>
      <c r="V34" s="233">
        <f t="shared" si="6"/>
        <v>101.398146</v>
      </c>
      <c r="W34" s="241">
        <f t="shared" si="15"/>
        <v>-0.0008608209641</v>
      </c>
      <c r="X34" s="241">
        <f t="shared" si="16"/>
        <v>-0.001949774531</v>
      </c>
      <c r="Y34" s="241">
        <f t="shared" si="25"/>
        <v>0.001773186383</v>
      </c>
      <c r="Z34" s="233">
        <f t="shared" si="7"/>
        <v>101.1835487</v>
      </c>
      <c r="AA34" s="165"/>
      <c r="AB34" s="245"/>
      <c r="AC34" s="242" t="str">
        <f>IF(ISTEXT(AB34),VLOOKUP(AB34,'Cadastro dos Ativos'!$A$2:$C$1000,3,0),"")</f>
        <v/>
      </c>
      <c r="AD34" s="242" t="str">
        <f>IF(AB34 &lt;&gt; "",IF(AC34="Futuros", (SUMIFS('Alocação'!$O$3:$O$1002,'Alocação'!$C$3:$C$1002,AB34,'Alocação'!$F$3:$F$1002,AB$9,'Alocação'!$B$3:$B$1002,"&lt;="&amp;$B$4)), (SUMIFS('Alocação'!$O$3:$O$1002,'Alocação'!$C$3:$C$1002,AB34,'Alocação'!$F$3:$F$1002,AB$9,'Alocação'!$B$3:$B$1002,"&lt;="&amp;$B$6))),"")</f>
        <v/>
      </c>
      <c r="AE34" s="243" t="str">
        <f>iferror(IF(AC34="Ações Americanas", HLOOKUP(AB34,'Histórico'!$A$1:$DD$990,MATCH($B$6,'Histórico'!$A:$A),FALSE)*HLOOKUP("PTAX",'Histórico'!$A$1:$FG$983,MATCH($B$6,'Histórico'!$A:$A),FALSE),IF(AC34="Ações Europeias", HLOOKUP(AB34,'Histórico'!$A$1:$DD$990,MATCH($B$6,'Histórico'!$A:$A),FALSE)*HLOOKUP("EUR/BRL",'Histórico'!$A$1:$FG$983,MATCH($B$6,'Histórico'!$A:$A),FALSE), HLOOKUP(AB34,'Histórico'!$A$1:$DD$990,MATCH($B$6,'Histórico'!$A:$A),FALSE))),"")</f>
        <v/>
      </c>
      <c r="AF34" s="243" t="str">
        <f t="shared" si="21"/>
        <v/>
      </c>
      <c r="AG34" s="53"/>
      <c r="AH34" s="245"/>
      <c r="AI34" s="242" t="str">
        <f>IF(ISTEXT(AH34),VLOOKUP(AH34,'Cadastro dos Ativos'!$A$2:$C$1000,3,0),"")</f>
        <v/>
      </c>
      <c r="AJ34" s="242" t="str">
        <f>IF(AH34 &lt;&gt; "",IF(AI34="Futuros", (SUMIFS('Alocação'!$O$3:$O$1002,'Alocação'!$C$3:$C$1002,AH34,'Alocação'!$F$3:$F$1002,AH$9,'Alocação'!$B$3:$B$1002,"&lt;="&amp;$B$4)), (SUMIFS('Alocação'!$O$3:$O$1002,'Alocação'!$C$3:$C$1002,AH34,'Alocação'!$F$3:$F$1002,AH$9,'Alocação'!$B$3:$B$1002,"&lt;="&amp;$B$6))),"")</f>
        <v/>
      </c>
      <c r="AK34" s="243" t="str">
        <f>iferror(IF(AI34="Ações Americanas", HLOOKUP(AH34,'Histórico'!$A$1:$DD$990,MATCH($B$6,'Histórico'!$A:$A),FALSE)*HLOOKUP("PTAX",'Histórico'!$A$1:$FG$983,MATCH($B$6,'Histórico'!$A:$A),FALSE),IF(AI34="Ações Europeias", HLOOKUP(AH34,'Histórico'!$A$1:$DD$990,MATCH($B$6,'Histórico'!$A:$A),FALSE)*HLOOKUP("EUR/BRL",'Histórico'!$A$1:$FG$983,MATCH($B$6,'Histórico'!$A:$A),FALSE),  HLOOKUP(AH34,'Histórico'!$A$1:$DD$990,MATCH($B$6,'Histórico'!$A:$A),FALSE))),"")</f>
        <v/>
      </c>
      <c r="AL34" s="243" t="str">
        <f t="shared" si="17"/>
        <v/>
      </c>
      <c r="AM34" s="53"/>
      <c r="AN34" s="245"/>
      <c r="AO34" s="242" t="str">
        <f>IF(ISTEXT(AN34),VLOOKUP(AN34,'Cadastro dos Ativos'!$A$2:$C$1000,3,0),"")</f>
        <v/>
      </c>
      <c r="AP34" s="242" t="str">
        <f>IF(AN34 &lt;&gt; "",IF(AO34="Futuros", (SUMIFS('Alocação'!$O$3:$O$1002,'Alocação'!$C$3:$C$1002,AN34,'Alocação'!$F$3:$F$1002,AN$9,'Alocação'!$B$3:$B$1002,"&lt;="&amp;$B$4)), (SUMIFS('Alocação'!$O$3:$O$1002,'Alocação'!$C$3:$C$1002,AN34,'Alocação'!$F$3:$F$1002,AN$9,'Alocação'!$B$3:$B$1002,"&lt;="&amp;$B$6))),"")</f>
        <v/>
      </c>
      <c r="AQ34" s="243" t="str">
        <f>iferror(IF(AO34="Ações Americanas", HLOOKUP(AN34,'Histórico'!$A$1:$DD$990,MATCH($B$6,'Histórico'!$A:$A),FALSE)*HLOOKUP("PTAX",'Histórico'!$A$1:$FG$983,MATCH($B$6,'Histórico'!$A:$A),FALSE),IF(AO34="Ações Europeias", HLOOKUP(AN34,'Histórico'!$A$1:$DD$990,MATCH($B$6,'Histórico'!$A:$A),FALSE)*HLOOKUP("EUR/BRL",'Histórico'!$A$1:$FG$983,MATCH($B$6,'Histórico'!$A:$A),FALSE),  HLOOKUP(AN34,'Histórico'!$A$1:$DD$990,MATCH($B$6,'Histórico'!$A:$A),FALSE))),"")</f>
        <v/>
      </c>
      <c r="AR34" s="243" t="str">
        <f t="shared" si="18"/>
        <v/>
      </c>
      <c r="AS34" s="53"/>
      <c r="AT34" s="245"/>
      <c r="AU34" s="242" t="str">
        <f>IF(ISTEXT(AT34),VLOOKUP(AT34,'Cadastro dos Ativos'!$A$2:$C$1000,3,0),"")</f>
        <v/>
      </c>
      <c r="AV34" s="242" t="str">
        <f>IF(AT34 &lt;&gt; "",IF(AU34="Futuros", (SUMIFS('Alocação'!$O$3:$O$1002,'Alocação'!$C$3:$C$1002,AT34,'Alocação'!$F$3:$F$1002,AT$9,'Alocação'!$B$3:$B$1002,"&lt;="&amp;$B$4)), (SUMIFS('Alocação'!$O$3:$O$1002,'Alocação'!$C$3:$C$1002,AT34,'Alocação'!$F$3:$F$1002,AT$9,'Alocação'!$B$3:$B$1002,"&lt;="&amp;$B$6))),"")</f>
        <v/>
      </c>
      <c r="AW34" s="243" t="str">
        <f>iferror(IF(AU34="Ações Americanas", HLOOKUP(AT34,'Histórico'!$A$1:$DD$990,MATCH($B$6,'Histórico'!$A:$A),FALSE)*HLOOKUP("PTAX",'Histórico'!$A$1:$FG$983,MATCH($B$6,'Histórico'!$A:$A),FALSE),IF(AU34="Ações Europeias", HLOOKUP(AT34,'Histórico'!$A$1:$DD$990,MATCH($B$6,'Histórico'!$A:$A),FALSE)*HLOOKUP("EUR/BRL",'Histórico'!$A$1:$FG$983,MATCH($B$6,'Histórico'!$A:$A),FALSE),  HLOOKUP(AT34,'Histórico'!$A$1:$DD$990,MATCH($B$6,'Histórico'!$A:$A),FALSE))),"")</f>
        <v/>
      </c>
      <c r="AX34" s="243" t="str">
        <f t="shared" si="27"/>
        <v/>
      </c>
      <c r="AY34" s="183"/>
    </row>
    <row r="35" ht="15.75" customHeight="1">
      <c r="A35" s="176"/>
      <c r="B35" s="232">
        <v>45042.0</v>
      </c>
      <c r="C35" s="233">
        <v>1.0175837372695E8</v>
      </c>
      <c r="D35" s="233">
        <v>7.88004171920415E7</v>
      </c>
      <c r="E35" s="234"/>
      <c r="F35" s="233">
        <v>1.015417438600458E8</v>
      </c>
      <c r="G35" s="233">
        <v>1.104339848144527E8</v>
      </c>
      <c r="H35" s="234"/>
      <c r="I35" s="233">
        <v>1.010262128654432E8</v>
      </c>
      <c r="J35" s="233">
        <v>9.334873922304782E7</v>
      </c>
      <c r="K35" s="234"/>
      <c r="L35" s="233">
        <f t="shared" si="8"/>
        <v>101083814.9</v>
      </c>
      <c r="M35" s="233">
        <v>1.011280545378665E8</v>
      </c>
      <c r="N35" s="240">
        <f t="shared" si="9"/>
        <v>-0.00115001417</v>
      </c>
      <c r="O35" s="240">
        <f t="shared" si="10"/>
        <v>-0.001420226116</v>
      </c>
      <c r="P35" s="240">
        <f t="shared" si="11"/>
        <v>0.0003521068696</v>
      </c>
      <c r="Q35" s="240">
        <f t="shared" si="12"/>
        <v>0.000431286459</v>
      </c>
      <c r="R35" s="236">
        <f t="shared" si="13"/>
        <v>101.2331661</v>
      </c>
      <c r="S35" s="177"/>
      <c r="T35" s="233">
        <f t="shared" ref="T35:U35" si="45">IF(AND(C35&lt;&gt;"",F35&lt;&gt;"",I35&lt;&gt;""), SUM(I35,F35,C35,L35),"")</f>
        <v>405410145.3</v>
      </c>
      <c r="U35" s="233">
        <f t="shared" si="45"/>
        <v>383711195.8</v>
      </c>
      <c r="V35" s="233">
        <f t="shared" si="6"/>
        <v>101.3525363</v>
      </c>
      <c r="W35" s="241">
        <f t="shared" si="15"/>
        <v>-0.0004498081701</v>
      </c>
      <c r="X35" s="241">
        <f t="shared" si="16"/>
        <v>-0.002398705676</v>
      </c>
      <c r="Y35" s="241">
        <f t="shared" si="25"/>
        <v>0.001559254929</v>
      </c>
      <c r="Z35" s="233">
        <f t="shared" si="7"/>
        <v>101.2331661</v>
      </c>
      <c r="AA35" s="165"/>
      <c r="AB35" s="245"/>
      <c r="AC35" s="242" t="str">
        <f>IF(ISTEXT(AB35),VLOOKUP(AB35,'Cadastro dos Ativos'!$A$2:$C$1000,3,0),"")</f>
        <v/>
      </c>
      <c r="AD35" s="242" t="str">
        <f>IF(AB35 &lt;&gt; "",IF(AC35="Futuros", (SUMIFS('Alocação'!$O$3:$O$1002,'Alocação'!$C$3:$C$1002,AB35,'Alocação'!$F$3:$F$1002,AB$9,'Alocação'!$B$3:$B$1002,"&lt;="&amp;$B$4)), (SUMIFS('Alocação'!$O$3:$O$1002,'Alocação'!$C$3:$C$1002,AB35,'Alocação'!$F$3:$F$1002,AB$9,'Alocação'!$B$3:$B$1002,"&lt;="&amp;$B$6))),"")</f>
        <v/>
      </c>
      <c r="AE35" s="243" t="str">
        <f>iferror(IF(AC35="Ações Americanas", HLOOKUP(AB35,'Histórico'!$A$1:$DD$990,MATCH($B$6,'Histórico'!$A:$A),FALSE)*HLOOKUP("PTAX",'Histórico'!$A$1:$FG$983,MATCH($B$6,'Histórico'!$A:$A),FALSE),IF(AC35="Ações Europeias", HLOOKUP(AB35,'Histórico'!$A$1:$DD$990,MATCH($B$6,'Histórico'!$A:$A),FALSE)*HLOOKUP("EUR/BRL",'Histórico'!$A$1:$FG$983,MATCH($B$6,'Histórico'!$A:$A),FALSE), HLOOKUP(AB35,'Histórico'!$A$1:$DD$990,MATCH($B$6,'Histórico'!$A:$A),FALSE))),"")</f>
        <v/>
      </c>
      <c r="AF35" s="243" t="str">
        <f t="shared" si="21"/>
        <v/>
      </c>
      <c r="AG35" s="53"/>
      <c r="AH35" s="245"/>
      <c r="AI35" s="242" t="str">
        <f>IF(ISTEXT(AH35),VLOOKUP(AH35,'Cadastro dos Ativos'!$A$2:$C$1000,3,0),"")</f>
        <v/>
      </c>
      <c r="AJ35" s="242" t="str">
        <f>IF(AH35 &lt;&gt; "",IF(AI35="Futuros", (SUMIFS('Alocação'!$O$3:$O$1002,'Alocação'!$C$3:$C$1002,AH35,'Alocação'!$F$3:$F$1002,AH$9,'Alocação'!$B$3:$B$1002,"&lt;="&amp;$B$4)), (SUMIFS('Alocação'!$O$3:$O$1002,'Alocação'!$C$3:$C$1002,AH35,'Alocação'!$F$3:$F$1002,AH$9,'Alocação'!$B$3:$B$1002,"&lt;="&amp;$B$6))),"")</f>
        <v/>
      </c>
      <c r="AK35" s="243" t="str">
        <f>iferror(IF(AI35="Ações Americanas", HLOOKUP(AH35,'Histórico'!$A$1:$DD$990,MATCH($B$6,'Histórico'!$A:$A),FALSE)*HLOOKUP("PTAX",'Histórico'!$A$1:$FG$983,MATCH($B$6,'Histórico'!$A:$A),FALSE),IF(AI35="Ações Europeias", HLOOKUP(AH35,'Histórico'!$A$1:$DD$990,MATCH($B$6,'Histórico'!$A:$A),FALSE)*HLOOKUP("EUR/BRL",'Histórico'!$A$1:$FG$983,MATCH($B$6,'Histórico'!$A:$A),FALSE),  HLOOKUP(AH35,'Histórico'!$A$1:$DD$990,MATCH($B$6,'Histórico'!$A:$A),FALSE))),"")</f>
        <v/>
      </c>
      <c r="AL35" s="243" t="str">
        <f t="shared" si="17"/>
        <v/>
      </c>
      <c r="AM35" s="53"/>
      <c r="AN35" s="245"/>
      <c r="AO35" s="242" t="str">
        <f>IF(ISTEXT(AN35),VLOOKUP(AN35,'Cadastro dos Ativos'!$A$2:$C$1000,3,0),"")</f>
        <v/>
      </c>
      <c r="AP35" s="242" t="str">
        <f>IF(AN35 &lt;&gt; "",IF(AO35="Futuros", (SUMIFS('Alocação'!$O$3:$O$1002,'Alocação'!$C$3:$C$1002,AN35,'Alocação'!$F$3:$F$1002,AN$9,'Alocação'!$B$3:$B$1002,"&lt;="&amp;$B$4)), (SUMIFS('Alocação'!$O$3:$O$1002,'Alocação'!$C$3:$C$1002,AN35,'Alocação'!$F$3:$F$1002,AN$9,'Alocação'!$B$3:$B$1002,"&lt;="&amp;$B$6))),"")</f>
        <v/>
      </c>
      <c r="AQ35" s="243" t="str">
        <f>iferror(IF(AO35="Ações Americanas", HLOOKUP(AN35,'Histórico'!$A$1:$DD$990,MATCH($B$6,'Histórico'!$A:$A),FALSE)*HLOOKUP("PTAX",'Histórico'!$A$1:$FG$983,MATCH($B$6,'Histórico'!$A:$A),FALSE),IF(AO35="Ações Europeias", HLOOKUP(AN35,'Histórico'!$A$1:$DD$990,MATCH($B$6,'Histórico'!$A:$A),FALSE)*HLOOKUP("EUR/BRL",'Histórico'!$A$1:$FG$983,MATCH($B$6,'Histórico'!$A:$A),FALSE),  HLOOKUP(AN35,'Histórico'!$A$1:$DD$990,MATCH($B$6,'Histórico'!$A:$A),FALSE))),"")</f>
        <v/>
      </c>
      <c r="AR35" s="243" t="str">
        <f t="shared" si="18"/>
        <v/>
      </c>
      <c r="AS35" s="53"/>
      <c r="AT35" s="245"/>
      <c r="AU35" s="242" t="str">
        <f>IF(ISTEXT(AT35),VLOOKUP(AT35,'Cadastro dos Ativos'!$A$2:$C$1000,3,0),"")</f>
        <v/>
      </c>
      <c r="AV35" s="242" t="str">
        <f>IF(AT35 &lt;&gt; "",IF(AU35="Futuros", (SUMIFS('Alocação'!$O$3:$O$1002,'Alocação'!$C$3:$C$1002,AT35,'Alocação'!$F$3:$F$1002,AT$9,'Alocação'!$B$3:$B$1002,"&lt;="&amp;$B$4)), (SUMIFS('Alocação'!$O$3:$O$1002,'Alocação'!$C$3:$C$1002,AT35,'Alocação'!$F$3:$F$1002,AT$9,'Alocação'!$B$3:$B$1002,"&lt;="&amp;$B$6))),"")</f>
        <v/>
      </c>
      <c r="AW35" s="243" t="str">
        <f>iferror(IF(AU35="Ações Americanas", HLOOKUP(AT35,'Histórico'!$A$1:$DD$990,MATCH($B$6,'Histórico'!$A:$A),FALSE)*HLOOKUP("PTAX",'Histórico'!$A$1:$FG$983,MATCH($B$6,'Histórico'!$A:$A),FALSE),IF(AU35="Ações Europeias", HLOOKUP(AT35,'Histórico'!$A$1:$DD$990,MATCH($B$6,'Histórico'!$A:$A),FALSE)*HLOOKUP("EUR/BRL",'Histórico'!$A$1:$FG$983,MATCH($B$6,'Histórico'!$A:$A),FALSE),  HLOOKUP(AT35,'Histórico'!$A$1:$DD$990,MATCH($B$6,'Histórico'!$A:$A),FALSE))),"")</f>
        <v/>
      </c>
      <c r="AX35" s="243" t="str">
        <f t="shared" si="27"/>
        <v/>
      </c>
      <c r="AY35" s="183"/>
    </row>
    <row r="36" ht="15.75" customHeight="1">
      <c r="A36" s="176"/>
      <c r="B36" s="232">
        <v>45043.0</v>
      </c>
      <c r="C36" s="233">
        <v>1.020064982268763E8</v>
      </c>
      <c r="D36" s="233">
        <v>7.868868980288148E7</v>
      </c>
      <c r="E36" s="234"/>
      <c r="F36" s="233">
        <v>1.003107118718983E8</v>
      </c>
      <c r="G36" s="233">
        <v>1.590511104128763E8</v>
      </c>
      <c r="H36" s="234"/>
      <c r="I36" s="233">
        <v>1.012795352639901E8</v>
      </c>
      <c r="J36" s="233">
        <v>9.336181489433718E7</v>
      </c>
      <c r="K36" s="234"/>
      <c r="L36" s="233">
        <f t="shared" si="8"/>
        <v>101127411</v>
      </c>
      <c r="M36" s="233">
        <v>1.011734404506513E8</v>
      </c>
      <c r="N36" s="240">
        <f t="shared" si="9"/>
        <v>0.002438369353</v>
      </c>
      <c r="O36" s="240">
        <f t="shared" si="10"/>
        <v>-0.01212340798</v>
      </c>
      <c r="P36" s="240">
        <f t="shared" si="11"/>
        <v>0.002507491782</v>
      </c>
      <c r="Q36" s="240">
        <f t="shared" si="12"/>
        <v>0.000431286459</v>
      </c>
      <c r="R36" s="236">
        <f t="shared" si="13"/>
        <v>101.2828078</v>
      </c>
      <c r="S36" s="177"/>
      <c r="T36" s="233">
        <f t="shared" ref="T36:U36" si="46">IF(AND(C36&lt;&gt;"",F36&lt;&gt;"",I36&lt;&gt;""), SUM(I36,F36,C36,L36),"")</f>
        <v>404724156.3</v>
      </c>
      <c r="U36" s="233">
        <f t="shared" si="46"/>
        <v>432275055.6</v>
      </c>
      <c r="V36" s="233">
        <f t="shared" si="6"/>
        <v>101.1810391</v>
      </c>
      <c r="W36" s="241">
        <f t="shared" si="15"/>
        <v>-0.001692086439</v>
      </c>
      <c r="X36" s="241">
        <f t="shared" si="16"/>
        <v>-0.004086733298</v>
      </c>
      <c r="Y36" s="241">
        <f t="shared" si="25"/>
        <v>0.001551082325</v>
      </c>
      <c r="Z36" s="233">
        <f t="shared" si="7"/>
        <v>101.2828078</v>
      </c>
      <c r="AA36" s="165"/>
      <c r="AB36" s="245"/>
      <c r="AC36" s="242" t="str">
        <f>IF(ISTEXT(AB36),VLOOKUP(AB36,'Cadastro dos Ativos'!$A$2:$C$1000,3,0),"")</f>
        <v/>
      </c>
      <c r="AD36" s="242" t="str">
        <f>IF(AB36 &lt;&gt; "",IF(AC36="Futuros", (SUMIFS('Alocação'!$O$3:$O$1002,'Alocação'!$C$3:$C$1002,AB36,'Alocação'!$F$3:$F$1002,AB$9,'Alocação'!$B$3:$B$1002,"&lt;="&amp;$B$4)), (SUMIFS('Alocação'!$O$3:$O$1002,'Alocação'!$C$3:$C$1002,AB36,'Alocação'!$F$3:$F$1002,AB$9,'Alocação'!$B$3:$B$1002,"&lt;="&amp;$B$6))),"")</f>
        <v/>
      </c>
      <c r="AE36" s="243" t="str">
        <f>iferror(IF(AC36="Ações Americanas", HLOOKUP(AB36,'Histórico'!$A$1:$DD$990,MATCH($B$6,'Histórico'!$A:$A),FALSE)*HLOOKUP("PTAX",'Histórico'!$A$1:$FG$983,MATCH($B$6,'Histórico'!$A:$A),FALSE),IF(AC36="Ações Europeias", HLOOKUP(AB36,'Histórico'!$A$1:$DD$990,MATCH($B$6,'Histórico'!$A:$A),FALSE)*HLOOKUP("EUR/BRL",'Histórico'!$A$1:$FG$983,MATCH($B$6,'Histórico'!$A:$A),FALSE), HLOOKUP(AB36,'Histórico'!$A$1:$DD$990,MATCH($B$6,'Histórico'!$A:$A),FALSE))),"")</f>
        <v/>
      </c>
      <c r="AF36" s="243" t="str">
        <f t="shared" si="21"/>
        <v/>
      </c>
      <c r="AG36" s="53"/>
      <c r="AH36" s="245"/>
      <c r="AI36" s="242" t="str">
        <f>IF(ISTEXT(AH36),VLOOKUP(AH36,'Cadastro dos Ativos'!$A$2:$C$1000,3,0),"")</f>
        <v/>
      </c>
      <c r="AJ36" s="242" t="str">
        <f>IF(AH36 &lt;&gt; "",IF(AI36="Futuros", (SUMIFS('Alocação'!$O$3:$O$1002,'Alocação'!$C$3:$C$1002,AH36,'Alocação'!$F$3:$F$1002,AH$9,'Alocação'!$B$3:$B$1002,"&lt;="&amp;$B$4)), (SUMIFS('Alocação'!$O$3:$O$1002,'Alocação'!$C$3:$C$1002,AH36,'Alocação'!$F$3:$F$1002,AH$9,'Alocação'!$B$3:$B$1002,"&lt;="&amp;$B$6))),"")</f>
        <v/>
      </c>
      <c r="AK36" s="243" t="str">
        <f>iferror(IF(AI36="Ações Americanas", HLOOKUP(AH36,'Histórico'!$A$1:$DD$990,MATCH($B$6,'Histórico'!$A:$A),FALSE)*HLOOKUP("PTAX",'Histórico'!$A$1:$FG$983,MATCH($B$6,'Histórico'!$A:$A),FALSE),IF(AI36="Ações Europeias", HLOOKUP(AH36,'Histórico'!$A$1:$DD$990,MATCH($B$6,'Histórico'!$A:$A),FALSE)*HLOOKUP("EUR/BRL",'Histórico'!$A$1:$FG$983,MATCH($B$6,'Histórico'!$A:$A),FALSE),  HLOOKUP(AH36,'Histórico'!$A$1:$DD$990,MATCH($B$6,'Histórico'!$A:$A),FALSE))),"")</f>
        <v/>
      </c>
      <c r="AL36" s="243" t="str">
        <f t="shared" si="17"/>
        <v/>
      </c>
      <c r="AM36" s="53"/>
      <c r="AN36" s="245"/>
      <c r="AO36" s="242" t="str">
        <f>IF(ISTEXT(AN36),VLOOKUP(AN36,'Cadastro dos Ativos'!$A$2:$C$1000,3,0),"")</f>
        <v/>
      </c>
      <c r="AP36" s="242" t="str">
        <f>IF(AN36 &lt;&gt; "",IF(AO36="Futuros", (SUMIFS('Alocação'!$O$3:$O$1002,'Alocação'!$C$3:$C$1002,AN36,'Alocação'!$F$3:$F$1002,AN$9,'Alocação'!$B$3:$B$1002,"&lt;="&amp;$B$4)), (SUMIFS('Alocação'!$O$3:$O$1002,'Alocação'!$C$3:$C$1002,AN36,'Alocação'!$F$3:$F$1002,AN$9,'Alocação'!$B$3:$B$1002,"&lt;="&amp;$B$6))),"")</f>
        <v/>
      </c>
      <c r="AQ36" s="243" t="str">
        <f>iferror(IF(AO36="Ações Americanas", HLOOKUP(AN36,'Histórico'!$A$1:$DD$990,MATCH($B$6,'Histórico'!$A:$A),FALSE)*HLOOKUP("PTAX",'Histórico'!$A$1:$FG$983,MATCH($B$6,'Histórico'!$A:$A),FALSE),IF(AO36="Ações Europeias", HLOOKUP(AN36,'Histórico'!$A$1:$DD$990,MATCH($B$6,'Histórico'!$A:$A),FALSE)*HLOOKUP("EUR/BRL",'Histórico'!$A$1:$FG$983,MATCH($B$6,'Histórico'!$A:$A),FALSE),  HLOOKUP(AN36,'Histórico'!$A$1:$DD$990,MATCH($B$6,'Histórico'!$A:$A),FALSE))),"")</f>
        <v/>
      </c>
      <c r="AR36" s="243" t="str">
        <f t="shared" si="18"/>
        <v/>
      </c>
      <c r="AS36" s="53"/>
      <c r="AT36" s="245"/>
      <c r="AU36" s="242" t="str">
        <f>IF(ISTEXT(AT36),VLOOKUP(AT36,'Cadastro dos Ativos'!$A$2:$C$1000,3,0),"")</f>
        <v/>
      </c>
      <c r="AV36" s="242" t="str">
        <f>IF(AT36 &lt;&gt; "",IF(AU36="Futuros", (SUMIFS('Alocação'!$O$3:$O$1002,'Alocação'!$C$3:$C$1002,AT36,'Alocação'!$F$3:$F$1002,AT$9,'Alocação'!$B$3:$B$1002,"&lt;="&amp;$B$4)), (SUMIFS('Alocação'!$O$3:$O$1002,'Alocação'!$C$3:$C$1002,AT36,'Alocação'!$F$3:$F$1002,AT$9,'Alocação'!$B$3:$B$1002,"&lt;="&amp;$B$6))),"")</f>
        <v/>
      </c>
      <c r="AW36" s="243" t="str">
        <f>iferror(IF(AU36="Ações Americanas", HLOOKUP(AT36,'Histórico'!$A$1:$DD$990,MATCH($B$6,'Histórico'!$A:$A),FALSE)*HLOOKUP("PTAX",'Histórico'!$A$1:$FG$983,MATCH($B$6,'Histórico'!$A:$A),FALSE),IF(AU36="Ações Europeias", HLOOKUP(AT36,'Histórico'!$A$1:$DD$990,MATCH($B$6,'Histórico'!$A:$A),FALSE)*HLOOKUP("EUR/BRL",'Histórico'!$A$1:$FG$983,MATCH($B$6,'Histórico'!$A:$A),FALSE),  HLOOKUP(AT36,'Histórico'!$A$1:$DD$990,MATCH($B$6,'Histórico'!$A:$A),FALSE))),"")</f>
        <v/>
      </c>
      <c r="AX36" s="243" t="str">
        <f t="shared" si="27"/>
        <v/>
      </c>
      <c r="AY36" s="183"/>
    </row>
    <row r="37" ht="15.75" customHeight="1">
      <c r="A37" s="176"/>
      <c r="B37" s="232">
        <v>45044.0</v>
      </c>
      <c r="C37" s="233">
        <v>1.021505534921004E8</v>
      </c>
      <c r="D37" s="233">
        <v>7.8556284859541E7</v>
      </c>
      <c r="E37" s="234"/>
      <c r="F37" s="233">
        <v>9.931203202770713E7</v>
      </c>
      <c r="G37" s="233">
        <v>1.580577066587778E8</v>
      </c>
      <c r="H37" s="234"/>
      <c r="I37" s="233">
        <v>1.013234840656992E8</v>
      </c>
      <c r="J37" s="233">
        <v>9.342224243931414E7</v>
      </c>
      <c r="K37" s="234"/>
      <c r="L37" s="233">
        <f t="shared" si="8"/>
        <v>101171025.8</v>
      </c>
      <c r="M37" s="233">
        <v>1.01218846732473E8</v>
      </c>
      <c r="N37" s="240">
        <f t="shared" si="9"/>
        <v>0.001412216552</v>
      </c>
      <c r="O37" s="240">
        <f t="shared" si="10"/>
        <v>-0.009955864389</v>
      </c>
      <c r="P37" s="240">
        <f t="shared" si="11"/>
        <v>0.0004339356573</v>
      </c>
      <c r="Q37" s="240">
        <f t="shared" si="12"/>
        <v>0.000431286459</v>
      </c>
      <c r="R37" s="236">
        <f t="shared" si="13"/>
        <v>101.3324738</v>
      </c>
      <c r="S37" s="177"/>
      <c r="T37" s="233">
        <f t="shared" ref="T37:U37" si="47">IF(AND(C37&lt;&gt;"",F37&lt;&gt;"",I37&lt;&gt;""), SUM(I37,F37,C37,L37),"")</f>
        <v>403957095.4</v>
      </c>
      <c r="U37" s="233">
        <f t="shared" si="47"/>
        <v>431255080.7</v>
      </c>
      <c r="V37" s="233">
        <f t="shared" si="6"/>
        <v>100.9892739</v>
      </c>
      <c r="W37" s="241">
        <f t="shared" si="15"/>
        <v>-0.001895268375</v>
      </c>
      <c r="X37" s="241">
        <f t="shared" si="16"/>
        <v>-0.005974256217</v>
      </c>
      <c r="Y37" s="241">
        <f t="shared" si="25"/>
        <v>0.001698830266</v>
      </c>
      <c r="Z37" s="233">
        <f t="shared" si="7"/>
        <v>101.3324738</v>
      </c>
      <c r="AA37" s="165"/>
      <c r="AB37" s="245"/>
      <c r="AC37" s="242" t="str">
        <f>IF(ISTEXT(AB37),VLOOKUP(AB37,'Cadastro dos Ativos'!$A$2:$C$1000,3,0),"")</f>
        <v/>
      </c>
      <c r="AD37" s="242" t="str">
        <f>IF(AB37 &lt;&gt; "",IF(AC37="Futuros", (SUMIFS('Alocação'!$O$3:$O$1002,'Alocação'!$C$3:$C$1002,AB37,'Alocação'!$F$3:$F$1002,AB$9,'Alocação'!$B$3:$B$1002,"&lt;="&amp;$B$4)), (SUMIFS('Alocação'!$O$3:$O$1002,'Alocação'!$C$3:$C$1002,AB37,'Alocação'!$F$3:$F$1002,AB$9,'Alocação'!$B$3:$B$1002,"&lt;="&amp;$B$6))),"")</f>
        <v/>
      </c>
      <c r="AE37" s="243" t="str">
        <f>iferror(IF(AC37="Ações Americanas", HLOOKUP(AB37,'Histórico'!$A$1:$DD$990,MATCH($B$6,'Histórico'!$A:$A),FALSE)*HLOOKUP("PTAX",'Histórico'!$A$1:$FG$983,MATCH($B$6,'Histórico'!$A:$A),FALSE),IF(AC37="Ações Europeias", HLOOKUP(AB37,'Histórico'!$A$1:$DD$990,MATCH($B$6,'Histórico'!$A:$A),FALSE)*HLOOKUP("EUR/BRL",'Histórico'!$A$1:$FG$983,MATCH($B$6,'Histórico'!$A:$A),FALSE), HLOOKUP(AB37,'Histórico'!$A$1:$DD$990,MATCH($B$6,'Histórico'!$A:$A),FALSE))),"")</f>
        <v/>
      </c>
      <c r="AF37" s="243" t="str">
        <f t="shared" si="21"/>
        <v/>
      </c>
      <c r="AG37" s="53"/>
      <c r="AH37" s="245"/>
      <c r="AI37" s="242" t="str">
        <f>IF(ISTEXT(AH37),VLOOKUP(AH37,'Cadastro dos Ativos'!$A$2:$C$1000,3,0),"")</f>
        <v/>
      </c>
      <c r="AJ37" s="242" t="str">
        <f>IF(AH37 &lt;&gt; "",IF(AI37="Futuros", (SUMIFS('Alocação'!$O$3:$O$1002,'Alocação'!$C$3:$C$1002,AH37,'Alocação'!$F$3:$F$1002,AH$9,'Alocação'!$B$3:$B$1002,"&lt;="&amp;$B$4)), (SUMIFS('Alocação'!$O$3:$O$1002,'Alocação'!$C$3:$C$1002,AH37,'Alocação'!$F$3:$F$1002,AH$9,'Alocação'!$B$3:$B$1002,"&lt;="&amp;$B$6))),"")</f>
        <v/>
      </c>
      <c r="AK37" s="243" t="str">
        <f>iferror(IF(AI37="Ações Americanas", HLOOKUP(AH37,'Histórico'!$A$1:$DD$990,MATCH($B$6,'Histórico'!$A:$A),FALSE)*HLOOKUP("PTAX",'Histórico'!$A$1:$FG$983,MATCH($B$6,'Histórico'!$A:$A),FALSE),IF(AI37="Ações Europeias", HLOOKUP(AH37,'Histórico'!$A$1:$DD$990,MATCH($B$6,'Histórico'!$A:$A),FALSE)*HLOOKUP("EUR/BRL",'Histórico'!$A$1:$FG$983,MATCH($B$6,'Histórico'!$A:$A),FALSE),  HLOOKUP(AH37,'Histórico'!$A$1:$DD$990,MATCH($B$6,'Histórico'!$A:$A),FALSE))),"")</f>
        <v/>
      </c>
      <c r="AL37" s="243" t="str">
        <f t="shared" si="17"/>
        <v/>
      </c>
      <c r="AM37" s="53"/>
      <c r="AN37" s="245"/>
      <c r="AO37" s="242" t="str">
        <f>IF(ISTEXT(AN37),VLOOKUP(AN37,'Cadastro dos Ativos'!$A$2:$C$1000,3,0),"")</f>
        <v/>
      </c>
      <c r="AP37" s="242" t="str">
        <f>IF(AN37 &lt;&gt; "",IF(AO37="Futuros", (SUMIFS('Alocação'!$O$3:$O$1002,'Alocação'!$C$3:$C$1002,AN37,'Alocação'!$F$3:$F$1002,AN$9,'Alocação'!$B$3:$B$1002,"&lt;="&amp;$B$4)), (SUMIFS('Alocação'!$O$3:$O$1002,'Alocação'!$C$3:$C$1002,AN37,'Alocação'!$F$3:$F$1002,AN$9,'Alocação'!$B$3:$B$1002,"&lt;="&amp;$B$6))),"")</f>
        <v/>
      </c>
      <c r="AQ37" s="243" t="str">
        <f>iferror(IF(AO37="Ações Americanas", HLOOKUP(AN37,'Histórico'!$A$1:$DD$990,MATCH($B$6,'Histórico'!$A:$A),FALSE)*HLOOKUP("PTAX",'Histórico'!$A$1:$FG$983,MATCH($B$6,'Histórico'!$A:$A),FALSE),IF(AO37="Ações Europeias", HLOOKUP(AN37,'Histórico'!$A$1:$DD$990,MATCH($B$6,'Histórico'!$A:$A),FALSE)*HLOOKUP("EUR/BRL",'Histórico'!$A$1:$FG$983,MATCH($B$6,'Histórico'!$A:$A),FALSE),  HLOOKUP(AN37,'Histórico'!$A$1:$DD$990,MATCH($B$6,'Histórico'!$A:$A),FALSE))),"")</f>
        <v/>
      </c>
      <c r="AR37" s="243" t="str">
        <f t="shared" si="18"/>
        <v/>
      </c>
      <c r="AS37" s="53"/>
      <c r="AT37" s="245"/>
      <c r="AU37" s="242" t="str">
        <f>IF(ISTEXT(AT37),VLOOKUP(AT37,'Cadastro dos Ativos'!$A$2:$C$1000,3,0),"")</f>
        <v/>
      </c>
      <c r="AV37" s="242" t="str">
        <f>IF(AT37 &lt;&gt; "",IF(AU37="Futuros", (SUMIFS('Alocação'!$O$3:$O$1002,'Alocação'!$C$3:$C$1002,AT37,'Alocação'!$F$3:$F$1002,AT$9,'Alocação'!$B$3:$B$1002,"&lt;="&amp;$B$4)), (SUMIFS('Alocação'!$O$3:$O$1002,'Alocação'!$C$3:$C$1002,AT37,'Alocação'!$F$3:$F$1002,AT$9,'Alocação'!$B$3:$B$1002,"&lt;="&amp;$B$6))),"")</f>
        <v/>
      </c>
      <c r="AW37" s="243" t="str">
        <f>iferror(IF(AU37="Ações Americanas", HLOOKUP(AT37,'Histórico'!$A$1:$DD$990,MATCH($B$6,'Histórico'!$A:$A),FALSE)*HLOOKUP("PTAX",'Histórico'!$A$1:$FG$983,MATCH($B$6,'Histórico'!$A:$A),FALSE),IF(AU37="Ações Europeias", HLOOKUP(AT37,'Histórico'!$A$1:$DD$990,MATCH($B$6,'Histórico'!$A:$A),FALSE)*HLOOKUP("EUR/BRL",'Histórico'!$A$1:$FG$983,MATCH($B$6,'Histórico'!$A:$A),FALSE),  HLOOKUP(AT37,'Histórico'!$A$1:$DD$990,MATCH($B$6,'Histórico'!$A:$A),FALSE))),"")</f>
        <v/>
      </c>
      <c r="AX37" s="243" t="str">
        <f t="shared" si="27"/>
        <v/>
      </c>
      <c r="AY37" s="183"/>
    </row>
    <row r="38" ht="15.75" customHeight="1">
      <c r="A38" s="176"/>
      <c r="B38" s="232">
        <v>45048.0</v>
      </c>
      <c r="C38" s="233">
        <v>1.019890408801554E8</v>
      </c>
      <c r="D38" s="233">
        <v>1.121540418136827E8</v>
      </c>
      <c r="E38" s="234"/>
      <c r="F38" s="233">
        <v>9.93348322056427E7</v>
      </c>
      <c r="G38" s="233">
        <v>1.574562094403222E8</v>
      </c>
      <c r="H38" s="234"/>
      <c r="I38" s="233">
        <v>1.01706706431867E8</v>
      </c>
      <c r="J38" s="233">
        <v>9.341418387758183E7</v>
      </c>
      <c r="K38" s="234"/>
      <c r="L38" s="233">
        <f t="shared" si="8"/>
        <v>101214659.5</v>
      </c>
      <c r="M38" s="233">
        <v>1.012642733924733E8</v>
      </c>
      <c r="N38" s="240">
        <f t="shared" si="9"/>
        <v>-0.001581123219</v>
      </c>
      <c r="O38" s="240">
        <f t="shared" si="10"/>
        <v>0.0002295812247</v>
      </c>
      <c r="P38" s="240">
        <f t="shared" si="11"/>
        <v>0.00378216728</v>
      </c>
      <c r="Q38" s="240">
        <f t="shared" si="12"/>
        <v>0.000431286459</v>
      </c>
      <c r="R38" s="236">
        <f t="shared" si="13"/>
        <v>101.3821642</v>
      </c>
      <c r="S38" s="177"/>
      <c r="T38" s="233">
        <f t="shared" ref="T38:U38" si="48">IF(AND(C38&lt;&gt;"",F38&lt;&gt;"",I38&lt;&gt;""), SUM(I38,F38,C38,L38),"")</f>
        <v>404245239.1</v>
      </c>
      <c r="U38" s="233">
        <f t="shared" si="48"/>
        <v>464288708.5</v>
      </c>
      <c r="V38" s="233">
        <f t="shared" si="6"/>
        <v>101.0613098</v>
      </c>
      <c r="W38" s="241">
        <f t="shared" si="15"/>
        <v>0.0007133025485</v>
      </c>
      <c r="X38" s="241">
        <f t="shared" si="16"/>
        <v>-0.005265215121</v>
      </c>
      <c r="Y38" s="241">
        <f t="shared" si="25"/>
        <v>0.001049407892</v>
      </c>
      <c r="Z38" s="233">
        <f t="shared" si="7"/>
        <v>101.3821642</v>
      </c>
      <c r="AA38" s="165"/>
      <c r="AB38" s="245"/>
      <c r="AC38" s="242" t="str">
        <f>IF(ISTEXT(AB38),VLOOKUP(AB38,'Cadastro dos Ativos'!$A$2:$C$1000,3,0),"")</f>
        <v/>
      </c>
      <c r="AD38" s="242" t="str">
        <f>IF(AB38 &lt;&gt; "",IF(AC38="Futuros", (SUMIFS('Alocação'!$O$3:$O$1002,'Alocação'!$C$3:$C$1002,AB38,'Alocação'!$F$3:$F$1002,AB$9,'Alocação'!$B$3:$B$1002,"&lt;="&amp;$B$4)), (SUMIFS('Alocação'!$O$3:$O$1002,'Alocação'!$C$3:$C$1002,AB38,'Alocação'!$F$3:$F$1002,AB$9,'Alocação'!$B$3:$B$1002,"&lt;="&amp;$B$6))),"")</f>
        <v/>
      </c>
      <c r="AE38" s="243" t="str">
        <f>iferror(IF(AC38="Ações Americanas", HLOOKUP(AB38,'Histórico'!$A$1:$DD$990,MATCH($B$6,'Histórico'!$A:$A),FALSE)*HLOOKUP("PTAX",'Histórico'!$A$1:$FG$983,MATCH($B$6,'Histórico'!$A:$A),FALSE),IF(AC38="Ações Europeias", HLOOKUP(AB38,'Histórico'!$A$1:$DD$990,MATCH($B$6,'Histórico'!$A:$A),FALSE)*HLOOKUP("EUR/BRL",'Histórico'!$A$1:$FG$983,MATCH($B$6,'Histórico'!$A:$A),FALSE), HLOOKUP(AB38,'Histórico'!$A$1:$DD$990,MATCH($B$6,'Histórico'!$A:$A),FALSE))),"")</f>
        <v/>
      </c>
      <c r="AF38" s="243" t="str">
        <f t="shared" si="21"/>
        <v/>
      </c>
      <c r="AG38" s="53"/>
      <c r="AH38" s="245"/>
      <c r="AI38" s="242" t="str">
        <f>IF(ISTEXT(AH38),VLOOKUP(AH38,'Cadastro dos Ativos'!$A$2:$C$1000,3,0),"")</f>
        <v/>
      </c>
      <c r="AJ38" s="242" t="str">
        <f>IF(AH38 &lt;&gt; "",IF(AI38="Futuros", (SUMIFS('Alocação'!$O$3:$O$1002,'Alocação'!$C$3:$C$1002,AH38,'Alocação'!$F$3:$F$1002,AH$9,'Alocação'!$B$3:$B$1002,"&lt;="&amp;$B$4)), (SUMIFS('Alocação'!$O$3:$O$1002,'Alocação'!$C$3:$C$1002,AH38,'Alocação'!$F$3:$F$1002,AH$9,'Alocação'!$B$3:$B$1002,"&lt;="&amp;$B$6))),"")</f>
        <v/>
      </c>
      <c r="AK38" s="243" t="str">
        <f>iferror(IF(AI38="Ações Americanas", HLOOKUP(AH38,'Histórico'!$A$1:$DD$990,MATCH($B$6,'Histórico'!$A:$A),FALSE)*HLOOKUP("PTAX",'Histórico'!$A$1:$FG$983,MATCH($B$6,'Histórico'!$A:$A),FALSE),IF(AI38="Ações Europeias", HLOOKUP(AH38,'Histórico'!$A$1:$DD$990,MATCH($B$6,'Histórico'!$A:$A),FALSE)*HLOOKUP("EUR/BRL",'Histórico'!$A$1:$FG$983,MATCH($B$6,'Histórico'!$A:$A),FALSE),  HLOOKUP(AH38,'Histórico'!$A$1:$DD$990,MATCH($B$6,'Histórico'!$A:$A),FALSE))),"")</f>
        <v/>
      </c>
      <c r="AL38" s="243" t="str">
        <f t="shared" si="17"/>
        <v/>
      </c>
      <c r="AM38" s="53"/>
      <c r="AN38" s="245"/>
      <c r="AO38" s="242" t="str">
        <f>IF(ISTEXT(AN38),VLOOKUP(AN38,'Cadastro dos Ativos'!$A$2:$C$1000,3,0),"")</f>
        <v/>
      </c>
      <c r="AP38" s="242" t="str">
        <f>IF(AN38 &lt;&gt; "",IF(AO38="Futuros", (SUMIFS('Alocação'!$O$3:$O$1002,'Alocação'!$C$3:$C$1002,AN38,'Alocação'!$F$3:$F$1002,AN$9,'Alocação'!$B$3:$B$1002,"&lt;="&amp;$B$4)), (SUMIFS('Alocação'!$O$3:$O$1002,'Alocação'!$C$3:$C$1002,AN38,'Alocação'!$F$3:$F$1002,AN$9,'Alocação'!$B$3:$B$1002,"&lt;="&amp;$B$6))),"")</f>
        <v/>
      </c>
      <c r="AQ38" s="243" t="str">
        <f>iferror(IF(AO38="Ações Americanas", HLOOKUP(AN38,'Histórico'!$A$1:$DD$990,MATCH($B$6,'Histórico'!$A:$A),FALSE)*HLOOKUP("PTAX",'Histórico'!$A$1:$FG$983,MATCH($B$6,'Histórico'!$A:$A),FALSE),IF(AO38="Ações Europeias", HLOOKUP(AN38,'Histórico'!$A$1:$DD$990,MATCH($B$6,'Histórico'!$A:$A),FALSE)*HLOOKUP("EUR/BRL",'Histórico'!$A$1:$FG$983,MATCH($B$6,'Histórico'!$A:$A),FALSE),  HLOOKUP(AN38,'Histórico'!$A$1:$DD$990,MATCH($B$6,'Histórico'!$A:$A),FALSE))),"")</f>
        <v/>
      </c>
      <c r="AR38" s="243" t="str">
        <f t="shared" si="18"/>
        <v/>
      </c>
      <c r="AS38" s="53"/>
      <c r="AT38" s="245"/>
      <c r="AU38" s="242" t="str">
        <f>IF(ISTEXT(AT38),VLOOKUP(AT38,'Cadastro dos Ativos'!$A$2:$C$1000,3,0),"")</f>
        <v/>
      </c>
      <c r="AV38" s="242" t="str">
        <f>IF(AT38 &lt;&gt; "",IF(AU38="Futuros", (SUMIFS('Alocação'!$O$3:$O$1002,'Alocação'!$C$3:$C$1002,AT38,'Alocação'!$F$3:$F$1002,AT$9,'Alocação'!$B$3:$B$1002,"&lt;="&amp;$B$4)), (SUMIFS('Alocação'!$O$3:$O$1002,'Alocação'!$C$3:$C$1002,AT38,'Alocação'!$F$3:$F$1002,AT$9,'Alocação'!$B$3:$B$1002,"&lt;="&amp;$B$6))),"")</f>
        <v/>
      </c>
      <c r="AW38" s="243" t="str">
        <f>iferror(IF(AU38="Ações Americanas", HLOOKUP(AT38,'Histórico'!$A$1:$DD$990,MATCH($B$6,'Histórico'!$A:$A),FALSE)*HLOOKUP("PTAX",'Histórico'!$A$1:$FG$983,MATCH($B$6,'Histórico'!$A:$A),FALSE),IF(AU38="Ações Europeias", HLOOKUP(AT38,'Histórico'!$A$1:$DD$990,MATCH($B$6,'Histórico'!$A:$A),FALSE)*HLOOKUP("EUR/BRL",'Histórico'!$A$1:$FG$983,MATCH($B$6,'Histórico'!$A:$A),FALSE),  HLOOKUP(AT38,'Histórico'!$A$1:$DD$990,MATCH($B$6,'Histórico'!$A:$A),FALSE))),"")</f>
        <v/>
      </c>
      <c r="AX38" s="243" t="str">
        <f t="shared" si="27"/>
        <v/>
      </c>
      <c r="AY38" s="183"/>
    </row>
    <row r="39" ht="15.75" customHeight="1">
      <c r="A39" s="176"/>
      <c r="B39" s="232">
        <v>45049.0</v>
      </c>
      <c r="C39" s="233">
        <v>1.025662284597632E8</v>
      </c>
      <c r="D39" s="233">
        <v>1.126391601347634E8</v>
      </c>
      <c r="E39" s="234"/>
      <c r="F39" s="233">
        <v>1.013316866466457E8</v>
      </c>
      <c r="G39" s="233">
        <v>1.59410374286344E8</v>
      </c>
      <c r="H39" s="234"/>
      <c r="I39" s="233">
        <v>1.015138998780676E8</v>
      </c>
      <c r="J39" s="233">
        <v>9.323363958093283E7</v>
      </c>
      <c r="K39" s="234"/>
      <c r="L39" s="233">
        <f t="shared" si="8"/>
        <v>101258312.1</v>
      </c>
      <c r="M39" s="233">
        <v>1.013097204397977E8</v>
      </c>
      <c r="N39" s="240">
        <f t="shared" si="9"/>
        <v>0.00565930981</v>
      </c>
      <c r="O39" s="240">
        <f t="shared" si="10"/>
        <v>0.02010225816</v>
      </c>
      <c r="P39" s="240">
        <f t="shared" si="11"/>
        <v>-0.001895711311</v>
      </c>
      <c r="Q39" s="240">
        <f t="shared" si="12"/>
        <v>0.000431286459</v>
      </c>
      <c r="R39" s="236">
        <f t="shared" si="13"/>
        <v>101.431879</v>
      </c>
      <c r="S39" s="177"/>
      <c r="T39" s="233">
        <f t="shared" ref="T39:U39" si="49">IF(AND(C39&lt;&gt;"",F39&lt;&gt;"",I39&lt;&gt;""), SUM(I39,F39,C39,L39),"")</f>
        <v>406670127</v>
      </c>
      <c r="U39" s="233">
        <f t="shared" si="49"/>
        <v>466592894.4</v>
      </c>
      <c r="V39" s="233">
        <f t="shared" si="6"/>
        <v>101.6675318</v>
      </c>
      <c r="W39" s="241">
        <f t="shared" si="15"/>
        <v>0.00599855668</v>
      </c>
      <c r="X39" s="241">
        <f t="shared" si="16"/>
        <v>0</v>
      </c>
      <c r="Y39" s="241">
        <f t="shared" si="25"/>
        <v>0.003229481726</v>
      </c>
      <c r="Z39" s="233">
        <f t="shared" si="7"/>
        <v>101.431879</v>
      </c>
      <c r="AA39" s="165"/>
      <c r="AB39" s="245"/>
      <c r="AC39" s="242" t="str">
        <f>IF(ISTEXT(AB39),VLOOKUP(AB39,'Cadastro dos Ativos'!$A$2:$C$1000,3,0),"")</f>
        <v/>
      </c>
      <c r="AD39" s="242" t="str">
        <f>IF(AB39 &lt;&gt; "",IF(AC39="Futuros", (SUMIFS('Alocação'!$O$3:$O$1002,'Alocação'!$C$3:$C$1002,AB39,'Alocação'!$F$3:$F$1002,AB$9,'Alocação'!$B$3:$B$1002,"&lt;="&amp;$B$4)), (SUMIFS('Alocação'!$O$3:$O$1002,'Alocação'!$C$3:$C$1002,AB39,'Alocação'!$F$3:$F$1002,AB$9,'Alocação'!$B$3:$B$1002,"&lt;="&amp;$B$6))),"")</f>
        <v/>
      </c>
      <c r="AE39" s="243" t="str">
        <f>iferror(IF(AC39="Ações Americanas", HLOOKUP(AB39,'Histórico'!$A$1:$DD$990,MATCH($B$6,'Histórico'!$A:$A),FALSE)*HLOOKUP("PTAX",'Histórico'!$A$1:$FG$983,MATCH($B$6,'Histórico'!$A:$A),FALSE),IF(AC39="Ações Europeias", HLOOKUP(AB39,'Histórico'!$A$1:$DD$990,MATCH($B$6,'Histórico'!$A:$A),FALSE)*HLOOKUP("EUR/BRL",'Histórico'!$A$1:$FG$983,MATCH($B$6,'Histórico'!$A:$A),FALSE), HLOOKUP(AB39,'Histórico'!$A$1:$DD$990,MATCH($B$6,'Histórico'!$A:$A),FALSE))),"")</f>
        <v/>
      </c>
      <c r="AF39" s="243" t="str">
        <f t="shared" si="21"/>
        <v/>
      </c>
      <c r="AG39" s="53"/>
      <c r="AH39" s="245"/>
      <c r="AI39" s="242" t="str">
        <f>IF(ISTEXT(AH39),VLOOKUP(AH39,'Cadastro dos Ativos'!$A$2:$C$1000,3,0),"")</f>
        <v/>
      </c>
      <c r="AJ39" s="242" t="str">
        <f>IF(AH39 &lt;&gt; "",IF(AI39="Futuros", (SUMIFS('Alocação'!$O$3:$O$1002,'Alocação'!$C$3:$C$1002,AH39,'Alocação'!$F$3:$F$1002,AH$9,'Alocação'!$B$3:$B$1002,"&lt;="&amp;$B$4)), (SUMIFS('Alocação'!$O$3:$O$1002,'Alocação'!$C$3:$C$1002,AH39,'Alocação'!$F$3:$F$1002,AH$9,'Alocação'!$B$3:$B$1002,"&lt;="&amp;$B$6))),"")</f>
        <v/>
      </c>
      <c r="AK39" s="243" t="str">
        <f>iferror(IF(AI39="Ações Americanas", HLOOKUP(AH39,'Histórico'!$A$1:$DD$990,MATCH($B$6,'Histórico'!$A:$A),FALSE)*HLOOKUP("PTAX",'Histórico'!$A$1:$FG$983,MATCH($B$6,'Histórico'!$A:$A),FALSE),IF(AI39="Ações Europeias", HLOOKUP(AH39,'Histórico'!$A$1:$DD$990,MATCH($B$6,'Histórico'!$A:$A),FALSE)*HLOOKUP("EUR/BRL",'Histórico'!$A$1:$FG$983,MATCH($B$6,'Histórico'!$A:$A),FALSE),  HLOOKUP(AH39,'Histórico'!$A$1:$DD$990,MATCH($B$6,'Histórico'!$A:$A),FALSE))),"")</f>
        <v/>
      </c>
      <c r="AL39" s="243" t="str">
        <f t="shared" si="17"/>
        <v/>
      </c>
      <c r="AM39" s="53"/>
      <c r="AN39" s="245"/>
      <c r="AO39" s="242" t="str">
        <f>IF(ISTEXT(AN39),VLOOKUP(AN39,'Cadastro dos Ativos'!$A$2:$C$1000,3,0),"")</f>
        <v/>
      </c>
      <c r="AP39" s="242" t="str">
        <f>IF(AN39 &lt;&gt; "",IF(AO39="Futuros", (SUMIFS('Alocação'!$O$3:$O$1002,'Alocação'!$C$3:$C$1002,AN39,'Alocação'!$F$3:$F$1002,AN$9,'Alocação'!$B$3:$B$1002,"&lt;="&amp;$B$4)), (SUMIFS('Alocação'!$O$3:$O$1002,'Alocação'!$C$3:$C$1002,AN39,'Alocação'!$F$3:$F$1002,AN$9,'Alocação'!$B$3:$B$1002,"&lt;="&amp;$B$6))),"")</f>
        <v/>
      </c>
      <c r="AQ39" s="243" t="str">
        <f>iferror(IF(AO39="Ações Americanas", HLOOKUP(AN39,'Histórico'!$A$1:$DD$990,MATCH($B$6,'Histórico'!$A:$A),FALSE)*HLOOKUP("PTAX",'Histórico'!$A$1:$FG$983,MATCH($B$6,'Histórico'!$A:$A),FALSE),IF(AO39="Ações Europeias", HLOOKUP(AN39,'Histórico'!$A$1:$DD$990,MATCH($B$6,'Histórico'!$A:$A),FALSE)*HLOOKUP("EUR/BRL",'Histórico'!$A$1:$FG$983,MATCH($B$6,'Histórico'!$A:$A),FALSE),  HLOOKUP(AN39,'Histórico'!$A$1:$DD$990,MATCH($B$6,'Histórico'!$A:$A),FALSE))),"")</f>
        <v/>
      </c>
      <c r="AR39" s="243" t="str">
        <f t="shared" si="18"/>
        <v/>
      </c>
      <c r="AS39" s="53"/>
      <c r="AT39" s="245"/>
      <c r="AU39" s="242" t="str">
        <f>IF(ISTEXT(AT39),VLOOKUP(AT39,'Cadastro dos Ativos'!$A$2:$C$1000,3,0),"")</f>
        <v/>
      </c>
      <c r="AV39" s="242" t="str">
        <f>IF(AT39 &lt;&gt; "",IF(AU39="Futuros", (SUMIFS('Alocação'!$O$3:$O$1002,'Alocação'!$C$3:$C$1002,AT39,'Alocação'!$F$3:$F$1002,AT$9,'Alocação'!$B$3:$B$1002,"&lt;="&amp;$B$4)), (SUMIFS('Alocação'!$O$3:$O$1002,'Alocação'!$C$3:$C$1002,AT39,'Alocação'!$F$3:$F$1002,AT$9,'Alocação'!$B$3:$B$1002,"&lt;="&amp;$B$6))),"")</f>
        <v/>
      </c>
      <c r="AW39" s="243" t="str">
        <f>iferror(IF(AU39="Ações Americanas", HLOOKUP(AT39,'Histórico'!$A$1:$DD$990,MATCH($B$6,'Histórico'!$A:$A),FALSE)*HLOOKUP("PTAX",'Histórico'!$A$1:$FG$983,MATCH($B$6,'Histórico'!$A:$A),FALSE),IF(AU39="Ações Europeias", HLOOKUP(AT39,'Histórico'!$A$1:$DD$990,MATCH($B$6,'Histórico'!$A:$A),FALSE)*HLOOKUP("EUR/BRL",'Histórico'!$A$1:$FG$983,MATCH($B$6,'Histórico'!$A:$A),FALSE),  HLOOKUP(AT39,'Histórico'!$A$1:$DD$990,MATCH($B$6,'Histórico'!$A:$A),FALSE))),"")</f>
        <v/>
      </c>
      <c r="AX39" s="243" t="str">
        <f t="shared" si="27"/>
        <v/>
      </c>
      <c r="AY39" s="183"/>
    </row>
    <row r="40" ht="15.75" customHeight="1">
      <c r="A40" s="176"/>
      <c r="B40" s="232">
        <v>45050.0</v>
      </c>
      <c r="C40" s="233">
        <v>1.02371805772451E8</v>
      </c>
      <c r="D40" s="233">
        <v>1.123759807354509E8</v>
      </c>
      <c r="E40" s="234"/>
      <c r="F40" s="233">
        <v>1.011119954706402E8</v>
      </c>
      <c r="G40" s="233">
        <v>1.383951285423766E8</v>
      </c>
      <c r="H40" s="234"/>
      <c r="I40" s="233">
        <v>1.013237927847538E8</v>
      </c>
      <c r="J40" s="233">
        <v>9.286064238114034E7</v>
      </c>
      <c r="K40" s="234"/>
      <c r="L40" s="233">
        <f t="shared" si="8"/>
        <v>101301983.4</v>
      </c>
      <c r="M40" s="233">
        <v>1.01355187883596E8</v>
      </c>
      <c r="N40" s="240">
        <f t="shared" si="9"/>
        <v>-0.001895581911</v>
      </c>
      <c r="O40" s="240">
        <f t="shared" si="10"/>
        <v>-0.002168040257</v>
      </c>
      <c r="P40" s="240">
        <f t="shared" si="11"/>
        <v>-0.00187271983</v>
      </c>
      <c r="Q40" s="240">
        <f t="shared" si="12"/>
        <v>0.000431286459</v>
      </c>
      <c r="R40" s="236">
        <f t="shared" si="13"/>
        <v>101.4816182</v>
      </c>
      <c r="S40" s="177"/>
      <c r="T40" s="233">
        <f t="shared" ref="T40:U40" si="50">IF(AND(C40&lt;&gt;"",F40&lt;&gt;"",I40&lt;&gt;""), SUM(I40,F40,C40,L40),"")</f>
        <v>406109577.4</v>
      </c>
      <c r="U40" s="233">
        <f t="shared" si="50"/>
        <v>444986939.5</v>
      </c>
      <c r="V40" s="233">
        <f t="shared" si="6"/>
        <v>101.5273944</v>
      </c>
      <c r="W40" s="241">
        <f t="shared" si="15"/>
        <v>-0.001378388971</v>
      </c>
      <c r="X40" s="241">
        <f t="shared" si="16"/>
        <v>-0.001378388971</v>
      </c>
      <c r="Y40" s="241">
        <f t="shared" si="25"/>
        <v>0.003325539574</v>
      </c>
      <c r="Z40" s="233">
        <f t="shared" si="7"/>
        <v>101.4816182</v>
      </c>
      <c r="AA40" s="165"/>
      <c r="AB40" s="245"/>
      <c r="AC40" s="242" t="str">
        <f>IF(ISTEXT(AB40),VLOOKUP(AB40,'Cadastro dos Ativos'!$A$2:$C$1000,3,0),"")</f>
        <v/>
      </c>
      <c r="AD40" s="242" t="str">
        <f>IF(AB40 &lt;&gt; "",IF(AC40="Futuros", (SUMIFS('Alocação'!$O$3:$O$1002,'Alocação'!$C$3:$C$1002,AB40,'Alocação'!$F$3:$F$1002,AB$9,'Alocação'!$B$3:$B$1002,"&lt;="&amp;$B$4)), (SUMIFS('Alocação'!$O$3:$O$1002,'Alocação'!$C$3:$C$1002,AB40,'Alocação'!$F$3:$F$1002,AB$9,'Alocação'!$B$3:$B$1002,"&lt;="&amp;$B$6))),"")</f>
        <v/>
      </c>
      <c r="AE40" s="243" t="str">
        <f>iferror(IF(AC40="Ações Americanas", HLOOKUP(AB40,'Histórico'!$A$1:$DD$990,MATCH($B$6,'Histórico'!$A:$A),FALSE)*HLOOKUP("PTAX",'Histórico'!$A$1:$FG$983,MATCH($B$6,'Histórico'!$A:$A),FALSE),IF(AC40="Ações Europeias", HLOOKUP(AB40,'Histórico'!$A$1:$DD$990,MATCH($B$6,'Histórico'!$A:$A),FALSE)*HLOOKUP("EUR/BRL",'Histórico'!$A$1:$FG$983,MATCH($B$6,'Histórico'!$A:$A),FALSE), HLOOKUP(AB40,'Histórico'!$A$1:$DD$990,MATCH($B$6,'Histórico'!$A:$A),FALSE))),"")</f>
        <v/>
      </c>
      <c r="AF40" s="243" t="str">
        <f t="shared" si="21"/>
        <v/>
      </c>
      <c r="AG40" s="53"/>
      <c r="AH40" s="245"/>
      <c r="AI40" s="242" t="str">
        <f>IF(ISTEXT(AH40),VLOOKUP(AH40,'Cadastro dos Ativos'!$A$2:$C$1000,3,0),"")</f>
        <v/>
      </c>
      <c r="AJ40" s="242" t="str">
        <f>IF(AH40 &lt;&gt; "",IF(AI40="Futuros", (SUMIFS('Alocação'!$O$3:$O$1002,'Alocação'!$C$3:$C$1002,AH40,'Alocação'!$F$3:$F$1002,AH$9,'Alocação'!$B$3:$B$1002,"&lt;="&amp;$B$4)), (SUMIFS('Alocação'!$O$3:$O$1002,'Alocação'!$C$3:$C$1002,AH40,'Alocação'!$F$3:$F$1002,AH$9,'Alocação'!$B$3:$B$1002,"&lt;="&amp;$B$6))),"")</f>
        <v/>
      </c>
      <c r="AK40" s="243" t="str">
        <f>iferror(IF(AI40="Ações Americanas", HLOOKUP(AH40,'Histórico'!$A$1:$DD$990,MATCH($B$6,'Histórico'!$A:$A),FALSE)*HLOOKUP("PTAX",'Histórico'!$A$1:$FG$983,MATCH($B$6,'Histórico'!$A:$A),FALSE),IF(AI40="Ações Europeias", HLOOKUP(AH40,'Histórico'!$A$1:$DD$990,MATCH($B$6,'Histórico'!$A:$A),FALSE)*HLOOKUP("EUR/BRL",'Histórico'!$A$1:$FG$983,MATCH($B$6,'Histórico'!$A:$A),FALSE),  HLOOKUP(AH40,'Histórico'!$A$1:$DD$990,MATCH($B$6,'Histórico'!$A:$A),FALSE))),"")</f>
        <v/>
      </c>
      <c r="AL40" s="243" t="str">
        <f t="shared" si="17"/>
        <v/>
      </c>
      <c r="AM40" s="53"/>
      <c r="AN40" s="245"/>
      <c r="AO40" s="242" t="str">
        <f>IF(ISTEXT(AN40),VLOOKUP(AN40,'Cadastro dos Ativos'!$A$2:$C$1000,3,0),"")</f>
        <v/>
      </c>
      <c r="AP40" s="242" t="str">
        <f>IF(AN40 &lt;&gt; "",IF(AO40="Futuros", (SUMIFS('Alocação'!$O$3:$O$1002,'Alocação'!$C$3:$C$1002,AN40,'Alocação'!$F$3:$F$1002,AN$9,'Alocação'!$B$3:$B$1002,"&lt;="&amp;$B$4)), (SUMIFS('Alocação'!$O$3:$O$1002,'Alocação'!$C$3:$C$1002,AN40,'Alocação'!$F$3:$F$1002,AN$9,'Alocação'!$B$3:$B$1002,"&lt;="&amp;$B$6))),"")</f>
        <v/>
      </c>
      <c r="AQ40" s="243" t="str">
        <f>iferror(IF(AO40="Ações Americanas", HLOOKUP(AN40,'Histórico'!$A$1:$DD$990,MATCH($B$6,'Histórico'!$A:$A),FALSE)*HLOOKUP("PTAX",'Histórico'!$A$1:$FG$983,MATCH($B$6,'Histórico'!$A:$A),FALSE),IF(AO40="Ações Europeias", HLOOKUP(AN40,'Histórico'!$A$1:$DD$990,MATCH($B$6,'Histórico'!$A:$A),FALSE)*HLOOKUP("EUR/BRL",'Histórico'!$A$1:$FG$983,MATCH($B$6,'Histórico'!$A:$A),FALSE),  HLOOKUP(AN40,'Histórico'!$A$1:$DD$990,MATCH($B$6,'Histórico'!$A:$A),FALSE))),"")</f>
        <v/>
      </c>
      <c r="AR40" s="243" t="str">
        <f t="shared" si="18"/>
        <v/>
      </c>
      <c r="AS40" s="53"/>
      <c r="AT40" s="245"/>
      <c r="AU40" s="242" t="str">
        <f>IF(ISTEXT(AT40),VLOOKUP(AT40,'Cadastro dos Ativos'!$A$2:$C$1000,3,0),"")</f>
        <v/>
      </c>
      <c r="AV40" s="242" t="str">
        <f>IF(AT40 &lt;&gt; "",IF(AU40="Futuros", (SUMIFS('Alocação'!$O$3:$O$1002,'Alocação'!$C$3:$C$1002,AT40,'Alocação'!$F$3:$F$1002,AT$9,'Alocação'!$B$3:$B$1002,"&lt;="&amp;$B$4)), (SUMIFS('Alocação'!$O$3:$O$1002,'Alocação'!$C$3:$C$1002,AT40,'Alocação'!$F$3:$F$1002,AT$9,'Alocação'!$B$3:$B$1002,"&lt;="&amp;$B$6))),"")</f>
        <v/>
      </c>
      <c r="AW40" s="243" t="str">
        <f>iferror(IF(AU40="Ações Americanas", HLOOKUP(AT40,'Histórico'!$A$1:$DD$990,MATCH($B$6,'Histórico'!$A:$A),FALSE)*HLOOKUP("PTAX",'Histórico'!$A$1:$FG$983,MATCH($B$6,'Histórico'!$A:$A),FALSE),IF(AU40="Ações Europeias", HLOOKUP(AT40,'Histórico'!$A$1:$DD$990,MATCH($B$6,'Histórico'!$A:$A),FALSE)*HLOOKUP("EUR/BRL",'Histórico'!$A$1:$FG$983,MATCH($B$6,'Histórico'!$A:$A),FALSE),  HLOOKUP(AT40,'Histórico'!$A$1:$DD$990,MATCH($B$6,'Histórico'!$A:$A),FALSE))),"")</f>
        <v/>
      </c>
      <c r="AX40" s="243" t="str">
        <f t="shared" si="27"/>
        <v/>
      </c>
      <c r="AY40" s="183"/>
    </row>
    <row r="41" ht="15.75" customHeight="1">
      <c r="A41" s="176"/>
      <c r="B41" s="232">
        <v>45051.0</v>
      </c>
      <c r="C41" s="233">
        <v>1.023820620137658E8</v>
      </c>
      <c r="D41" s="233">
        <v>1.124650024597659E8</v>
      </c>
      <c r="E41" s="234"/>
      <c r="F41" s="233">
        <v>1.015269078229997E8</v>
      </c>
      <c r="G41" s="233">
        <v>1.386996240855334E8</v>
      </c>
      <c r="H41" s="234"/>
      <c r="I41" s="233">
        <v>1.014471689070497E8</v>
      </c>
      <c r="J41" s="233">
        <v>9.310860322573026E7</v>
      </c>
      <c r="K41" s="234"/>
      <c r="L41" s="233">
        <f t="shared" si="8"/>
        <v>101345673.6</v>
      </c>
      <c r="M41" s="233">
        <v>1.014006757330221E8</v>
      </c>
      <c r="N41" s="240">
        <f t="shared" si="9"/>
        <v>0.0001001861913</v>
      </c>
      <c r="O41" s="240">
        <f t="shared" si="10"/>
        <v>0.004103492869</v>
      </c>
      <c r="P41" s="240">
        <f t="shared" si="11"/>
        <v>0.001217642164</v>
      </c>
      <c r="Q41" s="240">
        <f t="shared" si="12"/>
        <v>0.000431286459</v>
      </c>
      <c r="R41" s="236">
        <f t="shared" si="13"/>
        <v>101.5313817</v>
      </c>
      <c r="S41" s="177"/>
      <c r="T41" s="233">
        <f t="shared" ref="T41:U41" si="51">IF(AND(C41&lt;&gt;"",F41&lt;&gt;"",I41&lt;&gt;""), SUM(I41,F41,C41,L41),"")</f>
        <v>406701812.3</v>
      </c>
      <c r="U41" s="233">
        <f t="shared" si="51"/>
        <v>445673905.5</v>
      </c>
      <c r="V41" s="233">
        <f t="shared" si="6"/>
        <v>101.6754531</v>
      </c>
      <c r="W41" s="241">
        <f t="shared" si="15"/>
        <v>0.001458313033</v>
      </c>
      <c r="X41" s="241">
        <f t="shared" si="16"/>
        <v>0</v>
      </c>
      <c r="Y41" s="241">
        <f t="shared" si="25"/>
        <v>0.003135083188</v>
      </c>
      <c r="Z41" s="233">
        <f t="shared" si="7"/>
        <v>101.5313817</v>
      </c>
      <c r="AA41" s="165"/>
      <c r="AB41" s="245"/>
      <c r="AC41" s="242" t="str">
        <f>IF(ISTEXT(AB41),VLOOKUP(AB41,'Cadastro dos Ativos'!$A$2:$C$1000,3,0),"")</f>
        <v/>
      </c>
      <c r="AD41" s="242" t="str">
        <f>IF(AB41 &lt;&gt; "",IF(AC41="Futuros", (SUMIFS('Alocação'!$O$3:$O$1002,'Alocação'!$C$3:$C$1002,AB41,'Alocação'!$F$3:$F$1002,AB$9,'Alocação'!$B$3:$B$1002,"&lt;="&amp;$B$4)), (SUMIFS('Alocação'!$O$3:$O$1002,'Alocação'!$C$3:$C$1002,AB41,'Alocação'!$F$3:$F$1002,AB$9,'Alocação'!$B$3:$B$1002,"&lt;="&amp;$B$6))),"")</f>
        <v/>
      </c>
      <c r="AE41" s="243" t="str">
        <f>iferror(IF(AC41="Ações Americanas", HLOOKUP(AB41,'Histórico'!$A$1:$DD$990,MATCH($B$6,'Histórico'!$A:$A),FALSE)*HLOOKUP("PTAX",'Histórico'!$A$1:$FG$983,MATCH($B$6,'Histórico'!$A:$A),FALSE),IF(AC41="Ações Europeias", HLOOKUP(AB41,'Histórico'!$A$1:$DD$990,MATCH($B$6,'Histórico'!$A:$A),FALSE)*HLOOKUP("EUR/BRL",'Histórico'!$A$1:$FG$983,MATCH($B$6,'Histórico'!$A:$A),FALSE), HLOOKUP(AB41,'Histórico'!$A$1:$DD$990,MATCH($B$6,'Histórico'!$A:$A),FALSE))),"")</f>
        <v/>
      </c>
      <c r="AF41" s="243" t="str">
        <f t="shared" si="21"/>
        <v/>
      </c>
      <c r="AG41" s="53"/>
      <c r="AH41" s="245"/>
      <c r="AI41" s="242" t="str">
        <f>IF(ISTEXT(AH41),VLOOKUP(AH41,'Cadastro dos Ativos'!$A$2:$C$1000,3,0),"")</f>
        <v/>
      </c>
      <c r="AJ41" s="242" t="str">
        <f>IF(AH41 &lt;&gt; "",IF(AI41="Futuros", (SUMIFS('Alocação'!$O$3:$O$1002,'Alocação'!$C$3:$C$1002,AH41,'Alocação'!$F$3:$F$1002,AH$9,'Alocação'!$B$3:$B$1002,"&lt;="&amp;$B$4)), (SUMIFS('Alocação'!$O$3:$O$1002,'Alocação'!$C$3:$C$1002,AH41,'Alocação'!$F$3:$F$1002,AH$9,'Alocação'!$B$3:$B$1002,"&lt;="&amp;$B$6))),"")</f>
        <v/>
      </c>
      <c r="AK41" s="243" t="str">
        <f>iferror(IF(AI41="Ações Americanas", HLOOKUP(AH41,'Histórico'!$A$1:$DD$990,MATCH($B$6,'Histórico'!$A:$A),FALSE)*HLOOKUP("PTAX",'Histórico'!$A$1:$FG$983,MATCH($B$6,'Histórico'!$A:$A),FALSE),IF(AI41="Ações Europeias", HLOOKUP(AH41,'Histórico'!$A$1:$DD$990,MATCH($B$6,'Histórico'!$A:$A),FALSE)*HLOOKUP("EUR/BRL",'Histórico'!$A$1:$FG$983,MATCH($B$6,'Histórico'!$A:$A),FALSE),  HLOOKUP(AH41,'Histórico'!$A$1:$DD$990,MATCH($B$6,'Histórico'!$A:$A),FALSE))),"")</f>
        <v/>
      </c>
      <c r="AL41" s="243" t="str">
        <f t="shared" si="17"/>
        <v/>
      </c>
      <c r="AM41" s="53"/>
      <c r="AN41" s="245"/>
      <c r="AO41" s="242" t="str">
        <f>IF(ISTEXT(AN41),VLOOKUP(AN41,'Cadastro dos Ativos'!$A$2:$C$1000,3,0),"")</f>
        <v/>
      </c>
      <c r="AP41" s="242" t="str">
        <f>IF(AN41 &lt;&gt; "",IF(AO41="Futuros", (SUMIFS('Alocação'!$O$3:$O$1002,'Alocação'!$C$3:$C$1002,AN41,'Alocação'!$F$3:$F$1002,AN$9,'Alocação'!$B$3:$B$1002,"&lt;="&amp;$B$4)), (SUMIFS('Alocação'!$O$3:$O$1002,'Alocação'!$C$3:$C$1002,AN41,'Alocação'!$F$3:$F$1002,AN$9,'Alocação'!$B$3:$B$1002,"&lt;="&amp;$B$6))),"")</f>
        <v/>
      </c>
      <c r="AQ41" s="243" t="str">
        <f>iferror(IF(AO41="Ações Americanas", HLOOKUP(AN41,'Histórico'!$A$1:$DD$990,MATCH($B$6,'Histórico'!$A:$A),FALSE)*HLOOKUP("PTAX",'Histórico'!$A$1:$FG$983,MATCH($B$6,'Histórico'!$A:$A),FALSE),IF(AO41="Ações Europeias", HLOOKUP(AN41,'Histórico'!$A$1:$DD$990,MATCH($B$6,'Histórico'!$A:$A),FALSE)*HLOOKUP("EUR/BRL",'Histórico'!$A$1:$FG$983,MATCH($B$6,'Histórico'!$A:$A),FALSE),  HLOOKUP(AN41,'Histórico'!$A$1:$DD$990,MATCH($B$6,'Histórico'!$A:$A),FALSE))),"")</f>
        <v/>
      </c>
      <c r="AR41" s="243" t="str">
        <f t="shared" si="18"/>
        <v/>
      </c>
      <c r="AS41" s="53"/>
      <c r="AT41" s="245"/>
      <c r="AU41" s="242" t="str">
        <f>IF(ISTEXT(AT41),VLOOKUP(AT41,'Cadastro dos Ativos'!$A$2:$C$1000,3,0),"")</f>
        <v/>
      </c>
      <c r="AV41" s="242" t="str">
        <f>IF(AT41 &lt;&gt; "",IF(AU41="Futuros", (SUMIFS('Alocação'!$O$3:$O$1002,'Alocação'!$C$3:$C$1002,AT41,'Alocação'!$F$3:$F$1002,AT$9,'Alocação'!$B$3:$B$1002,"&lt;="&amp;$B$4)), (SUMIFS('Alocação'!$O$3:$O$1002,'Alocação'!$C$3:$C$1002,AT41,'Alocação'!$F$3:$F$1002,AT$9,'Alocação'!$B$3:$B$1002,"&lt;="&amp;$B$6))),"")</f>
        <v/>
      </c>
      <c r="AW41" s="243" t="str">
        <f>iferror(IF(AU41="Ações Americanas", HLOOKUP(AT41,'Histórico'!$A$1:$DD$990,MATCH($B$6,'Histórico'!$A:$A),FALSE)*HLOOKUP("PTAX",'Histórico'!$A$1:$FG$983,MATCH($B$6,'Histórico'!$A:$A),FALSE),IF(AU41="Ações Europeias", HLOOKUP(AT41,'Histórico'!$A$1:$DD$990,MATCH($B$6,'Histórico'!$A:$A),FALSE)*HLOOKUP("EUR/BRL",'Histórico'!$A$1:$FG$983,MATCH($B$6,'Histórico'!$A:$A),FALSE),  HLOOKUP(AT41,'Histórico'!$A$1:$DD$990,MATCH($B$6,'Histórico'!$A:$A),FALSE))),"")</f>
        <v/>
      </c>
      <c r="AX41" s="243" t="str">
        <f t="shared" si="27"/>
        <v/>
      </c>
      <c r="AY41" s="183"/>
    </row>
    <row r="42" ht="15.75" customHeight="1">
      <c r="A42" s="176"/>
      <c r="B42" s="232">
        <v>45054.0</v>
      </c>
      <c r="C42" s="233">
        <v>1.028453331484589E8</v>
      </c>
      <c r="D42" s="233">
        <v>1.129500809904592E8</v>
      </c>
      <c r="E42" s="234"/>
      <c r="F42" s="233">
        <v>1.023090756813257E8</v>
      </c>
      <c r="G42" s="233">
        <v>1.394916461513957E8</v>
      </c>
      <c r="H42" s="234"/>
      <c r="I42" s="233">
        <v>1.017042247026553E8</v>
      </c>
      <c r="J42" s="233">
        <v>9.324161796517575E7</v>
      </c>
      <c r="K42" s="234"/>
      <c r="L42" s="233">
        <f t="shared" si="8"/>
        <v>101389382.6</v>
      </c>
      <c r="M42" s="233">
        <v>1.01446183997234E8</v>
      </c>
      <c r="N42" s="240">
        <f t="shared" si="9"/>
        <v>0.004524924831</v>
      </c>
      <c r="O42" s="240">
        <f t="shared" si="10"/>
        <v>0.007704044919</v>
      </c>
      <c r="P42" s="240">
        <f t="shared" si="11"/>
        <v>0.002533888312</v>
      </c>
      <c r="Q42" s="240">
        <f t="shared" si="12"/>
        <v>0.000431286459</v>
      </c>
      <c r="R42" s="236">
        <f t="shared" si="13"/>
        <v>101.5811696</v>
      </c>
      <c r="S42" s="177"/>
      <c r="T42" s="233">
        <f t="shared" ref="T42:U42" si="52">IF(AND(C42&lt;&gt;"",F42&lt;&gt;"",I42&lt;&gt;""), SUM(I42,F42,C42,L42),"")</f>
        <v>408248016.1</v>
      </c>
      <c r="U42" s="233">
        <f t="shared" si="52"/>
        <v>447129529.1</v>
      </c>
      <c r="V42" s="233">
        <f t="shared" si="6"/>
        <v>102.062004</v>
      </c>
      <c r="W42" s="241">
        <f t="shared" si="15"/>
        <v>0.003801811938</v>
      </c>
      <c r="X42" s="241">
        <f t="shared" si="16"/>
        <v>0</v>
      </c>
      <c r="Y42" s="241">
        <f t="shared" si="25"/>
        <v>0.002851624005</v>
      </c>
      <c r="Z42" s="233">
        <f t="shared" si="7"/>
        <v>101.5811696</v>
      </c>
      <c r="AA42" s="165"/>
      <c r="AB42" s="245"/>
      <c r="AC42" s="242" t="str">
        <f>IF(ISTEXT(AB42),VLOOKUP(AB42,'Cadastro dos Ativos'!$A$2:$C$1000,3,0),"")</f>
        <v/>
      </c>
      <c r="AD42" s="242" t="str">
        <f>IF(AB42 &lt;&gt; "",IF(AC42="Futuros", (SUMIFS('Alocação'!$O$3:$O$1002,'Alocação'!$C$3:$C$1002,AB42,'Alocação'!$F$3:$F$1002,AB$9,'Alocação'!$B$3:$B$1002,"&lt;="&amp;$B$4)), (SUMIFS('Alocação'!$O$3:$O$1002,'Alocação'!$C$3:$C$1002,AB42,'Alocação'!$F$3:$F$1002,AB$9,'Alocação'!$B$3:$B$1002,"&lt;="&amp;$B$6))),"")</f>
        <v/>
      </c>
      <c r="AE42" s="243" t="str">
        <f>iferror(IF(AC42="Ações Americanas", HLOOKUP(AB42,'Histórico'!$A$1:$DD$990,MATCH($B$6,'Histórico'!$A:$A),FALSE)*HLOOKUP("PTAX",'Histórico'!$A$1:$FG$983,MATCH($B$6,'Histórico'!$A:$A),FALSE),IF(AC42="Ações Europeias", HLOOKUP(AB42,'Histórico'!$A$1:$DD$990,MATCH($B$6,'Histórico'!$A:$A),FALSE)*HLOOKUP("EUR/BRL",'Histórico'!$A$1:$FG$983,MATCH($B$6,'Histórico'!$A:$A),FALSE), HLOOKUP(AB42,'Histórico'!$A$1:$DD$990,MATCH($B$6,'Histórico'!$A:$A),FALSE))),"")</f>
        <v/>
      </c>
      <c r="AF42" s="243" t="str">
        <f t="shared" si="21"/>
        <v/>
      </c>
      <c r="AG42" s="53"/>
      <c r="AH42" s="245"/>
      <c r="AI42" s="242" t="str">
        <f>IF(ISTEXT(AH42),VLOOKUP(AH42,'Cadastro dos Ativos'!$A$2:$C$1000,3,0),"")</f>
        <v/>
      </c>
      <c r="AJ42" s="242" t="str">
        <f>IF(AH42 &lt;&gt; "",IF(AI42="Futuros", (SUMIFS('Alocação'!$O$3:$O$1002,'Alocação'!$C$3:$C$1002,AH42,'Alocação'!$F$3:$F$1002,AH$9,'Alocação'!$B$3:$B$1002,"&lt;="&amp;$B$4)), (SUMIFS('Alocação'!$O$3:$O$1002,'Alocação'!$C$3:$C$1002,AH42,'Alocação'!$F$3:$F$1002,AH$9,'Alocação'!$B$3:$B$1002,"&lt;="&amp;$B$6))),"")</f>
        <v/>
      </c>
      <c r="AK42" s="243" t="str">
        <f>iferror(IF(AI42="Ações Americanas", HLOOKUP(AH42,'Histórico'!$A$1:$DD$990,MATCH($B$6,'Histórico'!$A:$A),FALSE)*HLOOKUP("PTAX",'Histórico'!$A$1:$FG$983,MATCH($B$6,'Histórico'!$A:$A),FALSE),IF(AI42="Ações Europeias", HLOOKUP(AH42,'Histórico'!$A$1:$DD$990,MATCH($B$6,'Histórico'!$A:$A),FALSE)*HLOOKUP("EUR/BRL",'Histórico'!$A$1:$FG$983,MATCH($B$6,'Histórico'!$A:$A),FALSE),  HLOOKUP(AH42,'Histórico'!$A$1:$DD$990,MATCH($B$6,'Histórico'!$A:$A),FALSE))),"")</f>
        <v/>
      </c>
      <c r="AL42" s="243" t="str">
        <f t="shared" si="17"/>
        <v/>
      </c>
      <c r="AM42" s="53"/>
      <c r="AN42" s="245"/>
      <c r="AO42" s="242" t="str">
        <f>IF(ISTEXT(AN42),VLOOKUP(AN42,'Cadastro dos Ativos'!$A$2:$C$1000,3,0),"")</f>
        <v/>
      </c>
      <c r="AP42" s="242" t="str">
        <f>IF(AN42 &lt;&gt; "",IF(AO42="Futuros", (SUMIFS('Alocação'!$O$3:$O$1002,'Alocação'!$C$3:$C$1002,AN42,'Alocação'!$F$3:$F$1002,AN$9,'Alocação'!$B$3:$B$1002,"&lt;="&amp;$B$4)), (SUMIFS('Alocação'!$O$3:$O$1002,'Alocação'!$C$3:$C$1002,AN42,'Alocação'!$F$3:$F$1002,AN$9,'Alocação'!$B$3:$B$1002,"&lt;="&amp;$B$6))),"")</f>
        <v/>
      </c>
      <c r="AQ42" s="243" t="str">
        <f>iferror(IF(AO42="Ações Americanas", HLOOKUP(AN42,'Histórico'!$A$1:$DD$990,MATCH($B$6,'Histórico'!$A:$A),FALSE)*HLOOKUP("PTAX",'Histórico'!$A$1:$FG$983,MATCH($B$6,'Histórico'!$A:$A),FALSE),IF(AO42="Ações Europeias", HLOOKUP(AN42,'Histórico'!$A$1:$DD$990,MATCH($B$6,'Histórico'!$A:$A),FALSE)*HLOOKUP("EUR/BRL",'Histórico'!$A$1:$FG$983,MATCH($B$6,'Histórico'!$A:$A),FALSE),  HLOOKUP(AN42,'Histórico'!$A$1:$DD$990,MATCH($B$6,'Histórico'!$A:$A),FALSE))),"")</f>
        <v/>
      </c>
      <c r="AR42" s="243" t="str">
        <f t="shared" si="18"/>
        <v/>
      </c>
      <c r="AS42" s="53"/>
      <c r="AT42" s="245"/>
      <c r="AU42" s="242" t="str">
        <f>IF(ISTEXT(AT42),VLOOKUP(AT42,'Cadastro dos Ativos'!$A$2:$C$1000,3,0),"")</f>
        <v/>
      </c>
      <c r="AV42" s="242" t="str">
        <f>IF(AT42 &lt;&gt; "",IF(AU42="Futuros", (SUMIFS('Alocação'!$O$3:$O$1002,'Alocação'!$C$3:$C$1002,AT42,'Alocação'!$F$3:$F$1002,AT$9,'Alocação'!$B$3:$B$1002,"&lt;="&amp;$B$4)), (SUMIFS('Alocação'!$O$3:$O$1002,'Alocação'!$C$3:$C$1002,AT42,'Alocação'!$F$3:$F$1002,AT$9,'Alocação'!$B$3:$B$1002,"&lt;="&amp;$B$6))),"")</f>
        <v/>
      </c>
      <c r="AW42" s="243" t="str">
        <f>iferror(IF(AU42="Ações Americanas", HLOOKUP(AT42,'Histórico'!$A$1:$DD$990,MATCH($B$6,'Histórico'!$A:$A),FALSE)*HLOOKUP("PTAX",'Histórico'!$A$1:$FG$983,MATCH($B$6,'Histórico'!$A:$A),FALSE),IF(AU42="Ações Europeias", HLOOKUP(AT42,'Histórico'!$A$1:$DD$990,MATCH($B$6,'Histórico'!$A:$A),FALSE)*HLOOKUP("EUR/BRL",'Histórico'!$A$1:$FG$983,MATCH($B$6,'Histórico'!$A:$A),FALSE),  HLOOKUP(AT42,'Histórico'!$A$1:$DD$990,MATCH($B$6,'Histórico'!$A:$A),FALSE))),"")</f>
        <v/>
      </c>
      <c r="AX42" s="243" t="str">
        <f t="shared" si="27"/>
        <v/>
      </c>
      <c r="AY42" s="183"/>
    </row>
    <row r="43" ht="15.75" customHeight="1">
      <c r="A43" s="176"/>
      <c r="B43" s="232">
        <v>45055.0</v>
      </c>
      <c r="C43" s="233">
        <v>1.022911206411372E8</v>
      </c>
      <c r="D43" s="233">
        <v>1.123918324111376E8</v>
      </c>
      <c r="E43" s="234"/>
      <c r="F43" s="233">
        <v>1.015125605889786E8</v>
      </c>
      <c r="G43" s="233">
        <v>1.391431867461781E8</v>
      </c>
      <c r="H43" s="234"/>
      <c r="I43" s="233">
        <v>1.018490602738575E8</v>
      </c>
      <c r="J43" s="233">
        <v>9.336742182238048E7</v>
      </c>
      <c r="K43" s="234"/>
      <c r="L43" s="233">
        <f t="shared" si="8"/>
        <v>101433110.4</v>
      </c>
      <c r="M43" s="233">
        <v>1.014917126853937E8</v>
      </c>
      <c r="N43" s="240">
        <f t="shared" si="9"/>
        <v>-0.005388795878</v>
      </c>
      <c r="O43" s="240">
        <f t="shared" si="10"/>
        <v>-0.007785380593</v>
      </c>
      <c r="P43" s="240">
        <f t="shared" si="11"/>
        <v>0.001424086085</v>
      </c>
      <c r="Q43" s="240">
        <f t="shared" si="12"/>
        <v>0.000431286459</v>
      </c>
      <c r="R43" s="236">
        <f t="shared" si="13"/>
        <v>101.630982</v>
      </c>
      <c r="S43" s="177"/>
      <c r="T43" s="233">
        <f t="shared" ref="T43:U43" si="53">IF(AND(C43&lt;&gt;"",F43&lt;&gt;"",I43&lt;&gt;""), SUM(I43,F43,C43,L43),"")</f>
        <v>407085852</v>
      </c>
      <c r="U43" s="233">
        <f t="shared" si="53"/>
        <v>446394153.7</v>
      </c>
      <c r="V43" s="233">
        <f t="shared" si="6"/>
        <v>101.771463</v>
      </c>
      <c r="W43" s="241">
        <f t="shared" si="15"/>
        <v>-0.002846711104</v>
      </c>
      <c r="X43" s="241">
        <f t="shared" si="16"/>
        <v>-0.002846711104</v>
      </c>
      <c r="Y43" s="241">
        <f t="shared" si="25"/>
        <v>0.003628794547</v>
      </c>
      <c r="Z43" s="233">
        <f t="shared" si="7"/>
        <v>101.630982</v>
      </c>
      <c r="AA43" s="165"/>
      <c r="AB43" s="245"/>
      <c r="AC43" s="242" t="str">
        <f>IF(ISTEXT(AB43),VLOOKUP(AB43,'Cadastro dos Ativos'!$A$2:$C$1000,3,0),"")</f>
        <v/>
      </c>
      <c r="AD43" s="242" t="str">
        <f>IF(AB43 &lt;&gt; "",IF(AC43="Futuros", (SUMIFS('Alocação'!$O$3:$O$1002,'Alocação'!$C$3:$C$1002,AB43,'Alocação'!$F$3:$F$1002,AB$9,'Alocação'!$B$3:$B$1002,"&lt;="&amp;$B$4)), (SUMIFS('Alocação'!$O$3:$O$1002,'Alocação'!$C$3:$C$1002,AB43,'Alocação'!$F$3:$F$1002,AB$9,'Alocação'!$B$3:$B$1002,"&lt;="&amp;$B$6))),"")</f>
        <v/>
      </c>
      <c r="AE43" s="243" t="str">
        <f>iferror(IF(AC43="Ações Americanas", HLOOKUP(AB43,'Histórico'!$A$1:$DD$990,MATCH($B$6,'Histórico'!$A:$A),FALSE)*HLOOKUP("PTAX",'Histórico'!$A$1:$FG$983,MATCH($B$6,'Histórico'!$A:$A),FALSE),IF(AC43="Ações Europeias", HLOOKUP(AB43,'Histórico'!$A$1:$DD$990,MATCH($B$6,'Histórico'!$A:$A),FALSE)*HLOOKUP("EUR/BRL",'Histórico'!$A$1:$FG$983,MATCH($B$6,'Histórico'!$A:$A),FALSE), HLOOKUP(AB43,'Histórico'!$A$1:$DD$990,MATCH($B$6,'Histórico'!$A:$A),FALSE))),"")</f>
        <v/>
      </c>
      <c r="AF43" s="243" t="str">
        <f t="shared" si="21"/>
        <v/>
      </c>
      <c r="AG43" s="53"/>
      <c r="AH43" s="245"/>
      <c r="AI43" s="242" t="str">
        <f>IF(ISTEXT(AH43),VLOOKUP(AH43,'Cadastro dos Ativos'!$A$2:$C$1000,3,0),"")</f>
        <v/>
      </c>
      <c r="AJ43" s="242" t="str">
        <f>IF(AH43 &lt;&gt; "",IF(AI43="Futuros", (SUMIFS('Alocação'!$O$3:$O$1002,'Alocação'!$C$3:$C$1002,AH43,'Alocação'!$F$3:$F$1002,AH$9,'Alocação'!$B$3:$B$1002,"&lt;="&amp;$B$4)), (SUMIFS('Alocação'!$O$3:$O$1002,'Alocação'!$C$3:$C$1002,AH43,'Alocação'!$F$3:$F$1002,AH$9,'Alocação'!$B$3:$B$1002,"&lt;="&amp;$B$6))),"")</f>
        <v/>
      </c>
      <c r="AK43" s="243" t="str">
        <f>iferror(IF(AI43="Ações Americanas", HLOOKUP(AH43,'Histórico'!$A$1:$DD$990,MATCH($B$6,'Histórico'!$A:$A),FALSE)*HLOOKUP("PTAX",'Histórico'!$A$1:$FG$983,MATCH($B$6,'Histórico'!$A:$A),FALSE),IF(AI43="Ações Europeias", HLOOKUP(AH43,'Histórico'!$A$1:$DD$990,MATCH($B$6,'Histórico'!$A:$A),FALSE)*HLOOKUP("EUR/BRL",'Histórico'!$A$1:$FG$983,MATCH($B$6,'Histórico'!$A:$A),FALSE),  HLOOKUP(AH43,'Histórico'!$A$1:$DD$990,MATCH($B$6,'Histórico'!$A:$A),FALSE))),"")</f>
        <v/>
      </c>
      <c r="AL43" s="243" t="str">
        <f t="shared" si="17"/>
        <v/>
      </c>
      <c r="AM43" s="53"/>
      <c r="AN43" s="245"/>
      <c r="AO43" s="242" t="str">
        <f>IF(ISTEXT(AN43),VLOOKUP(AN43,'Cadastro dos Ativos'!$A$2:$C$1000,3,0),"")</f>
        <v/>
      </c>
      <c r="AP43" s="242" t="str">
        <f>IF(AN43 &lt;&gt; "",IF(AO43="Futuros", (SUMIFS('Alocação'!$O$3:$O$1002,'Alocação'!$C$3:$C$1002,AN43,'Alocação'!$F$3:$F$1002,AN$9,'Alocação'!$B$3:$B$1002,"&lt;="&amp;$B$4)), (SUMIFS('Alocação'!$O$3:$O$1002,'Alocação'!$C$3:$C$1002,AN43,'Alocação'!$F$3:$F$1002,AN$9,'Alocação'!$B$3:$B$1002,"&lt;="&amp;$B$6))),"")</f>
        <v/>
      </c>
      <c r="AQ43" s="243" t="str">
        <f>iferror(IF(AO43="Ações Americanas", HLOOKUP(AN43,'Histórico'!$A$1:$DD$990,MATCH($B$6,'Histórico'!$A:$A),FALSE)*HLOOKUP("PTAX",'Histórico'!$A$1:$FG$983,MATCH($B$6,'Histórico'!$A:$A),FALSE),IF(AO43="Ações Europeias", HLOOKUP(AN43,'Histórico'!$A$1:$DD$990,MATCH($B$6,'Histórico'!$A:$A),FALSE)*HLOOKUP("EUR/BRL",'Histórico'!$A$1:$FG$983,MATCH($B$6,'Histórico'!$A:$A),FALSE),  HLOOKUP(AN43,'Histórico'!$A$1:$DD$990,MATCH($B$6,'Histórico'!$A:$A),FALSE))),"")</f>
        <v/>
      </c>
      <c r="AR43" s="243" t="str">
        <f t="shared" si="18"/>
        <v/>
      </c>
      <c r="AS43" s="53"/>
      <c r="AT43" s="245"/>
      <c r="AU43" s="242" t="str">
        <f>IF(ISTEXT(AT43),VLOOKUP(AT43,'Cadastro dos Ativos'!$A$2:$C$1000,3,0),"")</f>
        <v/>
      </c>
      <c r="AV43" s="242" t="str">
        <f>IF(AT43 &lt;&gt; "",IF(AU43="Futuros", (SUMIFS('Alocação'!$O$3:$O$1002,'Alocação'!$C$3:$C$1002,AT43,'Alocação'!$F$3:$F$1002,AT$9,'Alocação'!$B$3:$B$1002,"&lt;="&amp;$B$4)), (SUMIFS('Alocação'!$O$3:$O$1002,'Alocação'!$C$3:$C$1002,AT43,'Alocação'!$F$3:$F$1002,AT$9,'Alocação'!$B$3:$B$1002,"&lt;="&amp;$B$6))),"")</f>
        <v/>
      </c>
      <c r="AW43" s="243" t="str">
        <f>iferror(IF(AU43="Ações Americanas", HLOOKUP(AT43,'Histórico'!$A$1:$DD$990,MATCH($B$6,'Histórico'!$A:$A),FALSE)*HLOOKUP("PTAX",'Histórico'!$A$1:$FG$983,MATCH($B$6,'Histórico'!$A:$A),FALSE),IF(AU43="Ações Europeias", HLOOKUP(AT43,'Histórico'!$A$1:$DD$990,MATCH($B$6,'Histórico'!$A:$A),FALSE)*HLOOKUP("EUR/BRL",'Histórico'!$A$1:$FG$983,MATCH($B$6,'Histórico'!$A:$A),FALSE),  HLOOKUP(AT43,'Histórico'!$A$1:$DD$990,MATCH($B$6,'Histórico'!$A:$A),FALSE))),"")</f>
        <v/>
      </c>
      <c r="AX43" s="243" t="str">
        <f t="shared" si="27"/>
        <v/>
      </c>
      <c r="AY43" s="183"/>
    </row>
    <row r="44" ht="15.75" customHeight="1">
      <c r="A44" s="176"/>
      <c r="B44" s="232">
        <v>45056.0</v>
      </c>
      <c r="C44" s="233">
        <v>1.022339285178649E8</v>
      </c>
      <c r="D44" s="233">
        <v>1.123904340533649E8</v>
      </c>
      <c r="E44" s="234"/>
      <c r="F44" s="233">
        <v>1.025009749554357E8</v>
      </c>
      <c r="G44" s="233">
        <v>1.329017916743298E8</v>
      </c>
      <c r="H44" s="234"/>
      <c r="I44" s="233">
        <v>1.011531441038555E8</v>
      </c>
      <c r="J44" s="233">
        <v>9.24967560154498E7</v>
      </c>
      <c r="K44" s="234"/>
      <c r="L44" s="233">
        <f t="shared" si="8"/>
        <v>101476857.2</v>
      </c>
      <c r="M44" s="233">
        <v>1.015372618066674E8</v>
      </c>
      <c r="N44" s="240">
        <f t="shared" si="9"/>
        <v>-0.0005591113179</v>
      </c>
      <c r="O44" s="240">
        <f t="shared" si="10"/>
        <v>0.009736867642</v>
      </c>
      <c r="P44" s="240">
        <f t="shared" si="11"/>
        <v>-0.006832818763</v>
      </c>
      <c r="Q44" s="240">
        <f t="shared" si="12"/>
        <v>0.000431286459</v>
      </c>
      <c r="R44" s="236">
        <f t="shared" si="13"/>
        <v>101.6808188</v>
      </c>
      <c r="S44" s="177"/>
      <c r="T44" s="233">
        <f t="shared" ref="T44:U44" si="54">IF(AND(C44&lt;&gt;"",F44&lt;&gt;"",I44&lt;&gt;""), SUM(I44,F44,C44,L44),"")</f>
        <v>407364904.8</v>
      </c>
      <c r="U44" s="233">
        <f t="shared" si="54"/>
        <v>439326243.5</v>
      </c>
      <c r="V44" s="233">
        <f t="shared" si="6"/>
        <v>101.8412262</v>
      </c>
      <c r="W44" s="241">
        <f t="shared" si="15"/>
        <v>0.0006854888198</v>
      </c>
      <c r="X44" s="241">
        <f t="shared" si="16"/>
        <v>-0.002163173673</v>
      </c>
      <c r="Y44" s="241">
        <f t="shared" si="25"/>
        <v>0.002572063015</v>
      </c>
      <c r="Z44" s="233">
        <f t="shared" si="7"/>
        <v>101.6808188</v>
      </c>
      <c r="AA44" s="165"/>
      <c r="AB44" s="245"/>
      <c r="AC44" s="242" t="str">
        <f>IF(ISTEXT(AB44),VLOOKUP(AB44,'Cadastro dos Ativos'!$A$2:$C$1000,3,0),"")</f>
        <v/>
      </c>
      <c r="AD44" s="242" t="str">
        <f>IF(AB44 &lt;&gt; "",IF(AC44="Futuros", (SUMIFS('Alocação'!$O$3:$O$1002,'Alocação'!$C$3:$C$1002,AB44,'Alocação'!$F$3:$F$1002,AB$9,'Alocação'!$B$3:$B$1002,"&lt;="&amp;$B$4)), (SUMIFS('Alocação'!$O$3:$O$1002,'Alocação'!$C$3:$C$1002,AB44,'Alocação'!$F$3:$F$1002,AB$9,'Alocação'!$B$3:$B$1002,"&lt;="&amp;$B$6))),"")</f>
        <v/>
      </c>
      <c r="AE44" s="243" t="str">
        <f>iferror(IF(AC44="Ações Americanas", HLOOKUP(AB44,'Histórico'!$A$1:$DD$990,MATCH($B$6,'Histórico'!$A:$A),FALSE)*HLOOKUP("PTAX",'Histórico'!$A$1:$FG$983,MATCH($B$6,'Histórico'!$A:$A),FALSE),IF(AC44="Ações Europeias", HLOOKUP(AB44,'Histórico'!$A$1:$DD$990,MATCH($B$6,'Histórico'!$A:$A),FALSE)*HLOOKUP("EUR/BRL",'Histórico'!$A$1:$FG$983,MATCH($B$6,'Histórico'!$A:$A),FALSE), HLOOKUP(AB44,'Histórico'!$A$1:$DD$990,MATCH($B$6,'Histórico'!$A:$A),FALSE))),"")</f>
        <v/>
      </c>
      <c r="AF44" s="243" t="str">
        <f t="shared" si="21"/>
        <v/>
      </c>
      <c r="AG44" s="53"/>
      <c r="AH44" s="245"/>
      <c r="AI44" s="242" t="str">
        <f>IF(ISTEXT(AH44),VLOOKUP(AH44,'Cadastro dos Ativos'!$A$2:$C$1000,3,0),"")</f>
        <v/>
      </c>
      <c r="AJ44" s="242" t="str">
        <f>IF(AH44 &lt;&gt; "",IF(AI44="Futuros", (SUMIFS('Alocação'!$O$3:$O$1002,'Alocação'!$C$3:$C$1002,AH44,'Alocação'!$F$3:$F$1002,AH$9,'Alocação'!$B$3:$B$1002,"&lt;="&amp;$B$4)), (SUMIFS('Alocação'!$O$3:$O$1002,'Alocação'!$C$3:$C$1002,AH44,'Alocação'!$F$3:$F$1002,AH$9,'Alocação'!$B$3:$B$1002,"&lt;="&amp;$B$6))),"")</f>
        <v/>
      </c>
      <c r="AK44" s="243" t="str">
        <f>iferror(IF(AI44="Ações Americanas", HLOOKUP(AH44,'Histórico'!$A$1:$DD$990,MATCH($B$6,'Histórico'!$A:$A),FALSE)*HLOOKUP("PTAX",'Histórico'!$A$1:$FG$983,MATCH($B$6,'Histórico'!$A:$A),FALSE),IF(AI44="Ações Europeias", HLOOKUP(AH44,'Histórico'!$A$1:$DD$990,MATCH($B$6,'Histórico'!$A:$A),FALSE)*HLOOKUP("EUR/BRL",'Histórico'!$A$1:$FG$983,MATCH($B$6,'Histórico'!$A:$A),FALSE),  HLOOKUP(AH44,'Histórico'!$A$1:$DD$990,MATCH($B$6,'Histórico'!$A:$A),FALSE))),"")</f>
        <v/>
      </c>
      <c r="AL44" s="243" t="str">
        <f t="shared" si="17"/>
        <v/>
      </c>
      <c r="AM44" s="53"/>
      <c r="AN44" s="245"/>
      <c r="AO44" s="242" t="str">
        <f>IF(ISTEXT(AN44),VLOOKUP(AN44,'Cadastro dos Ativos'!$A$2:$C$1000,3,0),"")</f>
        <v/>
      </c>
      <c r="AP44" s="242" t="str">
        <f>IF(AN44 &lt;&gt; "",IF(AO44="Futuros", (SUMIFS('Alocação'!$O$3:$O$1002,'Alocação'!$C$3:$C$1002,AN44,'Alocação'!$F$3:$F$1002,AN$9,'Alocação'!$B$3:$B$1002,"&lt;="&amp;$B$4)), (SUMIFS('Alocação'!$O$3:$O$1002,'Alocação'!$C$3:$C$1002,AN44,'Alocação'!$F$3:$F$1002,AN$9,'Alocação'!$B$3:$B$1002,"&lt;="&amp;$B$6))),"")</f>
        <v/>
      </c>
      <c r="AQ44" s="243" t="str">
        <f>iferror(IF(AO44="Ações Americanas", HLOOKUP(AN44,'Histórico'!$A$1:$DD$990,MATCH($B$6,'Histórico'!$A:$A),FALSE)*HLOOKUP("PTAX",'Histórico'!$A$1:$FG$983,MATCH($B$6,'Histórico'!$A:$A),FALSE),IF(AO44="Ações Europeias", HLOOKUP(AN44,'Histórico'!$A$1:$DD$990,MATCH($B$6,'Histórico'!$A:$A),FALSE)*HLOOKUP("EUR/BRL",'Histórico'!$A$1:$FG$983,MATCH($B$6,'Histórico'!$A:$A),FALSE),  HLOOKUP(AN44,'Histórico'!$A$1:$DD$990,MATCH($B$6,'Histórico'!$A:$A),FALSE))),"")</f>
        <v/>
      </c>
      <c r="AR44" s="243" t="str">
        <f t="shared" si="18"/>
        <v/>
      </c>
      <c r="AS44" s="53"/>
      <c r="AT44" s="245"/>
      <c r="AU44" s="242" t="str">
        <f>IF(ISTEXT(AT44),VLOOKUP(AT44,'Cadastro dos Ativos'!$A$2:$C$1000,3,0),"")</f>
        <v/>
      </c>
      <c r="AV44" s="242" t="str">
        <f>IF(AT44 &lt;&gt; "",IF(AU44="Futuros", (SUMIFS('Alocação'!$O$3:$O$1002,'Alocação'!$C$3:$C$1002,AT44,'Alocação'!$F$3:$F$1002,AT$9,'Alocação'!$B$3:$B$1002,"&lt;="&amp;$B$4)), (SUMIFS('Alocação'!$O$3:$O$1002,'Alocação'!$C$3:$C$1002,AT44,'Alocação'!$F$3:$F$1002,AT$9,'Alocação'!$B$3:$B$1002,"&lt;="&amp;$B$6))),"")</f>
        <v/>
      </c>
      <c r="AW44" s="243" t="str">
        <f>iferror(IF(AU44="Ações Americanas", HLOOKUP(AT44,'Histórico'!$A$1:$DD$990,MATCH($B$6,'Histórico'!$A:$A),FALSE)*HLOOKUP("PTAX",'Histórico'!$A$1:$FG$983,MATCH($B$6,'Histórico'!$A:$A),FALSE),IF(AU44="Ações Europeias", HLOOKUP(AT44,'Histórico'!$A$1:$DD$990,MATCH($B$6,'Histórico'!$A:$A),FALSE)*HLOOKUP("EUR/BRL",'Histórico'!$A$1:$FG$983,MATCH($B$6,'Histórico'!$A:$A),FALSE),  HLOOKUP(AT44,'Histórico'!$A$1:$DD$990,MATCH($B$6,'Histórico'!$A:$A),FALSE))),"")</f>
        <v/>
      </c>
      <c r="AX44" s="243" t="str">
        <f t="shared" si="27"/>
        <v/>
      </c>
      <c r="AY44" s="183"/>
    </row>
    <row r="45" ht="15.75" customHeight="1">
      <c r="A45" s="176"/>
      <c r="B45" s="232">
        <v>45057.0</v>
      </c>
      <c r="C45" s="233">
        <v>1.020366630545072E8</v>
      </c>
      <c r="D45" s="233">
        <v>1.121772690645074E8</v>
      </c>
      <c r="E45" s="234"/>
      <c r="F45" s="233">
        <v>1.024836948950899E8</v>
      </c>
      <c r="G45" s="233">
        <v>9927050.24121976</v>
      </c>
      <c r="H45" s="234"/>
      <c r="I45" s="233">
        <v>1.002844745132861E8</v>
      </c>
      <c r="J45" s="233">
        <v>7.572367874196064E7</v>
      </c>
      <c r="K45" s="234"/>
      <c r="L45" s="233">
        <v>1.015828313702252E8</v>
      </c>
      <c r="M45" s="233">
        <v>1.015828443402255E8</v>
      </c>
      <c r="N45" s="240">
        <f t="shared" si="9"/>
        <v>-0.001929549869</v>
      </c>
      <c r="O45" s="240">
        <f t="shared" si="10"/>
        <v>-0.0001685843511</v>
      </c>
      <c r="P45" s="240">
        <f t="shared" si="11"/>
        <v>-0.008587667722</v>
      </c>
      <c r="Q45" s="240">
        <f t="shared" si="12"/>
        <v>0.001044318843</v>
      </c>
      <c r="R45" s="236">
        <f t="shared" si="13"/>
        <v>101.73068</v>
      </c>
      <c r="S45" s="177"/>
      <c r="T45" s="233">
        <f t="shared" ref="T45:U45" si="55">IF(AND(C45&lt;&gt;"",F45&lt;&gt;"",I45&lt;&gt;""), SUM(I45,F45,C45,L45),"")</f>
        <v>406387663.8</v>
      </c>
      <c r="U45" s="233">
        <f t="shared" si="55"/>
        <v>299410842.4</v>
      </c>
      <c r="V45" s="233">
        <f t="shared" si="6"/>
        <v>101.596916</v>
      </c>
      <c r="W45" s="241">
        <f t="shared" si="15"/>
        <v>-0.002398932527</v>
      </c>
      <c r="X45" s="241">
        <f t="shared" si="16"/>
        <v>-0.004556916892</v>
      </c>
      <c r="Y45" s="241">
        <f t="shared" si="25"/>
        <v>0.002775382657</v>
      </c>
      <c r="Z45" s="233">
        <f t="shared" si="7"/>
        <v>101.73068</v>
      </c>
      <c r="AA45" s="165"/>
      <c r="AB45" s="245"/>
      <c r="AC45" s="242" t="str">
        <f>IF(ISTEXT(AB45),VLOOKUP(AB45,'Cadastro dos Ativos'!$A$2:$C$1000,3,0),"")</f>
        <v/>
      </c>
      <c r="AD45" s="242" t="str">
        <f>IF(AB45 &lt;&gt; "",IF(AC45="Futuros", (SUMIFS('Alocação'!$O$3:$O$1002,'Alocação'!$C$3:$C$1002,AB45,'Alocação'!$F$3:$F$1002,AB$9,'Alocação'!$B$3:$B$1002,"&lt;="&amp;$B$4)), (SUMIFS('Alocação'!$O$3:$O$1002,'Alocação'!$C$3:$C$1002,AB45,'Alocação'!$F$3:$F$1002,AB$9,'Alocação'!$B$3:$B$1002,"&lt;="&amp;$B$6))),"")</f>
        <v/>
      </c>
      <c r="AE45" s="243" t="str">
        <f>iferror(IF(AC45="Ações Americanas", HLOOKUP(AB45,'Histórico'!$A$1:$DD$990,MATCH($B$6,'Histórico'!$A:$A),FALSE)*HLOOKUP("PTAX",'Histórico'!$A$1:$FG$983,MATCH($B$6,'Histórico'!$A:$A),FALSE),IF(AC45="Ações Europeias", HLOOKUP(AB45,'Histórico'!$A$1:$DD$990,MATCH($B$6,'Histórico'!$A:$A),FALSE)*HLOOKUP("EUR/BRL",'Histórico'!$A$1:$FG$983,MATCH($B$6,'Histórico'!$A:$A),FALSE), HLOOKUP(AB45,'Histórico'!$A$1:$DD$990,MATCH($B$6,'Histórico'!$A:$A),FALSE))),"")</f>
        <v/>
      </c>
      <c r="AF45" s="243" t="str">
        <f t="shared" si="21"/>
        <v/>
      </c>
      <c r="AG45" s="53"/>
      <c r="AH45" s="245"/>
      <c r="AI45" s="242" t="str">
        <f>IF(ISTEXT(AH45),VLOOKUP(AH45,'Cadastro dos Ativos'!$A$2:$C$1000,3,0),"")</f>
        <v/>
      </c>
      <c r="AJ45" s="242" t="str">
        <f>IF(AH45 &lt;&gt; "",IF(AI45="Futuros", (SUMIFS('Alocação'!$O$3:$O$1002,'Alocação'!$C$3:$C$1002,AH45,'Alocação'!$F$3:$F$1002,AH$9,'Alocação'!$B$3:$B$1002,"&lt;="&amp;$B$4)), (SUMIFS('Alocação'!$O$3:$O$1002,'Alocação'!$C$3:$C$1002,AH45,'Alocação'!$F$3:$F$1002,AH$9,'Alocação'!$B$3:$B$1002,"&lt;="&amp;$B$6))),"")</f>
        <v/>
      </c>
      <c r="AK45" s="243" t="str">
        <f>iferror(IF(AI45="Ações Americanas", HLOOKUP(AH45,'Histórico'!$A$1:$DD$990,MATCH($B$6,'Histórico'!$A:$A),FALSE)*HLOOKUP("PTAX",'Histórico'!$A$1:$FG$983,MATCH($B$6,'Histórico'!$A:$A),FALSE),IF(AI45="Ações Europeias", HLOOKUP(AH45,'Histórico'!$A$1:$DD$990,MATCH($B$6,'Histórico'!$A:$A),FALSE)*HLOOKUP("EUR/BRL",'Histórico'!$A$1:$FG$983,MATCH($B$6,'Histórico'!$A:$A),FALSE),  HLOOKUP(AH45,'Histórico'!$A$1:$DD$990,MATCH($B$6,'Histórico'!$A:$A),FALSE))),"")</f>
        <v/>
      </c>
      <c r="AL45" s="243" t="str">
        <f t="shared" si="17"/>
        <v/>
      </c>
      <c r="AM45" s="53"/>
      <c r="AN45" s="245"/>
      <c r="AO45" s="242" t="str">
        <f>IF(ISTEXT(AN45),VLOOKUP(AN45,'Cadastro dos Ativos'!$A$2:$C$1000,3,0),"")</f>
        <v/>
      </c>
      <c r="AP45" s="242" t="str">
        <f>IF(AN45 &lt;&gt; "",IF(AO45="Futuros", (SUMIFS('Alocação'!$O$3:$O$1002,'Alocação'!$C$3:$C$1002,AN45,'Alocação'!$F$3:$F$1002,AN$9,'Alocação'!$B$3:$B$1002,"&lt;="&amp;$B$4)), (SUMIFS('Alocação'!$O$3:$O$1002,'Alocação'!$C$3:$C$1002,AN45,'Alocação'!$F$3:$F$1002,AN$9,'Alocação'!$B$3:$B$1002,"&lt;="&amp;$B$6))),"")</f>
        <v/>
      </c>
      <c r="AQ45" s="243" t="str">
        <f>iferror(IF(AO45="Ações Americanas", HLOOKUP(AN45,'Histórico'!$A$1:$DD$990,MATCH($B$6,'Histórico'!$A:$A),FALSE)*HLOOKUP("PTAX",'Histórico'!$A$1:$FG$983,MATCH($B$6,'Histórico'!$A:$A),FALSE),IF(AO45="Ações Europeias", HLOOKUP(AN45,'Histórico'!$A$1:$DD$990,MATCH($B$6,'Histórico'!$A:$A),FALSE)*HLOOKUP("EUR/BRL",'Histórico'!$A$1:$FG$983,MATCH($B$6,'Histórico'!$A:$A),FALSE),  HLOOKUP(AN45,'Histórico'!$A$1:$DD$990,MATCH($B$6,'Histórico'!$A:$A),FALSE))),"")</f>
        <v/>
      </c>
      <c r="AR45" s="243" t="str">
        <f t="shared" si="18"/>
        <v/>
      </c>
      <c r="AS45" s="53"/>
      <c r="AT45" s="245"/>
      <c r="AU45" s="242" t="str">
        <f>IF(ISTEXT(AT45),VLOOKUP(AT45,'Cadastro dos Ativos'!$A$2:$C$1000,3,0),"")</f>
        <v/>
      </c>
      <c r="AV45" s="242" t="str">
        <f>IF(AT45 &lt;&gt; "",IF(AU45="Futuros", (SUMIFS('Alocação'!$O$3:$O$1002,'Alocação'!$C$3:$C$1002,AT45,'Alocação'!$F$3:$F$1002,AT$9,'Alocação'!$B$3:$B$1002,"&lt;="&amp;$B$4)), (SUMIFS('Alocação'!$O$3:$O$1002,'Alocação'!$C$3:$C$1002,AT45,'Alocação'!$F$3:$F$1002,AT$9,'Alocação'!$B$3:$B$1002,"&lt;="&amp;$B$6))),"")</f>
        <v/>
      </c>
      <c r="AW45" s="243" t="str">
        <f>iferror(IF(AU45="Ações Americanas", HLOOKUP(AT45,'Histórico'!$A$1:$DD$990,MATCH($B$6,'Histórico'!$A:$A),FALSE)*HLOOKUP("PTAX",'Histórico'!$A$1:$FG$983,MATCH($B$6,'Histórico'!$A:$A),FALSE),IF(AU45="Ações Europeias", HLOOKUP(AT45,'Histórico'!$A$1:$DD$990,MATCH($B$6,'Histórico'!$A:$A),FALSE)*HLOOKUP("EUR/BRL",'Histórico'!$A$1:$FG$983,MATCH($B$6,'Histórico'!$A:$A),FALSE),  HLOOKUP(AT45,'Histórico'!$A$1:$DD$990,MATCH($B$6,'Histórico'!$A:$A),FALSE))),"")</f>
        <v/>
      </c>
      <c r="AX45" s="243" t="str">
        <f t="shared" si="27"/>
        <v/>
      </c>
      <c r="AY45" s="183"/>
    </row>
    <row r="46" ht="15.75" customHeight="1">
      <c r="A46" s="176"/>
      <c r="B46" s="232">
        <v>45058.0</v>
      </c>
      <c r="C46" s="233">
        <v>1.017715567710578E8</v>
      </c>
      <c r="D46" s="233">
        <v>1.118170279685575E8</v>
      </c>
      <c r="E46" s="234"/>
      <c r="F46" s="233">
        <v>1.027363827571748E8</v>
      </c>
      <c r="G46" s="233">
        <v>9999252.691909801</v>
      </c>
      <c r="H46" s="234"/>
      <c r="I46" s="233">
        <v>9.97733298090452E7</v>
      </c>
      <c r="J46" s="233">
        <v>7.560078762206118E7</v>
      </c>
      <c r="K46" s="234"/>
      <c r="L46" s="233">
        <v>1.016691213976886E8</v>
      </c>
      <c r="M46" s="233">
        <v>9.411243436182953E7</v>
      </c>
      <c r="N46" s="240">
        <f t="shared" si="9"/>
        <v>-0.002598147328</v>
      </c>
      <c r="O46" s="240">
        <f t="shared" si="10"/>
        <v>0.002465639655</v>
      </c>
      <c r="P46" s="240">
        <f t="shared" si="11"/>
        <v>-0.005096947526</v>
      </c>
      <c r="Q46" s="240">
        <f t="shared" si="12"/>
        <v>0.000849454837</v>
      </c>
      <c r="R46" s="236">
        <f t="shared" si="13"/>
        <v>101.7805657</v>
      </c>
      <c r="S46" s="177"/>
      <c r="T46" s="233">
        <f t="shared" ref="T46:U46" si="56">IF(AND(C46&lt;&gt;"",F46&lt;&gt;"",I46&lt;&gt;""), SUM(I46,F46,C46,L46),"")</f>
        <v>405950390.7</v>
      </c>
      <c r="U46" s="233">
        <f t="shared" si="56"/>
        <v>291529502.6</v>
      </c>
      <c r="V46" s="233">
        <f t="shared" si="6"/>
        <v>101.4875977</v>
      </c>
      <c r="W46" s="241">
        <f t="shared" si="15"/>
        <v>-0.001075999931</v>
      </c>
      <c r="X46" s="241">
        <f t="shared" si="16"/>
        <v>-0.00562801358</v>
      </c>
      <c r="Y46" s="241">
        <f t="shared" si="25"/>
        <v>0.002704954873</v>
      </c>
      <c r="Z46" s="233">
        <f t="shared" si="7"/>
        <v>101.7805657</v>
      </c>
      <c r="AA46" s="165"/>
      <c r="AB46" s="245"/>
      <c r="AC46" s="242" t="str">
        <f>IF(ISTEXT(AB46),VLOOKUP(AB46,'Cadastro dos Ativos'!$A$2:$C$1000,3,0),"")</f>
        <v/>
      </c>
      <c r="AD46" s="242" t="str">
        <f>IF(AB46 &lt;&gt; "",IF(AC46="Futuros", (SUMIFS('Alocação'!$O$3:$O$1002,'Alocação'!$C$3:$C$1002,AB46,'Alocação'!$F$3:$F$1002,AB$9,'Alocação'!$B$3:$B$1002,"&lt;="&amp;$B$4)), (SUMIFS('Alocação'!$O$3:$O$1002,'Alocação'!$C$3:$C$1002,AB46,'Alocação'!$F$3:$F$1002,AB$9,'Alocação'!$B$3:$B$1002,"&lt;="&amp;$B$6))),"")</f>
        <v/>
      </c>
      <c r="AE46" s="243" t="str">
        <f>iferror(IF(AC46="Ações Americanas", HLOOKUP(AB46,'Histórico'!$A$1:$DD$990,MATCH($B$6,'Histórico'!$A:$A),FALSE)*HLOOKUP("PTAX",'Histórico'!$A$1:$FG$983,MATCH($B$6,'Histórico'!$A:$A),FALSE),IF(AC46="Ações Europeias", HLOOKUP(AB46,'Histórico'!$A$1:$DD$990,MATCH($B$6,'Histórico'!$A:$A),FALSE)*HLOOKUP("EUR/BRL",'Histórico'!$A$1:$FG$983,MATCH($B$6,'Histórico'!$A:$A),FALSE), HLOOKUP(AB46,'Histórico'!$A$1:$DD$990,MATCH($B$6,'Histórico'!$A:$A),FALSE))),"")</f>
        <v/>
      </c>
      <c r="AF46" s="243" t="str">
        <f t="shared" si="21"/>
        <v/>
      </c>
      <c r="AG46" s="53"/>
      <c r="AH46" s="245"/>
      <c r="AI46" s="242" t="str">
        <f>IF(ISTEXT(AH46),VLOOKUP(AH46,'Cadastro dos Ativos'!$A$2:$C$1000,3,0),"")</f>
        <v/>
      </c>
      <c r="AJ46" s="242" t="str">
        <f>IF(AH46 &lt;&gt; "",IF(AI46="Futuros", (SUMIFS('Alocação'!$O$3:$O$1002,'Alocação'!$C$3:$C$1002,AH46,'Alocação'!$F$3:$F$1002,AH$9,'Alocação'!$B$3:$B$1002,"&lt;="&amp;$B$4)), (SUMIFS('Alocação'!$O$3:$O$1002,'Alocação'!$C$3:$C$1002,AH46,'Alocação'!$F$3:$F$1002,AH$9,'Alocação'!$B$3:$B$1002,"&lt;="&amp;$B$6))),"")</f>
        <v/>
      </c>
      <c r="AK46" s="243" t="str">
        <f>iferror(IF(AI46="Ações Americanas", HLOOKUP(AH46,'Histórico'!$A$1:$DD$990,MATCH($B$6,'Histórico'!$A:$A),FALSE)*HLOOKUP("PTAX",'Histórico'!$A$1:$FG$983,MATCH($B$6,'Histórico'!$A:$A),FALSE),IF(AI46="Ações Europeias", HLOOKUP(AH46,'Histórico'!$A$1:$DD$990,MATCH($B$6,'Histórico'!$A:$A),FALSE)*HLOOKUP("EUR/BRL",'Histórico'!$A$1:$FG$983,MATCH($B$6,'Histórico'!$A:$A),FALSE),  HLOOKUP(AH46,'Histórico'!$A$1:$DD$990,MATCH($B$6,'Histórico'!$A:$A),FALSE))),"")</f>
        <v/>
      </c>
      <c r="AL46" s="243" t="str">
        <f t="shared" si="17"/>
        <v/>
      </c>
      <c r="AM46" s="53"/>
      <c r="AN46" s="245"/>
      <c r="AO46" s="242" t="str">
        <f>IF(ISTEXT(AN46),VLOOKUP(AN46,'Cadastro dos Ativos'!$A$2:$C$1000,3,0),"")</f>
        <v/>
      </c>
      <c r="AP46" s="242" t="str">
        <f>IF(AN46 &lt;&gt; "",IF(AO46="Futuros", (SUMIFS('Alocação'!$O$3:$O$1002,'Alocação'!$C$3:$C$1002,AN46,'Alocação'!$F$3:$F$1002,AN$9,'Alocação'!$B$3:$B$1002,"&lt;="&amp;$B$4)), (SUMIFS('Alocação'!$O$3:$O$1002,'Alocação'!$C$3:$C$1002,AN46,'Alocação'!$F$3:$F$1002,AN$9,'Alocação'!$B$3:$B$1002,"&lt;="&amp;$B$6))),"")</f>
        <v/>
      </c>
      <c r="AQ46" s="243" t="str">
        <f>iferror(IF(AO46="Ações Americanas", HLOOKUP(AN46,'Histórico'!$A$1:$DD$990,MATCH($B$6,'Histórico'!$A:$A),FALSE)*HLOOKUP("PTAX",'Histórico'!$A$1:$FG$983,MATCH($B$6,'Histórico'!$A:$A),FALSE),IF(AO46="Ações Europeias", HLOOKUP(AN46,'Histórico'!$A$1:$DD$990,MATCH($B$6,'Histórico'!$A:$A),FALSE)*HLOOKUP("EUR/BRL",'Histórico'!$A$1:$FG$983,MATCH($B$6,'Histórico'!$A:$A),FALSE),  HLOOKUP(AN46,'Histórico'!$A$1:$DD$990,MATCH($B$6,'Histórico'!$A:$A),FALSE))),"")</f>
        <v/>
      </c>
      <c r="AR46" s="243" t="str">
        <f t="shared" si="18"/>
        <v/>
      </c>
      <c r="AS46" s="53"/>
      <c r="AT46" s="245"/>
      <c r="AU46" s="242" t="str">
        <f>IF(ISTEXT(AT46),VLOOKUP(AT46,'Cadastro dos Ativos'!$A$2:$C$1000,3,0),"")</f>
        <v/>
      </c>
      <c r="AV46" s="242" t="str">
        <f>IF(AT46 &lt;&gt; "",IF(AU46="Futuros", (SUMIFS('Alocação'!$O$3:$O$1002,'Alocação'!$C$3:$C$1002,AT46,'Alocação'!$F$3:$F$1002,AT$9,'Alocação'!$B$3:$B$1002,"&lt;="&amp;$B$4)), (SUMIFS('Alocação'!$O$3:$O$1002,'Alocação'!$C$3:$C$1002,AT46,'Alocação'!$F$3:$F$1002,AT$9,'Alocação'!$B$3:$B$1002,"&lt;="&amp;$B$6))),"")</f>
        <v/>
      </c>
      <c r="AW46" s="243" t="str">
        <f>iferror(IF(AU46="Ações Americanas", HLOOKUP(AT46,'Histórico'!$A$1:$DD$990,MATCH($B$6,'Histórico'!$A:$A),FALSE)*HLOOKUP("PTAX",'Histórico'!$A$1:$FG$983,MATCH($B$6,'Histórico'!$A:$A),FALSE),IF(AU46="Ações Europeias", HLOOKUP(AT46,'Histórico'!$A$1:$DD$990,MATCH($B$6,'Histórico'!$A:$A),FALSE)*HLOOKUP("EUR/BRL",'Histórico'!$A$1:$FG$983,MATCH($B$6,'Histórico'!$A:$A),FALSE),  HLOOKUP(AT46,'Histórico'!$A$1:$DD$990,MATCH($B$6,'Histórico'!$A:$A),FALSE))),"")</f>
        <v/>
      </c>
      <c r="AX46" s="243" t="str">
        <f t="shared" si="27"/>
        <v/>
      </c>
      <c r="AY46" s="183"/>
    </row>
    <row r="47" ht="15.75" customHeight="1">
      <c r="A47" s="176"/>
      <c r="B47" s="232">
        <v>45061.0</v>
      </c>
      <c r="C47" s="233">
        <v>1.019977059367775E8</v>
      </c>
      <c r="D47" s="233">
        <v>1.119808968767777E8</v>
      </c>
      <c r="E47" s="234"/>
      <c r="F47" s="233">
        <v>1.027336142838836E8</v>
      </c>
      <c r="G47" s="233">
        <v>1.010998108308684E7</v>
      </c>
      <c r="H47" s="234"/>
      <c r="I47" s="233">
        <v>9.931636254451144E7</v>
      </c>
      <c r="J47" s="233">
        <v>7.520419128845882E7</v>
      </c>
      <c r="K47" s="234"/>
      <c r="L47" s="233">
        <v>1.018936124300235E8</v>
      </c>
      <c r="M47" s="233">
        <v>9.415422521329336E7</v>
      </c>
      <c r="N47" s="240">
        <f t="shared" si="9"/>
        <v>0.002222125443</v>
      </c>
      <c r="O47" s="240">
        <f t="shared" si="10"/>
        <v>-0.00002694735027</v>
      </c>
      <c r="P47" s="240">
        <f t="shared" si="11"/>
        <v>-0.004580054263</v>
      </c>
      <c r="Q47" s="240">
        <f t="shared" si="12"/>
        <v>0.002208055202</v>
      </c>
      <c r="R47" s="236">
        <f t="shared" si="13"/>
        <v>101.8304758</v>
      </c>
      <c r="S47" s="177"/>
      <c r="T47" s="233">
        <f t="shared" ref="T47:U47" si="57">IF(AND(C47&lt;&gt;"",F47&lt;&gt;"",I47&lt;&gt;""), SUM(I47,F47,C47,L47),"")</f>
        <v>405941295.2</v>
      </c>
      <c r="U47" s="233">
        <f t="shared" si="57"/>
        <v>291449294.5</v>
      </c>
      <c r="V47" s="233">
        <f t="shared" si="6"/>
        <v>101.4853238</v>
      </c>
      <c r="W47" s="241">
        <f t="shared" si="15"/>
        <v>-0.00002240554506</v>
      </c>
      <c r="X47" s="241">
        <f t="shared" si="16"/>
        <v>-0.005650293027</v>
      </c>
      <c r="Y47" s="241">
        <f t="shared" si="25"/>
        <v>0.001506896915</v>
      </c>
      <c r="Z47" s="233">
        <f t="shared" si="7"/>
        <v>101.8304758</v>
      </c>
      <c r="AA47" s="165"/>
      <c r="AB47" s="245"/>
      <c r="AC47" s="242" t="str">
        <f>IF(ISTEXT(AB47),VLOOKUP(AB47,'Cadastro dos Ativos'!$A$2:$C$1000,3,0),"")</f>
        <v/>
      </c>
      <c r="AD47" s="242" t="str">
        <f>IF(AB47 &lt;&gt; "",IF(AC47="Futuros", (SUMIFS('Alocação'!$O$3:$O$1002,'Alocação'!$C$3:$C$1002,AB47,'Alocação'!$F$3:$F$1002,AB$9,'Alocação'!$B$3:$B$1002,"&lt;="&amp;$B$4)), (SUMIFS('Alocação'!$O$3:$O$1002,'Alocação'!$C$3:$C$1002,AB47,'Alocação'!$F$3:$F$1002,AB$9,'Alocação'!$B$3:$B$1002,"&lt;="&amp;$B$6))),"")</f>
        <v/>
      </c>
      <c r="AE47" s="243" t="str">
        <f>iferror(IF(AC47="Ações Americanas", HLOOKUP(AB47,'Histórico'!$A$1:$DD$990,MATCH($B$6,'Histórico'!$A:$A),FALSE)*HLOOKUP("PTAX",'Histórico'!$A$1:$FG$983,MATCH($B$6,'Histórico'!$A:$A),FALSE),IF(AC47="Ações Europeias", HLOOKUP(AB47,'Histórico'!$A$1:$DD$990,MATCH($B$6,'Histórico'!$A:$A),FALSE)*HLOOKUP("EUR/BRL",'Histórico'!$A$1:$FG$983,MATCH($B$6,'Histórico'!$A:$A),FALSE), HLOOKUP(AB47,'Histórico'!$A$1:$DD$990,MATCH($B$6,'Histórico'!$A:$A),FALSE))),"")</f>
        <v/>
      </c>
      <c r="AF47" s="243" t="str">
        <f t="shared" si="21"/>
        <v/>
      </c>
      <c r="AG47" s="53"/>
      <c r="AH47" s="245"/>
      <c r="AI47" s="242" t="str">
        <f>IF(ISTEXT(AH47),VLOOKUP(AH47,'Cadastro dos Ativos'!$A$2:$C$1000,3,0),"")</f>
        <v/>
      </c>
      <c r="AJ47" s="242" t="str">
        <f>IF(AH47 &lt;&gt; "",IF(AI47="Futuros", (SUMIFS('Alocação'!$O$3:$O$1002,'Alocação'!$C$3:$C$1002,AH47,'Alocação'!$F$3:$F$1002,AH$9,'Alocação'!$B$3:$B$1002,"&lt;="&amp;$B$4)), (SUMIFS('Alocação'!$O$3:$O$1002,'Alocação'!$C$3:$C$1002,AH47,'Alocação'!$F$3:$F$1002,AH$9,'Alocação'!$B$3:$B$1002,"&lt;="&amp;$B$6))),"")</f>
        <v/>
      </c>
      <c r="AK47" s="243" t="str">
        <f>iferror(IF(AI47="Ações Americanas", HLOOKUP(AH47,'Histórico'!$A$1:$DD$990,MATCH($B$6,'Histórico'!$A:$A),FALSE)*HLOOKUP("PTAX",'Histórico'!$A$1:$FG$983,MATCH($B$6,'Histórico'!$A:$A),FALSE),IF(AI47="Ações Europeias", HLOOKUP(AH47,'Histórico'!$A$1:$DD$990,MATCH($B$6,'Histórico'!$A:$A),FALSE)*HLOOKUP("EUR/BRL",'Histórico'!$A$1:$FG$983,MATCH($B$6,'Histórico'!$A:$A),FALSE),  HLOOKUP(AH47,'Histórico'!$A$1:$DD$990,MATCH($B$6,'Histórico'!$A:$A),FALSE))),"")</f>
        <v/>
      </c>
      <c r="AL47" s="243" t="str">
        <f t="shared" si="17"/>
        <v/>
      </c>
      <c r="AM47" s="53"/>
      <c r="AN47" s="245"/>
      <c r="AO47" s="242" t="str">
        <f>IF(ISTEXT(AN47),VLOOKUP(AN47,'Cadastro dos Ativos'!$A$2:$C$1000,3,0),"")</f>
        <v/>
      </c>
      <c r="AP47" s="242" t="str">
        <f>IF(AN47 &lt;&gt; "",IF(AO47="Futuros", (SUMIFS('Alocação'!$O$3:$O$1002,'Alocação'!$C$3:$C$1002,AN47,'Alocação'!$F$3:$F$1002,AN$9,'Alocação'!$B$3:$B$1002,"&lt;="&amp;$B$4)), (SUMIFS('Alocação'!$O$3:$O$1002,'Alocação'!$C$3:$C$1002,AN47,'Alocação'!$F$3:$F$1002,AN$9,'Alocação'!$B$3:$B$1002,"&lt;="&amp;$B$6))),"")</f>
        <v/>
      </c>
      <c r="AQ47" s="243" t="str">
        <f>iferror(IF(AO47="Ações Americanas", HLOOKUP(AN47,'Histórico'!$A$1:$DD$990,MATCH($B$6,'Histórico'!$A:$A),FALSE)*HLOOKUP("PTAX",'Histórico'!$A$1:$FG$983,MATCH($B$6,'Histórico'!$A:$A),FALSE),IF(AO47="Ações Europeias", HLOOKUP(AN47,'Histórico'!$A$1:$DD$990,MATCH($B$6,'Histórico'!$A:$A),FALSE)*HLOOKUP("EUR/BRL",'Histórico'!$A$1:$FG$983,MATCH($B$6,'Histórico'!$A:$A),FALSE),  HLOOKUP(AN47,'Histórico'!$A$1:$DD$990,MATCH($B$6,'Histórico'!$A:$A),FALSE))),"")</f>
        <v/>
      </c>
      <c r="AR47" s="243" t="str">
        <f t="shared" si="18"/>
        <v/>
      </c>
      <c r="AS47" s="53"/>
      <c r="AT47" s="245"/>
      <c r="AU47" s="242" t="str">
        <f>IF(ISTEXT(AT47),VLOOKUP(AT47,'Cadastro dos Ativos'!$A$2:$C$1000,3,0),"")</f>
        <v/>
      </c>
      <c r="AV47" s="242" t="str">
        <f>IF(AT47 &lt;&gt; "",IF(AU47="Futuros", (SUMIFS('Alocação'!$O$3:$O$1002,'Alocação'!$C$3:$C$1002,AT47,'Alocação'!$F$3:$F$1002,AT$9,'Alocação'!$B$3:$B$1002,"&lt;="&amp;$B$4)), (SUMIFS('Alocação'!$O$3:$O$1002,'Alocação'!$C$3:$C$1002,AT47,'Alocação'!$F$3:$F$1002,AT$9,'Alocação'!$B$3:$B$1002,"&lt;="&amp;$B$6))),"")</f>
        <v/>
      </c>
      <c r="AW47" s="243" t="str">
        <f>iferror(IF(AU47="Ações Americanas", HLOOKUP(AT47,'Histórico'!$A$1:$DD$990,MATCH($B$6,'Histórico'!$A:$A),FALSE)*HLOOKUP("PTAX",'Histórico'!$A$1:$FG$983,MATCH($B$6,'Histórico'!$A:$A),FALSE),IF(AU47="Ações Europeias", HLOOKUP(AT47,'Histórico'!$A$1:$DD$990,MATCH($B$6,'Histórico'!$A:$A),FALSE)*HLOOKUP("EUR/BRL",'Histórico'!$A$1:$FG$983,MATCH($B$6,'Histórico'!$A:$A),FALSE),  HLOOKUP(AT47,'Histórico'!$A$1:$DD$990,MATCH($B$6,'Histórico'!$A:$A),FALSE))),"")</f>
        <v/>
      </c>
      <c r="AX47" s="243" t="str">
        <f t="shared" si="27"/>
        <v/>
      </c>
      <c r="AY47" s="183"/>
    </row>
    <row r="48" ht="15.75" customHeight="1">
      <c r="A48" s="176"/>
      <c r="B48" s="232">
        <v>45062.0</v>
      </c>
      <c r="C48" s="233">
        <v>1.020457996005582E8</v>
      </c>
      <c r="D48" s="233">
        <v>1.187272828762468E8</v>
      </c>
      <c r="E48" s="234"/>
      <c r="F48" s="233">
        <v>1.032408996214113E8</v>
      </c>
      <c r="G48" s="233">
        <v>1.384907008764884E8</v>
      </c>
      <c r="H48" s="234"/>
      <c r="I48" s="233">
        <v>1.001202188016003E8</v>
      </c>
      <c r="J48" s="233">
        <v>7.597504393075465E7</v>
      </c>
      <c r="K48" s="234"/>
      <c r="L48" s="233">
        <v>1.019502117142167E8</v>
      </c>
      <c r="M48" s="233">
        <v>9.419602402576973E7</v>
      </c>
      <c r="N48" s="240">
        <f t="shared" si="9"/>
        <v>0.0004715171125</v>
      </c>
      <c r="O48" s="240">
        <f t="shared" si="10"/>
        <v>0.004937871028</v>
      </c>
      <c r="P48" s="240">
        <f t="shared" si="11"/>
        <v>0.008093895472</v>
      </c>
      <c r="Q48" s="240">
        <f t="shared" si="12"/>
        <v>0.0005554743113</v>
      </c>
      <c r="R48" s="236">
        <f t="shared" si="13"/>
        <v>101.8804104</v>
      </c>
      <c r="S48" s="177"/>
      <c r="T48" s="233">
        <f t="shared" ref="T48:U48" si="58">IF(AND(C48&lt;&gt;"",F48&lt;&gt;"",I48&lt;&gt;""), SUM(I48,F48,C48,L48),"")</f>
        <v>407357129.7</v>
      </c>
      <c r="U48" s="233">
        <f t="shared" si="58"/>
        <v>427389051.7</v>
      </c>
      <c r="V48" s="233">
        <f t="shared" si="6"/>
        <v>101.8392824</v>
      </c>
      <c r="W48" s="241">
        <f t="shared" si="15"/>
        <v>0.003487781508</v>
      </c>
      <c r="X48" s="241">
        <f t="shared" si="16"/>
        <v>-0.002182218507</v>
      </c>
      <c r="Y48" s="241">
        <f t="shared" si="25"/>
        <v>0.002205464406</v>
      </c>
      <c r="Z48" s="233">
        <f t="shared" si="7"/>
        <v>101.8804104</v>
      </c>
      <c r="AA48" s="165"/>
      <c r="AB48" s="245"/>
      <c r="AC48" s="242" t="str">
        <f>IF(ISTEXT(AB48),VLOOKUP(AB48,'Cadastro dos Ativos'!$A$2:$C$1000,3,0),"")</f>
        <v/>
      </c>
      <c r="AD48" s="242" t="str">
        <f>IF(AB48 &lt;&gt; "",IF(AC48="Futuros", (SUMIFS('Alocação'!$O$3:$O$1002,'Alocação'!$C$3:$C$1002,AB48,'Alocação'!$F$3:$F$1002,AB$9,'Alocação'!$B$3:$B$1002,"&lt;="&amp;$B$4)), (SUMIFS('Alocação'!$O$3:$O$1002,'Alocação'!$C$3:$C$1002,AB48,'Alocação'!$F$3:$F$1002,AB$9,'Alocação'!$B$3:$B$1002,"&lt;="&amp;$B$6))),"")</f>
        <v/>
      </c>
      <c r="AE48" s="243" t="str">
        <f>iferror(IF(AC48="Ações Americanas", HLOOKUP(AB48,'Histórico'!$A$1:$DD$990,MATCH($B$6,'Histórico'!$A:$A),FALSE)*HLOOKUP("PTAX",'Histórico'!$A$1:$FG$983,MATCH($B$6,'Histórico'!$A:$A),FALSE),IF(AC48="Ações Europeias", HLOOKUP(AB48,'Histórico'!$A$1:$DD$990,MATCH($B$6,'Histórico'!$A:$A),FALSE)*HLOOKUP("EUR/BRL",'Histórico'!$A$1:$FG$983,MATCH($B$6,'Histórico'!$A:$A),FALSE), HLOOKUP(AB48,'Histórico'!$A$1:$DD$990,MATCH($B$6,'Histórico'!$A:$A),FALSE))),"")</f>
        <v/>
      </c>
      <c r="AF48" s="243" t="str">
        <f t="shared" si="21"/>
        <v/>
      </c>
      <c r="AG48" s="53"/>
      <c r="AH48" s="245"/>
      <c r="AI48" s="242" t="str">
        <f>IF(ISTEXT(AH48),VLOOKUP(AH48,'Cadastro dos Ativos'!$A$2:$C$1000,3,0),"")</f>
        <v/>
      </c>
      <c r="AJ48" s="242" t="str">
        <f>IF(AH48 &lt;&gt; "",IF(AI48="Futuros", (SUMIFS('Alocação'!$O$3:$O$1002,'Alocação'!$C$3:$C$1002,AH48,'Alocação'!$F$3:$F$1002,AH$9,'Alocação'!$B$3:$B$1002,"&lt;="&amp;$B$4)), (SUMIFS('Alocação'!$O$3:$O$1002,'Alocação'!$C$3:$C$1002,AH48,'Alocação'!$F$3:$F$1002,AH$9,'Alocação'!$B$3:$B$1002,"&lt;="&amp;$B$6))),"")</f>
        <v/>
      </c>
      <c r="AK48" s="243" t="str">
        <f>iferror(IF(AI48="Ações Americanas", HLOOKUP(AH48,'Histórico'!$A$1:$DD$990,MATCH($B$6,'Histórico'!$A:$A),FALSE)*HLOOKUP("PTAX",'Histórico'!$A$1:$FG$983,MATCH($B$6,'Histórico'!$A:$A),FALSE),IF(AI48="Ações Europeias", HLOOKUP(AH48,'Histórico'!$A$1:$DD$990,MATCH($B$6,'Histórico'!$A:$A),FALSE)*HLOOKUP("EUR/BRL",'Histórico'!$A$1:$FG$983,MATCH($B$6,'Histórico'!$A:$A),FALSE),  HLOOKUP(AH48,'Histórico'!$A$1:$DD$990,MATCH($B$6,'Histórico'!$A:$A),FALSE))),"")</f>
        <v/>
      </c>
      <c r="AL48" s="243" t="str">
        <f t="shared" si="17"/>
        <v/>
      </c>
      <c r="AM48" s="53"/>
      <c r="AN48" s="245"/>
      <c r="AO48" s="242" t="str">
        <f>IF(ISTEXT(AN48),VLOOKUP(AN48,'Cadastro dos Ativos'!$A$2:$C$1000,3,0),"")</f>
        <v/>
      </c>
      <c r="AP48" s="242" t="str">
        <f>IF(AN48 &lt;&gt; "",IF(AO48="Futuros", (SUMIFS('Alocação'!$O$3:$O$1002,'Alocação'!$C$3:$C$1002,AN48,'Alocação'!$F$3:$F$1002,AN$9,'Alocação'!$B$3:$B$1002,"&lt;="&amp;$B$4)), (SUMIFS('Alocação'!$O$3:$O$1002,'Alocação'!$C$3:$C$1002,AN48,'Alocação'!$F$3:$F$1002,AN$9,'Alocação'!$B$3:$B$1002,"&lt;="&amp;$B$6))),"")</f>
        <v/>
      </c>
      <c r="AQ48" s="243" t="str">
        <f>iferror(IF(AO48="Ações Americanas", HLOOKUP(AN48,'Histórico'!$A$1:$DD$990,MATCH($B$6,'Histórico'!$A:$A),FALSE)*HLOOKUP("PTAX",'Histórico'!$A$1:$FG$983,MATCH($B$6,'Histórico'!$A:$A),FALSE),IF(AO48="Ações Europeias", HLOOKUP(AN48,'Histórico'!$A$1:$DD$990,MATCH($B$6,'Histórico'!$A:$A),FALSE)*HLOOKUP("EUR/BRL",'Histórico'!$A$1:$FG$983,MATCH($B$6,'Histórico'!$A:$A),FALSE),  HLOOKUP(AN48,'Histórico'!$A$1:$DD$990,MATCH($B$6,'Histórico'!$A:$A),FALSE))),"")</f>
        <v/>
      </c>
      <c r="AR48" s="243" t="str">
        <f t="shared" si="18"/>
        <v/>
      </c>
      <c r="AS48" s="53"/>
      <c r="AT48" s="245"/>
      <c r="AU48" s="242" t="str">
        <f>IF(ISTEXT(AT48),VLOOKUP(AT48,'Cadastro dos Ativos'!$A$2:$C$1000,3,0),"")</f>
        <v/>
      </c>
      <c r="AV48" s="242" t="str">
        <f>IF(AT48 &lt;&gt; "",IF(AU48="Futuros", (SUMIFS('Alocação'!$O$3:$O$1002,'Alocação'!$C$3:$C$1002,AT48,'Alocação'!$F$3:$F$1002,AT$9,'Alocação'!$B$3:$B$1002,"&lt;="&amp;$B$4)), (SUMIFS('Alocação'!$O$3:$O$1002,'Alocação'!$C$3:$C$1002,AT48,'Alocação'!$F$3:$F$1002,AT$9,'Alocação'!$B$3:$B$1002,"&lt;="&amp;$B$6))),"")</f>
        <v/>
      </c>
      <c r="AW48" s="243" t="str">
        <f>iferror(IF(AU48="Ações Americanas", HLOOKUP(AT48,'Histórico'!$A$1:$DD$990,MATCH($B$6,'Histórico'!$A:$A),FALSE)*HLOOKUP("PTAX",'Histórico'!$A$1:$FG$983,MATCH($B$6,'Histórico'!$A:$A),FALSE),IF(AU48="Ações Europeias", HLOOKUP(AT48,'Histórico'!$A$1:$DD$990,MATCH($B$6,'Histórico'!$A:$A),FALSE)*HLOOKUP("EUR/BRL",'Histórico'!$A$1:$FG$983,MATCH($B$6,'Histórico'!$A:$A),FALSE),  HLOOKUP(AT48,'Histórico'!$A$1:$DD$990,MATCH($B$6,'Histórico'!$A:$A),FALSE))),"")</f>
        <v/>
      </c>
      <c r="AX48" s="243" t="str">
        <f t="shared" si="27"/>
        <v/>
      </c>
      <c r="AY48" s="183"/>
    </row>
    <row r="49" ht="15.75" customHeight="1">
      <c r="A49" s="176"/>
      <c r="B49" s="232">
        <v>45063.0</v>
      </c>
      <c r="C49" s="233">
        <v>1.019735688870279E8</v>
      </c>
      <c r="D49" s="233">
        <v>1.085660817694921E8</v>
      </c>
      <c r="E49" s="234"/>
      <c r="F49" s="233">
        <v>1.027323127361618E8</v>
      </c>
      <c r="G49" s="233">
        <v>1.383144554957266E8</v>
      </c>
      <c r="H49" s="234"/>
      <c r="I49" s="233">
        <v>1.013883717498133E8</v>
      </c>
      <c r="J49" s="233">
        <v>7.693661347901633E7</v>
      </c>
      <c r="K49" s="234"/>
      <c r="L49" s="233">
        <v>1.022385264817423E8</v>
      </c>
      <c r="M49" s="233">
        <v>9.423784072294085E7</v>
      </c>
      <c r="N49" s="240">
        <f t="shared" si="9"/>
        <v>-0.0007078264251</v>
      </c>
      <c r="O49" s="240">
        <f t="shared" si="10"/>
        <v>-0.004926215164</v>
      </c>
      <c r="P49" s="240">
        <f t="shared" si="11"/>
        <v>0.01266630221</v>
      </c>
      <c r="Q49" s="240">
        <f t="shared" si="12"/>
        <v>0.00282799577</v>
      </c>
      <c r="R49" s="236">
        <f t="shared" si="13"/>
        <v>101.9303695</v>
      </c>
      <c r="S49" s="177"/>
      <c r="T49" s="233">
        <f t="shared" ref="T49:U49" si="59">IF(AND(C49&lt;&gt;"",F49&lt;&gt;"",I49&lt;&gt;""), SUM(I49,F49,C49,L49),"")</f>
        <v>408332779.9</v>
      </c>
      <c r="U49" s="233">
        <f t="shared" si="59"/>
        <v>418054991.5</v>
      </c>
      <c r="V49" s="233">
        <f t="shared" si="6"/>
        <v>102.083195</v>
      </c>
      <c r="W49" s="241">
        <f t="shared" si="15"/>
        <v>0.002395073133</v>
      </c>
      <c r="X49" s="241">
        <f t="shared" si="16"/>
        <v>0</v>
      </c>
      <c r="Y49" s="241">
        <f t="shared" si="25"/>
        <v>0.00243290014</v>
      </c>
      <c r="Z49" s="233">
        <f t="shared" si="7"/>
        <v>101.9303695</v>
      </c>
      <c r="AA49" s="165"/>
      <c r="AB49" s="245"/>
      <c r="AC49" s="242" t="str">
        <f>IF(ISTEXT(AB49),VLOOKUP(AB49,'Cadastro dos Ativos'!$A$2:$C$1000,3,0),"")</f>
        <v/>
      </c>
      <c r="AD49" s="242" t="str">
        <f>IF(AB49 &lt;&gt; "",IF(AC49="Futuros", (SUMIFS('Alocação'!$O$3:$O$1002,'Alocação'!$C$3:$C$1002,AB49,'Alocação'!$F$3:$F$1002,AB$9,'Alocação'!$B$3:$B$1002,"&lt;="&amp;$B$4)), (SUMIFS('Alocação'!$O$3:$O$1002,'Alocação'!$C$3:$C$1002,AB49,'Alocação'!$F$3:$F$1002,AB$9,'Alocação'!$B$3:$B$1002,"&lt;="&amp;$B$6))),"")</f>
        <v/>
      </c>
      <c r="AE49" s="243" t="str">
        <f>iferror(IF(AC49="Ações Americanas", HLOOKUP(AB49,'Histórico'!$A$1:$DD$990,MATCH($B$6,'Histórico'!$A:$A),FALSE)*HLOOKUP("PTAX",'Histórico'!$A$1:$FG$983,MATCH($B$6,'Histórico'!$A:$A),FALSE),IF(AC49="Ações Europeias", HLOOKUP(AB49,'Histórico'!$A$1:$DD$990,MATCH($B$6,'Histórico'!$A:$A),FALSE)*HLOOKUP("EUR/BRL",'Histórico'!$A$1:$FG$983,MATCH($B$6,'Histórico'!$A:$A),FALSE), HLOOKUP(AB49,'Histórico'!$A$1:$DD$990,MATCH($B$6,'Histórico'!$A:$A),FALSE))),"")</f>
        <v/>
      </c>
      <c r="AF49" s="243" t="str">
        <f t="shared" si="21"/>
        <v/>
      </c>
      <c r="AG49" s="53"/>
      <c r="AH49" s="245"/>
      <c r="AI49" s="242" t="str">
        <f>IF(ISTEXT(AH49),VLOOKUP(AH49,'Cadastro dos Ativos'!$A$2:$C$1000,3,0),"")</f>
        <v/>
      </c>
      <c r="AJ49" s="242" t="str">
        <f>IF(AH49 &lt;&gt; "",IF(AI49="Futuros", (SUMIFS('Alocação'!$O$3:$O$1002,'Alocação'!$C$3:$C$1002,AH49,'Alocação'!$F$3:$F$1002,AH$9,'Alocação'!$B$3:$B$1002,"&lt;="&amp;$B$4)), (SUMIFS('Alocação'!$O$3:$O$1002,'Alocação'!$C$3:$C$1002,AH49,'Alocação'!$F$3:$F$1002,AH$9,'Alocação'!$B$3:$B$1002,"&lt;="&amp;$B$6))),"")</f>
        <v/>
      </c>
      <c r="AK49" s="243" t="str">
        <f>iferror(IF(AI49="Ações Americanas", HLOOKUP(AH49,'Histórico'!$A$1:$DD$990,MATCH($B$6,'Histórico'!$A:$A),FALSE)*HLOOKUP("PTAX",'Histórico'!$A$1:$FG$983,MATCH($B$6,'Histórico'!$A:$A),FALSE),IF(AI49="Ações Europeias", HLOOKUP(AH49,'Histórico'!$A$1:$DD$990,MATCH($B$6,'Histórico'!$A:$A),FALSE)*HLOOKUP("EUR/BRL",'Histórico'!$A$1:$FG$983,MATCH($B$6,'Histórico'!$A:$A),FALSE),  HLOOKUP(AH49,'Histórico'!$A$1:$DD$990,MATCH($B$6,'Histórico'!$A:$A),FALSE))),"")</f>
        <v/>
      </c>
      <c r="AL49" s="243" t="str">
        <f t="shared" si="17"/>
        <v/>
      </c>
      <c r="AM49" s="53"/>
      <c r="AN49" s="245"/>
      <c r="AO49" s="242" t="str">
        <f>IF(ISTEXT(AN49),VLOOKUP(AN49,'Cadastro dos Ativos'!$A$2:$C$1000,3,0),"")</f>
        <v/>
      </c>
      <c r="AP49" s="242" t="str">
        <f>IF(AN49 &lt;&gt; "",IF(AO49="Futuros", (SUMIFS('Alocação'!$O$3:$O$1002,'Alocação'!$C$3:$C$1002,AN49,'Alocação'!$F$3:$F$1002,AN$9,'Alocação'!$B$3:$B$1002,"&lt;="&amp;$B$4)), (SUMIFS('Alocação'!$O$3:$O$1002,'Alocação'!$C$3:$C$1002,AN49,'Alocação'!$F$3:$F$1002,AN$9,'Alocação'!$B$3:$B$1002,"&lt;="&amp;$B$6))),"")</f>
        <v/>
      </c>
      <c r="AQ49" s="243" t="str">
        <f>iferror(IF(AO49="Ações Americanas", HLOOKUP(AN49,'Histórico'!$A$1:$DD$990,MATCH($B$6,'Histórico'!$A:$A),FALSE)*HLOOKUP("PTAX",'Histórico'!$A$1:$FG$983,MATCH($B$6,'Histórico'!$A:$A),FALSE),IF(AO49="Ações Europeias", HLOOKUP(AN49,'Histórico'!$A$1:$DD$990,MATCH($B$6,'Histórico'!$A:$A),FALSE)*HLOOKUP("EUR/BRL",'Histórico'!$A$1:$FG$983,MATCH($B$6,'Histórico'!$A:$A),FALSE),  HLOOKUP(AN49,'Histórico'!$A$1:$DD$990,MATCH($B$6,'Histórico'!$A:$A),FALSE))),"")</f>
        <v/>
      </c>
      <c r="AR49" s="243" t="str">
        <f t="shared" si="18"/>
        <v/>
      </c>
      <c r="AS49" s="53"/>
      <c r="AT49" s="245"/>
      <c r="AU49" s="242" t="str">
        <f>IF(ISTEXT(AT49),VLOOKUP(AT49,'Cadastro dos Ativos'!$A$2:$C$1000,3,0),"")</f>
        <v/>
      </c>
      <c r="AV49" s="242" t="str">
        <f>IF(AT49 &lt;&gt; "",IF(AU49="Futuros", (SUMIFS('Alocação'!$O$3:$O$1002,'Alocação'!$C$3:$C$1002,AT49,'Alocação'!$F$3:$F$1002,AT$9,'Alocação'!$B$3:$B$1002,"&lt;="&amp;$B$4)), (SUMIFS('Alocação'!$O$3:$O$1002,'Alocação'!$C$3:$C$1002,AT49,'Alocação'!$F$3:$F$1002,AT$9,'Alocação'!$B$3:$B$1002,"&lt;="&amp;$B$6))),"")</f>
        <v/>
      </c>
      <c r="AW49" s="243" t="str">
        <f>iferror(IF(AU49="Ações Americanas", HLOOKUP(AT49,'Histórico'!$A$1:$DD$990,MATCH($B$6,'Histórico'!$A:$A),FALSE)*HLOOKUP("PTAX",'Histórico'!$A$1:$FG$983,MATCH($B$6,'Histórico'!$A:$A),FALSE),IF(AU49="Ações Europeias", HLOOKUP(AT49,'Histórico'!$A$1:$DD$990,MATCH($B$6,'Histórico'!$A:$A),FALSE)*HLOOKUP("EUR/BRL",'Histórico'!$A$1:$FG$983,MATCH($B$6,'Histórico'!$A:$A),FALSE),  HLOOKUP(AT49,'Histórico'!$A$1:$DD$990,MATCH($B$6,'Histórico'!$A:$A),FALSE))),"")</f>
        <v/>
      </c>
      <c r="AX49" s="243" t="str">
        <f t="shared" si="27"/>
        <v/>
      </c>
      <c r="AY49" s="183"/>
    </row>
    <row r="50" ht="15.75" customHeight="1">
      <c r="A50" s="176"/>
      <c r="B50" s="232">
        <v>45064.0</v>
      </c>
      <c r="C50" s="233">
        <v>1.022364891742787E8</v>
      </c>
      <c r="D50" s="233">
        <v>1.087057545515656E8</v>
      </c>
      <c r="E50" s="234"/>
      <c r="F50" s="233">
        <v>1.023061785063265E8</v>
      </c>
      <c r="G50" s="233">
        <v>1.379863878525749E8</v>
      </c>
      <c r="H50" s="234"/>
      <c r="I50" s="233">
        <v>1.025227932926944E8</v>
      </c>
      <c r="J50" s="233">
        <v>7.766113236225352E7</v>
      </c>
      <c r="K50" s="234"/>
      <c r="L50" s="233">
        <v>1.024752471847354E8</v>
      </c>
      <c r="M50" s="233">
        <v>9.427966162331873E7</v>
      </c>
      <c r="N50" s="240">
        <f t="shared" si="9"/>
        <v>0.002578317991</v>
      </c>
      <c r="O50" s="240">
        <f t="shared" si="10"/>
        <v>-0.004148005807</v>
      </c>
      <c r="P50" s="240">
        <f t="shared" si="11"/>
        <v>0.01118887229</v>
      </c>
      <c r="Q50" s="240">
        <f t="shared" si="12"/>
        <v>0.002315376709</v>
      </c>
      <c r="R50" s="236">
        <f t="shared" si="13"/>
        <v>101.9803531</v>
      </c>
      <c r="S50" s="177"/>
      <c r="T50" s="233">
        <f t="shared" ref="T50:U50" si="60">IF(AND(C50&lt;&gt;"",F50&lt;&gt;"",I50&lt;&gt;""), SUM(I50,F50,C50,L50),"")</f>
        <v>409540708.2</v>
      </c>
      <c r="U50" s="233">
        <f t="shared" si="60"/>
        <v>418632936.4</v>
      </c>
      <c r="V50" s="233">
        <f t="shared" si="6"/>
        <v>102.385177</v>
      </c>
      <c r="W50" s="241">
        <f t="shared" si="15"/>
        <v>0.002958195773</v>
      </c>
      <c r="X50" s="241">
        <f t="shared" si="16"/>
        <v>0</v>
      </c>
      <c r="Y50" s="241">
        <f t="shared" si="25"/>
        <v>0.001988748672</v>
      </c>
      <c r="Z50" s="233">
        <f t="shared" si="7"/>
        <v>101.9803531</v>
      </c>
      <c r="AA50" s="165"/>
      <c r="AB50" s="245"/>
      <c r="AC50" s="242" t="str">
        <f>IF(ISTEXT(AB50),VLOOKUP(AB50,'Cadastro dos Ativos'!$A$2:$C$1000,3,0),"")</f>
        <v/>
      </c>
      <c r="AD50" s="242" t="str">
        <f>IF(AB50 &lt;&gt; "",IF(AC50="Futuros", (SUMIFS('Alocação'!$O$3:$O$1002,'Alocação'!$C$3:$C$1002,AB50,'Alocação'!$F$3:$F$1002,AB$9,'Alocação'!$B$3:$B$1002,"&lt;="&amp;$B$4)), (SUMIFS('Alocação'!$O$3:$O$1002,'Alocação'!$C$3:$C$1002,AB50,'Alocação'!$F$3:$F$1002,AB$9,'Alocação'!$B$3:$B$1002,"&lt;="&amp;$B$6))),"")</f>
        <v/>
      </c>
      <c r="AE50" s="243" t="str">
        <f>iferror(IF(AC50="Ações Americanas", HLOOKUP(AB50,'Histórico'!$A$1:$DD$990,MATCH($B$6,'Histórico'!$A:$A),FALSE)*HLOOKUP("PTAX",'Histórico'!$A$1:$FG$983,MATCH($B$6,'Histórico'!$A:$A),FALSE),IF(AC50="Ações Europeias", HLOOKUP(AB50,'Histórico'!$A$1:$DD$990,MATCH($B$6,'Histórico'!$A:$A),FALSE)*HLOOKUP("EUR/BRL",'Histórico'!$A$1:$FG$983,MATCH($B$6,'Histórico'!$A:$A),FALSE), HLOOKUP(AB50,'Histórico'!$A$1:$DD$990,MATCH($B$6,'Histórico'!$A:$A),FALSE))),"")</f>
        <v/>
      </c>
      <c r="AF50" s="243" t="str">
        <f t="shared" si="21"/>
        <v/>
      </c>
      <c r="AG50" s="53"/>
      <c r="AH50" s="245"/>
      <c r="AI50" s="242" t="str">
        <f>IF(ISTEXT(AH50),VLOOKUP(AH50,'Cadastro dos Ativos'!$A$2:$C$1000,3,0),"")</f>
        <v/>
      </c>
      <c r="AJ50" s="242" t="str">
        <f>IF(AH50 &lt;&gt; "",IF(AI50="Futuros", (SUMIFS('Alocação'!$O$3:$O$1002,'Alocação'!$C$3:$C$1002,AH50,'Alocação'!$F$3:$F$1002,AH$9,'Alocação'!$B$3:$B$1002,"&lt;="&amp;$B$4)), (SUMIFS('Alocação'!$O$3:$O$1002,'Alocação'!$C$3:$C$1002,AH50,'Alocação'!$F$3:$F$1002,AH$9,'Alocação'!$B$3:$B$1002,"&lt;="&amp;$B$6))),"")</f>
        <v/>
      </c>
      <c r="AK50" s="243" t="str">
        <f>iferror(IF(AI50="Ações Americanas", HLOOKUP(AH50,'Histórico'!$A$1:$DD$990,MATCH($B$6,'Histórico'!$A:$A),FALSE)*HLOOKUP("PTAX",'Histórico'!$A$1:$FG$983,MATCH($B$6,'Histórico'!$A:$A),FALSE),IF(AI50="Ações Europeias", HLOOKUP(AH50,'Histórico'!$A$1:$DD$990,MATCH($B$6,'Histórico'!$A:$A),FALSE)*HLOOKUP("EUR/BRL",'Histórico'!$A$1:$FG$983,MATCH($B$6,'Histórico'!$A:$A),FALSE),  HLOOKUP(AH50,'Histórico'!$A$1:$DD$990,MATCH($B$6,'Histórico'!$A:$A),FALSE))),"")</f>
        <v/>
      </c>
      <c r="AL50" s="243" t="str">
        <f t="shared" si="17"/>
        <v/>
      </c>
      <c r="AM50" s="53"/>
      <c r="AN50" s="245"/>
      <c r="AO50" s="242" t="str">
        <f>IF(ISTEXT(AN50),VLOOKUP(AN50,'Cadastro dos Ativos'!$A$2:$C$1000,3,0),"")</f>
        <v/>
      </c>
      <c r="AP50" s="242" t="str">
        <f>IF(AN50 &lt;&gt; "",IF(AO50="Futuros", (SUMIFS('Alocação'!$O$3:$O$1002,'Alocação'!$C$3:$C$1002,AN50,'Alocação'!$F$3:$F$1002,AN$9,'Alocação'!$B$3:$B$1002,"&lt;="&amp;$B$4)), (SUMIFS('Alocação'!$O$3:$O$1002,'Alocação'!$C$3:$C$1002,AN50,'Alocação'!$F$3:$F$1002,AN$9,'Alocação'!$B$3:$B$1002,"&lt;="&amp;$B$6))),"")</f>
        <v/>
      </c>
      <c r="AQ50" s="243" t="str">
        <f>iferror(IF(AO50="Ações Americanas", HLOOKUP(AN50,'Histórico'!$A$1:$DD$990,MATCH($B$6,'Histórico'!$A:$A),FALSE)*HLOOKUP("PTAX",'Histórico'!$A$1:$FG$983,MATCH($B$6,'Histórico'!$A:$A),FALSE),IF(AO50="Ações Europeias", HLOOKUP(AN50,'Histórico'!$A$1:$DD$990,MATCH($B$6,'Histórico'!$A:$A),FALSE)*HLOOKUP("EUR/BRL",'Histórico'!$A$1:$FG$983,MATCH($B$6,'Histórico'!$A:$A),FALSE),  HLOOKUP(AN50,'Histórico'!$A$1:$DD$990,MATCH($B$6,'Histórico'!$A:$A),FALSE))),"")</f>
        <v/>
      </c>
      <c r="AR50" s="243" t="str">
        <f t="shared" si="18"/>
        <v/>
      </c>
      <c r="AS50" s="53"/>
      <c r="AT50" s="245"/>
      <c r="AU50" s="242" t="str">
        <f>IF(ISTEXT(AT50),VLOOKUP(AT50,'Cadastro dos Ativos'!$A$2:$C$1000,3,0),"")</f>
        <v/>
      </c>
      <c r="AV50" s="242" t="str">
        <f>IF(AT50 &lt;&gt; "",IF(AU50="Futuros", (SUMIFS('Alocação'!$O$3:$O$1002,'Alocação'!$C$3:$C$1002,AT50,'Alocação'!$F$3:$F$1002,AT$9,'Alocação'!$B$3:$B$1002,"&lt;="&amp;$B$4)), (SUMIFS('Alocação'!$O$3:$O$1002,'Alocação'!$C$3:$C$1002,AT50,'Alocação'!$F$3:$F$1002,AT$9,'Alocação'!$B$3:$B$1002,"&lt;="&amp;$B$6))),"")</f>
        <v/>
      </c>
      <c r="AW50" s="243" t="str">
        <f>iferror(IF(AU50="Ações Americanas", HLOOKUP(AT50,'Histórico'!$A$1:$DD$990,MATCH($B$6,'Histórico'!$A:$A),FALSE)*HLOOKUP("PTAX",'Histórico'!$A$1:$FG$983,MATCH($B$6,'Histórico'!$A:$A),FALSE),IF(AU50="Ações Europeias", HLOOKUP(AT50,'Histórico'!$A$1:$DD$990,MATCH($B$6,'Histórico'!$A:$A),FALSE)*HLOOKUP("EUR/BRL",'Histórico'!$A$1:$FG$983,MATCH($B$6,'Histórico'!$A:$A),FALSE),  HLOOKUP(AT50,'Histórico'!$A$1:$DD$990,MATCH($B$6,'Histórico'!$A:$A),FALSE))),"")</f>
        <v/>
      </c>
      <c r="AX50" s="243" t="str">
        <f t="shared" si="27"/>
        <v/>
      </c>
      <c r="AY50" s="183"/>
    </row>
    <row r="51" ht="15.75" customHeight="1">
      <c r="A51" s="176"/>
      <c r="B51" s="232">
        <v>45065.0</v>
      </c>
      <c r="C51" s="233">
        <v>1.023114409529871E8</v>
      </c>
      <c r="D51" s="233">
        <v>1.087384723363901E8</v>
      </c>
      <c r="E51" s="234"/>
      <c r="F51" s="233">
        <v>1.020912856914477E8</v>
      </c>
      <c r="G51" s="233">
        <v>1.379496405679478E8</v>
      </c>
      <c r="H51" s="234"/>
      <c r="I51" s="233">
        <v>1.025923612500069E8</v>
      </c>
      <c r="J51" s="233">
        <v>7.061309288849941E7</v>
      </c>
      <c r="K51" s="234"/>
      <c r="L51" s="233">
        <v>1.025544754891158E8</v>
      </c>
      <c r="M51" s="233">
        <v>8.436058971827035E7</v>
      </c>
      <c r="N51" s="240">
        <f t="shared" si="9"/>
        <v>0.0007331216018</v>
      </c>
      <c r="O51" s="240">
        <f t="shared" si="10"/>
        <v>-0.002100487165</v>
      </c>
      <c r="P51" s="240">
        <f t="shared" si="11"/>
        <v>0.0006785608846</v>
      </c>
      <c r="Q51" s="240">
        <f t="shared" si="12"/>
        <v>0.0007731457748</v>
      </c>
      <c r="R51" s="236">
        <f t="shared" si="13"/>
        <v>102.0303612</v>
      </c>
      <c r="S51" s="177"/>
      <c r="T51" s="233">
        <f t="shared" ref="T51:U51" si="61">IF(AND(C51&lt;&gt;"",F51&lt;&gt;"",I51&lt;&gt;""), SUM(I51,F51,C51,L51),"")</f>
        <v>409549563.4</v>
      </c>
      <c r="U51" s="233">
        <f t="shared" si="61"/>
        <v>401661795.5</v>
      </c>
      <c r="V51" s="233">
        <f t="shared" si="6"/>
        <v>102.3873908</v>
      </c>
      <c r="W51" s="241">
        <f t="shared" si="15"/>
        <v>0.00002162233289</v>
      </c>
      <c r="X51" s="241">
        <f t="shared" si="16"/>
        <v>0</v>
      </c>
      <c r="Y51" s="241">
        <f t="shared" si="25"/>
        <v>0.001660031783</v>
      </c>
      <c r="Z51" s="233">
        <f t="shared" si="7"/>
        <v>102.0303612</v>
      </c>
      <c r="AA51" s="165"/>
      <c r="AB51" s="245"/>
      <c r="AC51" s="242" t="str">
        <f>IF(ISTEXT(AB51),VLOOKUP(AB51,'Cadastro dos Ativos'!$A$2:$C$1000,3,0),"")</f>
        <v/>
      </c>
      <c r="AD51" s="242" t="str">
        <f>IF(AB51 &lt;&gt; "",IF(AC51="Futuros", (SUMIFS('Alocação'!$O$3:$O$1002,'Alocação'!$C$3:$C$1002,AB51,'Alocação'!$F$3:$F$1002,AB$9,'Alocação'!$B$3:$B$1002,"&lt;="&amp;$B$4)), (SUMIFS('Alocação'!$O$3:$O$1002,'Alocação'!$C$3:$C$1002,AB51,'Alocação'!$F$3:$F$1002,AB$9,'Alocação'!$B$3:$B$1002,"&lt;="&amp;$B$6))),"")</f>
        <v/>
      </c>
      <c r="AE51" s="243" t="str">
        <f>iferror(IF(AC51="Ações Americanas", HLOOKUP(AB51,'Histórico'!$A$1:$DD$990,MATCH($B$6,'Histórico'!$A:$A),FALSE)*HLOOKUP("PTAX",'Histórico'!$A$1:$FG$983,MATCH($B$6,'Histórico'!$A:$A),FALSE),IF(AC51="Ações Europeias", HLOOKUP(AB51,'Histórico'!$A$1:$DD$990,MATCH($B$6,'Histórico'!$A:$A),FALSE)*HLOOKUP("EUR/BRL",'Histórico'!$A$1:$FG$983,MATCH($B$6,'Histórico'!$A:$A),FALSE), HLOOKUP(AB51,'Histórico'!$A$1:$DD$990,MATCH($B$6,'Histórico'!$A:$A),FALSE))),"")</f>
        <v/>
      </c>
      <c r="AF51" s="243" t="str">
        <f t="shared" si="21"/>
        <v/>
      </c>
      <c r="AG51" s="53"/>
      <c r="AH51" s="245"/>
      <c r="AI51" s="242" t="str">
        <f>IF(ISTEXT(AH51),VLOOKUP(AH51,'Cadastro dos Ativos'!$A$2:$C$1000,3,0),"")</f>
        <v/>
      </c>
      <c r="AJ51" s="242" t="str">
        <f>IF(AH51 &lt;&gt; "",IF(AI51="Futuros", (SUMIFS('Alocação'!$O$3:$O$1002,'Alocação'!$C$3:$C$1002,AH51,'Alocação'!$F$3:$F$1002,AH$9,'Alocação'!$B$3:$B$1002,"&lt;="&amp;$B$4)), (SUMIFS('Alocação'!$O$3:$O$1002,'Alocação'!$C$3:$C$1002,AH51,'Alocação'!$F$3:$F$1002,AH$9,'Alocação'!$B$3:$B$1002,"&lt;="&amp;$B$6))),"")</f>
        <v/>
      </c>
      <c r="AK51" s="243" t="str">
        <f>iferror(IF(AI51="Ações Americanas", HLOOKUP(AH51,'Histórico'!$A$1:$DD$990,MATCH($B$6,'Histórico'!$A:$A),FALSE)*HLOOKUP("PTAX",'Histórico'!$A$1:$FG$983,MATCH($B$6,'Histórico'!$A:$A),FALSE),IF(AI51="Ações Europeias", HLOOKUP(AH51,'Histórico'!$A$1:$DD$990,MATCH($B$6,'Histórico'!$A:$A),FALSE)*HLOOKUP("EUR/BRL",'Histórico'!$A$1:$FG$983,MATCH($B$6,'Histórico'!$A:$A),FALSE),  HLOOKUP(AH51,'Histórico'!$A$1:$DD$990,MATCH($B$6,'Histórico'!$A:$A),FALSE))),"")</f>
        <v/>
      </c>
      <c r="AL51" s="243" t="str">
        <f t="shared" si="17"/>
        <v/>
      </c>
      <c r="AM51" s="53"/>
      <c r="AN51" s="245"/>
      <c r="AO51" s="242" t="str">
        <f>IF(ISTEXT(AN51),VLOOKUP(AN51,'Cadastro dos Ativos'!$A$2:$C$1000,3,0),"")</f>
        <v/>
      </c>
      <c r="AP51" s="242" t="str">
        <f>IF(AN51 &lt;&gt; "",IF(AO51="Futuros", (SUMIFS('Alocação'!$O$3:$O$1002,'Alocação'!$C$3:$C$1002,AN51,'Alocação'!$F$3:$F$1002,AN$9,'Alocação'!$B$3:$B$1002,"&lt;="&amp;$B$4)), (SUMIFS('Alocação'!$O$3:$O$1002,'Alocação'!$C$3:$C$1002,AN51,'Alocação'!$F$3:$F$1002,AN$9,'Alocação'!$B$3:$B$1002,"&lt;="&amp;$B$6))),"")</f>
        <v/>
      </c>
      <c r="AQ51" s="243" t="str">
        <f>iferror(IF(AO51="Ações Americanas", HLOOKUP(AN51,'Histórico'!$A$1:$DD$990,MATCH($B$6,'Histórico'!$A:$A),FALSE)*HLOOKUP("PTAX",'Histórico'!$A$1:$FG$983,MATCH($B$6,'Histórico'!$A:$A),FALSE),IF(AO51="Ações Europeias", HLOOKUP(AN51,'Histórico'!$A$1:$DD$990,MATCH($B$6,'Histórico'!$A:$A),FALSE)*HLOOKUP("EUR/BRL",'Histórico'!$A$1:$FG$983,MATCH($B$6,'Histórico'!$A:$A),FALSE),  HLOOKUP(AN51,'Histórico'!$A$1:$DD$990,MATCH($B$6,'Histórico'!$A:$A),FALSE))),"")</f>
        <v/>
      </c>
      <c r="AR51" s="243" t="str">
        <f t="shared" si="18"/>
        <v/>
      </c>
      <c r="AS51" s="53"/>
      <c r="AT51" s="245"/>
      <c r="AU51" s="242" t="str">
        <f>IF(ISTEXT(AT51),VLOOKUP(AT51,'Cadastro dos Ativos'!$A$2:$C$1000,3,0),"")</f>
        <v/>
      </c>
      <c r="AV51" s="242" t="str">
        <f>IF(AT51 &lt;&gt; "",IF(AU51="Futuros", (SUMIFS('Alocação'!$O$3:$O$1002,'Alocação'!$C$3:$C$1002,AT51,'Alocação'!$F$3:$F$1002,AT$9,'Alocação'!$B$3:$B$1002,"&lt;="&amp;$B$4)), (SUMIFS('Alocação'!$O$3:$O$1002,'Alocação'!$C$3:$C$1002,AT51,'Alocação'!$F$3:$F$1002,AT$9,'Alocação'!$B$3:$B$1002,"&lt;="&amp;$B$6))),"")</f>
        <v/>
      </c>
      <c r="AW51" s="243" t="str">
        <f>iferror(IF(AU51="Ações Americanas", HLOOKUP(AT51,'Histórico'!$A$1:$DD$990,MATCH($B$6,'Histórico'!$A:$A),FALSE)*HLOOKUP("PTAX",'Histórico'!$A$1:$FG$983,MATCH($B$6,'Histórico'!$A:$A),FALSE),IF(AU51="Ações Europeias", HLOOKUP(AT51,'Histórico'!$A$1:$DD$990,MATCH($B$6,'Histórico'!$A:$A),FALSE)*HLOOKUP("EUR/BRL",'Histórico'!$A$1:$FG$983,MATCH($B$6,'Histórico'!$A:$A),FALSE),  HLOOKUP(AT51,'Histórico'!$A$1:$DD$990,MATCH($B$6,'Histórico'!$A:$A),FALSE))),"")</f>
        <v/>
      </c>
      <c r="AX51" s="243" t="str">
        <f t="shared" si="27"/>
        <v/>
      </c>
      <c r="AY51" s="183"/>
    </row>
    <row r="52" ht="15.75" customHeight="1">
      <c r="A52" s="176"/>
      <c r="B52" s="232">
        <v>45068.0</v>
      </c>
      <c r="C52" s="233">
        <v>1.024686782633611E8</v>
      </c>
      <c r="D52" s="233">
        <v>1.087245259095067E8</v>
      </c>
      <c r="E52" s="234"/>
      <c r="F52" s="233">
        <v>1.018539462950733E8</v>
      </c>
      <c r="G52" s="233">
        <v>1.376297065167383E8</v>
      </c>
      <c r="H52" s="234"/>
      <c r="I52" s="233">
        <v>1.024648962491592E8</v>
      </c>
      <c r="J52" s="233">
        <v>7.06890071461361E7</v>
      </c>
      <c r="K52" s="234"/>
      <c r="L52" s="233">
        <v>1.026851601571092E8</v>
      </c>
      <c r="M52" s="233">
        <v>8.439737549302188E7</v>
      </c>
      <c r="N52" s="240">
        <f t="shared" si="9"/>
        <v>0.00153684973</v>
      </c>
      <c r="O52" s="240">
        <f t="shared" si="10"/>
        <v>-0.002324776251</v>
      </c>
      <c r="P52" s="240">
        <f t="shared" si="11"/>
        <v>-0.001242441438</v>
      </c>
      <c r="Q52" s="240">
        <f t="shared" si="12"/>
        <v>0.001274295123</v>
      </c>
      <c r="R52" s="236">
        <f t="shared" si="13"/>
        <v>102.0803939</v>
      </c>
      <c r="S52" s="177"/>
      <c r="T52" s="233">
        <f t="shared" ref="T52:U52" si="62">IF(AND(C52&lt;&gt;"",F52&lt;&gt;"",I52&lt;&gt;""), SUM(I52,F52,C52,L52),"")</f>
        <v>409472681</v>
      </c>
      <c r="U52" s="233">
        <f t="shared" si="62"/>
        <v>401440615.1</v>
      </c>
      <c r="V52" s="233">
        <f t="shared" si="6"/>
        <v>102.3681702</v>
      </c>
      <c r="W52" s="241">
        <f t="shared" si="15"/>
        <v>-0.0001877243336</v>
      </c>
      <c r="X52" s="241">
        <f t="shared" si="16"/>
        <v>-0.0001877243336</v>
      </c>
      <c r="Y52" s="241">
        <f t="shared" si="25"/>
        <v>0.001705628868</v>
      </c>
      <c r="Z52" s="233">
        <f t="shared" si="7"/>
        <v>102.0803939</v>
      </c>
      <c r="AA52" s="165"/>
      <c r="AB52" s="245"/>
      <c r="AC52" s="242" t="str">
        <f>IF(ISTEXT(AB52),VLOOKUP(AB52,'Cadastro dos Ativos'!$A$2:$C$1000,3,0),"")</f>
        <v/>
      </c>
      <c r="AD52" s="242" t="str">
        <f>IF(AB52 &lt;&gt; "",IF(AC52="Futuros", (SUMIFS('Alocação'!$O$3:$O$1002,'Alocação'!$C$3:$C$1002,AB52,'Alocação'!$F$3:$F$1002,AB$9,'Alocação'!$B$3:$B$1002,"&lt;="&amp;$B$4)), (SUMIFS('Alocação'!$O$3:$O$1002,'Alocação'!$C$3:$C$1002,AB52,'Alocação'!$F$3:$F$1002,AB$9,'Alocação'!$B$3:$B$1002,"&lt;="&amp;$B$6))),"")</f>
        <v/>
      </c>
      <c r="AE52" s="243" t="str">
        <f>iferror(IF(AC52="Ações Americanas", HLOOKUP(AB52,'Histórico'!$A$1:$DD$990,MATCH($B$6,'Histórico'!$A:$A),FALSE)*HLOOKUP("PTAX",'Histórico'!$A$1:$FG$983,MATCH($B$6,'Histórico'!$A:$A),FALSE),IF(AC52="Ações Europeias", HLOOKUP(AB52,'Histórico'!$A$1:$DD$990,MATCH($B$6,'Histórico'!$A:$A),FALSE)*HLOOKUP("EUR/BRL",'Histórico'!$A$1:$FG$983,MATCH($B$6,'Histórico'!$A:$A),FALSE), HLOOKUP(AB52,'Histórico'!$A$1:$DD$990,MATCH($B$6,'Histórico'!$A:$A),FALSE))),"")</f>
        <v/>
      </c>
      <c r="AF52" s="243" t="str">
        <f t="shared" si="21"/>
        <v/>
      </c>
      <c r="AG52" s="53"/>
      <c r="AH52" s="245"/>
      <c r="AI52" s="242" t="str">
        <f>IF(ISTEXT(AH52),VLOOKUP(AH52,'Cadastro dos Ativos'!$A$2:$C$1000,3,0),"")</f>
        <v/>
      </c>
      <c r="AJ52" s="242" t="str">
        <f>IF(AH52 &lt;&gt; "",IF(AI52="Futuros", (SUMIFS('Alocação'!$O$3:$O$1002,'Alocação'!$C$3:$C$1002,AH52,'Alocação'!$F$3:$F$1002,AH$9,'Alocação'!$B$3:$B$1002,"&lt;="&amp;$B$4)), (SUMIFS('Alocação'!$O$3:$O$1002,'Alocação'!$C$3:$C$1002,AH52,'Alocação'!$F$3:$F$1002,AH$9,'Alocação'!$B$3:$B$1002,"&lt;="&amp;$B$6))),"")</f>
        <v/>
      </c>
      <c r="AK52" s="243" t="str">
        <f>iferror(IF(AI52="Ações Americanas", HLOOKUP(AH52,'Histórico'!$A$1:$DD$990,MATCH($B$6,'Histórico'!$A:$A),FALSE)*HLOOKUP("PTAX",'Histórico'!$A$1:$FG$983,MATCH($B$6,'Histórico'!$A:$A),FALSE),IF(AI52="Ações Europeias", HLOOKUP(AH52,'Histórico'!$A$1:$DD$990,MATCH($B$6,'Histórico'!$A:$A),FALSE)*HLOOKUP("EUR/BRL",'Histórico'!$A$1:$FG$983,MATCH($B$6,'Histórico'!$A:$A),FALSE),  HLOOKUP(AH52,'Histórico'!$A$1:$DD$990,MATCH($B$6,'Histórico'!$A:$A),FALSE))),"")</f>
        <v/>
      </c>
      <c r="AL52" s="243" t="str">
        <f t="shared" si="17"/>
        <v/>
      </c>
      <c r="AM52" s="53"/>
      <c r="AN52" s="245"/>
      <c r="AO52" s="242" t="str">
        <f>IF(ISTEXT(AN52),VLOOKUP(AN52,'Cadastro dos Ativos'!$A$2:$C$1000,3,0),"")</f>
        <v/>
      </c>
      <c r="AP52" s="242" t="str">
        <f>IF(AN52 &lt;&gt; "",IF(AO52="Futuros", (SUMIFS('Alocação'!$O$3:$O$1002,'Alocação'!$C$3:$C$1002,AN52,'Alocação'!$F$3:$F$1002,AN$9,'Alocação'!$B$3:$B$1002,"&lt;="&amp;$B$4)), (SUMIFS('Alocação'!$O$3:$O$1002,'Alocação'!$C$3:$C$1002,AN52,'Alocação'!$F$3:$F$1002,AN$9,'Alocação'!$B$3:$B$1002,"&lt;="&amp;$B$6))),"")</f>
        <v/>
      </c>
      <c r="AQ52" s="243" t="str">
        <f>iferror(IF(AO52="Ações Americanas", HLOOKUP(AN52,'Histórico'!$A$1:$DD$990,MATCH($B$6,'Histórico'!$A:$A),FALSE)*HLOOKUP("PTAX",'Histórico'!$A$1:$FG$983,MATCH($B$6,'Histórico'!$A:$A),FALSE),IF(AO52="Ações Europeias", HLOOKUP(AN52,'Histórico'!$A$1:$DD$990,MATCH($B$6,'Histórico'!$A:$A),FALSE)*HLOOKUP("EUR/BRL",'Histórico'!$A$1:$FG$983,MATCH($B$6,'Histórico'!$A:$A),FALSE),  HLOOKUP(AN52,'Histórico'!$A$1:$DD$990,MATCH($B$6,'Histórico'!$A:$A),FALSE))),"")</f>
        <v/>
      </c>
      <c r="AR52" s="243" t="str">
        <f t="shared" si="18"/>
        <v/>
      </c>
      <c r="AS52" s="53"/>
      <c r="AT52" s="245"/>
      <c r="AU52" s="242" t="str">
        <f>IF(ISTEXT(AT52),VLOOKUP(AT52,'Cadastro dos Ativos'!$A$2:$C$1000,3,0),"")</f>
        <v/>
      </c>
      <c r="AV52" s="242" t="str">
        <f>IF(AT52 &lt;&gt; "",IF(AU52="Futuros", (SUMIFS('Alocação'!$O$3:$O$1002,'Alocação'!$C$3:$C$1002,AT52,'Alocação'!$F$3:$F$1002,AT$9,'Alocação'!$B$3:$B$1002,"&lt;="&amp;$B$4)), (SUMIFS('Alocação'!$O$3:$O$1002,'Alocação'!$C$3:$C$1002,AT52,'Alocação'!$F$3:$F$1002,AT$9,'Alocação'!$B$3:$B$1002,"&lt;="&amp;$B$6))),"")</f>
        <v/>
      </c>
      <c r="AW52" s="243" t="str">
        <f>iferror(IF(AU52="Ações Americanas", HLOOKUP(AT52,'Histórico'!$A$1:$DD$990,MATCH($B$6,'Histórico'!$A:$A),FALSE)*HLOOKUP("PTAX",'Histórico'!$A$1:$FG$983,MATCH($B$6,'Histórico'!$A:$A),FALSE),IF(AU52="Ações Europeias", HLOOKUP(AT52,'Histórico'!$A$1:$DD$990,MATCH($B$6,'Histórico'!$A:$A),FALSE)*HLOOKUP("EUR/BRL",'Histórico'!$A$1:$FG$983,MATCH($B$6,'Histórico'!$A:$A),FALSE),  HLOOKUP(AT52,'Histórico'!$A$1:$DD$990,MATCH($B$6,'Histórico'!$A:$A),FALSE))),"")</f>
        <v/>
      </c>
      <c r="AX52" s="243" t="str">
        <f t="shared" si="27"/>
        <v/>
      </c>
      <c r="AY52" s="183"/>
    </row>
    <row r="53" ht="15.75" customHeight="1">
      <c r="A53" s="176"/>
      <c r="B53" s="232">
        <v>45069.0</v>
      </c>
      <c r="C53" s="233">
        <v>1.025959098159231E8</v>
      </c>
      <c r="D53" s="233">
        <v>1.088740469093749E8</v>
      </c>
      <c r="E53" s="234"/>
      <c r="F53" s="233">
        <v>1.019892029307196E8</v>
      </c>
      <c r="G53" s="233">
        <v>1.374939718002748E8</v>
      </c>
      <c r="H53" s="234"/>
      <c r="I53" s="233">
        <v>1.021061933852515E8</v>
      </c>
      <c r="J53" s="233">
        <v>7.073743559018959E7</v>
      </c>
      <c r="K53" s="234"/>
      <c r="L53" s="233">
        <v>1.025429072324622E8</v>
      </c>
      <c r="M53" s="233">
        <v>8.443417222921973E7</v>
      </c>
      <c r="N53" s="240">
        <f t="shared" si="9"/>
        <v>0.001241662864</v>
      </c>
      <c r="O53" s="240">
        <f t="shared" si="10"/>
        <v>0.001327946933</v>
      </c>
      <c r="P53" s="240">
        <f t="shared" si="11"/>
        <v>-0.003500739053</v>
      </c>
      <c r="Q53" s="240">
        <f t="shared" si="12"/>
        <v>-0.001385330893</v>
      </c>
      <c r="R53" s="236">
        <f t="shared" si="13"/>
        <v>102.130451</v>
      </c>
      <c r="S53" s="177"/>
      <c r="T53" s="233">
        <f t="shared" ref="T53:U53" si="63">IF(AND(C53&lt;&gt;"",F53&lt;&gt;"",I53&lt;&gt;""), SUM(I53,F53,C53,L53),"")</f>
        <v>409234213.4</v>
      </c>
      <c r="U53" s="233">
        <f t="shared" si="63"/>
        <v>401539626.5</v>
      </c>
      <c r="V53" s="233">
        <f t="shared" si="6"/>
        <v>102.3085533</v>
      </c>
      <c r="W53" s="241">
        <f t="shared" si="15"/>
        <v>-0.0005823773146</v>
      </c>
      <c r="X53" s="241">
        <f t="shared" si="16"/>
        <v>-0.0007699923218</v>
      </c>
      <c r="Y53" s="241">
        <f t="shared" si="25"/>
        <v>0.001629520742</v>
      </c>
      <c r="Z53" s="233">
        <f t="shared" si="7"/>
        <v>102.130451</v>
      </c>
      <c r="AA53" s="165"/>
      <c r="AB53" s="245"/>
      <c r="AC53" s="242" t="str">
        <f>IF(ISTEXT(AB53),VLOOKUP(AB53,'Cadastro dos Ativos'!$A$2:$C$1000,3,0),"")</f>
        <v/>
      </c>
      <c r="AD53" s="242" t="str">
        <f>IF(AB53 &lt;&gt; "",IF(AC53="Futuros", (SUMIFS('Alocação'!$O$3:$O$1002,'Alocação'!$C$3:$C$1002,AB53,'Alocação'!$F$3:$F$1002,AB$9,'Alocação'!$B$3:$B$1002,"&lt;="&amp;$B$4)), (SUMIFS('Alocação'!$O$3:$O$1002,'Alocação'!$C$3:$C$1002,AB53,'Alocação'!$F$3:$F$1002,AB$9,'Alocação'!$B$3:$B$1002,"&lt;="&amp;$B$6))),"")</f>
        <v/>
      </c>
      <c r="AE53" s="243" t="str">
        <f>iferror(IF(AC53="Ações Americanas", HLOOKUP(AB53,'Histórico'!$A$1:$DD$990,MATCH($B$6,'Histórico'!$A:$A),FALSE)*HLOOKUP("PTAX",'Histórico'!$A$1:$FG$983,MATCH($B$6,'Histórico'!$A:$A),FALSE),IF(AC53="Ações Europeias", HLOOKUP(AB53,'Histórico'!$A$1:$DD$990,MATCH($B$6,'Histórico'!$A:$A),FALSE)*HLOOKUP("EUR/BRL",'Histórico'!$A$1:$FG$983,MATCH($B$6,'Histórico'!$A:$A),FALSE), HLOOKUP(AB53,'Histórico'!$A$1:$DD$990,MATCH($B$6,'Histórico'!$A:$A),FALSE))),"")</f>
        <v/>
      </c>
      <c r="AF53" s="243" t="str">
        <f t="shared" si="21"/>
        <v/>
      </c>
      <c r="AG53" s="53"/>
      <c r="AH53" s="245"/>
      <c r="AI53" s="242" t="str">
        <f>IF(ISTEXT(AH53),VLOOKUP(AH53,'Cadastro dos Ativos'!$A$2:$C$1000,3,0),"")</f>
        <v/>
      </c>
      <c r="AJ53" s="242" t="str">
        <f>IF(AH53 &lt;&gt; "",IF(AI53="Futuros", (SUMIFS('Alocação'!$O$3:$O$1002,'Alocação'!$C$3:$C$1002,AH53,'Alocação'!$F$3:$F$1002,AH$9,'Alocação'!$B$3:$B$1002,"&lt;="&amp;$B$4)), (SUMIFS('Alocação'!$O$3:$O$1002,'Alocação'!$C$3:$C$1002,AH53,'Alocação'!$F$3:$F$1002,AH$9,'Alocação'!$B$3:$B$1002,"&lt;="&amp;$B$6))),"")</f>
        <v/>
      </c>
      <c r="AK53" s="243" t="str">
        <f>iferror(IF(AI53="Ações Americanas", HLOOKUP(AH53,'Histórico'!$A$1:$DD$990,MATCH($B$6,'Histórico'!$A:$A),FALSE)*HLOOKUP("PTAX",'Histórico'!$A$1:$FG$983,MATCH($B$6,'Histórico'!$A:$A),FALSE),IF(AI53="Ações Europeias", HLOOKUP(AH53,'Histórico'!$A$1:$DD$990,MATCH($B$6,'Histórico'!$A:$A),FALSE)*HLOOKUP("EUR/BRL",'Histórico'!$A$1:$FG$983,MATCH($B$6,'Histórico'!$A:$A),FALSE),  HLOOKUP(AH53,'Histórico'!$A$1:$DD$990,MATCH($B$6,'Histórico'!$A:$A),FALSE))),"")</f>
        <v/>
      </c>
      <c r="AL53" s="243" t="str">
        <f t="shared" si="17"/>
        <v/>
      </c>
      <c r="AM53" s="53"/>
      <c r="AN53" s="245"/>
      <c r="AO53" s="242" t="str">
        <f>IF(ISTEXT(AN53),VLOOKUP(AN53,'Cadastro dos Ativos'!$A$2:$C$1000,3,0),"")</f>
        <v/>
      </c>
      <c r="AP53" s="242" t="str">
        <f>IF(AN53 &lt;&gt; "",IF(AO53="Futuros", (SUMIFS('Alocação'!$O$3:$O$1002,'Alocação'!$C$3:$C$1002,AN53,'Alocação'!$F$3:$F$1002,AN$9,'Alocação'!$B$3:$B$1002,"&lt;="&amp;$B$4)), (SUMIFS('Alocação'!$O$3:$O$1002,'Alocação'!$C$3:$C$1002,AN53,'Alocação'!$F$3:$F$1002,AN$9,'Alocação'!$B$3:$B$1002,"&lt;="&amp;$B$6))),"")</f>
        <v/>
      </c>
      <c r="AQ53" s="243" t="str">
        <f>iferror(IF(AO53="Ações Americanas", HLOOKUP(AN53,'Histórico'!$A$1:$DD$990,MATCH($B$6,'Histórico'!$A:$A),FALSE)*HLOOKUP("PTAX",'Histórico'!$A$1:$FG$983,MATCH($B$6,'Histórico'!$A:$A),FALSE),IF(AO53="Ações Europeias", HLOOKUP(AN53,'Histórico'!$A$1:$DD$990,MATCH($B$6,'Histórico'!$A:$A),FALSE)*HLOOKUP("EUR/BRL",'Histórico'!$A$1:$FG$983,MATCH($B$6,'Histórico'!$A:$A),FALSE),  HLOOKUP(AN53,'Histórico'!$A$1:$DD$990,MATCH($B$6,'Histórico'!$A:$A),FALSE))),"")</f>
        <v/>
      </c>
      <c r="AR53" s="243" t="str">
        <f t="shared" si="18"/>
        <v/>
      </c>
      <c r="AS53" s="53"/>
      <c r="AT53" s="245"/>
      <c r="AU53" s="242" t="str">
        <f>IF(ISTEXT(AT53),VLOOKUP(AT53,'Cadastro dos Ativos'!$A$2:$C$1000,3,0),"")</f>
        <v/>
      </c>
      <c r="AV53" s="242" t="str">
        <f>IF(AT53 &lt;&gt; "",IF(AU53="Futuros", (SUMIFS('Alocação'!$O$3:$O$1002,'Alocação'!$C$3:$C$1002,AT53,'Alocação'!$F$3:$F$1002,AT$9,'Alocação'!$B$3:$B$1002,"&lt;="&amp;$B$4)), (SUMIFS('Alocação'!$O$3:$O$1002,'Alocação'!$C$3:$C$1002,AT53,'Alocação'!$F$3:$F$1002,AT$9,'Alocação'!$B$3:$B$1002,"&lt;="&amp;$B$6))),"")</f>
        <v/>
      </c>
      <c r="AW53" s="243" t="str">
        <f>iferror(IF(AU53="Ações Americanas", HLOOKUP(AT53,'Histórico'!$A$1:$DD$990,MATCH($B$6,'Histórico'!$A:$A),FALSE)*HLOOKUP("PTAX",'Histórico'!$A$1:$FG$983,MATCH($B$6,'Histórico'!$A:$A),FALSE),IF(AU53="Ações Europeias", HLOOKUP(AT53,'Histórico'!$A$1:$DD$990,MATCH($B$6,'Histórico'!$A:$A),FALSE)*HLOOKUP("EUR/BRL",'Histórico'!$A$1:$FG$983,MATCH($B$6,'Histórico'!$A:$A),FALSE),  HLOOKUP(AT53,'Histórico'!$A$1:$DD$990,MATCH($B$6,'Histórico'!$A:$A),FALSE))),"")</f>
        <v/>
      </c>
      <c r="AX53" s="243" t="str">
        <f t="shared" si="27"/>
        <v/>
      </c>
      <c r="AY53" s="183"/>
    </row>
    <row r="54" ht="15.75" customHeight="1">
      <c r="A54" s="176"/>
      <c r="B54" s="232">
        <v>45070.0</v>
      </c>
      <c r="C54" s="233">
        <v>1.027267474527514E8</v>
      </c>
      <c r="D54" s="233">
        <v>1.090001138306779E8</v>
      </c>
      <c r="E54" s="234"/>
      <c r="F54" s="233">
        <v>1.025892447224676E8</v>
      </c>
      <c r="G54" s="233">
        <v>1.141261693441645E8</v>
      </c>
      <c r="H54" s="234"/>
      <c r="I54" s="233">
        <v>1.021869179131655E8</v>
      </c>
      <c r="J54" s="233">
        <v>7.105097332351659E7</v>
      </c>
      <c r="K54" s="234"/>
      <c r="L54" s="233">
        <v>1.024510814757439E8</v>
      </c>
      <c r="M54" s="233">
        <v>8.447099605855048E7</v>
      </c>
      <c r="N54" s="240">
        <f t="shared" si="9"/>
        <v>0.001275271471</v>
      </c>
      <c r="O54" s="240">
        <f t="shared" si="10"/>
        <v>0.005883385442</v>
      </c>
      <c r="P54" s="240">
        <f t="shared" si="11"/>
        <v>0.0007905938439</v>
      </c>
      <c r="Q54" s="240">
        <f t="shared" si="12"/>
        <v>-0.0008954861842</v>
      </c>
      <c r="R54" s="236">
        <f t="shared" si="13"/>
        <v>102.1805327</v>
      </c>
      <c r="S54" s="177"/>
      <c r="T54" s="233">
        <f t="shared" ref="T54:U54" si="64">IF(AND(C54&lt;&gt;"",F54&lt;&gt;"",I54&lt;&gt;""), SUM(I54,F54,C54,L54),"")</f>
        <v>409953991.6</v>
      </c>
      <c r="U54" s="233">
        <f t="shared" si="64"/>
        <v>378648252.6</v>
      </c>
      <c r="V54" s="233">
        <f t="shared" si="6"/>
        <v>102.4884979</v>
      </c>
      <c r="W54" s="241">
        <f t="shared" si="15"/>
        <v>0.001758841701</v>
      </c>
      <c r="X54" s="241">
        <f t="shared" si="16"/>
        <v>0</v>
      </c>
      <c r="Y54" s="241">
        <f t="shared" si="25"/>
        <v>0.001505774458</v>
      </c>
      <c r="Z54" s="233">
        <f t="shared" si="7"/>
        <v>102.1805327</v>
      </c>
      <c r="AA54" s="165"/>
      <c r="AB54" s="245"/>
      <c r="AC54" s="242" t="str">
        <f>IF(ISTEXT(AB54),VLOOKUP(AB54,'Cadastro dos Ativos'!$A$2:$C$1000,3,0),"")</f>
        <v/>
      </c>
      <c r="AD54" s="242" t="str">
        <f>IF(AB54 &lt;&gt; "",IF(AC54="Futuros", (SUMIFS('Alocação'!$O$3:$O$1002,'Alocação'!$C$3:$C$1002,AB54,'Alocação'!$F$3:$F$1002,AB$9,'Alocação'!$B$3:$B$1002,"&lt;="&amp;$B$4)), (SUMIFS('Alocação'!$O$3:$O$1002,'Alocação'!$C$3:$C$1002,AB54,'Alocação'!$F$3:$F$1002,AB$9,'Alocação'!$B$3:$B$1002,"&lt;="&amp;$B$6))),"")</f>
        <v/>
      </c>
      <c r="AE54" s="243" t="str">
        <f>iferror(IF(AC54="Ações Americanas", HLOOKUP(AB54,'Histórico'!$A$1:$DD$990,MATCH($B$6,'Histórico'!$A:$A),FALSE)*HLOOKUP("PTAX",'Histórico'!$A$1:$FG$983,MATCH($B$6,'Histórico'!$A:$A),FALSE),IF(AC54="Ações Europeias", HLOOKUP(AB54,'Histórico'!$A$1:$DD$990,MATCH($B$6,'Histórico'!$A:$A),FALSE)*HLOOKUP("EUR/BRL",'Histórico'!$A$1:$FG$983,MATCH($B$6,'Histórico'!$A:$A),FALSE), HLOOKUP(AB54,'Histórico'!$A$1:$DD$990,MATCH($B$6,'Histórico'!$A:$A),FALSE))),"")</f>
        <v/>
      </c>
      <c r="AF54" s="243" t="str">
        <f t="shared" si="21"/>
        <v/>
      </c>
      <c r="AG54" s="53"/>
      <c r="AH54" s="245"/>
      <c r="AI54" s="242" t="str">
        <f>IF(ISTEXT(AH54),VLOOKUP(AH54,'Cadastro dos Ativos'!$A$2:$C$1000,3,0),"")</f>
        <v/>
      </c>
      <c r="AJ54" s="242" t="str">
        <f>IF(AH54 &lt;&gt; "",IF(AI54="Futuros", (SUMIFS('Alocação'!$O$3:$O$1002,'Alocação'!$C$3:$C$1002,AH54,'Alocação'!$F$3:$F$1002,AH$9,'Alocação'!$B$3:$B$1002,"&lt;="&amp;$B$4)), (SUMIFS('Alocação'!$O$3:$O$1002,'Alocação'!$C$3:$C$1002,AH54,'Alocação'!$F$3:$F$1002,AH$9,'Alocação'!$B$3:$B$1002,"&lt;="&amp;$B$6))),"")</f>
        <v/>
      </c>
      <c r="AK54" s="243" t="str">
        <f>iferror(IF(AI54="Ações Americanas", HLOOKUP(AH54,'Histórico'!$A$1:$DD$990,MATCH($B$6,'Histórico'!$A:$A),FALSE)*HLOOKUP("PTAX",'Histórico'!$A$1:$FG$983,MATCH($B$6,'Histórico'!$A:$A),FALSE),IF(AI54="Ações Europeias", HLOOKUP(AH54,'Histórico'!$A$1:$DD$990,MATCH($B$6,'Histórico'!$A:$A),FALSE)*HLOOKUP("EUR/BRL",'Histórico'!$A$1:$FG$983,MATCH($B$6,'Histórico'!$A:$A),FALSE),  HLOOKUP(AH54,'Histórico'!$A$1:$DD$990,MATCH($B$6,'Histórico'!$A:$A),FALSE))),"")</f>
        <v/>
      </c>
      <c r="AL54" s="243" t="str">
        <f t="shared" si="17"/>
        <v/>
      </c>
      <c r="AM54" s="53"/>
      <c r="AN54" s="245"/>
      <c r="AO54" s="242" t="str">
        <f>IF(ISTEXT(AN54),VLOOKUP(AN54,'Cadastro dos Ativos'!$A$2:$C$1000,3,0),"")</f>
        <v/>
      </c>
      <c r="AP54" s="242" t="str">
        <f>IF(AN54 &lt;&gt; "",IF(AO54="Futuros", (SUMIFS('Alocação'!$O$3:$O$1002,'Alocação'!$C$3:$C$1002,AN54,'Alocação'!$F$3:$F$1002,AN$9,'Alocação'!$B$3:$B$1002,"&lt;="&amp;$B$4)), (SUMIFS('Alocação'!$O$3:$O$1002,'Alocação'!$C$3:$C$1002,AN54,'Alocação'!$F$3:$F$1002,AN$9,'Alocação'!$B$3:$B$1002,"&lt;="&amp;$B$6))),"")</f>
        <v/>
      </c>
      <c r="AQ54" s="243" t="str">
        <f>iferror(IF(AO54="Ações Americanas", HLOOKUP(AN54,'Histórico'!$A$1:$DD$990,MATCH($B$6,'Histórico'!$A:$A),FALSE)*HLOOKUP("PTAX",'Histórico'!$A$1:$FG$983,MATCH($B$6,'Histórico'!$A:$A),FALSE),IF(AO54="Ações Europeias", HLOOKUP(AN54,'Histórico'!$A$1:$DD$990,MATCH($B$6,'Histórico'!$A:$A),FALSE)*HLOOKUP("EUR/BRL",'Histórico'!$A$1:$FG$983,MATCH($B$6,'Histórico'!$A:$A),FALSE),  HLOOKUP(AN54,'Histórico'!$A$1:$DD$990,MATCH($B$6,'Histórico'!$A:$A),FALSE))),"")</f>
        <v/>
      </c>
      <c r="AR54" s="243" t="str">
        <f t="shared" si="18"/>
        <v/>
      </c>
      <c r="AS54" s="53"/>
      <c r="AT54" s="245"/>
      <c r="AU54" s="242" t="str">
        <f>IF(ISTEXT(AT54),VLOOKUP(AT54,'Cadastro dos Ativos'!$A$2:$C$1000,3,0),"")</f>
        <v/>
      </c>
      <c r="AV54" s="242" t="str">
        <f>IF(AT54 &lt;&gt; "",IF(AU54="Futuros", (SUMIFS('Alocação'!$O$3:$O$1002,'Alocação'!$C$3:$C$1002,AT54,'Alocação'!$F$3:$F$1002,AT$9,'Alocação'!$B$3:$B$1002,"&lt;="&amp;$B$4)), (SUMIFS('Alocação'!$O$3:$O$1002,'Alocação'!$C$3:$C$1002,AT54,'Alocação'!$F$3:$F$1002,AT$9,'Alocação'!$B$3:$B$1002,"&lt;="&amp;$B$6))),"")</f>
        <v/>
      </c>
      <c r="AW54" s="243" t="str">
        <f>iferror(IF(AU54="Ações Americanas", HLOOKUP(AT54,'Histórico'!$A$1:$DD$990,MATCH($B$6,'Histórico'!$A:$A),FALSE)*HLOOKUP("PTAX",'Histórico'!$A$1:$FG$983,MATCH($B$6,'Histórico'!$A:$A),FALSE),IF(AU54="Ações Europeias", HLOOKUP(AT54,'Histórico'!$A$1:$DD$990,MATCH($B$6,'Histórico'!$A:$A),FALSE)*HLOOKUP("EUR/BRL",'Histórico'!$A$1:$FG$983,MATCH($B$6,'Histórico'!$A:$A),FALSE),  HLOOKUP(AT54,'Histórico'!$A$1:$DD$990,MATCH($B$6,'Histórico'!$A:$A),FALSE))),"")</f>
        <v/>
      </c>
      <c r="AX54" s="243" t="str">
        <f t="shared" si="27"/>
        <v/>
      </c>
      <c r="AY54" s="183"/>
    </row>
    <row r="55" ht="15.75" customHeight="1">
      <c r="A55" s="176"/>
      <c r="B55" s="232">
        <v>45071.0</v>
      </c>
      <c r="C55" s="233">
        <v>1.031165728938259E8</v>
      </c>
      <c r="D55" s="233">
        <v>1.09285462548498E8</v>
      </c>
      <c r="E55" s="234"/>
      <c r="F55" s="233">
        <v>1.027837311013581E8</v>
      </c>
      <c r="G55" s="233">
        <v>1.14133147207207E8</v>
      </c>
      <c r="H55" s="234"/>
      <c r="I55" s="233">
        <v>1.034970339426606E8</v>
      </c>
      <c r="J55" s="233">
        <v>7.161404022689664E7</v>
      </c>
      <c r="K55" s="234"/>
      <c r="L55" s="233">
        <v>1.029105284580828E8</v>
      </c>
      <c r="M55" s="233">
        <v>8.450784401535852E7</v>
      </c>
      <c r="N55" s="240">
        <f t="shared" si="9"/>
        <v>0.003794780335</v>
      </c>
      <c r="O55" s="240">
        <f t="shared" si="10"/>
        <v>0.001895777471</v>
      </c>
      <c r="P55" s="240">
        <f t="shared" si="11"/>
        <v>0.01282078035</v>
      </c>
      <c r="Q55" s="240">
        <f t="shared" si="12"/>
        <v>0.004484549853</v>
      </c>
      <c r="R55" s="236">
        <f t="shared" si="13"/>
        <v>102.230639</v>
      </c>
      <c r="S55" s="177"/>
      <c r="T55" s="233">
        <f t="shared" ref="T55:U55" si="65">IF(AND(C55&lt;&gt;"",F55&lt;&gt;"",I55&lt;&gt;""), SUM(I55,F55,C55,L55),"")</f>
        <v>412307866.4</v>
      </c>
      <c r="U55" s="233">
        <f t="shared" si="65"/>
        <v>379540494</v>
      </c>
      <c r="V55" s="233">
        <f t="shared" si="6"/>
        <v>103.0769666</v>
      </c>
      <c r="W55" s="241">
        <f t="shared" si="15"/>
        <v>0.005741802447</v>
      </c>
      <c r="X55" s="241">
        <f t="shared" si="16"/>
        <v>0</v>
      </c>
      <c r="Y55" s="241">
        <f t="shared" si="25"/>
        <v>0.002613347698</v>
      </c>
      <c r="Z55" s="233">
        <f t="shared" si="7"/>
        <v>102.230639</v>
      </c>
      <c r="AA55" s="165"/>
      <c r="AB55" s="245"/>
      <c r="AC55" s="242" t="str">
        <f>IF(ISTEXT(AB55),VLOOKUP(AB55,'Cadastro dos Ativos'!$A$2:$C$1000,3,0),"")</f>
        <v/>
      </c>
      <c r="AD55" s="242" t="str">
        <f>IF(AB55 &lt;&gt; "",IF(AC55="Futuros", (SUMIFS('Alocação'!$O$3:$O$1002,'Alocação'!$C$3:$C$1002,AB55,'Alocação'!$F$3:$F$1002,AB$9,'Alocação'!$B$3:$B$1002,"&lt;="&amp;$B$4)), (SUMIFS('Alocação'!$O$3:$O$1002,'Alocação'!$C$3:$C$1002,AB55,'Alocação'!$F$3:$F$1002,AB$9,'Alocação'!$B$3:$B$1002,"&lt;="&amp;$B$6))),"")</f>
        <v/>
      </c>
      <c r="AE55" s="243" t="str">
        <f>iferror(IF(AC55="Ações Americanas", HLOOKUP(AB55,'Histórico'!$A$1:$DD$990,MATCH($B$6,'Histórico'!$A:$A),FALSE)*HLOOKUP("PTAX",'Histórico'!$A$1:$FG$983,MATCH($B$6,'Histórico'!$A:$A),FALSE),IF(AC55="Ações Europeias", HLOOKUP(AB55,'Histórico'!$A$1:$DD$990,MATCH($B$6,'Histórico'!$A:$A),FALSE)*HLOOKUP("EUR/BRL",'Histórico'!$A$1:$FG$983,MATCH($B$6,'Histórico'!$A:$A),FALSE), HLOOKUP(AB55,'Histórico'!$A$1:$DD$990,MATCH($B$6,'Histórico'!$A:$A),FALSE))),"")</f>
        <v/>
      </c>
      <c r="AF55" s="243" t="str">
        <f t="shared" si="21"/>
        <v/>
      </c>
      <c r="AG55" s="53"/>
      <c r="AH55" s="245"/>
      <c r="AI55" s="242" t="str">
        <f>IF(ISTEXT(AH55),VLOOKUP(AH55,'Cadastro dos Ativos'!$A$2:$C$1000,3,0),"")</f>
        <v/>
      </c>
      <c r="AJ55" s="242" t="str">
        <f>IF(AH55 &lt;&gt; "",IF(AI55="Futuros", (SUMIFS('Alocação'!$O$3:$O$1002,'Alocação'!$C$3:$C$1002,AH55,'Alocação'!$F$3:$F$1002,AH$9,'Alocação'!$B$3:$B$1002,"&lt;="&amp;$B$4)), (SUMIFS('Alocação'!$O$3:$O$1002,'Alocação'!$C$3:$C$1002,AH55,'Alocação'!$F$3:$F$1002,AH$9,'Alocação'!$B$3:$B$1002,"&lt;="&amp;$B$6))),"")</f>
        <v/>
      </c>
      <c r="AK55" s="243" t="str">
        <f>iferror(IF(AI55="Ações Americanas", HLOOKUP(AH55,'Histórico'!$A$1:$DD$990,MATCH($B$6,'Histórico'!$A:$A),FALSE)*HLOOKUP("PTAX",'Histórico'!$A$1:$FG$983,MATCH($B$6,'Histórico'!$A:$A),FALSE),IF(AI55="Ações Europeias", HLOOKUP(AH55,'Histórico'!$A$1:$DD$990,MATCH($B$6,'Histórico'!$A:$A),FALSE)*HLOOKUP("EUR/BRL",'Histórico'!$A$1:$FG$983,MATCH($B$6,'Histórico'!$A:$A),FALSE),  HLOOKUP(AH55,'Histórico'!$A$1:$DD$990,MATCH($B$6,'Histórico'!$A:$A),FALSE))),"")</f>
        <v/>
      </c>
      <c r="AL55" s="243" t="str">
        <f t="shared" si="17"/>
        <v/>
      </c>
      <c r="AM55" s="53"/>
      <c r="AN55" s="245"/>
      <c r="AO55" s="242" t="str">
        <f>IF(ISTEXT(AN55),VLOOKUP(AN55,'Cadastro dos Ativos'!$A$2:$C$1000,3,0),"")</f>
        <v/>
      </c>
      <c r="AP55" s="242" t="str">
        <f>IF(AN55 &lt;&gt; "",IF(AO55="Futuros", (SUMIFS('Alocação'!$O$3:$O$1002,'Alocação'!$C$3:$C$1002,AN55,'Alocação'!$F$3:$F$1002,AN$9,'Alocação'!$B$3:$B$1002,"&lt;="&amp;$B$4)), (SUMIFS('Alocação'!$O$3:$O$1002,'Alocação'!$C$3:$C$1002,AN55,'Alocação'!$F$3:$F$1002,AN$9,'Alocação'!$B$3:$B$1002,"&lt;="&amp;$B$6))),"")</f>
        <v/>
      </c>
      <c r="AQ55" s="243" t="str">
        <f>iferror(IF(AO55="Ações Americanas", HLOOKUP(AN55,'Histórico'!$A$1:$DD$990,MATCH($B$6,'Histórico'!$A:$A),FALSE)*HLOOKUP("PTAX",'Histórico'!$A$1:$FG$983,MATCH($B$6,'Histórico'!$A:$A),FALSE),IF(AO55="Ações Europeias", HLOOKUP(AN55,'Histórico'!$A$1:$DD$990,MATCH($B$6,'Histórico'!$A:$A),FALSE)*HLOOKUP("EUR/BRL",'Histórico'!$A$1:$FG$983,MATCH($B$6,'Histórico'!$A:$A),FALSE),  HLOOKUP(AN55,'Histórico'!$A$1:$DD$990,MATCH($B$6,'Histórico'!$A:$A),FALSE))),"")</f>
        <v/>
      </c>
      <c r="AR55" s="243" t="str">
        <f t="shared" si="18"/>
        <v/>
      </c>
      <c r="AS55" s="53"/>
      <c r="AT55" s="245"/>
      <c r="AU55" s="242" t="str">
        <f>IF(ISTEXT(AT55),VLOOKUP(AT55,'Cadastro dos Ativos'!$A$2:$C$1000,3,0),"")</f>
        <v/>
      </c>
      <c r="AV55" s="242" t="str">
        <f>IF(AT55 &lt;&gt; "",IF(AU55="Futuros", (SUMIFS('Alocação'!$O$3:$O$1002,'Alocação'!$C$3:$C$1002,AT55,'Alocação'!$F$3:$F$1002,AT$9,'Alocação'!$B$3:$B$1002,"&lt;="&amp;$B$4)), (SUMIFS('Alocação'!$O$3:$O$1002,'Alocação'!$C$3:$C$1002,AT55,'Alocação'!$F$3:$F$1002,AT$9,'Alocação'!$B$3:$B$1002,"&lt;="&amp;$B$6))),"")</f>
        <v/>
      </c>
      <c r="AW55" s="243" t="str">
        <f>iferror(IF(AU55="Ações Americanas", HLOOKUP(AT55,'Histórico'!$A$1:$DD$990,MATCH($B$6,'Histórico'!$A:$A),FALSE)*HLOOKUP("PTAX",'Histórico'!$A$1:$FG$983,MATCH($B$6,'Histórico'!$A:$A),FALSE),IF(AU55="Ações Europeias", HLOOKUP(AT55,'Histórico'!$A$1:$DD$990,MATCH($B$6,'Histórico'!$A:$A),FALSE)*HLOOKUP("EUR/BRL",'Histórico'!$A$1:$FG$983,MATCH($B$6,'Histórico'!$A:$A),FALSE),  HLOOKUP(AT55,'Histórico'!$A$1:$DD$990,MATCH($B$6,'Histórico'!$A:$A),FALSE))),"")</f>
        <v/>
      </c>
      <c r="AX55" s="243" t="str">
        <f t="shared" si="27"/>
        <v/>
      </c>
      <c r="AY55" s="183"/>
    </row>
    <row r="56" ht="15.75" customHeight="1">
      <c r="A56" s="176"/>
      <c r="B56" s="232">
        <v>45072.0</v>
      </c>
      <c r="C56" s="233">
        <v>1.02942584314071E8</v>
      </c>
      <c r="D56" s="233">
        <v>1.093776606569575E8</v>
      </c>
      <c r="E56" s="234"/>
      <c r="F56" s="233">
        <v>1.03352989968791E8</v>
      </c>
      <c r="G56" s="233">
        <v>1.148113583232226E8</v>
      </c>
      <c r="H56" s="234"/>
      <c r="I56" s="233">
        <v>1.046153038955473E8</v>
      </c>
      <c r="J56" s="233">
        <v>7.208183229440147E7</v>
      </c>
      <c r="K56" s="234"/>
      <c r="L56" s="233">
        <v>1.031547673985995E8</v>
      </c>
      <c r="M56" s="233">
        <v>8.454468354075226E7</v>
      </c>
      <c r="N56" s="240">
        <f t="shared" si="9"/>
        <v>-0.001687299867</v>
      </c>
      <c r="O56" s="240">
        <f t="shared" si="10"/>
        <v>0.005538414118</v>
      </c>
      <c r="P56" s="240">
        <f t="shared" si="11"/>
        <v>0.01080485025</v>
      </c>
      <c r="Q56" s="240">
        <f t="shared" si="12"/>
        <v>0.002373313442</v>
      </c>
      <c r="R56" s="236">
        <f t="shared" si="13"/>
        <v>102.2807698</v>
      </c>
      <c r="S56" s="177"/>
      <c r="T56" s="233">
        <f t="shared" ref="T56:U56" si="66">IF(AND(C56&lt;&gt;"",F56&lt;&gt;"",I56&lt;&gt;""), SUM(I56,F56,C56,L56),"")</f>
        <v>414065645.6</v>
      </c>
      <c r="U56" s="233">
        <f t="shared" si="66"/>
        <v>380815534.8</v>
      </c>
      <c r="V56" s="233">
        <f t="shared" si="6"/>
        <v>103.5164114</v>
      </c>
      <c r="W56" s="241">
        <f t="shared" si="15"/>
        <v>0.004263268602</v>
      </c>
      <c r="X56" s="241">
        <f t="shared" si="16"/>
        <v>0</v>
      </c>
      <c r="Y56" s="241">
        <f t="shared" si="25"/>
        <v>0.002758573268</v>
      </c>
      <c r="Z56" s="233">
        <f t="shared" si="7"/>
        <v>102.2807698</v>
      </c>
      <c r="AA56" s="165"/>
      <c r="AB56" s="245"/>
      <c r="AC56" s="242" t="str">
        <f>IF(ISTEXT(AB56),VLOOKUP(AB56,'Cadastro dos Ativos'!$A$2:$C$1000,3,0),"")</f>
        <v/>
      </c>
      <c r="AD56" s="242" t="str">
        <f>IF(AB56 &lt;&gt; "",IF(AC56="Futuros", (SUMIFS('Alocação'!$O$3:$O$1002,'Alocação'!$C$3:$C$1002,AB56,'Alocação'!$F$3:$F$1002,AB$9,'Alocação'!$B$3:$B$1002,"&lt;="&amp;$B$4)), (SUMIFS('Alocação'!$O$3:$O$1002,'Alocação'!$C$3:$C$1002,AB56,'Alocação'!$F$3:$F$1002,AB$9,'Alocação'!$B$3:$B$1002,"&lt;="&amp;$B$6))),"")</f>
        <v/>
      </c>
      <c r="AE56" s="243" t="str">
        <f>iferror(IF(AC56="Ações Americanas", HLOOKUP(AB56,'Histórico'!$A$1:$DD$990,MATCH($B$6,'Histórico'!$A:$A),FALSE)*HLOOKUP("PTAX",'Histórico'!$A$1:$FG$983,MATCH($B$6,'Histórico'!$A:$A),FALSE),IF(AC56="Ações Europeias", HLOOKUP(AB56,'Histórico'!$A$1:$DD$990,MATCH($B$6,'Histórico'!$A:$A),FALSE)*HLOOKUP("EUR/BRL",'Histórico'!$A$1:$FG$983,MATCH($B$6,'Histórico'!$A:$A),FALSE), HLOOKUP(AB56,'Histórico'!$A$1:$DD$990,MATCH($B$6,'Histórico'!$A:$A),FALSE))),"")</f>
        <v/>
      </c>
      <c r="AF56" s="243" t="str">
        <f t="shared" si="21"/>
        <v/>
      </c>
      <c r="AG56" s="53"/>
      <c r="AH56" s="245"/>
      <c r="AI56" s="242" t="str">
        <f>IF(ISTEXT(AH56),VLOOKUP(AH56,'Cadastro dos Ativos'!$A$2:$C$1000,3,0),"")</f>
        <v/>
      </c>
      <c r="AJ56" s="242" t="str">
        <f>IF(AH56 &lt;&gt; "",IF(AI56="Futuros", (SUMIFS('Alocação'!$O$3:$O$1002,'Alocação'!$C$3:$C$1002,AH56,'Alocação'!$F$3:$F$1002,AH$9,'Alocação'!$B$3:$B$1002,"&lt;="&amp;$B$4)), (SUMIFS('Alocação'!$O$3:$O$1002,'Alocação'!$C$3:$C$1002,AH56,'Alocação'!$F$3:$F$1002,AH$9,'Alocação'!$B$3:$B$1002,"&lt;="&amp;$B$6))),"")</f>
        <v/>
      </c>
      <c r="AK56" s="243" t="str">
        <f>iferror(IF(AI56="Ações Americanas", HLOOKUP(AH56,'Histórico'!$A$1:$DD$990,MATCH($B$6,'Histórico'!$A:$A),FALSE)*HLOOKUP("PTAX",'Histórico'!$A$1:$FG$983,MATCH($B$6,'Histórico'!$A:$A),FALSE),IF(AI56="Ações Europeias", HLOOKUP(AH56,'Histórico'!$A$1:$DD$990,MATCH($B$6,'Histórico'!$A:$A),FALSE)*HLOOKUP("EUR/BRL",'Histórico'!$A$1:$FG$983,MATCH($B$6,'Histórico'!$A:$A),FALSE),  HLOOKUP(AH56,'Histórico'!$A$1:$DD$990,MATCH($B$6,'Histórico'!$A:$A),FALSE))),"")</f>
        <v/>
      </c>
      <c r="AL56" s="243" t="str">
        <f t="shared" si="17"/>
        <v/>
      </c>
      <c r="AM56" s="53"/>
      <c r="AN56" s="245"/>
      <c r="AO56" s="242" t="str">
        <f>IF(ISTEXT(AN56),VLOOKUP(AN56,'Cadastro dos Ativos'!$A$2:$C$1000,3,0),"")</f>
        <v/>
      </c>
      <c r="AP56" s="242" t="str">
        <f>IF(AN56 &lt;&gt; "",IF(AO56="Futuros", (SUMIFS('Alocação'!$O$3:$O$1002,'Alocação'!$C$3:$C$1002,AN56,'Alocação'!$F$3:$F$1002,AN$9,'Alocação'!$B$3:$B$1002,"&lt;="&amp;$B$4)), (SUMIFS('Alocação'!$O$3:$O$1002,'Alocação'!$C$3:$C$1002,AN56,'Alocação'!$F$3:$F$1002,AN$9,'Alocação'!$B$3:$B$1002,"&lt;="&amp;$B$6))),"")</f>
        <v/>
      </c>
      <c r="AQ56" s="243" t="str">
        <f>iferror(IF(AO56="Ações Americanas", HLOOKUP(AN56,'Histórico'!$A$1:$DD$990,MATCH($B$6,'Histórico'!$A:$A),FALSE)*HLOOKUP("PTAX",'Histórico'!$A$1:$FG$983,MATCH($B$6,'Histórico'!$A:$A),FALSE),IF(AO56="Ações Europeias", HLOOKUP(AN56,'Histórico'!$A$1:$DD$990,MATCH($B$6,'Histórico'!$A:$A),FALSE)*HLOOKUP("EUR/BRL",'Histórico'!$A$1:$FG$983,MATCH($B$6,'Histórico'!$A:$A),FALSE),  HLOOKUP(AN56,'Histórico'!$A$1:$DD$990,MATCH($B$6,'Histórico'!$A:$A),FALSE))),"")</f>
        <v/>
      </c>
      <c r="AR56" s="243" t="str">
        <f t="shared" si="18"/>
        <v/>
      </c>
      <c r="AS56" s="53"/>
      <c r="AT56" s="245"/>
      <c r="AU56" s="242" t="str">
        <f>IF(ISTEXT(AT56),VLOOKUP(AT56,'Cadastro dos Ativos'!$A$2:$C$1000,3,0),"")</f>
        <v/>
      </c>
      <c r="AV56" s="242" t="str">
        <f>IF(AT56 &lt;&gt; "",IF(AU56="Futuros", (SUMIFS('Alocação'!$O$3:$O$1002,'Alocação'!$C$3:$C$1002,AT56,'Alocação'!$F$3:$F$1002,AT$9,'Alocação'!$B$3:$B$1002,"&lt;="&amp;$B$4)), (SUMIFS('Alocação'!$O$3:$O$1002,'Alocação'!$C$3:$C$1002,AT56,'Alocação'!$F$3:$F$1002,AT$9,'Alocação'!$B$3:$B$1002,"&lt;="&amp;$B$6))),"")</f>
        <v/>
      </c>
      <c r="AW56" s="243" t="str">
        <f>iferror(IF(AU56="Ações Americanas", HLOOKUP(AT56,'Histórico'!$A$1:$DD$990,MATCH($B$6,'Histórico'!$A:$A),FALSE)*HLOOKUP("PTAX",'Histórico'!$A$1:$FG$983,MATCH($B$6,'Histórico'!$A:$A),FALSE),IF(AU56="Ações Europeias", HLOOKUP(AT56,'Histórico'!$A$1:$DD$990,MATCH($B$6,'Histórico'!$A:$A),FALSE)*HLOOKUP("EUR/BRL",'Histórico'!$A$1:$FG$983,MATCH($B$6,'Histórico'!$A:$A),FALSE),  HLOOKUP(AT56,'Histórico'!$A$1:$DD$990,MATCH($B$6,'Histórico'!$A:$A),FALSE))),"")</f>
        <v/>
      </c>
      <c r="AX56" s="243" t="str">
        <f t="shared" si="27"/>
        <v/>
      </c>
      <c r="AY56" s="183"/>
    </row>
    <row r="57" ht="15.75" customHeight="1">
      <c r="A57" s="176"/>
      <c r="B57" s="232">
        <v>45075.0</v>
      </c>
      <c r="C57" s="233">
        <v>1.028899024663039E8</v>
      </c>
      <c r="D57" s="233">
        <v>1.093572600708537E8</v>
      </c>
      <c r="E57" s="234"/>
      <c r="F57" s="233">
        <v>1.035906772083798E8</v>
      </c>
      <c r="G57" s="233">
        <v>1.150569652552702E8</v>
      </c>
      <c r="H57" s="234"/>
      <c r="I57" s="233">
        <v>1.045331524871937E8</v>
      </c>
      <c r="J57" s="233">
        <v>7.199968117279296E7</v>
      </c>
      <c r="K57" s="234"/>
      <c r="L57" s="233">
        <v>1.029723113691898E8</v>
      </c>
      <c r="M57" s="233">
        <v>7.433122740559345E7</v>
      </c>
      <c r="N57" s="240">
        <f t="shared" si="9"/>
        <v>-0.0005117595222</v>
      </c>
      <c r="O57" s="240">
        <f t="shared" si="10"/>
        <v>0.002299761619</v>
      </c>
      <c r="P57" s="240">
        <f t="shared" si="11"/>
        <v>-0.000785271421</v>
      </c>
      <c r="Q57" s="240">
        <f t="shared" si="12"/>
        <v>-0.001768760029</v>
      </c>
      <c r="R57" s="236">
        <f t="shared" si="13"/>
        <v>102.3309253</v>
      </c>
      <c r="S57" s="177"/>
      <c r="T57" s="233">
        <f t="shared" ref="T57:U57" si="67">IF(AND(C57&lt;&gt;"",F57&lt;&gt;"",I57&lt;&gt;""), SUM(I57,F57,C57,L57),"")</f>
        <v>413986043.5</v>
      </c>
      <c r="U57" s="233">
        <f t="shared" si="67"/>
        <v>370745133.9</v>
      </c>
      <c r="V57" s="233">
        <f t="shared" si="6"/>
        <v>103.4965109</v>
      </c>
      <c r="W57" s="241">
        <f t="shared" si="15"/>
        <v>-0.0001922449901</v>
      </c>
      <c r="X57" s="241">
        <f t="shared" si="16"/>
        <v>-0.0001922449901</v>
      </c>
      <c r="Y57" s="241">
        <f t="shared" si="25"/>
        <v>0.002759551558</v>
      </c>
      <c r="Z57" s="233">
        <f t="shared" si="7"/>
        <v>102.3309253</v>
      </c>
      <c r="AA57" s="165"/>
      <c r="AB57" s="245"/>
      <c r="AC57" s="242" t="str">
        <f>IF(ISTEXT(AB57),VLOOKUP(AB57,'Cadastro dos Ativos'!$A$2:$C$1000,3,0),"")</f>
        <v/>
      </c>
      <c r="AD57" s="242" t="str">
        <f>IF(AB57 &lt;&gt; "",IF(AC57="Futuros", (SUMIFS('Alocação'!$O$3:$O$1002,'Alocação'!$C$3:$C$1002,AB57,'Alocação'!$F$3:$F$1002,AB$9,'Alocação'!$B$3:$B$1002,"&lt;="&amp;$B$4)), (SUMIFS('Alocação'!$O$3:$O$1002,'Alocação'!$C$3:$C$1002,AB57,'Alocação'!$F$3:$F$1002,AB$9,'Alocação'!$B$3:$B$1002,"&lt;="&amp;$B$6))),"")</f>
        <v/>
      </c>
      <c r="AE57" s="243" t="str">
        <f>iferror(IF(AC57="Ações Americanas", HLOOKUP(AB57,'Histórico'!$A$1:$DD$990,MATCH($B$6,'Histórico'!$A:$A),FALSE)*HLOOKUP("PTAX",'Histórico'!$A$1:$FG$983,MATCH($B$6,'Histórico'!$A:$A),FALSE),IF(AC57="Ações Europeias", HLOOKUP(AB57,'Histórico'!$A$1:$DD$990,MATCH($B$6,'Histórico'!$A:$A),FALSE)*HLOOKUP("EUR/BRL",'Histórico'!$A$1:$FG$983,MATCH($B$6,'Histórico'!$A:$A),FALSE), HLOOKUP(AB57,'Histórico'!$A$1:$DD$990,MATCH($B$6,'Histórico'!$A:$A),FALSE))),"")</f>
        <v/>
      </c>
      <c r="AF57" s="243" t="str">
        <f t="shared" si="21"/>
        <v/>
      </c>
      <c r="AG57" s="53"/>
      <c r="AH57" s="245"/>
      <c r="AI57" s="242" t="str">
        <f>IF(ISTEXT(AH57),VLOOKUP(AH57,'Cadastro dos Ativos'!$A$2:$C$1000,3,0),"")</f>
        <v/>
      </c>
      <c r="AJ57" s="242" t="str">
        <f>IF(AH57 &lt;&gt; "",IF(AI57="Futuros", (SUMIFS('Alocação'!$O$3:$O$1002,'Alocação'!$C$3:$C$1002,AH57,'Alocação'!$F$3:$F$1002,AH$9,'Alocação'!$B$3:$B$1002,"&lt;="&amp;$B$4)), (SUMIFS('Alocação'!$O$3:$O$1002,'Alocação'!$C$3:$C$1002,AH57,'Alocação'!$F$3:$F$1002,AH$9,'Alocação'!$B$3:$B$1002,"&lt;="&amp;$B$6))),"")</f>
        <v/>
      </c>
      <c r="AK57" s="243" t="str">
        <f>iferror(IF(AI57="Ações Americanas", HLOOKUP(AH57,'Histórico'!$A$1:$DD$990,MATCH($B$6,'Histórico'!$A:$A),FALSE)*HLOOKUP("PTAX",'Histórico'!$A$1:$FG$983,MATCH($B$6,'Histórico'!$A:$A),FALSE),IF(AI57="Ações Europeias", HLOOKUP(AH57,'Histórico'!$A$1:$DD$990,MATCH($B$6,'Histórico'!$A:$A),FALSE)*HLOOKUP("EUR/BRL",'Histórico'!$A$1:$FG$983,MATCH($B$6,'Histórico'!$A:$A),FALSE),  HLOOKUP(AH57,'Histórico'!$A$1:$DD$990,MATCH($B$6,'Histórico'!$A:$A),FALSE))),"")</f>
        <v/>
      </c>
      <c r="AL57" s="243" t="str">
        <f t="shared" si="17"/>
        <v/>
      </c>
      <c r="AM57" s="53"/>
      <c r="AN57" s="245"/>
      <c r="AO57" s="242" t="str">
        <f>IF(ISTEXT(AN57),VLOOKUP(AN57,'Cadastro dos Ativos'!$A$2:$C$1000,3,0),"")</f>
        <v/>
      </c>
      <c r="AP57" s="242" t="str">
        <f>IF(AN57 &lt;&gt; "",IF(AO57="Futuros", (SUMIFS('Alocação'!$O$3:$O$1002,'Alocação'!$C$3:$C$1002,AN57,'Alocação'!$F$3:$F$1002,AN$9,'Alocação'!$B$3:$B$1002,"&lt;="&amp;$B$4)), (SUMIFS('Alocação'!$O$3:$O$1002,'Alocação'!$C$3:$C$1002,AN57,'Alocação'!$F$3:$F$1002,AN$9,'Alocação'!$B$3:$B$1002,"&lt;="&amp;$B$6))),"")</f>
        <v/>
      </c>
      <c r="AQ57" s="243" t="str">
        <f>iferror(IF(AO57="Ações Americanas", HLOOKUP(AN57,'Histórico'!$A$1:$DD$990,MATCH($B$6,'Histórico'!$A:$A),FALSE)*HLOOKUP("PTAX",'Histórico'!$A$1:$FG$983,MATCH($B$6,'Histórico'!$A:$A),FALSE),IF(AO57="Ações Europeias", HLOOKUP(AN57,'Histórico'!$A$1:$DD$990,MATCH($B$6,'Histórico'!$A:$A),FALSE)*HLOOKUP("EUR/BRL",'Histórico'!$A$1:$FG$983,MATCH($B$6,'Histórico'!$A:$A),FALSE),  HLOOKUP(AN57,'Histórico'!$A$1:$DD$990,MATCH($B$6,'Histórico'!$A:$A),FALSE))),"")</f>
        <v/>
      </c>
      <c r="AR57" s="243" t="str">
        <f t="shared" si="18"/>
        <v/>
      </c>
      <c r="AS57" s="53"/>
      <c r="AT57" s="245"/>
      <c r="AU57" s="242" t="str">
        <f>IF(ISTEXT(AT57),VLOOKUP(AT57,'Cadastro dos Ativos'!$A$2:$C$1000,3,0),"")</f>
        <v/>
      </c>
      <c r="AV57" s="242" t="str">
        <f>IF(AT57 &lt;&gt; "",IF(AU57="Futuros", (SUMIFS('Alocação'!$O$3:$O$1002,'Alocação'!$C$3:$C$1002,AT57,'Alocação'!$F$3:$F$1002,AT$9,'Alocação'!$B$3:$B$1002,"&lt;="&amp;$B$4)), (SUMIFS('Alocação'!$O$3:$O$1002,'Alocação'!$C$3:$C$1002,AT57,'Alocação'!$F$3:$F$1002,AT$9,'Alocação'!$B$3:$B$1002,"&lt;="&amp;$B$6))),"")</f>
        <v/>
      </c>
      <c r="AW57" s="243" t="str">
        <f>iferror(IF(AU57="Ações Americanas", HLOOKUP(AT57,'Histórico'!$A$1:$DD$990,MATCH($B$6,'Histórico'!$A:$A),FALSE)*HLOOKUP("PTAX",'Histórico'!$A$1:$FG$983,MATCH($B$6,'Histórico'!$A:$A),FALSE),IF(AU57="Ações Europeias", HLOOKUP(AT57,'Histórico'!$A$1:$DD$990,MATCH($B$6,'Histórico'!$A:$A),FALSE)*HLOOKUP("EUR/BRL",'Histórico'!$A$1:$FG$983,MATCH($B$6,'Histórico'!$A:$A),FALSE),  HLOOKUP(AT57,'Histórico'!$A$1:$DD$990,MATCH($B$6,'Histórico'!$A:$A),FALSE))),"")</f>
        <v/>
      </c>
      <c r="AX57" s="243" t="str">
        <f t="shared" si="27"/>
        <v/>
      </c>
      <c r="AY57" s="183"/>
    </row>
    <row r="58" ht="15.75" customHeight="1">
      <c r="A58" s="176"/>
      <c r="B58" s="232">
        <v>45076.0</v>
      </c>
      <c r="C58" s="233">
        <v>1.032318412777984E8</v>
      </c>
      <c r="D58" s="233">
        <v>1.246413545363303E8</v>
      </c>
      <c r="E58" s="234"/>
      <c r="F58" s="233">
        <v>1.035934521130028E8</v>
      </c>
      <c r="G58" s="233">
        <v>1.148554892827628E8</v>
      </c>
      <c r="H58" s="234"/>
      <c r="I58" s="233">
        <v>1.044114715017715E8</v>
      </c>
      <c r="J58" s="233">
        <v>7.178426538206892E7</v>
      </c>
      <c r="K58" s="234"/>
      <c r="L58" s="233">
        <v>1.025064786031801E8</v>
      </c>
      <c r="M58" s="233">
        <v>7.436289478059027E7</v>
      </c>
      <c r="N58" s="240">
        <f t="shared" si="9"/>
        <v>0.003323346638</v>
      </c>
      <c r="O58" s="240">
        <f t="shared" si="10"/>
        <v>0.00002678720419</v>
      </c>
      <c r="P58" s="240">
        <f t="shared" si="11"/>
        <v>-0.001164042053</v>
      </c>
      <c r="Q58" s="240">
        <f t="shared" si="12"/>
        <v>-0.004523864326</v>
      </c>
      <c r="R58" s="236">
        <f t="shared" si="13"/>
        <v>102.3811053</v>
      </c>
      <c r="S58" s="177"/>
      <c r="T58" s="233">
        <f t="shared" ref="T58:U58" si="68">IF(AND(C58&lt;&gt;"",F58&lt;&gt;"",I58&lt;&gt;""), SUM(I58,F58,C58,L58),"")</f>
        <v>413743243.5</v>
      </c>
      <c r="U58" s="233">
        <f t="shared" si="68"/>
        <v>385644004</v>
      </c>
      <c r="V58" s="233">
        <f t="shared" si="6"/>
        <v>103.4358109</v>
      </c>
      <c r="W58" s="241">
        <f t="shared" si="15"/>
        <v>-0.0005864932867</v>
      </c>
      <c r="X58" s="241">
        <f t="shared" si="16"/>
        <v>-0.0007786255264</v>
      </c>
      <c r="Y58" s="241">
        <f t="shared" si="25"/>
        <v>0.002760588683</v>
      </c>
      <c r="Z58" s="233">
        <f t="shared" si="7"/>
        <v>102.3811053</v>
      </c>
      <c r="AA58" s="165"/>
      <c r="AB58" s="245"/>
      <c r="AC58" s="242" t="str">
        <f>IF(ISTEXT(AB58),VLOOKUP(AB58,'Cadastro dos Ativos'!$A$2:$C$1000,3,0),"")</f>
        <v/>
      </c>
      <c r="AD58" s="242" t="str">
        <f>IF(AB58 &lt;&gt; "",IF(AC58="Futuros", (SUMIFS('Alocação'!$O$3:$O$1002,'Alocação'!$C$3:$C$1002,AB58,'Alocação'!$F$3:$F$1002,AB$9,'Alocação'!$B$3:$B$1002,"&lt;="&amp;$B$4)), (SUMIFS('Alocação'!$O$3:$O$1002,'Alocação'!$C$3:$C$1002,AB58,'Alocação'!$F$3:$F$1002,AB$9,'Alocação'!$B$3:$B$1002,"&lt;="&amp;$B$6))),"")</f>
        <v/>
      </c>
      <c r="AE58" s="243" t="str">
        <f>iferror(IF(AC58="Ações Americanas", HLOOKUP(AB58,'Histórico'!$A$1:$DD$990,MATCH($B$6,'Histórico'!$A:$A),FALSE)*HLOOKUP("PTAX",'Histórico'!$A$1:$FG$983,MATCH($B$6,'Histórico'!$A:$A),FALSE),IF(AC58="Ações Europeias", HLOOKUP(AB58,'Histórico'!$A$1:$DD$990,MATCH($B$6,'Histórico'!$A:$A),FALSE)*HLOOKUP("EUR/BRL",'Histórico'!$A$1:$FG$983,MATCH($B$6,'Histórico'!$A:$A),FALSE), HLOOKUP(AB58,'Histórico'!$A$1:$DD$990,MATCH($B$6,'Histórico'!$A:$A),FALSE))),"")</f>
        <v/>
      </c>
      <c r="AF58" s="243" t="str">
        <f t="shared" si="21"/>
        <v/>
      </c>
      <c r="AG58" s="53"/>
      <c r="AH58" s="245"/>
      <c r="AI58" s="242" t="str">
        <f>IF(ISTEXT(AH58),VLOOKUP(AH58,'Cadastro dos Ativos'!$A$2:$C$1000,3,0),"")</f>
        <v/>
      </c>
      <c r="AJ58" s="242" t="str">
        <f>IF(AH58 &lt;&gt; "",IF(AI58="Futuros", (SUMIFS('Alocação'!$O$3:$O$1002,'Alocação'!$C$3:$C$1002,AH58,'Alocação'!$F$3:$F$1002,AH$9,'Alocação'!$B$3:$B$1002,"&lt;="&amp;$B$4)), (SUMIFS('Alocação'!$O$3:$O$1002,'Alocação'!$C$3:$C$1002,AH58,'Alocação'!$F$3:$F$1002,AH$9,'Alocação'!$B$3:$B$1002,"&lt;="&amp;$B$6))),"")</f>
        <v/>
      </c>
      <c r="AK58" s="243" t="str">
        <f>iferror(IF(AI58="Ações Americanas", HLOOKUP(AH58,'Histórico'!$A$1:$DD$990,MATCH($B$6,'Histórico'!$A:$A),FALSE)*HLOOKUP("PTAX",'Histórico'!$A$1:$FG$983,MATCH($B$6,'Histórico'!$A:$A),FALSE),IF(AI58="Ações Europeias", HLOOKUP(AH58,'Histórico'!$A$1:$DD$990,MATCH($B$6,'Histórico'!$A:$A),FALSE)*HLOOKUP("EUR/BRL",'Histórico'!$A$1:$FG$983,MATCH($B$6,'Histórico'!$A:$A),FALSE),  HLOOKUP(AH58,'Histórico'!$A$1:$DD$990,MATCH($B$6,'Histórico'!$A:$A),FALSE))),"")</f>
        <v/>
      </c>
      <c r="AL58" s="243" t="str">
        <f t="shared" si="17"/>
        <v/>
      </c>
      <c r="AM58" s="53"/>
      <c r="AN58" s="245"/>
      <c r="AO58" s="242" t="str">
        <f>IF(ISTEXT(AN58),VLOOKUP(AN58,'Cadastro dos Ativos'!$A$2:$C$1000,3,0),"")</f>
        <v/>
      </c>
      <c r="AP58" s="242" t="str">
        <f>IF(AN58 &lt;&gt; "",IF(AO58="Futuros", (SUMIFS('Alocação'!$O$3:$O$1002,'Alocação'!$C$3:$C$1002,AN58,'Alocação'!$F$3:$F$1002,AN$9,'Alocação'!$B$3:$B$1002,"&lt;="&amp;$B$4)), (SUMIFS('Alocação'!$O$3:$O$1002,'Alocação'!$C$3:$C$1002,AN58,'Alocação'!$F$3:$F$1002,AN$9,'Alocação'!$B$3:$B$1002,"&lt;="&amp;$B$6))),"")</f>
        <v/>
      </c>
      <c r="AQ58" s="243" t="str">
        <f>iferror(IF(AO58="Ações Americanas", HLOOKUP(AN58,'Histórico'!$A$1:$DD$990,MATCH($B$6,'Histórico'!$A:$A),FALSE)*HLOOKUP("PTAX",'Histórico'!$A$1:$FG$983,MATCH($B$6,'Histórico'!$A:$A),FALSE),IF(AO58="Ações Europeias", HLOOKUP(AN58,'Histórico'!$A$1:$DD$990,MATCH($B$6,'Histórico'!$A:$A),FALSE)*HLOOKUP("EUR/BRL",'Histórico'!$A$1:$FG$983,MATCH($B$6,'Histórico'!$A:$A),FALSE),  HLOOKUP(AN58,'Histórico'!$A$1:$DD$990,MATCH($B$6,'Histórico'!$A:$A),FALSE))),"")</f>
        <v/>
      </c>
      <c r="AR58" s="243" t="str">
        <f t="shared" si="18"/>
        <v/>
      </c>
      <c r="AS58" s="53"/>
      <c r="AT58" s="245"/>
      <c r="AU58" s="242" t="str">
        <f>IF(ISTEXT(AT58),VLOOKUP(AT58,'Cadastro dos Ativos'!$A$2:$C$1000,3,0),"")</f>
        <v/>
      </c>
      <c r="AV58" s="242" t="str">
        <f>IF(AT58 &lt;&gt; "",IF(AU58="Futuros", (SUMIFS('Alocação'!$O$3:$O$1002,'Alocação'!$C$3:$C$1002,AT58,'Alocação'!$F$3:$F$1002,AT$9,'Alocação'!$B$3:$B$1002,"&lt;="&amp;$B$4)), (SUMIFS('Alocação'!$O$3:$O$1002,'Alocação'!$C$3:$C$1002,AT58,'Alocação'!$F$3:$F$1002,AT$9,'Alocação'!$B$3:$B$1002,"&lt;="&amp;$B$6))),"")</f>
        <v/>
      </c>
      <c r="AW58" s="243" t="str">
        <f>iferror(IF(AU58="Ações Americanas", HLOOKUP(AT58,'Histórico'!$A$1:$DD$990,MATCH($B$6,'Histórico'!$A:$A),FALSE)*HLOOKUP("PTAX",'Histórico'!$A$1:$FG$983,MATCH($B$6,'Histórico'!$A:$A),FALSE),IF(AU58="Ações Europeias", HLOOKUP(AT58,'Histórico'!$A$1:$DD$990,MATCH($B$6,'Histórico'!$A:$A),FALSE)*HLOOKUP("EUR/BRL",'Histórico'!$A$1:$FG$983,MATCH($B$6,'Histórico'!$A:$A),FALSE),  HLOOKUP(AT58,'Histórico'!$A$1:$DD$990,MATCH($B$6,'Histórico'!$A:$A),FALSE))),"")</f>
        <v/>
      </c>
      <c r="AX58" s="243" t="str">
        <f t="shared" si="27"/>
        <v/>
      </c>
      <c r="AY58" s="183"/>
    </row>
    <row r="59" ht="15.75" customHeight="1">
      <c r="A59" s="176"/>
      <c r="B59" s="232">
        <v>45077.0</v>
      </c>
      <c r="C59" s="233">
        <v>1.033021035263533E8</v>
      </c>
      <c r="D59" s="233">
        <v>1.246754332847483E8</v>
      </c>
      <c r="E59" s="234"/>
      <c r="F59" s="233">
        <v>1.03584046989587E8</v>
      </c>
      <c r="G59" s="233">
        <v>1.146700318206872E8</v>
      </c>
      <c r="H59" s="234"/>
      <c r="I59" s="233">
        <v>1.045207972698795E8</v>
      </c>
      <c r="J59" s="233">
        <v>7.174399507531656E7</v>
      </c>
      <c r="K59" s="234"/>
      <c r="L59" s="233">
        <v>1.027743886784029E8</v>
      </c>
      <c r="M59" s="233">
        <v>7.43946057618628E7</v>
      </c>
      <c r="N59" s="240">
        <f t="shared" si="9"/>
        <v>0.0006806257419</v>
      </c>
      <c r="O59" s="240">
        <f t="shared" si="10"/>
        <v>-0.00009078878273</v>
      </c>
      <c r="P59" s="240">
        <f t="shared" si="11"/>
        <v>0.001047066635</v>
      </c>
      <c r="Q59" s="240">
        <f t="shared" si="12"/>
        <v>0.002613591637</v>
      </c>
      <c r="R59" s="236">
        <f t="shared" si="13"/>
        <v>102.4313099</v>
      </c>
      <c r="S59" s="177"/>
      <c r="T59" s="233">
        <f t="shared" ref="T59:U59" si="69">IF(AND(C59&lt;&gt;"",F59&lt;&gt;"",I59&lt;&gt;""), SUM(I59,F59,C59,L59),"")</f>
        <v>414181336.5</v>
      </c>
      <c r="U59" s="233">
        <f t="shared" si="69"/>
        <v>385484065.9</v>
      </c>
      <c r="V59" s="233">
        <f t="shared" si="6"/>
        <v>103.5453341</v>
      </c>
      <c r="W59" s="241">
        <f t="shared" si="15"/>
        <v>0.00105885226</v>
      </c>
      <c r="X59" s="241">
        <f t="shared" si="16"/>
        <v>0</v>
      </c>
      <c r="Y59" s="241">
        <f t="shared" si="25"/>
        <v>0.002805746287</v>
      </c>
      <c r="Z59" s="233">
        <f t="shared" si="7"/>
        <v>102.4313099</v>
      </c>
      <c r="AA59" s="165"/>
      <c r="AB59" s="245"/>
      <c r="AC59" s="242" t="str">
        <f>IF(ISTEXT(AB59),VLOOKUP(AB59,'Cadastro dos Ativos'!$A$2:$C$1000,3,0),"")</f>
        <v/>
      </c>
      <c r="AD59" s="242" t="str">
        <f>IF(AB59 &lt;&gt; "",IF(AC59="Futuros", (SUMIFS('Alocação'!$O$3:$O$1002,'Alocação'!$C$3:$C$1002,AB59,'Alocação'!$F$3:$F$1002,AB$9,'Alocação'!$B$3:$B$1002,"&lt;="&amp;$B$4)), (SUMIFS('Alocação'!$O$3:$O$1002,'Alocação'!$C$3:$C$1002,AB59,'Alocação'!$F$3:$F$1002,AB$9,'Alocação'!$B$3:$B$1002,"&lt;="&amp;$B$6))),"")</f>
        <v/>
      </c>
      <c r="AE59" s="243" t="str">
        <f>iferror(IF(AC59="Ações Americanas", HLOOKUP(AB59,'Histórico'!$A$1:$DD$990,MATCH($B$6,'Histórico'!$A:$A),FALSE)*HLOOKUP("PTAX",'Histórico'!$A$1:$FG$983,MATCH($B$6,'Histórico'!$A:$A),FALSE),IF(AC59="Ações Europeias", HLOOKUP(AB59,'Histórico'!$A$1:$DD$990,MATCH($B$6,'Histórico'!$A:$A),FALSE)*HLOOKUP("EUR/BRL",'Histórico'!$A$1:$FG$983,MATCH($B$6,'Histórico'!$A:$A),FALSE), HLOOKUP(AB59,'Histórico'!$A$1:$DD$990,MATCH($B$6,'Histórico'!$A:$A),FALSE))),"")</f>
        <v/>
      </c>
      <c r="AF59" s="243" t="str">
        <f t="shared" si="21"/>
        <v/>
      </c>
      <c r="AG59" s="53"/>
      <c r="AH59" s="245"/>
      <c r="AI59" s="242" t="str">
        <f>IF(ISTEXT(AH59),VLOOKUP(AH59,'Cadastro dos Ativos'!$A$2:$C$1000,3,0),"")</f>
        <v/>
      </c>
      <c r="AJ59" s="242" t="str">
        <f>IF(AH59 &lt;&gt; "",IF(AI59="Futuros", (SUMIFS('Alocação'!$O$3:$O$1002,'Alocação'!$C$3:$C$1002,AH59,'Alocação'!$F$3:$F$1002,AH$9,'Alocação'!$B$3:$B$1002,"&lt;="&amp;$B$4)), (SUMIFS('Alocação'!$O$3:$O$1002,'Alocação'!$C$3:$C$1002,AH59,'Alocação'!$F$3:$F$1002,AH$9,'Alocação'!$B$3:$B$1002,"&lt;="&amp;$B$6))),"")</f>
        <v/>
      </c>
      <c r="AK59" s="243" t="str">
        <f>iferror(IF(AI59="Ações Americanas", HLOOKUP(AH59,'Histórico'!$A$1:$DD$990,MATCH($B$6,'Histórico'!$A:$A),FALSE)*HLOOKUP("PTAX",'Histórico'!$A$1:$FG$983,MATCH($B$6,'Histórico'!$A:$A),FALSE),IF(AI59="Ações Europeias", HLOOKUP(AH59,'Histórico'!$A$1:$DD$990,MATCH($B$6,'Histórico'!$A:$A),FALSE)*HLOOKUP("EUR/BRL",'Histórico'!$A$1:$FG$983,MATCH($B$6,'Histórico'!$A:$A),FALSE),  HLOOKUP(AH59,'Histórico'!$A$1:$DD$990,MATCH($B$6,'Histórico'!$A:$A),FALSE))),"")</f>
        <v/>
      </c>
      <c r="AL59" s="243" t="str">
        <f t="shared" si="17"/>
        <v/>
      </c>
      <c r="AM59" s="53"/>
      <c r="AN59" s="245"/>
      <c r="AO59" s="242" t="str">
        <f>IF(ISTEXT(AN59),VLOOKUP(AN59,'Cadastro dos Ativos'!$A$2:$C$1000,3,0),"")</f>
        <v/>
      </c>
      <c r="AP59" s="242" t="str">
        <f>IF(AN59 &lt;&gt; "",IF(AO59="Futuros", (SUMIFS('Alocação'!$O$3:$O$1002,'Alocação'!$C$3:$C$1002,AN59,'Alocação'!$F$3:$F$1002,AN$9,'Alocação'!$B$3:$B$1002,"&lt;="&amp;$B$4)), (SUMIFS('Alocação'!$O$3:$O$1002,'Alocação'!$C$3:$C$1002,AN59,'Alocação'!$F$3:$F$1002,AN$9,'Alocação'!$B$3:$B$1002,"&lt;="&amp;$B$6))),"")</f>
        <v/>
      </c>
      <c r="AQ59" s="243" t="str">
        <f>iferror(IF(AO59="Ações Americanas", HLOOKUP(AN59,'Histórico'!$A$1:$DD$990,MATCH($B$6,'Histórico'!$A:$A),FALSE)*HLOOKUP("PTAX",'Histórico'!$A$1:$FG$983,MATCH($B$6,'Histórico'!$A:$A),FALSE),IF(AO59="Ações Europeias", HLOOKUP(AN59,'Histórico'!$A$1:$DD$990,MATCH($B$6,'Histórico'!$A:$A),FALSE)*HLOOKUP("EUR/BRL",'Histórico'!$A$1:$FG$983,MATCH($B$6,'Histórico'!$A:$A),FALSE),  HLOOKUP(AN59,'Histórico'!$A$1:$DD$990,MATCH($B$6,'Histórico'!$A:$A),FALSE))),"")</f>
        <v/>
      </c>
      <c r="AR59" s="243" t="str">
        <f t="shared" si="18"/>
        <v/>
      </c>
      <c r="AS59" s="53"/>
      <c r="AT59" s="245"/>
      <c r="AU59" s="242" t="str">
        <f>IF(ISTEXT(AT59),VLOOKUP(AT59,'Cadastro dos Ativos'!$A$2:$C$1000,3,0),"")</f>
        <v/>
      </c>
      <c r="AV59" s="242" t="str">
        <f>IF(AT59 &lt;&gt; "",IF(AU59="Futuros", (SUMIFS('Alocação'!$O$3:$O$1002,'Alocação'!$C$3:$C$1002,AT59,'Alocação'!$F$3:$F$1002,AT$9,'Alocação'!$B$3:$B$1002,"&lt;="&amp;$B$4)), (SUMIFS('Alocação'!$O$3:$O$1002,'Alocação'!$C$3:$C$1002,AT59,'Alocação'!$F$3:$F$1002,AT$9,'Alocação'!$B$3:$B$1002,"&lt;="&amp;$B$6))),"")</f>
        <v/>
      </c>
      <c r="AW59" s="243" t="str">
        <f>iferror(IF(AU59="Ações Americanas", HLOOKUP(AT59,'Histórico'!$A$1:$DD$990,MATCH($B$6,'Histórico'!$A:$A),FALSE)*HLOOKUP("PTAX",'Histórico'!$A$1:$FG$983,MATCH($B$6,'Histórico'!$A:$A),FALSE),IF(AU59="Ações Europeias", HLOOKUP(AT59,'Histórico'!$A$1:$DD$990,MATCH($B$6,'Histórico'!$A:$A),FALSE)*HLOOKUP("EUR/BRL",'Histórico'!$A$1:$FG$983,MATCH($B$6,'Histórico'!$A:$A),FALSE),  HLOOKUP(AT59,'Histórico'!$A$1:$DD$990,MATCH($B$6,'Histórico'!$A:$A),FALSE))),"")</f>
        <v/>
      </c>
      <c r="AX59" s="243" t="str">
        <f t="shared" si="27"/>
        <v/>
      </c>
      <c r="AY59" s="183"/>
    </row>
    <row r="60" ht="15.75" customHeight="1">
      <c r="A60" s="176"/>
      <c r="B60" s="232">
        <v>45078.0</v>
      </c>
      <c r="C60" s="233">
        <v>1.029707220090283E8</v>
      </c>
      <c r="D60" s="233">
        <v>1.166242198242386E8</v>
      </c>
      <c r="E60" s="234"/>
      <c r="F60" s="233">
        <v>1.036959962717302E8</v>
      </c>
      <c r="G60" s="233">
        <v>1.150712459241638E8</v>
      </c>
      <c r="H60" s="234"/>
      <c r="I60" s="233">
        <v>1.041499385276977E8</v>
      </c>
      <c r="J60" s="233">
        <v>7.134668025672732E7</v>
      </c>
      <c r="K60" s="234"/>
      <c r="L60" s="233">
        <v>1.038422990492693E8</v>
      </c>
      <c r="M60" s="233">
        <v>7.44263170194326E7</v>
      </c>
      <c r="N60" s="240">
        <f t="shared" si="9"/>
        <v>-0.00320788741</v>
      </c>
      <c r="O60" s="240">
        <f t="shared" si="10"/>
        <v>0.001080757949</v>
      </c>
      <c r="P60" s="240">
        <f t="shared" si="11"/>
        <v>-0.003548181337</v>
      </c>
      <c r="Q60" s="240">
        <f t="shared" si="12"/>
        <v>0.01039082192</v>
      </c>
      <c r="R60" s="236">
        <f t="shared" si="13"/>
        <v>102.4815391</v>
      </c>
      <c r="S60" s="177"/>
      <c r="T60" s="233">
        <f t="shared" ref="T60:U60" si="70">IF(AND(C60&lt;&gt;"",F60&lt;&gt;"",I60&lt;&gt;""), SUM(I60,F60,C60,L60),"")</f>
        <v>414658955.9</v>
      </c>
      <c r="U60" s="233">
        <f t="shared" si="70"/>
        <v>377468463</v>
      </c>
      <c r="V60" s="233">
        <f t="shared" si="6"/>
        <v>103.664739</v>
      </c>
      <c r="W60" s="241">
        <f t="shared" si="15"/>
        <v>0.001153164934</v>
      </c>
      <c r="X60" s="241">
        <f t="shared" si="16"/>
        <v>0</v>
      </c>
      <c r="Y60" s="241">
        <f t="shared" si="25"/>
        <v>0.001905073386</v>
      </c>
      <c r="Z60" s="233">
        <f t="shared" si="7"/>
        <v>102.4815391</v>
      </c>
      <c r="AA60" s="165"/>
      <c r="AB60" s="245"/>
      <c r="AC60" s="242" t="str">
        <f>IF(ISTEXT(AB60),VLOOKUP(AB60,'Cadastro dos Ativos'!$A$2:$C$1000,3,0),"")</f>
        <v/>
      </c>
      <c r="AD60" s="242" t="str">
        <f>IF(AB60 &lt;&gt; "",IF(AC60="Futuros", (SUMIFS('Alocação'!$O$3:$O$1002,'Alocação'!$C$3:$C$1002,AB60,'Alocação'!$F$3:$F$1002,AB$9,'Alocação'!$B$3:$B$1002,"&lt;="&amp;$B$4)), (SUMIFS('Alocação'!$O$3:$O$1002,'Alocação'!$C$3:$C$1002,AB60,'Alocação'!$F$3:$F$1002,AB$9,'Alocação'!$B$3:$B$1002,"&lt;="&amp;$B$6))),"")</f>
        <v/>
      </c>
      <c r="AE60" s="243" t="str">
        <f>iferror(IF(AC60="Ações Americanas", HLOOKUP(AB60,'Histórico'!$A$1:$DD$990,MATCH($B$6,'Histórico'!$A:$A),FALSE)*HLOOKUP("PTAX",'Histórico'!$A$1:$FG$983,MATCH($B$6,'Histórico'!$A:$A),FALSE),IF(AC60="Ações Europeias", HLOOKUP(AB60,'Histórico'!$A$1:$DD$990,MATCH($B$6,'Histórico'!$A:$A),FALSE)*HLOOKUP("EUR/BRL",'Histórico'!$A$1:$FG$983,MATCH($B$6,'Histórico'!$A:$A),FALSE), HLOOKUP(AB60,'Histórico'!$A$1:$DD$990,MATCH($B$6,'Histórico'!$A:$A),FALSE))),"")</f>
        <v/>
      </c>
      <c r="AF60" s="243" t="str">
        <f t="shared" si="21"/>
        <v/>
      </c>
      <c r="AG60" s="53"/>
      <c r="AH60" s="245"/>
      <c r="AI60" s="242" t="str">
        <f>IF(ISTEXT(AH60),VLOOKUP(AH60,'Cadastro dos Ativos'!$A$2:$C$1000,3,0),"")</f>
        <v/>
      </c>
      <c r="AJ60" s="242" t="str">
        <f>IF(AH60 &lt;&gt; "",IF(AI60="Futuros", (SUMIFS('Alocação'!$O$3:$O$1002,'Alocação'!$C$3:$C$1002,AH60,'Alocação'!$F$3:$F$1002,AH$9,'Alocação'!$B$3:$B$1002,"&lt;="&amp;$B$4)), (SUMIFS('Alocação'!$O$3:$O$1002,'Alocação'!$C$3:$C$1002,AH60,'Alocação'!$F$3:$F$1002,AH$9,'Alocação'!$B$3:$B$1002,"&lt;="&amp;$B$6))),"")</f>
        <v/>
      </c>
      <c r="AK60" s="243" t="str">
        <f>iferror(IF(AI60="Ações Americanas", HLOOKUP(AH60,'Histórico'!$A$1:$DD$990,MATCH($B$6,'Histórico'!$A:$A),FALSE)*HLOOKUP("PTAX",'Histórico'!$A$1:$FG$983,MATCH($B$6,'Histórico'!$A:$A),FALSE),IF(AI60="Ações Europeias", HLOOKUP(AH60,'Histórico'!$A$1:$DD$990,MATCH($B$6,'Histórico'!$A:$A),FALSE)*HLOOKUP("EUR/BRL",'Histórico'!$A$1:$FG$983,MATCH($B$6,'Histórico'!$A:$A),FALSE),  HLOOKUP(AH60,'Histórico'!$A$1:$DD$990,MATCH($B$6,'Histórico'!$A:$A),FALSE))),"")</f>
        <v/>
      </c>
      <c r="AL60" s="243" t="str">
        <f t="shared" si="17"/>
        <v/>
      </c>
      <c r="AM60" s="53"/>
      <c r="AN60" s="245"/>
      <c r="AO60" s="242" t="str">
        <f>IF(ISTEXT(AN60),VLOOKUP(AN60,'Cadastro dos Ativos'!$A$2:$C$1000,3,0),"")</f>
        <v/>
      </c>
      <c r="AP60" s="242" t="str">
        <f>IF(AN60 &lt;&gt; "",IF(AO60="Futuros", (SUMIFS('Alocação'!$O$3:$O$1002,'Alocação'!$C$3:$C$1002,AN60,'Alocação'!$F$3:$F$1002,AN$9,'Alocação'!$B$3:$B$1002,"&lt;="&amp;$B$4)), (SUMIFS('Alocação'!$O$3:$O$1002,'Alocação'!$C$3:$C$1002,AN60,'Alocação'!$F$3:$F$1002,AN$9,'Alocação'!$B$3:$B$1002,"&lt;="&amp;$B$6))),"")</f>
        <v/>
      </c>
      <c r="AQ60" s="243" t="str">
        <f>iferror(IF(AO60="Ações Americanas", HLOOKUP(AN60,'Histórico'!$A$1:$DD$990,MATCH($B$6,'Histórico'!$A:$A),FALSE)*HLOOKUP("PTAX",'Histórico'!$A$1:$FG$983,MATCH($B$6,'Histórico'!$A:$A),FALSE),IF(AO60="Ações Europeias", HLOOKUP(AN60,'Histórico'!$A$1:$DD$990,MATCH($B$6,'Histórico'!$A:$A),FALSE)*HLOOKUP("EUR/BRL",'Histórico'!$A$1:$FG$983,MATCH($B$6,'Histórico'!$A:$A),FALSE),  HLOOKUP(AN60,'Histórico'!$A$1:$DD$990,MATCH($B$6,'Histórico'!$A:$A),FALSE))),"")</f>
        <v/>
      </c>
      <c r="AR60" s="243" t="str">
        <f t="shared" si="18"/>
        <v/>
      </c>
      <c r="AS60" s="53"/>
      <c r="AT60" s="245"/>
      <c r="AU60" s="242" t="str">
        <f>IF(ISTEXT(AT60),VLOOKUP(AT60,'Cadastro dos Ativos'!$A$2:$C$1000,3,0),"")</f>
        <v/>
      </c>
      <c r="AV60" s="242" t="str">
        <f>IF(AT60 &lt;&gt; "",IF(AU60="Futuros", (SUMIFS('Alocação'!$O$3:$O$1002,'Alocação'!$C$3:$C$1002,AT60,'Alocação'!$F$3:$F$1002,AT$9,'Alocação'!$B$3:$B$1002,"&lt;="&amp;$B$4)), (SUMIFS('Alocação'!$O$3:$O$1002,'Alocação'!$C$3:$C$1002,AT60,'Alocação'!$F$3:$F$1002,AT$9,'Alocação'!$B$3:$B$1002,"&lt;="&amp;$B$6))),"")</f>
        <v/>
      </c>
      <c r="AW60" s="243" t="str">
        <f>iferror(IF(AU60="Ações Americanas", HLOOKUP(AT60,'Histórico'!$A$1:$DD$990,MATCH($B$6,'Histórico'!$A:$A),FALSE)*HLOOKUP("PTAX",'Histórico'!$A$1:$FG$983,MATCH($B$6,'Histórico'!$A:$A),FALSE),IF(AU60="Ações Europeias", HLOOKUP(AT60,'Histórico'!$A$1:$DD$990,MATCH($B$6,'Histórico'!$A:$A),FALSE)*HLOOKUP("EUR/BRL",'Histórico'!$A$1:$FG$983,MATCH($B$6,'Histórico'!$A:$A),FALSE),  HLOOKUP(AT60,'Histórico'!$A$1:$DD$990,MATCH($B$6,'Histórico'!$A:$A),FALSE))),"")</f>
        <v/>
      </c>
      <c r="AX60" s="243" t="str">
        <f t="shared" si="27"/>
        <v/>
      </c>
      <c r="AY60" s="183"/>
    </row>
    <row r="61" ht="15.75" customHeight="1">
      <c r="A61" s="176"/>
      <c r="B61" s="232">
        <v>45079.0</v>
      </c>
      <c r="C61" s="233">
        <v>1.027677532490583E8</v>
      </c>
      <c r="D61" s="233">
        <v>1.0060774823313E8</v>
      </c>
      <c r="E61" s="234"/>
      <c r="F61" s="233">
        <v>1.035708839192245E8</v>
      </c>
      <c r="G61" s="233">
        <v>1.151853701818992E8</v>
      </c>
      <c r="H61" s="234"/>
      <c r="I61" s="233">
        <v>1.048682126219775E8</v>
      </c>
      <c r="J61" s="233">
        <v>7.195137706153569E7</v>
      </c>
      <c r="K61" s="234"/>
      <c r="L61" s="233">
        <v>1.037081631128284E8</v>
      </c>
      <c r="M61" s="233">
        <v>6.408718123013224E7</v>
      </c>
      <c r="N61" s="240">
        <f t="shared" si="9"/>
        <v>-0.001971130784</v>
      </c>
      <c r="O61" s="240">
        <f t="shared" si="10"/>
        <v>-0.001206530213</v>
      </c>
      <c r="P61" s="240">
        <f t="shared" si="11"/>
        <v>0.006896538821</v>
      </c>
      <c r="Q61" s="240">
        <f t="shared" si="12"/>
        <v>-0.001291727337</v>
      </c>
      <c r="R61" s="236">
        <f t="shared" si="13"/>
        <v>102.531793</v>
      </c>
      <c r="S61" s="177"/>
      <c r="T61" s="233">
        <f t="shared" ref="T61:U61" si="71">IF(AND(C61&lt;&gt;"",F61&lt;&gt;"",I61&lt;&gt;""), SUM(I61,F61,C61,L61),"")</f>
        <v>414915012.9</v>
      </c>
      <c r="U61" s="233">
        <f t="shared" si="71"/>
        <v>351831676.7</v>
      </c>
      <c r="V61" s="233">
        <f t="shared" si="6"/>
        <v>103.7287532</v>
      </c>
      <c r="W61" s="241">
        <f t="shared" si="15"/>
        <v>0.000617512396</v>
      </c>
      <c r="X61" s="241">
        <f t="shared" si="16"/>
        <v>0</v>
      </c>
      <c r="Y61" s="241">
        <f t="shared" si="25"/>
        <v>0.0007700750844</v>
      </c>
      <c r="Z61" s="233">
        <f t="shared" si="7"/>
        <v>102.531793</v>
      </c>
      <c r="AA61" s="165"/>
      <c r="AB61" s="245"/>
      <c r="AC61" s="242" t="str">
        <f>IF(ISTEXT(AB61),VLOOKUP(AB61,'Cadastro dos Ativos'!$A$2:$C$1000,3,0),"")</f>
        <v/>
      </c>
      <c r="AD61" s="242" t="str">
        <f>IF(AB61 &lt;&gt; "",IF(AC61="Futuros", (SUMIFS('Alocação'!$O$3:$O$1002,'Alocação'!$C$3:$C$1002,AB61,'Alocação'!$F$3:$F$1002,AB$9,'Alocação'!$B$3:$B$1002,"&lt;="&amp;$B$4)), (SUMIFS('Alocação'!$O$3:$O$1002,'Alocação'!$C$3:$C$1002,AB61,'Alocação'!$F$3:$F$1002,AB$9,'Alocação'!$B$3:$B$1002,"&lt;="&amp;$B$6))),"")</f>
        <v/>
      </c>
      <c r="AE61" s="243" t="str">
        <f>iferror(IF(AC61="Ações Americanas", HLOOKUP(AB61,'Histórico'!$A$1:$DD$990,MATCH($B$6,'Histórico'!$A:$A),FALSE)*HLOOKUP("PTAX",'Histórico'!$A$1:$FG$983,MATCH($B$6,'Histórico'!$A:$A),FALSE),IF(AC61="Ações Europeias", HLOOKUP(AB61,'Histórico'!$A$1:$DD$990,MATCH($B$6,'Histórico'!$A:$A),FALSE)*HLOOKUP("EUR/BRL",'Histórico'!$A$1:$FG$983,MATCH($B$6,'Histórico'!$A:$A),FALSE), HLOOKUP(AB61,'Histórico'!$A$1:$DD$990,MATCH($B$6,'Histórico'!$A:$A),FALSE))),"")</f>
        <v/>
      </c>
      <c r="AF61" s="243" t="str">
        <f t="shared" si="21"/>
        <v/>
      </c>
      <c r="AG61" s="53"/>
      <c r="AH61" s="245"/>
      <c r="AI61" s="242" t="str">
        <f>IF(ISTEXT(AH61),VLOOKUP(AH61,'Cadastro dos Ativos'!$A$2:$C$1000,3,0),"")</f>
        <v/>
      </c>
      <c r="AJ61" s="242" t="str">
        <f>IF(AH61 &lt;&gt; "",IF(AI61="Futuros", (SUMIFS('Alocação'!$O$3:$O$1002,'Alocação'!$C$3:$C$1002,AH61,'Alocação'!$F$3:$F$1002,AH$9,'Alocação'!$B$3:$B$1002,"&lt;="&amp;$B$4)), (SUMIFS('Alocação'!$O$3:$O$1002,'Alocação'!$C$3:$C$1002,AH61,'Alocação'!$F$3:$F$1002,AH$9,'Alocação'!$B$3:$B$1002,"&lt;="&amp;$B$6))),"")</f>
        <v/>
      </c>
      <c r="AK61" s="243" t="str">
        <f>iferror(IF(AI61="Ações Americanas", HLOOKUP(AH61,'Histórico'!$A$1:$DD$990,MATCH($B$6,'Histórico'!$A:$A),FALSE)*HLOOKUP("PTAX",'Histórico'!$A$1:$FG$983,MATCH($B$6,'Histórico'!$A:$A),FALSE),IF(AI61="Ações Europeias", HLOOKUP(AH61,'Histórico'!$A$1:$DD$990,MATCH($B$6,'Histórico'!$A:$A),FALSE)*HLOOKUP("EUR/BRL",'Histórico'!$A$1:$FG$983,MATCH($B$6,'Histórico'!$A:$A),FALSE),  HLOOKUP(AH61,'Histórico'!$A$1:$DD$990,MATCH($B$6,'Histórico'!$A:$A),FALSE))),"")</f>
        <v/>
      </c>
      <c r="AL61" s="243" t="str">
        <f t="shared" si="17"/>
        <v/>
      </c>
      <c r="AM61" s="53"/>
      <c r="AN61" s="245"/>
      <c r="AO61" s="242" t="str">
        <f>IF(ISTEXT(AN61),VLOOKUP(AN61,'Cadastro dos Ativos'!$A$2:$C$1000,3,0),"")</f>
        <v/>
      </c>
      <c r="AP61" s="242" t="str">
        <f>IF(AN61 &lt;&gt; "",IF(AO61="Futuros", (SUMIFS('Alocação'!$O$3:$O$1002,'Alocação'!$C$3:$C$1002,AN61,'Alocação'!$F$3:$F$1002,AN$9,'Alocação'!$B$3:$B$1002,"&lt;="&amp;$B$4)), (SUMIFS('Alocação'!$O$3:$O$1002,'Alocação'!$C$3:$C$1002,AN61,'Alocação'!$F$3:$F$1002,AN$9,'Alocação'!$B$3:$B$1002,"&lt;="&amp;$B$6))),"")</f>
        <v/>
      </c>
      <c r="AQ61" s="243" t="str">
        <f>iferror(IF(AO61="Ações Americanas", HLOOKUP(AN61,'Histórico'!$A$1:$DD$990,MATCH($B$6,'Histórico'!$A:$A),FALSE)*HLOOKUP("PTAX",'Histórico'!$A$1:$FG$983,MATCH($B$6,'Histórico'!$A:$A),FALSE),IF(AO61="Ações Europeias", HLOOKUP(AN61,'Histórico'!$A$1:$DD$990,MATCH($B$6,'Histórico'!$A:$A),FALSE)*HLOOKUP("EUR/BRL",'Histórico'!$A$1:$FG$983,MATCH($B$6,'Histórico'!$A:$A),FALSE),  HLOOKUP(AN61,'Histórico'!$A$1:$DD$990,MATCH($B$6,'Histórico'!$A:$A),FALSE))),"")</f>
        <v/>
      </c>
      <c r="AR61" s="243" t="str">
        <f t="shared" si="18"/>
        <v/>
      </c>
      <c r="AS61" s="53"/>
      <c r="AT61" s="245"/>
      <c r="AU61" s="242" t="str">
        <f>IF(ISTEXT(AT61),VLOOKUP(AT61,'Cadastro dos Ativos'!$A$2:$C$1000,3,0),"")</f>
        <v/>
      </c>
      <c r="AV61" s="242" t="str">
        <f>IF(AT61 &lt;&gt; "",IF(AU61="Futuros", (SUMIFS('Alocação'!$O$3:$O$1002,'Alocação'!$C$3:$C$1002,AT61,'Alocação'!$F$3:$F$1002,AT$9,'Alocação'!$B$3:$B$1002,"&lt;="&amp;$B$4)), (SUMIFS('Alocação'!$O$3:$O$1002,'Alocação'!$C$3:$C$1002,AT61,'Alocação'!$F$3:$F$1002,AT$9,'Alocação'!$B$3:$B$1002,"&lt;="&amp;$B$6))),"")</f>
        <v/>
      </c>
      <c r="AW61" s="243" t="str">
        <f>iferror(IF(AU61="Ações Americanas", HLOOKUP(AT61,'Histórico'!$A$1:$DD$990,MATCH($B$6,'Histórico'!$A:$A),FALSE)*HLOOKUP("PTAX",'Histórico'!$A$1:$FG$983,MATCH($B$6,'Histórico'!$A:$A),FALSE),IF(AU61="Ações Europeias", HLOOKUP(AT61,'Histórico'!$A$1:$DD$990,MATCH($B$6,'Histórico'!$A:$A),FALSE)*HLOOKUP("EUR/BRL",'Histórico'!$A$1:$FG$983,MATCH($B$6,'Histórico'!$A:$A),FALSE),  HLOOKUP(AT61,'Histórico'!$A$1:$DD$990,MATCH($B$6,'Histórico'!$A:$A),FALSE))),"")</f>
        <v/>
      </c>
      <c r="AX61" s="243" t="str">
        <f t="shared" si="27"/>
        <v/>
      </c>
      <c r="AY61" s="183"/>
    </row>
    <row r="62" ht="15.75" customHeight="1">
      <c r="A62" s="176"/>
      <c r="B62" s="232">
        <v>45082.0</v>
      </c>
      <c r="C62" s="233">
        <v>1.028286083375307E8</v>
      </c>
      <c r="D62" s="233">
        <v>1.009352370135428E8</v>
      </c>
      <c r="E62" s="234"/>
      <c r="F62" s="233">
        <v>1.040189141221079E8</v>
      </c>
      <c r="G62" s="233">
        <v>1.154970199931435E8</v>
      </c>
      <c r="H62" s="234"/>
      <c r="I62" s="233">
        <v>1.044784780831074E8</v>
      </c>
      <c r="J62" s="233">
        <v>7.188909624158041E7</v>
      </c>
      <c r="K62" s="234"/>
      <c r="L62" s="233">
        <v>1.036738841186333E8</v>
      </c>
      <c r="M62" s="233">
        <v>6.411360238223081E7</v>
      </c>
      <c r="N62" s="240">
        <f t="shared" si="9"/>
        <v>0.0005921613205</v>
      </c>
      <c r="O62" s="240">
        <f t="shared" si="10"/>
        <v>0.004325831604</v>
      </c>
      <c r="P62" s="240">
        <f t="shared" si="11"/>
        <v>-0.003716422061</v>
      </c>
      <c r="Q62" s="240">
        <f t="shared" si="12"/>
        <v>-0.0003305332306</v>
      </c>
      <c r="R62" s="236">
        <f t="shared" si="13"/>
        <v>102.5820715</v>
      </c>
      <c r="S62" s="177"/>
      <c r="T62" s="233">
        <f t="shared" ref="T62:U62" si="72">IF(AND(C62&lt;&gt;"",F62&lt;&gt;"",I62&lt;&gt;""), SUM(I62,F62,C62,L62),"")</f>
        <v>414999884.7</v>
      </c>
      <c r="U62" s="233">
        <f t="shared" si="72"/>
        <v>352434955.6</v>
      </c>
      <c r="V62" s="233">
        <f t="shared" si="6"/>
        <v>103.7499712</v>
      </c>
      <c r="W62" s="241">
        <f t="shared" si="15"/>
        <v>0.0002045521508</v>
      </c>
      <c r="X62" s="241">
        <f t="shared" si="16"/>
        <v>0</v>
      </c>
      <c r="Y62" s="241">
        <f t="shared" si="25"/>
        <v>0.0007106259815</v>
      </c>
      <c r="Z62" s="233">
        <f t="shared" si="7"/>
        <v>102.5820715</v>
      </c>
      <c r="AA62" s="165"/>
      <c r="AB62" s="245"/>
      <c r="AC62" s="242" t="str">
        <f>IF(ISTEXT(AB62),VLOOKUP(AB62,'Cadastro dos Ativos'!$A$2:$C$1000,3,0),"")</f>
        <v/>
      </c>
      <c r="AD62" s="242" t="str">
        <f>IF(AB62 &lt;&gt; "",IF(AC62="Futuros", (SUMIFS('Alocação'!$O$3:$O$1002,'Alocação'!$C$3:$C$1002,AB62,'Alocação'!$F$3:$F$1002,AB$9,'Alocação'!$B$3:$B$1002,"&lt;="&amp;$B$4)), (SUMIFS('Alocação'!$O$3:$O$1002,'Alocação'!$C$3:$C$1002,AB62,'Alocação'!$F$3:$F$1002,AB$9,'Alocação'!$B$3:$B$1002,"&lt;="&amp;$B$6))),"")</f>
        <v/>
      </c>
      <c r="AE62" s="243" t="str">
        <f>iferror(IF(AC62="Ações Americanas", HLOOKUP(AB62,'Histórico'!$A$1:$DD$990,MATCH($B$6,'Histórico'!$A:$A),FALSE)*HLOOKUP("PTAX",'Histórico'!$A$1:$FG$983,MATCH($B$6,'Histórico'!$A:$A),FALSE),IF(AC62="Ações Europeias", HLOOKUP(AB62,'Histórico'!$A$1:$DD$990,MATCH($B$6,'Histórico'!$A:$A),FALSE)*HLOOKUP("EUR/BRL",'Histórico'!$A$1:$FG$983,MATCH($B$6,'Histórico'!$A:$A),FALSE), HLOOKUP(AB62,'Histórico'!$A$1:$DD$990,MATCH($B$6,'Histórico'!$A:$A),FALSE))),"")</f>
        <v/>
      </c>
      <c r="AF62" s="243" t="str">
        <f t="shared" si="21"/>
        <v/>
      </c>
      <c r="AG62" s="53"/>
      <c r="AH62" s="245"/>
      <c r="AI62" s="242" t="str">
        <f>IF(ISTEXT(AH62),VLOOKUP(AH62,'Cadastro dos Ativos'!$A$2:$C$1000,3,0),"")</f>
        <v/>
      </c>
      <c r="AJ62" s="242" t="str">
        <f>IF(AH62 &lt;&gt; "",IF(AI62="Futuros", (SUMIFS('Alocação'!$O$3:$O$1002,'Alocação'!$C$3:$C$1002,AH62,'Alocação'!$F$3:$F$1002,AH$9,'Alocação'!$B$3:$B$1002,"&lt;="&amp;$B$4)), (SUMIFS('Alocação'!$O$3:$O$1002,'Alocação'!$C$3:$C$1002,AH62,'Alocação'!$F$3:$F$1002,AH$9,'Alocação'!$B$3:$B$1002,"&lt;="&amp;$B$6))),"")</f>
        <v/>
      </c>
      <c r="AK62" s="243" t="str">
        <f>iferror(IF(AI62="Ações Americanas", HLOOKUP(AH62,'Histórico'!$A$1:$DD$990,MATCH($B$6,'Histórico'!$A:$A),FALSE)*HLOOKUP("PTAX",'Histórico'!$A$1:$FG$983,MATCH($B$6,'Histórico'!$A:$A),FALSE),IF(AI62="Ações Europeias", HLOOKUP(AH62,'Histórico'!$A$1:$DD$990,MATCH($B$6,'Histórico'!$A:$A),FALSE)*HLOOKUP("EUR/BRL",'Histórico'!$A$1:$FG$983,MATCH($B$6,'Histórico'!$A:$A),FALSE),  HLOOKUP(AH62,'Histórico'!$A$1:$DD$990,MATCH($B$6,'Histórico'!$A:$A),FALSE))),"")</f>
        <v/>
      </c>
      <c r="AL62" s="243" t="str">
        <f t="shared" si="17"/>
        <v/>
      </c>
      <c r="AM62" s="53"/>
      <c r="AN62" s="245"/>
      <c r="AO62" s="242" t="str">
        <f>IF(ISTEXT(AN62),VLOOKUP(AN62,'Cadastro dos Ativos'!$A$2:$C$1000,3,0),"")</f>
        <v/>
      </c>
      <c r="AP62" s="242" t="str">
        <f>IF(AN62 &lt;&gt; "",IF(AO62="Futuros", (SUMIFS('Alocação'!$O$3:$O$1002,'Alocação'!$C$3:$C$1002,AN62,'Alocação'!$F$3:$F$1002,AN$9,'Alocação'!$B$3:$B$1002,"&lt;="&amp;$B$4)), (SUMIFS('Alocação'!$O$3:$O$1002,'Alocação'!$C$3:$C$1002,AN62,'Alocação'!$F$3:$F$1002,AN$9,'Alocação'!$B$3:$B$1002,"&lt;="&amp;$B$6))),"")</f>
        <v/>
      </c>
      <c r="AQ62" s="243" t="str">
        <f>iferror(IF(AO62="Ações Americanas", HLOOKUP(AN62,'Histórico'!$A$1:$DD$990,MATCH($B$6,'Histórico'!$A:$A),FALSE)*HLOOKUP("PTAX",'Histórico'!$A$1:$FG$983,MATCH($B$6,'Histórico'!$A:$A),FALSE),IF(AO62="Ações Europeias", HLOOKUP(AN62,'Histórico'!$A$1:$DD$990,MATCH($B$6,'Histórico'!$A:$A),FALSE)*HLOOKUP("EUR/BRL",'Histórico'!$A$1:$FG$983,MATCH($B$6,'Histórico'!$A:$A),FALSE),  HLOOKUP(AN62,'Histórico'!$A$1:$DD$990,MATCH($B$6,'Histórico'!$A:$A),FALSE))),"")</f>
        <v/>
      </c>
      <c r="AR62" s="243" t="str">
        <f t="shared" si="18"/>
        <v/>
      </c>
      <c r="AS62" s="53"/>
      <c r="AT62" s="245"/>
      <c r="AU62" s="242" t="str">
        <f>IF(ISTEXT(AT62),VLOOKUP(AT62,'Cadastro dos Ativos'!$A$2:$C$1000,3,0),"")</f>
        <v/>
      </c>
      <c r="AV62" s="242" t="str">
        <f>IF(AT62 &lt;&gt; "",IF(AU62="Futuros", (SUMIFS('Alocação'!$O$3:$O$1002,'Alocação'!$C$3:$C$1002,AT62,'Alocação'!$F$3:$F$1002,AT$9,'Alocação'!$B$3:$B$1002,"&lt;="&amp;$B$4)), (SUMIFS('Alocação'!$O$3:$O$1002,'Alocação'!$C$3:$C$1002,AT62,'Alocação'!$F$3:$F$1002,AT$9,'Alocação'!$B$3:$B$1002,"&lt;="&amp;$B$6))),"")</f>
        <v/>
      </c>
      <c r="AW62" s="243" t="str">
        <f>iferror(IF(AU62="Ações Americanas", HLOOKUP(AT62,'Histórico'!$A$1:$DD$990,MATCH($B$6,'Histórico'!$A:$A),FALSE)*HLOOKUP("PTAX",'Histórico'!$A$1:$FG$983,MATCH($B$6,'Histórico'!$A:$A),FALSE),IF(AU62="Ações Europeias", HLOOKUP(AT62,'Histórico'!$A$1:$DD$990,MATCH($B$6,'Histórico'!$A:$A),FALSE)*HLOOKUP("EUR/BRL",'Histórico'!$A$1:$FG$983,MATCH($B$6,'Histórico'!$A:$A),FALSE),  HLOOKUP(AT62,'Histórico'!$A$1:$DD$990,MATCH($B$6,'Histórico'!$A:$A),FALSE))),"")</f>
        <v/>
      </c>
      <c r="AX62" s="243" t="str">
        <f t="shared" si="27"/>
        <v/>
      </c>
      <c r="AY62" s="183"/>
    </row>
    <row r="63" ht="15.75" customHeight="1">
      <c r="A63" s="176"/>
      <c r="B63" s="232">
        <v>45083.0</v>
      </c>
      <c r="C63" s="246">
        <v>1.026341484633328E8</v>
      </c>
      <c r="D63" s="246">
        <v>1.120181405834233E8</v>
      </c>
      <c r="E63" s="247"/>
      <c r="F63" s="246">
        <v>1.040479469502455E8</v>
      </c>
      <c r="G63" s="246">
        <v>1.15720709413883E8</v>
      </c>
      <c r="H63" s="247"/>
      <c r="I63" s="246">
        <v>1.043354454857866E8</v>
      </c>
      <c r="J63" s="246">
        <v>7.19664990173389E7</v>
      </c>
      <c r="K63" s="247"/>
      <c r="L63" s="246">
        <v>1.039863191038214E8</v>
      </c>
      <c r="M63" s="246">
        <v>6.414003897842847E7</v>
      </c>
      <c r="N63" s="240">
        <f t="shared" si="9"/>
        <v>-0.001891106739</v>
      </c>
      <c r="O63" s="240">
        <f t="shared" si="10"/>
        <v>0.000279111048</v>
      </c>
      <c r="P63" s="240">
        <f t="shared" si="11"/>
        <v>-0.001369014939</v>
      </c>
      <c r="Q63" s="240">
        <f t="shared" si="12"/>
        <v>0.003013632487</v>
      </c>
      <c r="R63" s="236">
        <f t="shared" si="13"/>
        <v>102.6323747</v>
      </c>
      <c r="S63" s="177"/>
      <c r="T63" s="233">
        <f t="shared" ref="T63:U63" si="73">IF(AND(C63&lt;&gt;"",F63&lt;&gt;"",I63&lt;&gt;""), SUM(I63,F63,C63,L63),"")</f>
        <v>415003860</v>
      </c>
      <c r="U63" s="233">
        <f t="shared" si="73"/>
        <v>363845388</v>
      </c>
      <c r="V63" s="233">
        <f t="shared" si="6"/>
        <v>103.750965</v>
      </c>
      <c r="W63" s="241">
        <f t="shared" si="15"/>
        <v>0.000009579139547</v>
      </c>
      <c r="X63" s="241">
        <f t="shared" si="16"/>
        <v>0</v>
      </c>
      <c r="Y63" s="241">
        <f t="shared" si="25"/>
        <v>0.0005053310955</v>
      </c>
      <c r="Z63" s="233">
        <f t="shared" si="7"/>
        <v>102.6323747</v>
      </c>
      <c r="AA63" s="165"/>
      <c r="AB63" s="245"/>
      <c r="AC63" s="242" t="str">
        <f>IF(ISTEXT(AB63),VLOOKUP(AB63,'Cadastro dos Ativos'!$A$2:$C$1000,3,0),"")</f>
        <v/>
      </c>
      <c r="AD63" s="242" t="str">
        <f>IF(AB63 &lt;&gt; "",IF(AC63="Futuros", (SUMIFS('Alocação'!$O$3:$O$1002,'Alocação'!$C$3:$C$1002,AB63,'Alocação'!$F$3:$F$1002,AB$9,'Alocação'!$B$3:$B$1002,"&lt;="&amp;$B$4)), (SUMIFS('Alocação'!$O$3:$O$1002,'Alocação'!$C$3:$C$1002,AB63,'Alocação'!$F$3:$F$1002,AB$9,'Alocação'!$B$3:$B$1002,"&lt;="&amp;$B$6))),"")</f>
        <v/>
      </c>
      <c r="AE63" s="243" t="str">
        <f>iferror(IF(AC63="Ações Americanas", HLOOKUP(AB63,'Histórico'!$A$1:$DD$990,MATCH($B$6,'Histórico'!$A:$A),FALSE)*HLOOKUP("PTAX",'Histórico'!$A$1:$FG$983,MATCH($B$6,'Histórico'!$A:$A),FALSE),IF(AC63="Ações Europeias", HLOOKUP(AB63,'Histórico'!$A$1:$DD$990,MATCH($B$6,'Histórico'!$A:$A),FALSE)*HLOOKUP("EUR/BRL",'Histórico'!$A$1:$FG$983,MATCH($B$6,'Histórico'!$A:$A),FALSE), HLOOKUP(AB63,'Histórico'!$A$1:$DD$990,MATCH($B$6,'Histórico'!$A:$A),FALSE))),"")</f>
        <v/>
      </c>
      <c r="AF63" s="243" t="str">
        <f t="shared" si="21"/>
        <v/>
      </c>
      <c r="AG63" s="53"/>
      <c r="AH63" s="245"/>
      <c r="AI63" s="242" t="str">
        <f>IF(ISTEXT(AH63),VLOOKUP(AH63,'Cadastro dos Ativos'!$A$2:$C$1000,3,0),"")</f>
        <v/>
      </c>
      <c r="AJ63" s="242" t="str">
        <f>IF(AH63 &lt;&gt; "",IF(AI63="Futuros", (SUMIFS('Alocação'!$O$3:$O$1002,'Alocação'!$C$3:$C$1002,AH63,'Alocação'!$F$3:$F$1002,AH$9,'Alocação'!$B$3:$B$1002,"&lt;="&amp;$B$4)), (SUMIFS('Alocação'!$O$3:$O$1002,'Alocação'!$C$3:$C$1002,AH63,'Alocação'!$F$3:$F$1002,AH$9,'Alocação'!$B$3:$B$1002,"&lt;="&amp;$B$6))),"")</f>
        <v/>
      </c>
      <c r="AK63" s="243" t="str">
        <f>iferror(IF(AI63="Ações Americanas", HLOOKUP(AH63,'Histórico'!$A$1:$DD$990,MATCH($B$6,'Histórico'!$A:$A),FALSE)*HLOOKUP("PTAX",'Histórico'!$A$1:$FG$983,MATCH($B$6,'Histórico'!$A:$A),FALSE),IF(AI63="Ações Europeias", HLOOKUP(AH63,'Histórico'!$A$1:$DD$990,MATCH($B$6,'Histórico'!$A:$A),FALSE)*HLOOKUP("EUR/BRL",'Histórico'!$A$1:$FG$983,MATCH($B$6,'Histórico'!$A:$A),FALSE),  HLOOKUP(AH63,'Histórico'!$A$1:$DD$990,MATCH($B$6,'Histórico'!$A:$A),FALSE))),"")</f>
        <v/>
      </c>
      <c r="AL63" s="243" t="str">
        <f t="shared" si="17"/>
        <v/>
      </c>
      <c r="AM63" s="53"/>
      <c r="AN63" s="245"/>
      <c r="AO63" s="242" t="str">
        <f>IF(ISTEXT(AN63),VLOOKUP(AN63,'Cadastro dos Ativos'!$A$2:$C$1000,3,0),"")</f>
        <v/>
      </c>
      <c r="AP63" s="242" t="str">
        <f>IF(AN63 &lt;&gt; "",IF(AO63="Futuros", (SUMIFS('Alocação'!$O$3:$O$1002,'Alocação'!$C$3:$C$1002,AN63,'Alocação'!$F$3:$F$1002,AN$9,'Alocação'!$B$3:$B$1002,"&lt;="&amp;$B$4)), (SUMIFS('Alocação'!$O$3:$O$1002,'Alocação'!$C$3:$C$1002,AN63,'Alocação'!$F$3:$F$1002,AN$9,'Alocação'!$B$3:$B$1002,"&lt;="&amp;$B$6))),"")</f>
        <v/>
      </c>
      <c r="AQ63" s="243" t="str">
        <f>iferror(IF(AO63="Ações Americanas", HLOOKUP(AN63,'Histórico'!$A$1:$DD$990,MATCH($B$6,'Histórico'!$A:$A),FALSE)*HLOOKUP("PTAX",'Histórico'!$A$1:$FG$983,MATCH($B$6,'Histórico'!$A:$A),FALSE),IF(AO63="Ações Europeias", HLOOKUP(AN63,'Histórico'!$A$1:$DD$990,MATCH($B$6,'Histórico'!$A:$A),FALSE)*HLOOKUP("EUR/BRL",'Histórico'!$A$1:$FG$983,MATCH($B$6,'Histórico'!$A:$A),FALSE),  HLOOKUP(AN63,'Histórico'!$A$1:$DD$990,MATCH($B$6,'Histórico'!$A:$A),FALSE))),"")</f>
        <v/>
      </c>
      <c r="AR63" s="243" t="str">
        <f t="shared" si="18"/>
        <v/>
      </c>
      <c r="AS63" s="53"/>
      <c r="AT63" s="245"/>
      <c r="AU63" s="242" t="str">
        <f>IF(ISTEXT(AT63),VLOOKUP(AT63,'Cadastro dos Ativos'!$A$2:$C$1000,3,0),"")</f>
        <v/>
      </c>
      <c r="AV63" s="242" t="str">
        <f>IF(AT63 &lt;&gt; "",IF(AU63="Futuros", (SUMIFS('Alocação'!$O$3:$O$1002,'Alocação'!$C$3:$C$1002,AT63,'Alocação'!$F$3:$F$1002,AT$9,'Alocação'!$B$3:$B$1002,"&lt;="&amp;$B$4)), (SUMIFS('Alocação'!$O$3:$O$1002,'Alocação'!$C$3:$C$1002,AT63,'Alocação'!$F$3:$F$1002,AT$9,'Alocação'!$B$3:$B$1002,"&lt;="&amp;$B$6))),"")</f>
        <v/>
      </c>
      <c r="AW63" s="243" t="str">
        <f>iferror(IF(AU63="Ações Americanas", HLOOKUP(AT63,'Histórico'!$A$1:$DD$990,MATCH($B$6,'Histórico'!$A:$A),FALSE)*HLOOKUP("PTAX",'Histórico'!$A$1:$FG$983,MATCH($B$6,'Histórico'!$A:$A),FALSE),IF(AU63="Ações Europeias", HLOOKUP(AT63,'Histórico'!$A$1:$DD$990,MATCH($B$6,'Histórico'!$A:$A),FALSE)*HLOOKUP("EUR/BRL",'Histórico'!$A$1:$FG$983,MATCH($B$6,'Histórico'!$A:$A),FALSE),  HLOOKUP(AT63,'Histórico'!$A$1:$DD$990,MATCH($B$6,'Histórico'!$A:$A),FALSE))),"")</f>
        <v/>
      </c>
      <c r="AX63" s="243" t="str">
        <f t="shared" si="27"/>
        <v/>
      </c>
      <c r="AY63" s="183"/>
    </row>
    <row r="64" ht="15.75" customHeight="1">
      <c r="A64" s="176"/>
      <c r="B64" s="232">
        <v>45084.0</v>
      </c>
      <c r="C64" s="246">
        <v>1.026482885303898E8</v>
      </c>
      <c r="D64" s="246">
        <v>1.119722884677467E8</v>
      </c>
      <c r="E64" s="247"/>
      <c r="F64" s="246">
        <v>1.041159984436866E8</v>
      </c>
      <c r="G64" s="246">
        <v>1.159485875266433E8</v>
      </c>
      <c r="H64" s="247"/>
      <c r="I64" s="246">
        <v>1.041277021986259E8</v>
      </c>
      <c r="J64" s="246">
        <v>7.227414975529146E7</v>
      </c>
      <c r="K64" s="247"/>
      <c r="L64" s="246">
        <v>1.046710003449976E8</v>
      </c>
      <c r="M64" s="246">
        <v>6.416647054147936E7</v>
      </c>
      <c r="N64" s="240">
        <f t="shared" si="9"/>
        <v>0.0001377715631</v>
      </c>
      <c r="O64" s="240">
        <f t="shared" si="10"/>
        <v>0.0006540397522</v>
      </c>
      <c r="P64" s="240">
        <f t="shared" si="11"/>
        <v>-0.001991109409</v>
      </c>
      <c r="Q64" s="240">
        <f t="shared" si="12"/>
        <v>0.006584339623</v>
      </c>
      <c r="R64" s="236">
        <f t="shared" si="13"/>
        <v>102.6827025</v>
      </c>
      <c r="S64" s="177"/>
      <c r="T64" s="233">
        <f t="shared" ref="T64:U64" si="74">IF(AND(C64&lt;&gt;"",F64&lt;&gt;"",I64&lt;&gt;""), SUM(I64,F64,C64,L64),"")</f>
        <v>415562989.5</v>
      </c>
      <c r="U64" s="233">
        <f t="shared" si="74"/>
        <v>364361496.3</v>
      </c>
      <c r="V64" s="233">
        <f t="shared" si="6"/>
        <v>103.8907474</v>
      </c>
      <c r="W64" s="241">
        <f t="shared" si="15"/>
        <v>0.001347287504</v>
      </c>
      <c r="X64" s="241">
        <f t="shared" si="16"/>
        <v>0</v>
      </c>
      <c r="Y64" s="241">
        <f t="shared" si="25"/>
        <v>0.0005804427121</v>
      </c>
      <c r="Z64" s="233">
        <f t="shared" si="7"/>
        <v>102.6827025</v>
      </c>
      <c r="AA64" s="165"/>
      <c r="AB64" s="245"/>
      <c r="AC64" s="242" t="str">
        <f>IF(ISTEXT(AB64),VLOOKUP(AB64,'Cadastro dos Ativos'!$A$2:$C$1000,3,0),"")</f>
        <v/>
      </c>
      <c r="AD64" s="242" t="str">
        <f>IF(AB64 &lt;&gt; "",IF(AC64="Futuros", (SUMIFS('Alocação'!$O$3:$O$1002,'Alocação'!$C$3:$C$1002,AB64,'Alocação'!$F$3:$F$1002,AB$9,'Alocação'!$B$3:$B$1002,"&lt;="&amp;$B$4)), (SUMIFS('Alocação'!$O$3:$O$1002,'Alocação'!$C$3:$C$1002,AB64,'Alocação'!$F$3:$F$1002,AB$9,'Alocação'!$B$3:$B$1002,"&lt;="&amp;$B$6))),"")</f>
        <v/>
      </c>
      <c r="AE64" s="243" t="str">
        <f>iferror(IF(AC64="Ações Americanas", HLOOKUP(AB64,'Histórico'!$A$1:$DD$990,MATCH($B$6,'Histórico'!$A:$A),FALSE)*HLOOKUP("PTAX",'Histórico'!$A$1:$FG$983,MATCH($B$6,'Histórico'!$A:$A),FALSE),IF(AC64="Ações Europeias", HLOOKUP(AB64,'Histórico'!$A$1:$DD$990,MATCH($B$6,'Histórico'!$A:$A),FALSE)*HLOOKUP("EUR/BRL",'Histórico'!$A$1:$FG$983,MATCH($B$6,'Histórico'!$A:$A),FALSE), HLOOKUP(AB64,'Histórico'!$A$1:$DD$990,MATCH($B$6,'Histórico'!$A:$A),FALSE))),"")</f>
        <v/>
      </c>
      <c r="AF64" s="243" t="str">
        <f t="shared" si="21"/>
        <v/>
      </c>
      <c r="AG64" s="53"/>
      <c r="AH64" s="245"/>
      <c r="AI64" s="242" t="str">
        <f>IF(ISTEXT(AH64),VLOOKUP(AH64,'Cadastro dos Ativos'!$A$2:$C$1000,3,0),"")</f>
        <v/>
      </c>
      <c r="AJ64" s="242" t="str">
        <f>IF(AH64 &lt;&gt; "",IF(AI64="Futuros", (SUMIFS('Alocação'!$O$3:$O$1002,'Alocação'!$C$3:$C$1002,AH64,'Alocação'!$F$3:$F$1002,AH$9,'Alocação'!$B$3:$B$1002,"&lt;="&amp;$B$4)), (SUMIFS('Alocação'!$O$3:$O$1002,'Alocação'!$C$3:$C$1002,AH64,'Alocação'!$F$3:$F$1002,AH$9,'Alocação'!$B$3:$B$1002,"&lt;="&amp;$B$6))),"")</f>
        <v/>
      </c>
      <c r="AK64" s="243" t="str">
        <f>iferror(IF(AI64="Ações Americanas", HLOOKUP(AH64,'Histórico'!$A$1:$DD$990,MATCH($B$6,'Histórico'!$A:$A),FALSE)*HLOOKUP("PTAX",'Histórico'!$A$1:$FG$983,MATCH($B$6,'Histórico'!$A:$A),FALSE),IF(AI64="Ações Europeias", HLOOKUP(AH64,'Histórico'!$A$1:$DD$990,MATCH($B$6,'Histórico'!$A:$A),FALSE)*HLOOKUP("EUR/BRL",'Histórico'!$A$1:$FG$983,MATCH($B$6,'Histórico'!$A:$A),FALSE),  HLOOKUP(AH64,'Histórico'!$A$1:$DD$990,MATCH($B$6,'Histórico'!$A:$A),FALSE))),"")</f>
        <v/>
      </c>
      <c r="AL64" s="243" t="str">
        <f t="shared" si="17"/>
        <v/>
      </c>
      <c r="AM64" s="53"/>
      <c r="AN64" s="245"/>
      <c r="AO64" s="242" t="str">
        <f>IF(ISTEXT(AN64),VLOOKUP(AN64,'Cadastro dos Ativos'!$A$2:$C$1000,3,0),"")</f>
        <v/>
      </c>
      <c r="AP64" s="242" t="str">
        <f>IF(AN64 &lt;&gt; "",IF(AO64="Futuros", (SUMIFS('Alocação'!$O$3:$O$1002,'Alocação'!$C$3:$C$1002,AN64,'Alocação'!$F$3:$F$1002,AN$9,'Alocação'!$B$3:$B$1002,"&lt;="&amp;$B$4)), (SUMIFS('Alocação'!$O$3:$O$1002,'Alocação'!$C$3:$C$1002,AN64,'Alocação'!$F$3:$F$1002,AN$9,'Alocação'!$B$3:$B$1002,"&lt;="&amp;$B$6))),"")</f>
        <v/>
      </c>
      <c r="AQ64" s="243" t="str">
        <f>iferror(IF(AO64="Ações Americanas", HLOOKUP(AN64,'Histórico'!$A$1:$DD$990,MATCH($B$6,'Histórico'!$A:$A),FALSE)*HLOOKUP("PTAX",'Histórico'!$A$1:$FG$983,MATCH($B$6,'Histórico'!$A:$A),FALSE),IF(AO64="Ações Europeias", HLOOKUP(AN64,'Histórico'!$A$1:$DD$990,MATCH($B$6,'Histórico'!$A:$A),FALSE)*HLOOKUP("EUR/BRL",'Histórico'!$A$1:$FG$983,MATCH($B$6,'Histórico'!$A:$A),FALSE),  HLOOKUP(AN64,'Histórico'!$A$1:$DD$990,MATCH($B$6,'Histórico'!$A:$A),FALSE))),"")</f>
        <v/>
      </c>
      <c r="AR64" s="243" t="str">
        <f t="shared" si="18"/>
        <v/>
      </c>
      <c r="AS64" s="53"/>
      <c r="AT64" s="245"/>
      <c r="AU64" s="242" t="str">
        <f>IF(ISTEXT(AT64),VLOOKUP(AT64,'Cadastro dos Ativos'!$A$2:$C$1000,3,0),"")</f>
        <v/>
      </c>
      <c r="AV64" s="242" t="str">
        <f>IF(AT64 &lt;&gt; "",IF(AU64="Futuros", (SUMIFS('Alocação'!$O$3:$O$1002,'Alocação'!$C$3:$C$1002,AT64,'Alocação'!$F$3:$F$1002,AT$9,'Alocação'!$B$3:$B$1002,"&lt;="&amp;$B$4)), (SUMIFS('Alocação'!$O$3:$O$1002,'Alocação'!$C$3:$C$1002,AT64,'Alocação'!$F$3:$F$1002,AT$9,'Alocação'!$B$3:$B$1002,"&lt;="&amp;$B$6))),"")</f>
        <v/>
      </c>
      <c r="AW64" s="243" t="str">
        <f>iferror(IF(AU64="Ações Americanas", HLOOKUP(AT64,'Histórico'!$A$1:$DD$990,MATCH($B$6,'Histórico'!$A:$A),FALSE)*HLOOKUP("PTAX",'Histórico'!$A$1:$FG$983,MATCH($B$6,'Histórico'!$A:$A),FALSE),IF(AU64="Ações Europeias", HLOOKUP(AT64,'Histórico'!$A$1:$DD$990,MATCH($B$6,'Histórico'!$A:$A),FALSE)*HLOOKUP("EUR/BRL",'Histórico'!$A$1:$FG$983,MATCH($B$6,'Histórico'!$A:$A),FALSE),  HLOOKUP(AT64,'Histórico'!$A$1:$DD$990,MATCH($B$6,'Histórico'!$A:$A),FALSE))),"")</f>
        <v/>
      </c>
      <c r="AX64" s="243" t="str">
        <f t="shared" si="27"/>
        <v/>
      </c>
      <c r="AY64" s="183"/>
    </row>
    <row r="65" ht="15.75" customHeight="1">
      <c r="A65" s="176"/>
      <c r="B65" s="232">
        <v>45086.0</v>
      </c>
      <c r="C65" s="246">
        <v>1.02913383665872E8</v>
      </c>
      <c r="D65" s="246">
        <v>1.122789296292524E8</v>
      </c>
      <c r="E65" s="247"/>
      <c r="F65" s="246">
        <v>1.041043678039036E8</v>
      </c>
      <c r="G65" s="246">
        <v>1.162357889534163E8</v>
      </c>
      <c r="H65" s="247"/>
      <c r="I65" s="246">
        <v>1.044486543017312E8</v>
      </c>
      <c r="J65" s="246">
        <v>7.203419641710983E7</v>
      </c>
      <c r="K65" s="247"/>
      <c r="L65" s="246">
        <v>1.050752563593647E8</v>
      </c>
      <c r="M65" s="246">
        <v>6.157037507520032E7</v>
      </c>
      <c r="N65" s="240">
        <f t="shared" si="9"/>
        <v>0.002582557774</v>
      </c>
      <c r="O65" s="240">
        <f t="shared" si="10"/>
        <v>-0.0001117084786</v>
      </c>
      <c r="P65" s="240">
        <f t="shared" si="11"/>
        <v>0.003082293149</v>
      </c>
      <c r="Q65" s="240">
        <f t="shared" si="12"/>
        <v>0.003862158698</v>
      </c>
      <c r="R65" s="236">
        <f t="shared" si="13"/>
        <v>102.7330551</v>
      </c>
      <c r="S65" s="177"/>
      <c r="T65" s="233">
        <f t="shared" ref="T65:U65" si="75">IF(AND(C65&lt;&gt;"",F65&lt;&gt;"",I65&lt;&gt;""), SUM(I65,F65,C65,L65),"")</f>
        <v>416541662.1</v>
      </c>
      <c r="U65" s="233">
        <f t="shared" si="75"/>
        <v>362119290.1</v>
      </c>
      <c r="V65" s="233">
        <f t="shared" si="6"/>
        <v>104.1354155</v>
      </c>
      <c r="W65" s="241">
        <f t="shared" si="15"/>
        <v>0.002355052394</v>
      </c>
      <c r="X65" s="241">
        <f t="shared" si="16"/>
        <v>0</v>
      </c>
      <c r="Y65" s="241">
        <f t="shared" si="25"/>
        <v>0.0009582939096</v>
      </c>
      <c r="Z65" s="233">
        <f t="shared" si="7"/>
        <v>102.7330551</v>
      </c>
      <c r="AA65" s="165"/>
      <c r="AB65" s="245"/>
      <c r="AC65" s="242" t="str">
        <f>IF(ISTEXT(AB65),VLOOKUP(AB65,'Cadastro dos Ativos'!$A$2:$C$1000,3,0),"")</f>
        <v/>
      </c>
      <c r="AD65" s="242" t="str">
        <f>IF(AB65 &lt;&gt; "",IF(AC65="Futuros", (SUMIFS('Alocação'!$O$3:$O$1002,'Alocação'!$C$3:$C$1002,AB65,'Alocação'!$F$3:$F$1002,AB$9,'Alocação'!$B$3:$B$1002,"&lt;="&amp;$B$4)), (SUMIFS('Alocação'!$O$3:$O$1002,'Alocação'!$C$3:$C$1002,AB65,'Alocação'!$F$3:$F$1002,AB$9,'Alocação'!$B$3:$B$1002,"&lt;="&amp;$B$6))),"")</f>
        <v/>
      </c>
      <c r="AE65" s="243" t="str">
        <f>iferror(IF(AC65="Ações Americanas", HLOOKUP(AB65,'Histórico'!$A$1:$DD$990,MATCH($B$6,'Histórico'!$A:$A),FALSE)*HLOOKUP("PTAX",'Histórico'!$A$1:$FG$983,MATCH($B$6,'Histórico'!$A:$A),FALSE),IF(AC65="Ações Europeias", HLOOKUP(AB65,'Histórico'!$A$1:$DD$990,MATCH($B$6,'Histórico'!$A:$A),FALSE)*HLOOKUP("EUR/BRL",'Histórico'!$A$1:$FG$983,MATCH($B$6,'Histórico'!$A:$A),FALSE), HLOOKUP(AB65,'Histórico'!$A$1:$DD$990,MATCH($B$6,'Histórico'!$A:$A),FALSE))),"")</f>
        <v/>
      </c>
      <c r="AF65" s="243" t="str">
        <f t="shared" si="21"/>
        <v/>
      </c>
      <c r="AG65" s="53"/>
      <c r="AH65" s="245"/>
      <c r="AI65" s="242" t="str">
        <f>IF(ISTEXT(AH65),VLOOKUP(AH65,'Cadastro dos Ativos'!$A$2:$C$1000,3,0),"")</f>
        <v/>
      </c>
      <c r="AJ65" s="242" t="str">
        <f>IF(AH65 &lt;&gt; "",IF(AI65="Futuros", (SUMIFS('Alocação'!$O$3:$O$1002,'Alocação'!$C$3:$C$1002,AH65,'Alocação'!$F$3:$F$1002,AH$9,'Alocação'!$B$3:$B$1002,"&lt;="&amp;$B$4)), (SUMIFS('Alocação'!$O$3:$O$1002,'Alocação'!$C$3:$C$1002,AH65,'Alocação'!$F$3:$F$1002,AH$9,'Alocação'!$B$3:$B$1002,"&lt;="&amp;$B$6))),"")</f>
        <v/>
      </c>
      <c r="AK65" s="243" t="str">
        <f>iferror(IF(AI65="Ações Americanas", HLOOKUP(AH65,'Histórico'!$A$1:$DD$990,MATCH($B$6,'Histórico'!$A:$A),FALSE)*HLOOKUP("PTAX",'Histórico'!$A$1:$FG$983,MATCH($B$6,'Histórico'!$A:$A),FALSE),IF(AI65="Ações Europeias", HLOOKUP(AH65,'Histórico'!$A$1:$DD$990,MATCH($B$6,'Histórico'!$A:$A),FALSE)*HLOOKUP("EUR/BRL",'Histórico'!$A$1:$FG$983,MATCH($B$6,'Histórico'!$A:$A),FALSE),  HLOOKUP(AH65,'Histórico'!$A$1:$DD$990,MATCH($B$6,'Histórico'!$A:$A),FALSE))),"")</f>
        <v/>
      </c>
      <c r="AL65" s="243" t="str">
        <f t="shared" si="17"/>
        <v/>
      </c>
      <c r="AM65" s="53"/>
      <c r="AN65" s="245"/>
      <c r="AO65" s="242" t="str">
        <f>IF(ISTEXT(AN65),VLOOKUP(AN65,'Cadastro dos Ativos'!$A$2:$C$1000,3,0),"")</f>
        <v/>
      </c>
      <c r="AP65" s="242" t="str">
        <f>IF(AN65 &lt;&gt; "",IF(AO65="Futuros", (SUMIFS('Alocação'!$O$3:$O$1002,'Alocação'!$C$3:$C$1002,AN65,'Alocação'!$F$3:$F$1002,AN$9,'Alocação'!$B$3:$B$1002,"&lt;="&amp;$B$4)), (SUMIFS('Alocação'!$O$3:$O$1002,'Alocação'!$C$3:$C$1002,AN65,'Alocação'!$F$3:$F$1002,AN$9,'Alocação'!$B$3:$B$1002,"&lt;="&amp;$B$6))),"")</f>
        <v/>
      </c>
      <c r="AQ65" s="243" t="str">
        <f>iferror(IF(AO65="Ações Americanas", HLOOKUP(AN65,'Histórico'!$A$1:$DD$990,MATCH($B$6,'Histórico'!$A:$A),FALSE)*HLOOKUP("PTAX",'Histórico'!$A$1:$FG$983,MATCH($B$6,'Histórico'!$A:$A),FALSE),IF(AO65="Ações Europeias", HLOOKUP(AN65,'Histórico'!$A$1:$DD$990,MATCH($B$6,'Histórico'!$A:$A),FALSE)*HLOOKUP("EUR/BRL",'Histórico'!$A$1:$FG$983,MATCH($B$6,'Histórico'!$A:$A),FALSE),  HLOOKUP(AN65,'Histórico'!$A$1:$DD$990,MATCH($B$6,'Histórico'!$A:$A),FALSE))),"")</f>
        <v/>
      </c>
      <c r="AR65" s="243" t="str">
        <f t="shared" si="18"/>
        <v/>
      </c>
      <c r="AS65" s="53"/>
      <c r="AT65" s="245"/>
      <c r="AU65" s="242" t="str">
        <f>IF(ISTEXT(AT65),VLOOKUP(AT65,'Cadastro dos Ativos'!$A$2:$C$1000,3,0),"")</f>
        <v/>
      </c>
      <c r="AV65" s="242" t="str">
        <f>IF(AT65 &lt;&gt; "",IF(AU65="Futuros", (SUMIFS('Alocação'!$O$3:$O$1002,'Alocação'!$C$3:$C$1002,AT65,'Alocação'!$F$3:$F$1002,AT$9,'Alocação'!$B$3:$B$1002,"&lt;="&amp;$B$4)), (SUMIFS('Alocação'!$O$3:$O$1002,'Alocação'!$C$3:$C$1002,AT65,'Alocação'!$F$3:$F$1002,AT$9,'Alocação'!$B$3:$B$1002,"&lt;="&amp;$B$6))),"")</f>
        <v/>
      </c>
      <c r="AW65" s="243" t="str">
        <f>iferror(IF(AU65="Ações Americanas", HLOOKUP(AT65,'Histórico'!$A$1:$DD$990,MATCH($B$6,'Histórico'!$A:$A),FALSE)*HLOOKUP("PTAX",'Histórico'!$A$1:$FG$983,MATCH($B$6,'Histórico'!$A:$A),FALSE),IF(AU65="Ações Europeias", HLOOKUP(AT65,'Histórico'!$A$1:$DD$990,MATCH($B$6,'Histórico'!$A:$A),FALSE)*HLOOKUP("EUR/BRL",'Histórico'!$A$1:$FG$983,MATCH($B$6,'Histórico'!$A:$A),FALSE),  HLOOKUP(AT65,'Histórico'!$A$1:$DD$990,MATCH($B$6,'Histórico'!$A:$A),FALSE))),"")</f>
        <v/>
      </c>
      <c r="AX65" s="243" t="str">
        <f t="shared" si="27"/>
        <v/>
      </c>
      <c r="AY65" s="183"/>
    </row>
    <row r="66" ht="15.75" customHeight="1">
      <c r="A66" s="176"/>
      <c r="B66" s="232">
        <v>45089.0</v>
      </c>
      <c r="C66" s="246">
        <v>1.03011556504326E8</v>
      </c>
      <c r="D66" s="246">
        <v>1.123712050649119E8</v>
      </c>
      <c r="E66" s="247"/>
      <c r="F66" s="246">
        <v>1.042418653109632E8</v>
      </c>
      <c r="G66" s="246">
        <v>1.162646815312293E8</v>
      </c>
      <c r="H66" s="247"/>
      <c r="I66" s="246">
        <v>1.04791643732693E8</v>
      </c>
      <c r="J66" s="246">
        <v>7.220529344844006E7</v>
      </c>
      <c r="K66" s="247"/>
      <c r="L66" s="246">
        <v>1.053038180090791E8</v>
      </c>
      <c r="M66" s="246">
        <v>6.159543721907908E7</v>
      </c>
      <c r="N66" s="240">
        <f t="shared" si="9"/>
        <v>0.0009539365528</v>
      </c>
      <c r="O66" s="240">
        <f t="shared" si="10"/>
        <v>0.001320765977</v>
      </c>
      <c r="P66" s="240">
        <f t="shared" si="11"/>
        <v>0.003283808999</v>
      </c>
      <c r="Q66" s="240">
        <f t="shared" si="12"/>
        <v>0.002175218578</v>
      </c>
      <c r="R66" s="236">
        <f t="shared" si="13"/>
        <v>102.7834323</v>
      </c>
      <c r="S66" s="177"/>
      <c r="T66" s="233">
        <f t="shared" ref="T66:U66" si="76">IF(AND(C66&lt;&gt;"",F66&lt;&gt;"",I66&lt;&gt;""), SUM(I66,F66,C66,L66),"")</f>
        <v>417348883.6</v>
      </c>
      <c r="U66" s="233">
        <f t="shared" si="76"/>
        <v>362436617.3</v>
      </c>
      <c r="V66" s="233">
        <f t="shared" si="6"/>
        <v>104.3372209</v>
      </c>
      <c r="W66" s="241">
        <f t="shared" si="15"/>
        <v>0.001937912818</v>
      </c>
      <c r="X66" s="241">
        <f t="shared" si="16"/>
        <v>0</v>
      </c>
      <c r="Y66" s="241">
        <f t="shared" si="25"/>
        <v>0.001037320154</v>
      </c>
      <c r="Z66" s="233">
        <f t="shared" si="7"/>
        <v>102.7834323</v>
      </c>
      <c r="AA66" s="165"/>
      <c r="AB66" s="245"/>
      <c r="AC66" s="242" t="str">
        <f>IF(ISTEXT(AB66),VLOOKUP(AB66,'Cadastro dos Ativos'!$A$2:$C$1000,3,0),"")</f>
        <v/>
      </c>
      <c r="AD66" s="242" t="str">
        <f>IF(AB66 &lt;&gt; "",IF(AC66="Futuros", (SUMIFS('Alocação'!$O$3:$O$1002,'Alocação'!$C$3:$C$1002,AB66,'Alocação'!$F$3:$F$1002,AB$9,'Alocação'!$B$3:$B$1002,"&lt;="&amp;$B$4)), (SUMIFS('Alocação'!$O$3:$O$1002,'Alocação'!$C$3:$C$1002,AB66,'Alocação'!$F$3:$F$1002,AB$9,'Alocação'!$B$3:$B$1002,"&lt;="&amp;$B$6))),"")</f>
        <v/>
      </c>
      <c r="AE66" s="243" t="str">
        <f>iferror(IF(AC66="Ações Americanas", HLOOKUP(AB66,'Histórico'!$A$1:$DD$990,MATCH($B$6,'Histórico'!$A:$A),FALSE)*HLOOKUP("PTAX",'Histórico'!$A$1:$FG$983,MATCH($B$6,'Histórico'!$A:$A),FALSE),IF(AC66="Ações Europeias", HLOOKUP(AB66,'Histórico'!$A$1:$DD$990,MATCH($B$6,'Histórico'!$A:$A),FALSE)*HLOOKUP("EUR/BRL",'Histórico'!$A$1:$FG$983,MATCH($B$6,'Histórico'!$A:$A),FALSE), HLOOKUP(AB66,'Histórico'!$A$1:$DD$990,MATCH($B$6,'Histórico'!$A:$A),FALSE))),"")</f>
        <v/>
      </c>
      <c r="AF66" s="243" t="str">
        <f t="shared" si="21"/>
        <v/>
      </c>
      <c r="AG66" s="53"/>
      <c r="AH66" s="245"/>
      <c r="AI66" s="242" t="str">
        <f>IF(ISTEXT(AH66),VLOOKUP(AH66,'Cadastro dos Ativos'!$A$2:$C$1000,3,0),"")</f>
        <v/>
      </c>
      <c r="AJ66" s="242" t="str">
        <f>IF(AH66 &lt;&gt; "",IF(AI66="Futuros", (SUMIFS('Alocação'!$O$3:$O$1002,'Alocação'!$C$3:$C$1002,AH66,'Alocação'!$F$3:$F$1002,AH$9,'Alocação'!$B$3:$B$1002,"&lt;="&amp;$B$4)), (SUMIFS('Alocação'!$O$3:$O$1002,'Alocação'!$C$3:$C$1002,AH66,'Alocação'!$F$3:$F$1002,AH$9,'Alocação'!$B$3:$B$1002,"&lt;="&amp;$B$6))),"")</f>
        <v/>
      </c>
      <c r="AK66" s="243" t="str">
        <f>iferror(IF(AI66="Ações Americanas", HLOOKUP(AH66,'Histórico'!$A$1:$DD$990,MATCH($B$6,'Histórico'!$A:$A),FALSE)*HLOOKUP("PTAX",'Histórico'!$A$1:$FG$983,MATCH($B$6,'Histórico'!$A:$A),FALSE),IF(AI66="Ações Europeias", HLOOKUP(AH66,'Histórico'!$A$1:$DD$990,MATCH($B$6,'Histórico'!$A:$A),FALSE)*HLOOKUP("EUR/BRL",'Histórico'!$A$1:$FG$983,MATCH($B$6,'Histórico'!$A:$A),FALSE),  HLOOKUP(AH66,'Histórico'!$A$1:$DD$990,MATCH($B$6,'Histórico'!$A:$A),FALSE))),"")</f>
        <v/>
      </c>
      <c r="AL66" s="243" t="str">
        <f t="shared" si="17"/>
        <v/>
      </c>
      <c r="AM66" s="53"/>
      <c r="AN66" s="245"/>
      <c r="AO66" s="242" t="str">
        <f>IF(ISTEXT(AN66),VLOOKUP(AN66,'Cadastro dos Ativos'!$A$2:$C$1000,3,0),"")</f>
        <v/>
      </c>
      <c r="AP66" s="242" t="str">
        <f>IF(AN66 &lt;&gt; "",IF(AO66="Futuros", (SUMIFS('Alocação'!$O$3:$O$1002,'Alocação'!$C$3:$C$1002,AN66,'Alocação'!$F$3:$F$1002,AN$9,'Alocação'!$B$3:$B$1002,"&lt;="&amp;$B$4)), (SUMIFS('Alocação'!$O$3:$O$1002,'Alocação'!$C$3:$C$1002,AN66,'Alocação'!$F$3:$F$1002,AN$9,'Alocação'!$B$3:$B$1002,"&lt;="&amp;$B$6))),"")</f>
        <v/>
      </c>
      <c r="AQ66" s="243" t="str">
        <f>iferror(IF(AO66="Ações Americanas", HLOOKUP(AN66,'Histórico'!$A$1:$DD$990,MATCH($B$6,'Histórico'!$A:$A),FALSE)*HLOOKUP("PTAX",'Histórico'!$A$1:$FG$983,MATCH($B$6,'Histórico'!$A:$A),FALSE),IF(AO66="Ações Europeias", HLOOKUP(AN66,'Histórico'!$A$1:$DD$990,MATCH($B$6,'Histórico'!$A:$A),FALSE)*HLOOKUP("EUR/BRL",'Histórico'!$A$1:$FG$983,MATCH($B$6,'Histórico'!$A:$A),FALSE),  HLOOKUP(AN66,'Histórico'!$A$1:$DD$990,MATCH($B$6,'Histórico'!$A:$A),FALSE))),"")</f>
        <v/>
      </c>
      <c r="AR66" s="243" t="str">
        <f t="shared" si="18"/>
        <v/>
      </c>
      <c r="AS66" s="53"/>
      <c r="AT66" s="245"/>
      <c r="AU66" s="242" t="str">
        <f>IF(ISTEXT(AT66),VLOOKUP(AT66,'Cadastro dos Ativos'!$A$2:$C$1000,3,0),"")</f>
        <v/>
      </c>
      <c r="AV66" s="242" t="str">
        <f>IF(AT66 &lt;&gt; "",IF(AU66="Futuros", (SUMIFS('Alocação'!$O$3:$O$1002,'Alocação'!$C$3:$C$1002,AT66,'Alocação'!$F$3:$F$1002,AT$9,'Alocação'!$B$3:$B$1002,"&lt;="&amp;$B$4)), (SUMIFS('Alocação'!$O$3:$O$1002,'Alocação'!$C$3:$C$1002,AT66,'Alocação'!$F$3:$F$1002,AT$9,'Alocação'!$B$3:$B$1002,"&lt;="&amp;$B$6))),"")</f>
        <v/>
      </c>
      <c r="AW66" s="243" t="str">
        <f>iferror(IF(AU66="Ações Americanas", HLOOKUP(AT66,'Histórico'!$A$1:$DD$990,MATCH($B$6,'Histórico'!$A:$A),FALSE)*HLOOKUP("PTAX",'Histórico'!$A$1:$FG$983,MATCH($B$6,'Histórico'!$A:$A),FALSE),IF(AU66="Ações Europeias", HLOOKUP(AT66,'Histórico'!$A$1:$DD$990,MATCH($B$6,'Histórico'!$A:$A),FALSE)*HLOOKUP("EUR/BRL",'Histórico'!$A$1:$FG$983,MATCH($B$6,'Histórico'!$A:$A),FALSE),  HLOOKUP(AT66,'Histórico'!$A$1:$DD$990,MATCH($B$6,'Histórico'!$A:$A),FALSE))),"")</f>
        <v/>
      </c>
      <c r="AX66" s="243" t="str">
        <f t="shared" si="27"/>
        <v/>
      </c>
      <c r="AY66" s="183"/>
    </row>
    <row r="67" ht="15.75" customHeight="1">
      <c r="A67" s="176"/>
      <c r="B67" s="232">
        <v>45090.0</v>
      </c>
      <c r="C67" s="246">
        <v>1.028838983998696E8</v>
      </c>
      <c r="D67" s="246">
        <v>1.122306439650208E8</v>
      </c>
      <c r="E67" s="247"/>
      <c r="F67" s="246">
        <v>1.043186959162571E8</v>
      </c>
      <c r="G67" s="246">
        <v>1.103765806591651E8</v>
      </c>
      <c r="H67" s="247"/>
      <c r="I67" s="246">
        <v>1.050327939225959E8</v>
      </c>
      <c r="J67" s="246">
        <v>7.253931891150047E7</v>
      </c>
      <c r="K67" s="247"/>
      <c r="L67" s="246">
        <v>1.044796789310531E8</v>
      </c>
      <c r="M67" s="246">
        <v>6.162049858728788E7</v>
      </c>
      <c r="N67" s="240">
        <f t="shared" si="9"/>
        <v>-0.001239260029</v>
      </c>
      <c r="O67" s="240">
        <f t="shared" si="10"/>
        <v>0.0007370417352</v>
      </c>
      <c r="P67" s="240">
        <f t="shared" si="11"/>
        <v>0.00230123492</v>
      </c>
      <c r="Q67" s="240">
        <f t="shared" si="12"/>
        <v>-0.007826298169</v>
      </c>
      <c r="R67" s="236">
        <f t="shared" si="13"/>
        <v>102.8338342</v>
      </c>
      <c r="S67" s="177"/>
      <c r="T67" s="233">
        <f t="shared" ref="T67:U67" si="77">IF(AND(C67&lt;&gt;"",F67&lt;&gt;"",I67&lt;&gt;""), SUM(I67,F67,C67,L67),"")</f>
        <v>416715067.2</v>
      </c>
      <c r="U67" s="233">
        <f t="shared" si="77"/>
        <v>356767042.1</v>
      </c>
      <c r="V67" s="233">
        <f t="shared" si="6"/>
        <v>104.1787668</v>
      </c>
      <c r="W67" s="241">
        <f t="shared" si="15"/>
        <v>-0.001518672775</v>
      </c>
      <c r="X67" s="241">
        <f t="shared" si="16"/>
        <v>-0.001518672775</v>
      </c>
      <c r="Y67" s="241">
        <f t="shared" si="25"/>
        <v>0.001581939093</v>
      </c>
      <c r="Z67" s="233">
        <f t="shared" si="7"/>
        <v>102.8338342</v>
      </c>
      <c r="AA67" s="165"/>
      <c r="AB67" s="245"/>
      <c r="AC67" s="242" t="str">
        <f>IF(ISTEXT(AB67),VLOOKUP(AB67,'Cadastro dos Ativos'!$A$2:$C$1000,3,0),"")</f>
        <v/>
      </c>
      <c r="AD67" s="242" t="str">
        <f>IF(AB67 &lt;&gt; "",IF(AC67="Futuros", (SUMIFS('Alocação'!$O$3:$O$1002,'Alocação'!$C$3:$C$1002,AB67,'Alocação'!$F$3:$F$1002,AB$9,'Alocação'!$B$3:$B$1002,"&lt;="&amp;$B$4)), (SUMIFS('Alocação'!$O$3:$O$1002,'Alocação'!$C$3:$C$1002,AB67,'Alocação'!$F$3:$F$1002,AB$9,'Alocação'!$B$3:$B$1002,"&lt;="&amp;$B$6))),"")</f>
        <v/>
      </c>
      <c r="AE67" s="243" t="str">
        <f>iferror(IF(AC67="Ações Americanas", HLOOKUP(AB67,'Histórico'!$A$1:$DD$990,MATCH($B$6,'Histórico'!$A:$A),FALSE)*HLOOKUP("PTAX",'Histórico'!$A$1:$FG$983,MATCH($B$6,'Histórico'!$A:$A),FALSE),IF(AC67="Ações Europeias", HLOOKUP(AB67,'Histórico'!$A$1:$DD$990,MATCH($B$6,'Histórico'!$A:$A),FALSE)*HLOOKUP("EUR/BRL",'Histórico'!$A$1:$FG$983,MATCH($B$6,'Histórico'!$A:$A),FALSE), HLOOKUP(AB67,'Histórico'!$A$1:$DD$990,MATCH($B$6,'Histórico'!$A:$A),FALSE))),"")</f>
        <v/>
      </c>
      <c r="AF67" s="243" t="str">
        <f t="shared" si="21"/>
        <v/>
      </c>
      <c r="AG67" s="53"/>
      <c r="AH67" s="245"/>
      <c r="AI67" s="242" t="str">
        <f>IF(ISTEXT(AH67),VLOOKUP(AH67,'Cadastro dos Ativos'!$A$2:$C$1000,3,0),"")</f>
        <v/>
      </c>
      <c r="AJ67" s="242" t="str">
        <f>IF(AH67 &lt;&gt; "",IF(AI67="Futuros", (SUMIFS('Alocação'!$O$3:$O$1002,'Alocação'!$C$3:$C$1002,AH67,'Alocação'!$F$3:$F$1002,AH$9,'Alocação'!$B$3:$B$1002,"&lt;="&amp;$B$4)), (SUMIFS('Alocação'!$O$3:$O$1002,'Alocação'!$C$3:$C$1002,AH67,'Alocação'!$F$3:$F$1002,AH$9,'Alocação'!$B$3:$B$1002,"&lt;="&amp;$B$6))),"")</f>
        <v/>
      </c>
      <c r="AK67" s="243" t="str">
        <f>iferror(IF(AI67="Ações Americanas", HLOOKUP(AH67,'Histórico'!$A$1:$DD$990,MATCH($B$6,'Histórico'!$A:$A),FALSE)*HLOOKUP("PTAX",'Histórico'!$A$1:$FG$983,MATCH($B$6,'Histórico'!$A:$A),FALSE),IF(AI67="Ações Europeias", HLOOKUP(AH67,'Histórico'!$A$1:$DD$990,MATCH($B$6,'Histórico'!$A:$A),FALSE)*HLOOKUP("EUR/BRL",'Histórico'!$A$1:$FG$983,MATCH($B$6,'Histórico'!$A:$A),FALSE),  HLOOKUP(AH67,'Histórico'!$A$1:$DD$990,MATCH($B$6,'Histórico'!$A:$A),FALSE))),"")</f>
        <v/>
      </c>
      <c r="AL67" s="243" t="str">
        <f t="shared" si="17"/>
        <v/>
      </c>
      <c r="AM67" s="53"/>
      <c r="AN67" s="245"/>
      <c r="AO67" s="242" t="str">
        <f>IF(ISTEXT(AN67),VLOOKUP(AN67,'Cadastro dos Ativos'!$A$2:$C$1000,3,0),"")</f>
        <v/>
      </c>
      <c r="AP67" s="242" t="str">
        <f>IF(AN67 &lt;&gt; "",IF(AO67="Futuros", (SUMIFS('Alocação'!$O$3:$O$1002,'Alocação'!$C$3:$C$1002,AN67,'Alocação'!$F$3:$F$1002,AN$9,'Alocação'!$B$3:$B$1002,"&lt;="&amp;$B$4)), (SUMIFS('Alocação'!$O$3:$O$1002,'Alocação'!$C$3:$C$1002,AN67,'Alocação'!$F$3:$F$1002,AN$9,'Alocação'!$B$3:$B$1002,"&lt;="&amp;$B$6))),"")</f>
        <v/>
      </c>
      <c r="AQ67" s="243" t="str">
        <f>iferror(IF(AO67="Ações Americanas", HLOOKUP(AN67,'Histórico'!$A$1:$DD$990,MATCH($B$6,'Histórico'!$A:$A),FALSE)*HLOOKUP("PTAX",'Histórico'!$A$1:$FG$983,MATCH($B$6,'Histórico'!$A:$A),FALSE),IF(AO67="Ações Europeias", HLOOKUP(AN67,'Histórico'!$A$1:$DD$990,MATCH($B$6,'Histórico'!$A:$A),FALSE)*HLOOKUP("EUR/BRL",'Histórico'!$A$1:$FG$983,MATCH($B$6,'Histórico'!$A:$A),FALSE),  HLOOKUP(AN67,'Histórico'!$A$1:$DD$990,MATCH($B$6,'Histórico'!$A:$A),FALSE))),"")</f>
        <v/>
      </c>
      <c r="AR67" s="243" t="str">
        <f t="shared" si="18"/>
        <v/>
      </c>
      <c r="AS67" s="53"/>
      <c r="AT67" s="245"/>
      <c r="AU67" s="242" t="str">
        <f>IF(ISTEXT(AT67),VLOOKUP(AT67,'Cadastro dos Ativos'!$A$2:$C$1000,3,0),"")</f>
        <v/>
      </c>
      <c r="AV67" s="242" t="str">
        <f>IF(AT67 &lt;&gt; "",IF(AU67="Futuros", (SUMIFS('Alocação'!$O$3:$O$1002,'Alocação'!$C$3:$C$1002,AT67,'Alocação'!$F$3:$F$1002,AT$9,'Alocação'!$B$3:$B$1002,"&lt;="&amp;$B$4)), (SUMIFS('Alocação'!$O$3:$O$1002,'Alocação'!$C$3:$C$1002,AT67,'Alocação'!$F$3:$F$1002,AT$9,'Alocação'!$B$3:$B$1002,"&lt;="&amp;$B$6))),"")</f>
        <v/>
      </c>
      <c r="AW67" s="243" t="str">
        <f>iferror(IF(AU67="Ações Americanas", HLOOKUP(AT67,'Histórico'!$A$1:$DD$990,MATCH($B$6,'Histórico'!$A:$A),FALSE)*HLOOKUP("PTAX",'Histórico'!$A$1:$FG$983,MATCH($B$6,'Histórico'!$A:$A),FALSE),IF(AU67="Ações Europeias", HLOOKUP(AT67,'Histórico'!$A$1:$DD$990,MATCH($B$6,'Histórico'!$A:$A),FALSE)*HLOOKUP("EUR/BRL",'Histórico'!$A$1:$FG$983,MATCH($B$6,'Histórico'!$A:$A),FALSE),  HLOOKUP(AT67,'Histórico'!$A$1:$DD$990,MATCH($B$6,'Histórico'!$A:$A),FALSE))),"")</f>
        <v/>
      </c>
      <c r="AX67" s="243" t="str">
        <f t="shared" si="27"/>
        <v/>
      </c>
      <c r="AY67" s="183"/>
    </row>
    <row r="68" ht="15.75" customHeight="1">
      <c r="A68" s="176"/>
      <c r="B68" s="232">
        <v>45091.0</v>
      </c>
      <c r="C68" s="246">
        <v>1.032822077891952E8</v>
      </c>
      <c r="D68" s="246">
        <v>7.923822728195111E7</v>
      </c>
      <c r="E68" s="247"/>
      <c r="F68" s="246">
        <v>1.043376793382869E8</v>
      </c>
      <c r="G68" s="246">
        <v>1.104264751990058E8</v>
      </c>
      <c r="H68" s="247"/>
      <c r="I68" s="246">
        <v>1.049706212318629E8</v>
      </c>
      <c r="J68" s="246">
        <v>7.228483427140594E7</v>
      </c>
      <c r="K68" s="247"/>
      <c r="L68" s="246">
        <v>1.05834001447318E8</v>
      </c>
      <c r="M68" s="246">
        <v>6.164562137671935E7</v>
      </c>
      <c r="N68" s="240">
        <f t="shared" si="9"/>
        <v>0.003871445343</v>
      </c>
      <c r="O68" s="240">
        <f t="shared" si="10"/>
        <v>0.0001819752621</v>
      </c>
      <c r="P68" s="240">
        <f t="shared" si="11"/>
        <v>-0.0005919359889</v>
      </c>
      <c r="Q68" s="240">
        <f t="shared" si="12"/>
        <v>0.01296254478</v>
      </c>
      <c r="R68" s="236">
        <f t="shared" si="13"/>
        <v>102.8842608</v>
      </c>
      <c r="S68" s="177"/>
      <c r="T68" s="233">
        <f t="shared" ref="T68:U68" si="78">IF(AND(C68&lt;&gt;"",F68&lt;&gt;"",I68&lt;&gt;""), SUM(I68,F68,C68,L68),"")</f>
        <v>418424509.8</v>
      </c>
      <c r="U68" s="233">
        <f t="shared" si="78"/>
        <v>323595158.1</v>
      </c>
      <c r="V68" s="233">
        <f t="shared" si="6"/>
        <v>104.6061275</v>
      </c>
      <c r="W68" s="241">
        <f t="shared" si="15"/>
        <v>0.004102185814</v>
      </c>
      <c r="X68" s="241">
        <f t="shared" si="16"/>
        <v>0</v>
      </c>
      <c r="Y68" s="241">
        <f t="shared" si="25"/>
        <v>0.00204482226</v>
      </c>
      <c r="Z68" s="233">
        <f t="shared" si="7"/>
        <v>102.8842608</v>
      </c>
      <c r="AA68" s="165"/>
      <c r="AB68" s="245"/>
      <c r="AC68" s="242" t="str">
        <f>IF(ISTEXT(AB68),VLOOKUP(AB68,'Cadastro dos Ativos'!$A$2:$C$1000,3,0),"")</f>
        <v/>
      </c>
      <c r="AD68" s="242" t="str">
        <f>IF(AB68 &lt;&gt; "",IF(AC68="Futuros", (SUMIFS('Alocação'!$O$3:$O$1002,'Alocação'!$C$3:$C$1002,AB68,'Alocação'!$F$3:$F$1002,AB$9,'Alocação'!$B$3:$B$1002,"&lt;="&amp;$B$4)), (SUMIFS('Alocação'!$O$3:$O$1002,'Alocação'!$C$3:$C$1002,AB68,'Alocação'!$F$3:$F$1002,AB$9,'Alocação'!$B$3:$B$1002,"&lt;="&amp;$B$6))),"")</f>
        <v/>
      </c>
      <c r="AE68" s="243" t="str">
        <f>iferror(IF(AC68="Ações Americanas", HLOOKUP(AB68,'Histórico'!$A$1:$DD$990,MATCH($B$6,'Histórico'!$A:$A),FALSE)*HLOOKUP("PTAX",'Histórico'!$A$1:$FG$983,MATCH($B$6,'Histórico'!$A:$A),FALSE),IF(AC68="Ações Europeias", HLOOKUP(AB68,'Histórico'!$A$1:$DD$990,MATCH($B$6,'Histórico'!$A:$A),FALSE)*HLOOKUP("EUR/BRL",'Histórico'!$A$1:$FG$983,MATCH($B$6,'Histórico'!$A:$A),FALSE), HLOOKUP(AB68,'Histórico'!$A$1:$DD$990,MATCH($B$6,'Histórico'!$A:$A),FALSE))),"")</f>
        <v/>
      </c>
      <c r="AF68" s="243" t="str">
        <f t="shared" si="21"/>
        <v/>
      </c>
      <c r="AG68" s="53"/>
      <c r="AH68" s="245"/>
      <c r="AI68" s="242" t="str">
        <f>IF(ISTEXT(AH68),VLOOKUP(AH68,'Cadastro dos Ativos'!$A$2:$C$1000,3,0),"")</f>
        <v/>
      </c>
      <c r="AJ68" s="242" t="str">
        <f>IF(AH68 &lt;&gt; "",IF(AI68="Futuros", (SUMIFS('Alocação'!$O$3:$O$1002,'Alocação'!$C$3:$C$1002,AH68,'Alocação'!$F$3:$F$1002,AH$9,'Alocação'!$B$3:$B$1002,"&lt;="&amp;$B$4)), (SUMIFS('Alocação'!$O$3:$O$1002,'Alocação'!$C$3:$C$1002,AH68,'Alocação'!$F$3:$F$1002,AH$9,'Alocação'!$B$3:$B$1002,"&lt;="&amp;$B$6))),"")</f>
        <v/>
      </c>
      <c r="AK68" s="243" t="str">
        <f>iferror(IF(AI68="Ações Americanas", HLOOKUP(AH68,'Histórico'!$A$1:$DD$990,MATCH($B$6,'Histórico'!$A:$A),FALSE)*HLOOKUP("PTAX",'Histórico'!$A$1:$FG$983,MATCH($B$6,'Histórico'!$A:$A),FALSE),IF(AI68="Ações Europeias", HLOOKUP(AH68,'Histórico'!$A$1:$DD$990,MATCH($B$6,'Histórico'!$A:$A),FALSE)*HLOOKUP("EUR/BRL",'Histórico'!$A$1:$FG$983,MATCH($B$6,'Histórico'!$A:$A),FALSE),  HLOOKUP(AH68,'Histórico'!$A$1:$DD$990,MATCH($B$6,'Histórico'!$A:$A),FALSE))),"")</f>
        <v/>
      </c>
      <c r="AL68" s="243" t="str">
        <f t="shared" si="17"/>
        <v/>
      </c>
      <c r="AM68" s="53"/>
      <c r="AN68" s="245"/>
      <c r="AO68" s="242" t="str">
        <f>IF(ISTEXT(AN68),VLOOKUP(AN68,'Cadastro dos Ativos'!$A$2:$C$1000,3,0),"")</f>
        <v/>
      </c>
      <c r="AP68" s="242" t="str">
        <f>IF(AN68 &lt;&gt; "",IF(AO68="Futuros", (SUMIFS('Alocação'!$O$3:$O$1002,'Alocação'!$C$3:$C$1002,AN68,'Alocação'!$F$3:$F$1002,AN$9,'Alocação'!$B$3:$B$1002,"&lt;="&amp;$B$4)), (SUMIFS('Alocação'!$O$3:$O$1002,'Alocação'!$C$3:$C$1002,AN68,'Alocação'!$F$3:$F$1002,AN$9,'Alocação'!$B$3:$B$1002,"&lt;="&amp;$B$6))),"")</f>
        <v/>
      </c>
      <c r="AQ68" s="243" t="str">
        <f>iferror(IF(AO68="Ações Americanas", HLOOKUP(AN68,'Histórico'!$A$1:$DD$990,MATCH($B$6,'Histórico'!$A:$A),FALSE)*HLOOKUP("PTAX",'Histórico'!$A$1:$FG$983,MATCH($B$6,'Histórico'!$A:$A),FALSE),IF(AO68="Ações Europeias", HLOOKUP(AN68,'Histórico'!$A$1:$DD$990,MATCH($B$6,'Histórico'!$A:$A),FALSE)*HLOOKUP("EUR/BRL",'Histórico'!$A$1:$FG$983,MATCH($B$6,'Histórico'!$A:$A),FALSE),  HLOOKUP(AN68,'Histórico'!$A$1:$DD$990,MATCH($B$6,'Histórico'!$A:$A),FALSE))),"")</f>
        <v/>
      </c>
      <c r="AR68" s="243" t="str">
        <f t="shared" si="18"/>
        <v/>
      </c>
      <c r="AS68" s="53"/>
      <c r="AT68" s="245"/>
      <c r="AU68" s="242" t="str">
        <f>IF(ISTEXT(AT68),VLOOKUP(AT68,'Cadastro dos Ativos'!$A$2:$C$1000,3,0),"")</f>
        <v/>
      </c>
      <c r="AV68" s="242" t="str">
        <f>IF(AT68 &lt;&gt; "",IF(AU68="Futuros", (SUMIFS('Alocação'!$O$3:$O$1002,'Alocação'!$C$3:$C$1002,AT68,'Alocação'!$F$3:$F$1002,AT$9,'Alocação'!$B$3:$B$1002,"&lt;="&amp;$B$4)), (SUMIFS('Alocação'!$O$3:$O$1002,'Alocação'!$C$3:$C$1002,AT68,'Alocação'!$F$3:$F$1002,AT$9,'Alocação'!$B$3:$B$1002,"&lt;="&amp;$B$6))),"")</f>
        <v/>
      </c>
      <c r="AW68" s="243" t="str">
        <f>iferror(IF(AU68="Ações Americanas", HLOOKUP(AT68,'Histórico'!$A$1:$DD$990,MATCH($B$6,'Histórico'!$A:$A),FALSE)*HLOOKUP("PTAX",'Histórico'!$A$1:$FG$983,MATCH($B$6,'Histórico'!$A:$A),FALSE),IF(AU68="Ações Europeias", HLOOKUP(AT68,'Histórico'!$A$1:$DD$990,MATCH($B$6,'Histórico'!$A:$A),FALSE)*HLOOKUP("EUR/BRL",'Histórico'!$A$1:$FG$983,MATCH($B$6,'Histórico'!$A:$A),FALSE),  HLOOKUP(AT68,'Histórico'!$A$1:$DD$990,MATCH($B$6,'Histórico'!$A:$A),FALSE))),"")</f>
        <v/>
      </c>
      <c r="AX68" s="243" t="str">
        <f t="shared" si="27"/>
        <v/>
      </c>
      <c r="AY68" s="183"/>
    </row>
    <row r="69" ht="15.75" customHeight="1">
      <c r="A69" s="176"/>
      <c r="B69" s="232">
        <v>45092.0</v>
      </c>
      <c r="C69" s="246">
        <v>1.034438607600444E8</v>
      </c>
      <c r="D69" s="246">
        <v>7.927236851426731E7</v>
      </c>
      <c r="E69" s="247"/>
      <c r="F69" s="246">
        <v>1.06445312675692E8</v>
      </c>
      <c r="G69" s="246">
        <v>1.227207764784776E8</v>
      </c>
      <c r="H69" s="247"/>
      <c r="I69" s="246">
        <v>1.054361758712838E8</v>
      </c>
      <c r="J69" s="246">
        <v>7.272043695703511E7</v>
      </c>
      <c r="K69" s="247"/>
      <c r="L69" s="246">
        <v>1.060165565060104E8</v>
      </c>
      <c r="M69" s="246">
        <v>6.167067690734323E7</v>
      </c>
      <c r="N69" s="240">
        <f t="shared" si="9"/>
        <v>0.001565157972</v>
      </c>
      <c r="O69" s="240">
        <f t="shared" si="10"/>
        <v>0.02020011707</v>
      </c>
      <c r="P69" s="240">
        <f t="shared" si="11"/>
        <v>0.004435094638</v>
      </c>
      <c r="Q69" s="240">
        <f t="shared" si="12"/>
        <v>0.001724918799</v>
      </c>
      <c r="R69" s="236">
        <f t="shared" si="13"/>
        <v>102.9347122</v>
      </c>
      <c r="S69" s="177"/>
      <c r="T69" s="233">
        <f t="shared" ref="T69:U69" si="79">IF(AND(C69&lt;&gt;"",F69&lt;&gt;"",I69&lt;&gt;""), SUM(I69,F69,C69,L69),"")</f>
        <v>421341905.8</v>
      </c>
      <c r="U69" s="233">
        <f t="shared" si="79"/>
        <v>336384258.9</v>
      </c>
      <c r="V69" s="233">
        <f t="shared" si="6"/>
        <v>105.3354765</v>
      </c>
      <c r="W69" s="241">
        <f t="shared" si="15"/>
        <v>0.006972335363</v>
      </c>
      <c r="X69" s="241">
        <f t="shared" si="16"/>
        <v>0</v>
      </c>
      <c r="Y69" s="241">
        <f t="shared" si="25"/>
        <v>0.003110128857</v>
      </c>
      <c r="Z69" s="233">
        <f t="shared" si="7"/>
        <v>102.9347122</v>
      </c>
      <c r="AA69" s="165"/>
      <c r="AB69" s="245"/>
      <c r="AC69" s="242" t="str">
        <f>IF(ISTEXT(AB69),VLOOKUP(AB69,'Cadastro dos Ativos'!$A$2:$C$1000,3,0),"")</f>
        <v/>
      </c>
      <c r="AD69" s="242" t="str">
        <f>IF(AB69 &lt;&gt; "",IF(AC69="Futuros", (SUMIFS('Alocação'!$O$3:$O$1002,'Alocação'!$C$3:$C$1002,AB69,'Alocação'!$F$3:$F$1002,AB$9,'Alocação'!$B$3:$B$1002,"&lt;="&amp;$B$4)), (SUMIFS('Alocação'!$O$3:$O$1002,'Alocação'!$C$3:$C$1002,AB69,'Alocação'!$F$3:$F$1002,AB$9,'Alocação'!$B$3:$B$1002,"&lt;="&amp;$B$6))),"")</f>
        <v/>
      </c>
      <c r="AE69" s="243" t="str">
        <f>iferror(IF(AC69="Ações Americanas", HLOOKUP(AB69,'Histórico'!$A$1:$DD$990,MATCH($B$6,'Histórico'!$A:$A),FALSE)*HLOOKUP("PTAX",'Histórico'!$A$1:$FG$983,MATCH($B$6,'Histórico'!$A:$A),FALSE),IF(AC69="Ações Europeias", HLOOKUP(AB69,'Histórico'!$A$1:$DD$990,MATCH($B$6,'Histórico'!$A:$A),FALSE)*HLOOKUP("EUR/BRL",'Histórico'!$A$1:$FG$983,MATCH($B$6,'Histórico'!$A:$A),FALSE), HLOOKUP(AB69,'Histórico'!$A$1:$DD$990,MATCH($B$6,'Histórico'!$A:$A),FALSE))),"")</f>
        <v/>
      </c>
      <c r="AF69" s="243" t="str">
        <f t="shared" si="21"/>
        <v/>
      </c>
      <c r="AG69" s="53"/>
      <c r="AH69" s="245"/>
      <c r="AI69" s="242" t="str">
        <f>IF(ISTEXT(AH69),VLOOKUP(AH69,'Cadastro dos Ativos'!$A$2:$C$1000,3,0),"")</f>
        <v/>
      </c>
      <c r="AJ69" s="242" t="str">
        <f>IF(AH69 &lt;&gt; "",IF(AI69="Futuros", (SUMIFS('Alocação'!$O$3:$O$1002,'Alocação'!$C$3:$C$1002,AH69,'Alocação'!$F$3:$F$1002,AH$9,'Alocação'!$B$3:$B$1002,"&lt;="&amp;$B$4)), (SUMIFS('Alocação'!$O$3:$O$1002,'Alocação'!$C$3:$C$1002,AH69,'Alocação'!$F$3:$F$1002,AH$9,'Alocação'!$B$3:$B$1002,"&lt;="&amp;$B$6))),"")</f>
        <v/>
      </c>
      <c r="AK69" s="243" t="str">
        <f>iferror(IF(AI69="Ações Americanas", HLOOKUP(AH69,'Histórico'!$A$1:$DD$990,MATCH($B$6,'Histórico'!$A:$A),FALSE)*HLOOKUP("PTAX",'Histórico'!$A$1:$FG$983,MATCH($B$6,'Histórico'!$A:$A),FALSE),IF(AI69="Ações Europeias", HLOOKUP(AH69,'Histórico'!$A$1:$DD$990,MATCH($B$6,'Histórico'!$A:$A),FALSE)*HLOOKUP("EUR/BRL",'Histórico'!$A$1:$FG$983,MATCH($B$6,'Histórico'!$A:$A),FALSE),  HLOOKUP(AH69,'Histórico'!$A$1:$DD$990,MATCH($B$6,'Histórico'!$A:$A),FALSE))),"")</f>
        <v/>
      </c>
      <c r="AL69" s="243" t="str">
        <f t="shared" si="17"/>
        <v/>
      </c>
      <c r="AM69" s="53"/>
      <c r="AN69" s="245"/>
      <c r="AO69" s="242" t="str">
        <f>IF(ISTEXT(AN69),VLOOKUP(AN69,'Cadastro dos Ativos'!$A$2:$C$1000,3,0),"")</f>
        <v/>
      </c>
      <c r="AP69" s="242" t="str">
        <f>IF(AN69 &lt;&gt; "",IF(AO69="Futuros", (SUMIFS('Alocação'!$O$3:$O$1002,'Alocação'!$C$3:$C$1002,AN69,'Alocação'!$F$3:$F$1002,AN$9,'Alocação'!$B$3:$B$1002,"&lt;="&amp;$B$4)), (SUMIFS('Alocação'!$O$3:$O$1002,'Alocação'!$C$3:$C$1002,AN69,'Alocação'!$F$3:$F$1002,AN$9,'Alocação'!$B$3:$B$1002,"&lt;="&amp;$B$6))),"")</f>
        <v/>
      </c>
      <c r="AQ69" s="243" t="str">
        <f>iferror(IF(AO69="Ações Americanas", HLOOKUP(AN69,'Histórico'!$A$1:$DD$990,MATCH($B$6,'Histórico'!$A:$A),FALSE)*HLOOKUP("PTAX",'Histórico'!$A$1:$FG$983,MATCH($B$6,'Histórico'!$A:$A),FALSE),IF(AO69="Ações Europeias", HLOOKUP(AN69,'Histórico'!$A$1:$DD$990,MATCH($B$6,'Histórico'!$A:$A),FALSE)*HLOOKUP("EUR/BRL",'Histórico'!$A$1:$FG$983,MATCH($B$6,'Histórico'!$A:$A),FALSE),  HLOOKUP(AN69,'Histórico'!$A$1:$DD$990,MATCH($B$6,'Histórico'!$A:$A),FALSE))),"")</f>
        <v/>
      </c>
      <c r="AR69" s="243" t="str">
        <f t="shared" si="18"/>
        <v/>
      </c>
      <c r="AS69" s="53"/>
      <c r="AT69" s="245"/>
      <c r="AU69" s="242" t="str">
        <f>IF(ISTEXT(AT69),VLOOKUP(AT69,'Cadastro dos Ativos'!$A$2:$C$1000,3,0),"")</f>
        <v/>
      </c>
      <c r="AV69" s="242" t="str">
        <f>IF(AT69 &lt;&gt; "",IF(AU69="Futuros", (SUMIFS('Alocação'!$O$3:$O$1002,'Alocação'!$C$3:$C$1002,AT69,'Alocação'!$F$3:$F$1002,AT$9,'Alocação'!$B$3:$B$1002,"&lt;="&amp;$B$4)), (SUMIFS('Alocação'!$O$3:$O$1002,'Alocação'!$C$3:$C$1002,AT69,'Alocação'!$F$3:$F$1002,AT$9,'Alocação'!$B$3:$B$1002,"&lt;="&amp;$B$6))),"")</f>
        <v/>
      </c>
      <c r="AW69" s="243" t="str">
        <f>iferror(IF(AU69="Ações Americanas", HLOOKUP(AT69,'Histórico'!$A$1:$DD$990,MATCH($B$6,'Histórico'!$A:$A),FALSE)*HLOOKUP("PTAX",'Histórico'!$A$1:$FG$983,MATCH($B$6,'Histórico'!$A:$A),FALSE),IF(AU69="Ações Europeias", HLOOKUP(AT69,'Histórico'!$A$1:$DD$990,MATCH($B$6,'Histórico'!$A:$A),FALSE)*HLOOKUP("EUR/BRL",'Histórico'!$A$1:$FG$983,MATCH($B$6,'Histórico'!$A:$A),FALSE),  HLOOKUP(AT69,'Histórico'!$A$1:$DD$990,MATCH($B$6,'Histórico'!$A:$A),FALSE))),"")</f>
        <v/>
      </c>
      <c r="AX69" s="243" t="str">
        <f t="shared" si="27"/>
        <v/>
      </c>
      <c r="AY69" s="183"/>
    </row>
    <row r="70" ht="15.75" customHeight="1">
      <c r="A70" s="176"/>
      <c r="B70" s="232">
        <v>45093.0</v>
      </c>
      <c r="C70" s="246">
        <v>1.033404757646185E8</v>
      </c>
      <c r="D70" s="246">
        <v>7.930651753520264E7</v>
      </c>
      <c r="E70" s="247"/>
      <c r="F70" s="246">
        <v>1.079170094771032E8</v>
      </c>
      <c r="G70" s="246">
        <v>1.242905662404426E8</v>
      </c>
      <c r="H70" s="247"/>
      <c r="I70" s="246">
        <v>1.062127612667996E8</v>
      </c>
      <c r="J70" s="246">
        <v>7.351108516993965E7</v>
      </c>
      <c r="K70" s="247"/>
      <c r="L70" s="246">
        <v>1.062019634715311E8</v>
      </c>
      <c r="M70" s="246">
        <v>6.169573437717072E7</v>
      </c>
      <c r="N70" s="240">
        <f t="shared" si="9"/>
        <v>-0.0009994309441</v>
      </c>
      <c r="O70" s="240">
        <f t="shared" si="10"/>
        <v>0.01382584883</v>
      </c>
      <c r="P70" s="240">
        <f t="shared" si="11"/>
        <v>0.007365454874</v>
      </c>
      <c r="Q70" s="240">
        <f t="shared" si="12"/>
        <v>0.001748849157</v>
      </c>
      <c r="R70" s="236">
        <f t="shared" si="13"/>
        <v>102.9851882</v>
      </c>
      <c r="S70" s="177"/>
      <c r="T70" s="233">
        <f t="shared" ref="T70:U70" si="80">IF(AND(C70&lt;&gt;"",F70&lt;&gt;"",I70&lt;&gt;""), SUM(I70,F70,C70,L70),"")</f>
        <v>423672210</v>
      </c>
      <c r="U70" s="233">
        <f t="shared" si="80"/>
        <v>338803903.3</v>
      </c>
      <c r="V70" s="233">
        <f t="shared" si="6"/>
        <v>105.9180525</v>
      </c>
      <c r="W70" s="241">
        <f t="shared" si="15"/>
        <v>0.005530672679</v>
      </c>
      <c r="X70" s="241">
        <f t="shared" si="16"/>
        <v>0</v>
      </c>
      <c r="Y70" s="241">
        <f t="shared" si="25"/>
        <v>0.003321345071</v>
      </c>
      <c r="Z70" s="233">
        <f t="shared" si="7"/>
        <v>102.9851882</v>
      </c>
      <c r="AA70" s="165"/>
      <c r="AB70" s="245"/>
      <c r="AC70" s="242" t="str">
        <f>IF(ISTEXT(AB70),VLOOKUP(AB70,'Cadastro dos Ativos'!$A$2:$C$1000,3,0),"")</f>
        <v/>
      </c>
      <c r="AD70" s="242" t="str">
        <f>IF(AB70 &lt;&gt; "",IF(AC70="Futuros", (SUMIFS('Alocação'!$O$3:$O$1002,'Alocação'!$C$3:$C$1002,AB70,'Alocação'!$F$3:$F$1002,AB$9,'Alocação'!$B$3:$B$1002,"&lt;="&amp;$B$4)), (SUMIFS('Alocação'!$O$3:$O$1002,'Alocação'!$C$3:$C$1002,AB70,'Alocação'!$F$3:$F$1002,AB$9,'Alocação'!$B$3:$B$1002,"&lt;="&amp;$B$6))),"")</f>
        <v/>
      </c>
      <c r="AE70" s="243" t="str">
        <f>iferror(IF(AC70="Ações Americanas", HLOOKUP(AB70,'Histórico'!$A$1:$DD$990,MATCH($B$6,'Histórico'!$A:$A),FALSE)*HLOOKUP("PTAX",'Histórico'!$A$1:$FG$983,MATCH($B$6,'Histórico'!$A:$A),FALSE),IF(AC70="Ações Europeias", HLOOKUP(AB70,'Histórico'!$A$1:$DD$990,MATCH($B$6,'Histórico'!$A:$A),FALSE)*HLOOKUP("EUR/BRL",'Histórico'!$A$1:$FG$983,MATCH($B$6,'Histórico'!$A:$A),FALSE), HLOOKUP(AB70,'Histórico'!$A$1:$DD$990,MATCH($B$6,'Histórico'!$A:$A),FALSE))),"")</f>
        <v/>
      </c>
      <c r="AF70" s="243" t="str">
        <f t="shared" si="21"/>
        <v/>
      </c>
      <c r="AG70" s="53"/>
      <c r="AH70" s="245"/>
      <c r="AI70" s="242" t="str">
        <f>IF(ISTEXT(AH70),VLOOKUP(AH70,'Cadastro dos Ativos'!$A$2:$C$1000,3,0),"")</f>
        <v/>
      </c>
      <c r="AJ70" s="242" t="str">
        <f>IF(AH70 &lt;&gt; "",IF(AI70="Futuros", (SUMIFS('Alocação'!$O$3:$O$1002,'Alocação'!$C$3:$C$1002,AH70,'Alocação'!$F$3:$F$1002,AH$9,'Alocação'!$B$3:$B$1002,"&lt;="&amp;$B$4)), (SUMIFS('Alocação'!$O$3:$O$1002,'Alocação'!$C$3:$C$1002,AH70,'Alocação'!$F$3:$F$1002,AH$9,'Alocação'!$B$3:$B$1002,"&lt;="&amp;$B$6))),"")</f>
        <v/>
      </c>
      <c r="AK70" s="243" t="str">
        <f>iferror(IF(AI70="Ações Americanas", HLOOKUP(AH70,'Histórico'!$A$1:$DD$990,MATCH($B$6,'Histórico'!$A:$A),FALSE)*HLOOKUP("PTAX",'Histórico'!$A$1:$FG$983,MATCH($B$6,'Histórico'!$A:$A),FALSE),IF(AI70="Ações Europeias", HLOOKUP(AH70,'Histórico'!$A$1:$DD$990,MATCH($B$6,'Histórico'!$A:$A),FALSE)*HLOOKUP("EUR/BRL",'Histórico'!$A$1:$FG$983,MATCH($B$6,'Histórico'!$A:$A),FALSE),  HLOOKUP(AH70,'Histórico'!$A$1:$DD$990,MATCH($B$6,'Histórico'!$A:$A),FALSE))),"")</f>
        <v/>
      </c>
      <c r="AL70" s="243" t="str">
        <f t="shared" si="17"/>
        <v/>
      </c>
      <c r="AM70" s="53"/>
      <c r="AN70" s="245"/>
      <c r="AO70" s="242" t="str">
        <f>IF(ISTEXT(AN70),VLOOKUP(AN70,'Cadastro dos Ativos'!$A$2:$C$1000,3,0),"")</f>
        <v/>
      </c>
      <c r="AP70" s="242" t="str">
        <f>IF(AN70 &lt;&gt; "",IF(AO70="Futuros", (SUMIFS('Alocação'!$O$3:$O$1002,'Alocação'!$C$3:$C$1002,AN70,'Alocação'!$F$3:$F$1002,AN$9,'Alocação'!$B$3:$B$1002,"&lt;="&amp;$B$4)), (SUMIFS('Alocação'!$O$3:$O$1002,'Alocação'!$C$3:$C$1002,AN70,'Alocação'!$F$3:$F$1002,AN$9,'Alocação'!$B$3:$B$1002,"&lt;="&amp;$B$6))),"")</f>
        <v/>
      </c>
      <c r="AQ70" s="243" t="str">
        <f>iferror(IF(AO70="Ações Americanas", HLOOKUP(AN70,'Histórico'!$A$1:$DD$990,MATCH($B$6,'Histórico'!$A:$A),FALSE)*HLOOKUP("PTAX",'Histórico'!$A$1:$FG$983,MATCH($B$6,'Histórico'!$A:$A),FALSE),IF(AO70="Ações Europeias", HLOOKUP(AN70,'Histórico'!$A$1:$DD$990,MATCH($B$6,'Histórico'!$A:$A),FALSE)*HLOOKUP("EUR/BRL",'Histórico'!$A$1:$FG$983,MATCH($B$6,'Histórico'!$A:$A),FALSE),  HLOOKUP(AN70,'Histórico'!$A$1:$DD$990,MATCH($B$6,'Histórico'!$A:$A),FALSE))),"")</f>
        <v/>
      </c>
      <c r="AR70" s="243" t="str">
        <f t="shared" si="18"/>
        <v/>
      </c>
      <c r="AS70" s="53"/>
      <c r="AT70" s="245"/>
      <c r="AU70" s="242" t="str">
        <f>IF(ISTEXT(AT70),VLOOKUP(AT70,'Cadastro dos Ativos'!$A$2:$C$1000,3,0),"")</f>
        <v/>
      </c>
      <c r="AV70" s="242" t="str">
        <f>IF(AT70 &lt;&gt; "",IF(AU70="Futuros", (SUMIFS('Alocação'!$O$3:$O$1002,'Alocação'!$C$3:$C$1002,AT70,'Alocação'!$F$3:$F$1002,AT$9,'Alocação'!$B$3:$B$1002,"&lt;="&amp;$B$4)), (SUMIFS('Alocação'!$O$3:$O$1002,'Alocação'!$C$3:$C$1002,AT70,'Alocação'!$F$3:$F$1002,AT$9,'Alocação'!$B$3:$B$1002,"&lt;="&amp;$B$6))),"")</f>
        <v/>
      </c>
      <c r="AW70" s="243" t="str">
        <f>iferror(IF(AU70="Ações Americanas", HLOOKUP(AT70,'Histórico'!$A$1:$DD$990,MATCH($B$6,'Histórico'!$A:$A),FALSE)*HLOOKUP("PTAX",'Histórico'!$A$1:$FG$983,MATCH($B$6,'Histórico'!$A:$A),FALSE),IF(AU70="Ações Europeias", HLOOKUP(AT70,'Histórico'!$A$1:$DD$990,MATCH($B$6,'Histórico'!$A:$A),FALSE)*HLOOKUP("EUR/BRL",'Histórico'!$A$1:$FG$983,MATCH($B$6,'Histórico'!$A:$A),FALSE),  HLOOKUP(AT70,'Histórico'!$A$1:$DD$990,MATCH($B$6,'Histórico'!$A:$A),FALSE))),"")</f>
        <v/>
      </c>
      <c r="AX70" s="243" t="str">
        <f t="shared" si="27"/>
        <v/>
      </c>
      <c r="AY70" s="183"/>
    </row>
    <row r="71" ht="15.75" customHeight="1">
      <c r="A71" s="176"/>
      <c r="B71" s="232">
        <v>45096.0</v>
      </c>
      <c r="C71" s="246">
        <v>1.033706119584361E8</v>
      </c>
      <c r="D71" s="246">
        <v>7.934069000809434E7</v>
      </c>
      <c r="E71" s="234"/>
      <c r="F71" s="246">
        <v>1.080802085562335E8</v>
      </c>
      <c r="G71" s="246">
        <v>1.167191649852094E8</v>
      </c>
      <c r="H71" s="234"/>
      <c r="I71" s="246">
        <v>1.060153202909019E8</v>
      </c>
      <c r="J71" s="246">
        <v>7.364481005384351E7</v>
      </c>
      <c r="K71" s="234"/>
      <c r="L71" s="246">
        <v>1.058128224458782E8</v>
      </c>
      <c r="M71" s="246">
        <v>6.172079361868594E7</v>
      </c>
      <c r="N71" s="240">
        <f t="shared" si="9"/>
        <v>0.0002916204284</v>
      </c>
      <c r="O71" s="240">
        <f t="shared" si="10"/>
        <v>0.001512264655</v>
      </c>
      <c r="P71" s="240">
        <f t="shared" si="11"/>
        <v>-0.001858919527</v>
      </c>
      <c r="Q71" s="240">
        <f t="shared" si="12"/>
        <v>-0.003664160369</v>
      </c>
      <c r="R71" s="236">
        <f t="shared" si="13"/>
        <v>103.0356891</v>
      </c>
      <c r="S71" s="177"/>
      <c r="T71" s="233">
        <f t="shared" ref="T71:U71" si="81">IF(AND(C71&lt;&gt;"",F71&lt;&gt;"",I71&lt;&gt;""), SUM(I71,F71,C71,L71),"")</f>
        <v>423278963.3</v>
      </c>
      <c r="U71" s="233">
        <f t="shared" si="81"/>
        <v>331425458.7</v>
      </c>
      <c r="V71" s="233">
        <f t="shared" si="6"/>
        <v>105.8197408</v>
      </c>
      <c r="W71" s="241">
        <f t="shared" si="15"/>
        <v>-0.0009281862708</v>
      </c>
      <c r="X71" s="241">
        <f t="shared" si="16"/>
        <v>-0.0009281862708</v>
      </c>
      <c r="Y71" s="241">
        <f t="shared" si="25"/>
        <v>0.003844019283</v>
      </c>
      <c r="Z71" s="233">
        <f t="shared" si="7"/>
        <v>103.0356891</v>
      </c>
      <c r="AA71" s="165"/>
      <c r="AB71" s="245"/>
      <c r="AC71" s="242" t="str">
        <f>IF(ISTEXT(AB71),VLOOKUP(AB71,'Cadastro dos Ativos'!$A$2:$C$1000,3,0),"")</f>
        <v/>
      </c>
      <c r="AD71" s="242" t="str">
        <f>IF(AB71 &lt;&gt; "",IF(AC71="Futuros", (SUMIFS('Alocação'!$O$3:$O$1002,'Alocação'!$C$3:$C$1002,AB71,'Alocação'!$F$3:$F$1002,AB$9,'Alocação'!$B$3:$B$1002,"&lt;="&amp;$B$4)), (SUMIFS('Alocação'!$O$3:$O$1002,'Alocação'!$C$3:$C$1002,AB71,'Alocação'!$F$3:$F$1002,AB$9,'Alocação'!$B$3:$B$1002,"&lt;="&amp;$B$6))),"")</f>
        <v/>
      </c>
      <c r="AE71" s="243" t="str">
        <f>iferror(IF(AC71="Ações Americanas", HLOOKUP(AB71,'Histórico'!$A$1:$DD$990,MATCH($B$6,'Histórico'!$A:$A),FALSE)*HLOOKUP("PTAX",'Histórico'!$A$1:$FG$983,MATCH($B$6,'Histórico'!$A:$A),FALSE),IF(AC71="Ações Europeias", HLOOKUP(AB71,'Histórico'!$A$1:$DD$990,MATCH($B$6,'Histórico'!$A:$A),FALSE)*HLOOKUP("EUR/BRL",'Histórico'!$A$1:$FG$983,MATCH($B$6,'Histórico'!$A:$A),FALSE), HLOOKUP(AB71,'Histórico'!$A$1:$DD$990,MATCH($B$6,'Histórico'!$A:$A),FALSE))),"")</f>
        <v/>
      </c>
      <c r="AF71" s="243" t="str">
        <f t="shared" si="21"/>
        <v/>
      </c>
      <c r="AG71" s="53"/>
      <c r="AH71" s="245"/>
      <c r="AI71" s="242" t="str">
        <f>IF(ISTEXT(AH71),VLOOKUP(AH71,'Cadastro dos Ativos'!$A$2:$C$1000,3,0),"")</f>
        <v/>
      </c>
      <c r="AJ71" s="242" t="str">
        <f>IF(AH71 &lt;&gt; "",IF(AI71="Futuros", (SUMIFS('Alocação'!$O$3:$O$1002,'Alocação'!$C$3:$C$1002,AH71,'Alocação'!$F$3:$F$1002,AH$9,'Alocação'!$B$3:$B$1002,"&lt;="&amp;$B$4)), (SUMIFS('Alocação'!$O$3:$O$1002,'Alocação'!$C$3:$C$1002,AH71,'Alocação'!$F$3:$F$1002,AH$9,'Alocação'!$B$3:$B$1002,"&lt;="&amp;$B$6))),"")</f>
        <v/>
      </c>
      <c r="AK71" s="243" t="str">
        <f>iferror(IF(AI71="Ações Americanas", HLOOKUP(AH71,'Histórico'!$A$1:$DD$990,MATCH($B$6,'Histórico'!$A:$A),FALSE)*HLOOKUP("PTAX",'Histórico'!$A$1:$FG$983,MATCH($B$6,'Histórico'!$A:$A),FALSE),IF(AI71="Ações Europeias", HLOOKUP(AH71,'Histórico'!$A$1:$DD$990,MATCH($B$6,'Histórico'!$A:$A),FALSE)*HLOOKUP("EUR/BRL",'Histórico'!$A$1:$FG$983,MATCH($B$6,'Histórico'!$A:$A),FALSE),  HLOOKUP(AH71,'Histórico'!$A$1:$DD$990,MATCH($B$6,'Histórico'!$A:$A),FALSE))),"")</f>
        <v/>
      </c>
      <c r="AL71" s="243" t="str">
        <f t="shared" si="17"/>
        <v/>
      </c>
      <c r="AM71" s="53"/>
      <c r="AN71" s="245"/>
      <c r="AO71" s="242" t="str">
        <f>IF(ISTEXT(AN71),VLOOKUP(AN71,'Cadastro dos Ativos'!$A$2:$C$1000,3,0),"")</f>
        <v/>
      </c>
      <c r="AP71" s="242" t="str">
        <f>IF(AN71 &lt;&gt; "",IF(AO71="Futuros", (SUMIFS('Alocação'!$O$3:$O$1002,'Alocação'!$C$3:$C$1002,AN71,'Alocação'!$F$3:$F$1002,AN$9,'Alocação'!$B$3:$B$1002,"&lt;="&amp;$B$4)), (SUMIFS('Alocação'!$O$3:$O$1002,'Alocação'!$C$3:$C$1002,AN71,'Alocação'!$F$3:$F$1002,AN$9,'Alocação'!$B$3:$B$1002,"&lt;="&amp;$B$6))),"")</f>
        <v/>
      </c>
      <c r="AQ71" s="243" t="str">
        <f>iferror(IF(AO71="Ações Americanas", HLOOKUP(AN71,'Histórico'!$A$1:$DD$990,MATCH($B$6,'Histórico'!$A:$A),FALSE)*HLOOKUP("PTAX",'Histórico'!$A$1:$FG$983,MATCH($B$6,'Histórico'!$A:$A),FALSE),IF(AO71="Ações Europeias", HLOOKUP(AN71,'Histórico'!$A$1:$DD$990,MATCH($B$6,'Histórico'!$A:$A),FALSE)*HLOOKUP("EUR/BRL",'Histórico'!$A$1:$FG$983,MATCH($B$6,'Histórico'!$A:$A),FALSE),  HLOOKUP(AN71,'Histórico'!$A$1:$DD$990,MATCH($B$6,'Histórico'!$A:$A),FALSE))),"")</f>
        <v/>
      </c>
      <c r="AR71" s="243" t="str">
        <f t="shared" si="18"/>
        <v/>
      </c>
      <c r="AS71" s="53"/>
      <c r="AT71" s="245"/>
      <c r="AU71" s="242" t="str">
        <f>IF(ISTEXT(AT71),VLOOKUP(AT71,'Cadastro dos Ativos'!$A$2:$C$1000,3,0),"")</f>
        <v/>
      </c>
      <c r="AV71" s="242" t="str">
        <f>IF(AT71 &lt;&gt; "",IF(AU71="Futuros", (SUMIFS('Alocação'!$O$3:$O$1002,'Alocação'!$C$3:$C$1002,AT71,'Alocação'!$F$3:$F$1002,AT$9,'Alocação'!$B$3:$B$1002,"&lt;="&amp;$B$4)), (SUMIFS('Alocação'!$O$3:$O$1002,'Alocação'!$C$3:$C$1002,AT71,'Alocação'!$F$3:$F$1002,AT$9,'Alocação'!$B$3:$B$1002,"&lt;="&amp;$B$6))),"")</f>
        <v/>
      </c>
      <c r="AW71" s="243" t="str">
        <f>iferror(IF(AU71="Ações Americanas", HLOOKUP(AT71,'Histórico'!$A$1:$DD$990,MATCH($B$6,'Histórico'!$A:$A),FALSE)*HLOOKUP("PTAX",'Histórico'!$A$1:$FG$983,MATCH($B$6,'Histórico'!$A:$A),FALSE),IF(AU71="Ações Europeias", HLOOKUP(AT71,'Histórico'!$A$1:$DD$990,MATCH($B$6,'Histórico'!$A:$A),FALSE)*HLOOKUP("EUR/BRL",'Histórico'!$A$1:$FG$983,MATCH($B$6,'Histórico'!$A:$A),FALSE),  HLOOKUP(AT71,'Histórico'!$A$1:$DD$990,MATCH($B$6,'Histórico'!$A:$A),FALSE))),"")</f>
        <v/>
      </c>
      <c r="AX71" s="243" t="str">
        <f t="shared" si="27"/>
        <v/>
      </c>
      <c r="AY71" s="183"/>
    </row>
    <row r="72" ht="15.75" customHeight="1">
      <c r="A72" s="176"/>
      <c r="B72" s="232">
        <v>45097.0</v>
      </c>
      <c r="C72" s="246">
        <v>1.032568965078337E8</v>
      </c>
      <c r="D72" s="246">
        <v>7.937487805594853E7</v>
      </c>
      <c r="E72" s="247"/>
      <c r="F72" s="246">
        <v>1.083423063662908E8</v>
      </c>
      <c r="G72" s="246">
        <v>1.167349825532914E8</v>
      </c>
      <c r="H72" s="247"/>
      <c r="I72" s="246">
        <v>1.056451514736147E8</v>
      </c>
      <c r="J72" s="246">
        <v>7.339370321945341E7</v>
      </c>
      <c r="K72" s="247"/>
      <c r="L72" s="246">
        <v>1.050618171348398E8</v>
      </c>
      <c r="M72" s="246">
        <v>6.174588857911848E7</v>
      </c>
      <c r="N72" s="240">
        <f t="shared" si="9"/>
        <v>-0.001100075238</v>
      </c>
      <c r="O72" s="240">
        <f t="shared" si="10"/>
        <v>0.002425030573</v>
      </c>
      <c r="P72" s="240">
        <f t="shared" si="11"/>
        <v>-0.003491654001</v>
      </c>
      <c r="Q72" s="240">
        <f t="shared" si="12"/>
        <v>-0.007097488694</v>
      </c>
      <c r="R72" s="236">
        <f t="shared" si="13"/>
        <v>103.0862147</v>
      </c>
      <c r="S72" s="177"/>
      <c r="T72" s="233">
        <f t="shared" ref="T72:U72" si="82">IF(AND(C72&lt;&gt;"",F72&lt;&gt;"",I72&lt;&gt;""), SUM(I72,F72,C72,L72),"")</f>
        <v>422306171.5</v>
      </c>
      <c r="U72" s="233">
        <f t="shared" si="82"/>
        <v>331249452.4</v>
      </c>
      <c r="V72" s="233">
        <f t="shared" si="6"/>
        <v>105.5765429</v>
      </c>
      <c r="W72" s="241">
        <f t="shared" si="15"/>
        <v>-0.002298228481</v>
      </c>
      <c r="X72" s="241">
        <f t="shared" si="16"/>
        <v>-0.003224281568</v>
      </c>
      <c r="Y72" s="241">
        <f t="shared" si="25"/>
        <v>0.004073535534</v>
      </c>
      <c r="Z72" s="233">
        <f t="shared" si="7"/>
        <v>103.0862147</v>
      </c>
      <c r="AA72" s="165"/>
      <c r="AB72" s="245"/>
      <c r="AC72" s="242" t="str">
        <f>IF(ISTEXT(AB72),VLOOKUP(AB72,'Cadastro dos Ativos'!$A$2:$C$1000,3,0),"")</f>
        <v/>
      </c>
      <c r="AD72" s="242" t="str">
        <f>IF(AB72 &lt;&gt; "",IF(AC72="Futuros", (SUMIFS('Alocação'!$O$3:$O$1002,'Alocação'!$C$3:$C$1002,AB72,'Alocação'!$F$3:$F$1002,AB$9,'Alocação'!$B$3:$B$1002,"&lt;="&amp;$B$4)), (SUMIFS('Alocação'!$O$3:$O$1002,'Alocação'!$C$3:$C$1002,AB72,'Alocação'!$F$3:$F$1002,AB$9,'Alocação'!$B$3:$B$1002,"&lt;="&amp;$B$6))),"")</f>
        <v/>
      </c>
      <c r="AE72" s="243" t="str">
        <f>iferror(IF(AC72="Ações Americanas", HLOOKUP(AB72,'Histórico'!$A$1:$DD$990,MATCH($B$6,'Histórico'!$A:$A),FALSE)*HLOOKUP("PTAX",'Histórico'!$A$1:$FG$983,MATCH($B$6,'Histórico'!$A:$A),FALSE),IF(AC72="Ações Europeias", HLOOKUP(AB72,'Histórico'!$A$1:$DD$990,MATCH($B$6,'Histórico'!$A:$A),FALSE)*HLOOKUP("EUR/BRL",'Histórico'!$A$1:$FG$983,MATCH($B$6,'Histórico'!$A:$A),FALSE), HLOOKUP(AB72,'Histórico'!$A$1:$DD$990,MATCH($B$6,'Histórico'!$A:$A),FALSE))),"")</f>
        <v/>
      </c>
      <c r="AF72" s="243" t="str">
        <f t="shared" si="21"/>
        <v/>
      </c>
      <c r="AG72" s="53"/>
      <c r="AH72" s="245"/>
      <c r="AI72" s="242" t="str">
        <f>IF(ISTEXT(AH72),VLOOKUP(AH72,'Cadastro dos Ativos'!$A$2:$C$1000,3,0),"")</f>
        <v/>
      </c>
      <c r="AJ72" s="242" t="str">
        <f>IF(AH72 &lt;&gt; "",IF(AI72="Futuros", (SUMIFS('Alocação'!$O$3:$O$1002,'Alocação'!$C$3:$C$1002,AH72,'Alocação'!$F$3:$F$1002,AH$9,'Alocação'!$B$3:$B$1002,"&lt;="&amp;$B$4)), (SUMIFS('Alocação'!$O$3:$O$1002,'Alocação'!$C$3:$C$1002,AH72,'Alocação'!$F$3:$F$1002,AH$9,'Alocação'!$B$3:$B$1002,"&lt;="&amp;$B$6))),"")</f>
        <v/>
      </c>
      <c r="AK72" s="243" t="str">
        <f>iferror(IF(AI72="Ações Americanas", HLOOKUP(AH72,'Histórico'!$A$1:$DD$990,MATCH($B$6,'Histórico'!$A:$A),FALSE)*HLOOKUP("PTAX",'Histórico'!$A$1:$FG$983,MATCH($B$6,'Histórico'!$A:$A),FALSE),IF(AI72="Ações Europeias", HLOOKUP(AH72,'Histórico'!$A$1:$DD$990,MATCH($B$6,'Histórico'!$A:$A),FALSE)*HLOOKUP("EUR/BRL",'Histórico'!$A$1:$FG$983,MATCH($B$6,'Histórico'!$A:$A),FALSE),  HLOOKUP(AH72,'Histórico'!$A$1:$DD$990,MATCH($B$6,'Histórico'!$A:$A),FALSE))),"")</f>
        <v/>
      </c>
      <c r="AL72" s="243" t="str">
        <f t="shared" si="17"/>
        <v/>
      </c>
      <c r="AM72" s="53"/>
      <c r="AN72" s="245"/>
      <c r="AO72" s="242" t="str">
        <f>IF(ISTEXT(AN72),VLOOKUP(AN72,'Cadastro dos Ativos'!$A$2:$C$1000,3,0),"")</f>
        <v/>
      </c>
      <c r="AP72" s="242" t="str">
        <f>IF(AN72 &lt;&gt; "",IF(AO72="Futuros", (SUMIFS('Alocação'!$O$3:$O$1002,'Alocação'!$C$3:$C$1002,AN72,'Alocação'!$F$3:$F$1002,AN$9,'Alocação'!$B$3:$B$1002,"&lt;="&amp;$B$4)), (SUMIFS('Alocação'!$O$3:$O$1002,'Alocação'!$C$3:$C$1002,AN72,'Alocação'!$F$3:$F$1002,AN$9,'Alocação'!$B$3:$B$1002,"&lt;="&amp;$B$6))),"")</f>
        <v/>
      </c>
      <c r="AQ72" s="243" t="str">
        <f>iferror(IF(AO72="Ações Americanas", HLOOKUP(AN72,'Histórico'!$A$1:$DD$990,MATCH($B$6,'Histórico'!$A:$A),FALSE)*HLOOKUP("PTAX",'Histórico'!$A$1:$FG$983,MATCH($B$6,'Histórico'!$A:$A),FALSE),IF(AO72="Ações Europeias", HLOOKUP(AN72,'Histórico'!$A$1:$DD$990,MATCH($B$6,'Histórico'!$A:$A),FALSE)*HLOOKUP("EUR/BRL",'Histórico'!$A$1:$FG$983,MATCH($B$6,'Histórico'!$A:$A),FALSE),  HLOOKUP(AN72,'Histórico'!$A$1:$DD$990,MATCH($B$6,'Histórico'!$A:$A),FALSE))),"")</f>
        <v/>
      </c>
      <c r="AR72" s="243" t="str">
        <f t="shared" si="18"/>
        <v/>
      </c>
      <c r="AS72" s="53"/>
      <c r="AT72" s="245"/>
      <c r="AU72" s="242" t="str">
        <f>IF(ISTEXT(AT72),VLOOKUP(AT72,'Cadastro dos Ativos'!$A$2:$C$1000,3,0),"")</f>
        <v/>
      </c>
      <c r="AV72" s="242" t="str">
        <f>IF(AT72 &lt;&gt; "",IF(AU72="Futuros", (SUMIFS('Alocação'!$O$3:$O$1002,'Alocação'!$C$3:$C$1002,AT72,'Alocação'!$F$3:$F$1002,AT$9,'Alocação'!$B$3:$B$1002,"&lt;="&amp;$B$4)), (SUMIFS('Alocação'!$O$3:$O$1002,'Alocação'!$C$3:$C$1002,AT72,'Alocação'!$F$3:$F$1002,AT$9,'Alocação'!$B$3:$B$1002,"&lt;="&amp;$B$6))),"")</f>
        <v/>
      </c>
      <c r="AW72" s="243" t="str">
        <f>iferror(IF(AU72="Ações Americanas", HLOOKUP(AT72,'Histórico'!$A$1:$DD$990,MATCH($B$6,'Histórico'!$A:$A),FALSE)*HLOOKUP("PTAX",'Histórico'!$A$1:$FG$983,MATCH($B$6,'Histórico'!$A:$A),FALSE),IF(AU72="Ações Europeias", HLOOKUP(AT72,'Histórico'!$A$1:$DD$990,MATCH($B$6,'Histórico'!$A:$A),FALSE)*HLOOKUP("EUR/BRL",'Histórico'!$A$1:$FG$983,MATCH($B$6,'Histórico'!$A:$A),FALSE),  HLOOKUP(AT72,'Histórico'!$A$1:$DD$990,MATCH($B$6,'Histórico'!$A:$A),FALSE))),"")</f>
        <v/>
      </c>
      <c r="AX72" s="243" t="str">
        <f t="shared" si="27"/>
        <v/>
      </c>
      <c r="AY72" s="183"/>
    </row>
    <row r="73" ht="15.75" customHeight="1">
      <c r="A73" s="176"/>
      <c r="B73" s="232">
        <v>45098.0</v>
      </c>
      <c r="C73" s="246">
        <v>1.031599423002073E8</v>
      </c>
      <c r="D73" s="246">
        <v>7.940909018593994E7</v>
      </c>
      <c r="E73" s="234"/>
      <c r="F73" s="246">
        <v>1.086581579073505E8</v>
      </c>
      <c r="G73" s="246">
        <v>1.172510251691332E8</v>
      </c>
      <c r="H73" s="234"/>
      <c r="I73" s="246">
        <v>1.056759621594164E8</v>
      </c>
      <c r="J73" s="246">
        <v>7.366446562380873E7</v>
      </c>
      <c r="K73" s="234"/>
      <c r="L73" s="246">
        <v>1.049070682437562E8</v>
      </c>
      <c r="M73" s="246">
        <v>6.177104065683258E7</v>
      </c>
      <c r="N73" s="240">
        <f t="shared" si="9"/>
        <v>-0.0009389610855</v>
      </c>
      <c r="O73" s="240">
        <f t="shared" si="10"/>
        <v>0.002915311217</v>
      </c>
      <c r="P73" s="240">
        <f t="shared" si="11"/>
        <v>0.0002916431599</v>
      </c>
      <c r="Q73" s="240">
        <f t="shared" si="12"/>
        <v>-0.001472931797</v>
      </c>
      <c r="R73" s="236">
        <f t="shared" si="13"/>
        <v>103.1367651</v>
      </c>
      <c r="S73" s="177"/>
      <c r="T73" s="233">
        <f t="shared" ref="T73:U73" si="83">IF(AND(C73&lt;&gt;"",F73&lt;&gt;"",I73&lt;&gt;""), SUM(I73,F73,C73,L73),"")</f>
        <v>422401130.6</v>
      </c>
      <c r="U73" s="233">
        <f t="shared" si="83"/>
        <v>332095621.6</v>
      </c>
      <c r="V73" s="233">
        <f t="shared" si="6"/>
        <v>105.6002827</v>
      </c>
      <c r="W73" s="241">
        <f t="shared" si="15"/>
        <v>0.0002248584903</v>
      </c>
      <c r="X73" s="241">
        <f t="shared" si="16"/>
        <v>-0.003000148085</v>
      </c>
      <c r="Y73" s="241">
        <f t="shared" si="25"/>
        <v>0.004103054617</v>
      </c>
      <c r="Z73" s="233">
        <f t="shared" si="7"/>
        <v>103.1367651</v>
      </c>
      <c r="AA73" s="165"/>
      <c r="AB73" s="245"/>
      <c r="AC73" s="242" t="str">
        <f>IF(ISTEXT(AB73),VLOOKUP(AB73,'Cadastro dos Ativos'!$A$2:$C$1000,3,0),"")</f>
        <v/>
      </c>
      <c r="AD73" s="242" t="str">
        <f>IF(AB73 &lt;&gt; "",IF(AC73="Futuros", (SUMIFS('Alocação'!$O$3:$O$1002,'Alocação'!$C$3:$C$1002,AB73,'Alocação'!$F$3:$F$1002,AB$9,'Alocação'!$B$3:$B$1002,"&lt;="&amp;$B$4)), (SUMIFS('Alocação'!$O$3:$O$1002,'Alocação'!$C$3:$C$1002,AB73,'Alocação'!$F$3:$F$1002,AB$9,'Alocação'!$B$3:$B$1002,"&lt;="&amp;$B$6))),"")</f>
        <v/>
      </c>
      <c r="AE73" s="243" t="str">
        <f>iferror(IF(AC73="Ações Americanas", HLOOKUP(AB73,'Histórico'!$A$1:$DD$990,MATCH($B$6,'Histórico'!$A:$A),FALSE)*HLOOKUP("PTAX",'Histórico'!$A$1:$FG$983,MATCH($B$6,'Histórico'!$A:$A),FALSE),IF(AC73="Ações Europeias", HLOOKUP(AB73,'Histórico'!$A$1:$DD$990,MATCH($B$6,'Histórico'!$A:$A),FALSE)*HLOOKUP("EUR/BRL",'Histórico'!$A$1:$FG$983,MATCH($B$6,'Histórico'!$A:$A),FALSE), HLOOKUP(AB73,'Histórico'!$A$1:$DD$990,MATCH($B$6,'Histórico'!$A:$A),FALSE))),"")</f>
        <v/>
      </c>
      <c r="AF73" s="243" t="str">
        <f t="shared" si="21"/>
        <v/>
      </c>
      <c r="AG73" s="53"/>
      <c r="AH73" s="245"/>
      <c r="AI73" s="242" t="str">
        <f>IF(ISTEXT(AH73),VLOOKUP(AH73,'Cadastro dos Ativos'!$A$2:$C$1000,3,0),"")</f>
        <v/>
      </c>
      <c r="AJ73" s="242" t="str">
        <f>IF(AH73 &lt;&gt; "",IF(AI73="Futuros", (SUMIFS('Alocação'!$O$3:$O$1002,'Alocação'!$C$3:$C$1002,AH73,'Alocação'!$F$3:$F$1002,AH$9,'Alocação'!$B$3:$B$1002,"&lt;="&amp;$B$4)), (SUMIFS('Alocação'!$O$3:$O$1002,'Alocação'!$C$3:$C$1002,AH73,'Alocação'!$F$3:$F$1002,AH$9,'Alocação'!$B$3:$B$1002,"&lt;="&amp;$B$6))),"")</f>
        <v/>
      </c>
      <c r="AK73" s="243" t="str">
        <f>iferror(IF(AI73="Ações Americanas", HLOOKUP(AH73,'Histórico'!$A$1:$DD$990,MATCH($B$6,'Histórico'!$A:$A),FALSE)*HLOOKUP("PTAX",'Histórico'!$A$1:$FG$983,MATCH($B$6,'Histórico'!$A:$A),FALSE),IF(AI73="Ações Europeias", HLOOKUP(AH73,'Histórico'!$A$1:$DD$990,MATCH($B$6,'Histórico'!$A:$A),FALSE)*HLOOKUP("EUR/BRL",'Histórico'!$A$1:$FG$983,MATCH($B$6,'Histórico'!$A:$A),FALSE),  HLOOKUP(AH73,'Histórico'!$A$1:$DD$990,MATCH($B$6,'Histórico'!$A:$A),FALSE))),"")</f>
        <v/>
      </c>
      <c r="AL73" s="243" t="str">
        <f t="shared" si="17"/>
        <v/>
      </c>
      <c r="AM73" s="53"/>
      <c r="AN73" s="245"/>
      <c r="AO73" s="242" t="str">
        <f>IF(ISTEXT(AN73),VLOOKUP(AN73,'Cadastro dos Ativos'!$A$2:$C$1000,3,0),"")</f>
        <v/>
      </c>
      <c r="AP73" s="242" t="str">
        <f>IF(AN73 &lt;&gt; "",IF(AO73="Futuros", (SUMIFS('Alocação'!$O$3:$O$1002,'Alocação'!$C$3:$C$1002,AN73,'Alocação'!$F$3:$F$1002,AN$9,'Alocação'!$B$3:$B$1002,"&lt;="&amp;$B$4)), (SUMIFS('Alocação'!$O$3:$O$1002,'Alocação'!$C$3:$C$1002,AN73,'Alocação'!$F$3:$F$1002,AN$9,'Alocação'!$B$3:$B$1002,"&lt;="&amp;$B$6))),"")</f>
        <v/>
      </c>
      <c r="AQ73" s="243" t="str">
        <f>iferror(IF(AO73="Ações Americanas", HLOOKUP(AN73,'Histórico'!$A$1:$DD$990,MATCH($B$6,'Histórico'!$A:$A),FALSE)*HLOOKUP("PTAX",'Histórico'!$A$1:$FG$983,MATCH($B$6,'Histórico'!$A:$A),FALSE),IF(AO73="Ações Europeias", HLOOKUP(AN73,'Histórico'!$A$1:$DD$990,MATCH($B$6,'Histórico'!$A:$A),FALSE)*HLOOKUP("EUR/BRL",'Histórico'!$A$1:$FG$983,MATCH($B$6,'Histórico'!$A:$A),FALSE),  HLOOKUP(AN73,'Histórico'!$A$1:$DD$990,MATCH($B$6,'Histórico'!$A:$A),FALSE))),"")</f>
        <v/>
      </c>
      <c r="AR73" s="243" t="str">
        <f t="shared" si="18"/>
        <v/>
      </c>
      <c r="AS73" s="53"/>
      <c r="AT73" s="245"/>
      <c r="AU73" s="242" t="str">
        <f>IF(ISTEXT(AT73),VLOOKUP(AT73,'Cadastro dos Ativos'!$A$2:$C$1000,3,0),"")</f>
        <v/>
      </c>
      <c r="AV73" s="242" t="str">
        <f>IF(AT73 &lt;&gt; "",IF(AU73="Futuros", (SUMIFS('Alocação'!$O$3:$O$1002,'Alocação'!$C$3:$C$1002,AT73,'Alocação'!$F$3:$F$1002,AT$9,'Alocação'!$B$3:$B$1002,"&lt;="&amp;$B$4)), (SUMIFS('Alocação'!$O$3:$O$1002,'Alocação'!$C$3:$C$1002,AT73,'Alocação'!$F$3:$F$1002,AT$9,'Alocação'!$B$3:$B$1002,"&lt;="&amp;$B$6))),"")</f>
        <v/>
      </c>
      <c r="AW73" s="243" t="str">
        <f>iferror(IF(AU73="Ações Americanas", HLOOKUP(AT73,'Histórico'!$A$1:$DD$990,MATCH($B$6,'Histórico'!$A:$A),FALSE)*HLOOKUP("PTAX",'Histórico'!$A$1:$FG$983,MATCH($B$6,'Histórico'!$A:$A),FALSE),IF(AU73="Ações Europeias", HLOOKUP(AT73,'Histórico'!$A$1:$DD$990,MATCH($B$6,'Histórico'!$A:$A),FALSE)*HLOOKUP("EUR/BRL",'Histórico'!$A$1:$FG$983,MATCH($B$6,'Histórico'!$A:$A),FALSE),  HLOOKUP(AT73,'Histórico'!$A$1:$DD$990,MATCH($B$6,'Histórico'!$A:$A),FALSE))),"")</f>
        <v/>
      </c>
      <c r="AX73" s="243" t="str">
        <f t="shared" si="27"/>
        <v/>
      </c>
      <c r="AY73" s="183"/>
    </row>
    <row r="74" ht="15.75" customHeight="1">
      <c r="A74" s="176"/>
      <c r="B74" s="232">
        <v>45099.0</v>
      </c>
      <c r="C74" s="246">
        <v>1.031759961936083E8</v>
      </c>
      <c r="D74" s="246">
        <v>7.944332541998583E7</v>
      </c>
      <c r="E74" s="247"/>
      <c r="F74" s="246">
        <v>1.091757860130202E8</v>
      </c>
      <c r="G74" s="246">
        <v>1.175718217110713E8</v>
      </c>
      <c r="H74" s="247"/>
      <c r="I74" s="246">
        <v>1.065718559612529E8</v>
      </c>
      <c r="J74" s="246">
        <v>7.429937412256956E7</v>
      </c>
      <c r="K74" s="247"/>
      <c r="L74" s="246">
        <v>1.051697433619508E8</v>
      </c>
      <c r="M74" s="246">
        <v>7.246621465189636E7</v>
      </c>
      <c r="N74" s="240">
        <f t="shared" si="9"/>
        <v>0.0001556213879</v>
      </c>
      <c r="O74" s="240">
        <f t="shared" si="10"/>
        <v>0.004763821839</v>
      </c>
      <c r="P74" s="240">
        <f t="shared" si="11"/>
        <v>0.008477744451</v>
      </c>
      <c r="Q74" s="240">
        <f t="shared" si="12"/>
        <v>0.002503883891</v>
      </c>
      <c r="R74" s="236">
        <f t="shared" si="13"/>
        <v>103.1873403</v>
      </c>
      <c r="S74" s="177"/>
      <c r="T74" s="233">
        <f t="shared" ref="T74:U74" si="84">IF(AND(C74&lt;&gt;"",F74&lt;&gt;"",I74&lt;&gt;""), SUM(I74,F74,C74,L74),"")</f>
        <v>424093381.5</v>
      </c>
      <c r="U74" s="233">
        <f t="shared" si="84"/>
        <v>343780735.9</v>
      </c>
      <c r="V74" s="233">
        <f t="shared" si="6"/>
        <v>106.0233454</v>
      </c>
      <c r="W74" s="241">
        <f t="shared" si="15"/>
        <v>0.004006265127</v>
      </c>
      <c r="X74" s="241">
        <f t="shared" si="16"/>
        <v>0</v>
      </c>
      <c r="Y74" s="241">
        <f t="shared" si="25"/>
        <v>0.003327544268</v>
      </c>
      <c r="Z74" s="233">
        <f t="shared" si="7"/>
        <v>103.1873403</v>
      </c>
      <c r="AA74" s="165"/>
      <c r="AB74" s="245"/>
      <c r="AC74" s="242" t="str">
        <f>IF(ISTEXT(AB74),VLOOKUP(AB74,'Cadastro dos Ativos'!$A$2:$C$1000,3,0),"")</f>
        <v/>
      </c>
      <c r="AD74" s="242" t="str">
        <f>IF(AB74 &lt;&gt; "",IF(AC74="Futuros", (SUMIFS('Alocação'!$O$3:$O$1002,'Alocação'!$C$3:$C$1002,AB74,'Alocação'!$F$3:$F$1002,AB$9,'Alocação'!$B$3:$B$1002,"&lt;="&amp;$B$4)), (SUMIFS('Alocação'!$O$3:$O$1002,'Alocação'!$C$3:$C$1002,AB74,'Alocação'!$F$3:$F$1002,AB$9,'Alocação'!$B$3:$B$1002,"&lt;="&amp;$B$6))),"")</f>
        <v/>
      </c>
      <c r="AE74" s="243" t="str">
        <f>iferror(IF(AC74="Ações Americanas", HLOOKUP(AB74,'Histórico'!$A$1:$DD$990,MATCH($B$6,'Histórico'!$A:$A),FALSE)*HLOOKUP("PTAX",'Histórico'!$A$1:$FG$983,MATCH($B$6,'Histórico'!$A:$A),FALSE),IF(AC74="Ações Europeias", HLOOKUP(AB74,'Histórico'!$A$1:$DD$990,MATCH($B$6,'Histórico'!$A:$A),FALSE)*HLOOKUP("EUR/BRL",'Histórico'!$A$1:$FG$983,MATCH($B$6,'Histórico'!$A:$A),FALSE), HLOOKUP(AB74,'Histórico'!$A$1:$DD$990,MATCH($B$6,'Histórico'!$A:$A),FALSE))),"")</f>
        <v/>
      </c>
      <c r="AF74" s="243" t="str">
        <f t="shared" si="21"/>
        <v/>
      </c>
      <c r="AG74" s="53"/>
      <c r="AH74" s="245"/>
      <c r="AI74" s="242" t="str">
        <f>IF(ISTEXT(AH74),VLOOKUP(AH74,'Cadastro dos Ativos'!$A$2:$C$1000,3,0),"")</f>
        <v/>
      </c>
      <c r="AJ74" s="242" t="str">
        <f>IF(AH74 &lt;&gt; "",IF(AI74="Futuros", (SUMIFS('Alocação'!$O$3:$O$1002,'Alocação'!$C$3:$C$1002,AH74,'Alocação'!$F$3:$F$1002,AH$9,'Alocação'!$B$3:$B$1002,"&lt;="&amp;$B$4)), (SUMIFS('Alocação'!$O$3:$O$1002,'Alocação'!$C$3:$C$1002,AH74,'Alocação'!$F$3:$F$1002,AH$9,'Alocação'!$B$3:$B$1002,"&lt;="&amp;$B$6))),"")</f>
        <v/>
      </c>
      <c r="AK74" s="243" t="str">
        <f>iferror(IF(AI74="Ações Americanas", HLOOKUP(AH74,'Histórico'!$A$1:$DD$990,MATCH($B$6,'Histórico'!$A:$A),FALSE)*HLOOKUP("PTAX",'Histórico'!$A$1:$FG$983,MATCH($B$6,'Histórico'!$A:$A),FALSE),IF(AI74="Ações Europeias", HLOOKUP(AH74,'Histórico'!$A$1:$DD$990,MATCH($B$6,'Histórico'!$A:$A),FALSE)*HLOOKUP("EUR/BRL",'Histórico'!$A$1:$FG$983,MATCH($B$6,'Histórico'!$A:$A),FALSE),  HLOOKUP(AH74,'Histórico'!$A$1:$DD$990,MATCH($B$6,'Histórico'!$A:$A),FALSE))),"")</f>
        <v/>
      </c>
      <c r="AL74" s="243" t="str">
        <f t="shared" si="17"/>
        <v/>
      </c>
      <c r="AM74" s="53"/>
      <c r="AN74" s="245"/>
      <c r="AO74" s="242" t="str">
        <f>IF(ISTEXT(AN74),VLOOKUP(AN74,'Cadastro dos Ativos'!$A$2:$C$1000,3,0),"")</f>
        <v/>
      </c>
      <c r="AP74" s="242" t="str">
        <f>IF(AN74 &lt;&gt; "",IF(AO74="Futuros", (SUMIFS('Alocação'!$O$3:$O$1002,'Alocação'!$C$3:$C$1002,AN74,'Alocação'!$F$3:$F$1002,AN$9,'Alocação'!$B$3:$B$1002,"&lt;="&amp;$B$4)), (SUMIFS('Alocação'!$O$3:$O$1002,'Alocação'!$C$3:$C$1002,AN74,'Alocação'!$F$3:$F$1002,AN$9,'Alocação'!$B$3:$B$1002,"&lt;="&amp;$B$6))),"")</f>
        <v/>
      </c>
      <c r="AQ74" s="243" t="str">
        <f>iferror(IF(AO74="Ações Americanas", HLOOKUP(AN74,'Histórico'!$A$1:$DD$990,MATCH($B$6,'Histórico'!$A:$A),FALSE)*HLOOKUP("PTAX",'Histórico'!$A$1:$FG$983,MATCH($B$6,'Histórico'!$A:$A),FALSE),IF(AO74="Ações Europeias", HLOOKUP(AN74,'Histórico'!$A$1:$DD$990,MATCH($B$6,'Histórico'!$A:$A),FALSE)*HLOOKUP("EUR/BRL",'Histórico'!$A$1:$FG$983,MATCH($B$6,'Histórico'!$A:$A),FALSE),  HLOOKUP(AN74,'Histórico'!$A$1:$DD$990,MATCH($B$6,'Histórico'!$A:$A),FALSE))),"")</f>
        <v/>
      </c>
      <c r="AR74" s="243" t="str">
        <f t="shared" si="18"/>
        <v/>
      </c>
      <c r="AS74" s="53"/>
      <c r="AT74" s="245"/>
      <c r="AU74" s="242" t="str">
        <f>IF(ISTEXT(AT74),VLOOKUP(AT74,'Cadastro dos Ativos'!$A$2:$C$1000,3,0),"")</f>
        <v/>
      </c>
      <c r="AV74" s="242" t="str">
        <f>IF(AT74 &lt;&gt; "",IF(AU74="Futuros", (SUMIFS('Alocação'!$O$3:$O$1002,'Alocação'!$C$3:$C$1002,AT74,'Alocação'!$F$3:$F$1002,AT$9,'Alocação'!$B$3:$B$1002,"&lt;="&amp;$B$4)), (SUMIFS('Alocação'!$O$3:$O$1002,'Alocação'!$C$3:$C$1002,AT74,'Alocação'!$F$3:$F$1002,AT$9,'Alocação'!$B$3:$B$1002,"&lt;="&amp;$B$6))),"")</f>
        <v/>
      </c>
      <c r="AW74" s="243" t="str">
        <f>iferror(IF(AU74="Ações Americanas", HLOOKUP(AT74,'Histórico'!$A$1:$DD$990,MATCH($B$6,'Histórico'!$A:$A),FALSE)*HLOOKUP("PTAX",'Histórico'!$A$1:$FG$983,MATCH($B$6,'Histórico'!$A:$A),FALSE),IF(AU74="Ações Europeias", HLOOKUP(AT74,'Histórico'!$A$1:$DD$990,MATCH($B$6,'Histórico'!$A:$A),FALSE)*HLOOKUP("EUR/BRL",'Histórico'!$A$1:$FG$983,MATCH($B$6,'Histórico'!$A:$A),FALSE),  HLOOKUP(AT74,'Histórico'!$A$1:$DD$990,MATCH($B$6,'Histórico'!$A:$A),FALSE))),"")</f>
        <v/>
      </c>
      <c r="AX74" s="243" t="str">
        <f t="shared" si="27"/>
        <v/>
      </c>
      <c r="AY74" s="183"/>
    </row>
    <row r="75" ht="15.75" customHeight="1">
      <c r="A75" s="176"/>
      <c r="B75" s="232">
        <v>45100.0</v>
      </c>
      <c r="C75" s="246">
        <v>1.030747037470821E8</v>
      </c>
      <c r="D75" s="246">
        <v>7.947757709290153E7</v>
      </c>
      <c r="E75" s="247"/>
      <c r="F75" s="246">
        <v>1.099014259616021E8</v>
      </c>
      <c r="G75" s="246">
        <v>1.180306120958557E8</v>
      </c>
      <c r="H75" s="247"/>
      <c r="I75" s="246">
        <v>1.067905155754623E8</v>
      </c>
      <c r="J75" s="246">
        <v>7.47559251460806E7</v>
      </c>
      <c r="K75" s="247"/>
      <c r="L75" s="246">
        <v>1.054834338566756E8</v>
      </c>
      <c r="M75" s="246">
        <v>7.249680499215265E7</v>
      </c>
      <c r="N75" s="240">
        <f t="shared" si="9"/>
        <v>-0.0009817443036</v>
      </c>
      <c r="O75" s="240">
        <f t="shared" si="10"/>
        <v>0.006646528274</v>
      </c>
      <c r="P75" s="240">
        <f t="shared" si="11"/>
        <v>0.002051757589</v>
      </c>
      <c r="Q75" s="240">
        <f t="shared" si="12"/>
        <v>0.002982706667</v>
      </c>
      <c r="R75" s="236">
        <f t="shared" si="13"/>
        <v>103.2379402</v>
      </c>
      <c r="S75" s="177"/>
      <c r="T75" s="233">
        <f t="shared" ref="T75:U75" si="85">IF(AND(C75&lt;&gt;"",F75&lt;&gt;"",I75&lt;&gt;""), SUM(I75,F75,C75,L75),"")</f>
        <v>425250079.1</v>
      </c>
      <c r="U75" s="233">
        <f t="shared" si="85"/>
        <v>344760919.3</v>
      </c>
      <c r="V75" s="233">
        <f t="shared" si="6"/>
        <v>106.3125198</v>
      </c>
      <c r="W75" s="241">
        <f t="shared" si="15"/>
        <v>0.002727459709</v>
      </c>
      <c r="X75" s="241">
        <f t="shared" si="16"/>
        <v>0</v>
      </c>
      <c r="Y75" s="241">
        <f t="shared" si="25"/>
        <v>0.002593131578</v>
      </c>
      <c r="Z75" s="233">
        <f t="shared" si="7"/>
        <v>103.2379402</v>
      </c>
      <c r="AA75" s="165"/>
      <c r="AB75" s="245"/>
      <c r="AC75" s="242" t="str">
        <f>IF(ISTEXT(AB75),VLOOKUP(AB75,'Cadastro dos Ativos'!$A$2:$C$1000,3,0),"")</f>
        <v/>
      </c>
      <c r="AD75" s="242" t="str">
        <f>IF(AB75 &lt;&gt; "",IF(AC75="Futuros", (SUMIFS('Alocação'!$O$3:$O$1002,'Alocação'!$C$3:$C$1002,AB75,'Alocação'!$F$3:$F$1002,AB$9,'Alocação'!$B$3:$B$1002,"&lt;="&amp;$B$4)), (SUMIFS('Alocação'!$O$3:$O$1002,'Alocação'!$C$3:$C$1002,AB75,'Alocação'!$F$3:$F$1002,AB$9,'Alocação'!$B$3:$B$1002,"&lt;="&amp;$B$6))),"")</f>
        <v/>
      </c>
      <c r="AE75" s="243" t="str">
        <f>iferror(IF(AC75="Ações Americanas", HLOOKUP(AB75,'Histórico'!$A$1:$DD$990,MATCH($B$6,'Histórico'!$A:$A),FALSE)*HLOOKUP("PTAX",'Histórico'!$A$1:$FG$983,MATCH($B$6,'Histórico'!$A:$A),FALSE),IF(AC75="Ações Europeias", HLOOKUP(AB75,'Histórico'!$A$1:$DD$990,MATCH($B$6,'Histórico'!$A:$A),FALSE)*HLOOKUP("EUR/BRL",'Histórico'!$A$1:$FG$983,MATCH($B$6,'Histórico'!$A:$A),FALSE), HLOOKUP(AB75,'Histórico'!$A$1:$DD$990,MATCH($B$6,'Histórico'!$A:$A),FALSE))),"")</f>
        <v/>
      </c>
      <c r="AF75" s="243" t="str">
        <f t="shared" si="21"/>
        <v/>
      </c>
      <c r="AG75" s="53"/>
      <c r="AH75" s="245"/>
      <c r="AI75" s="242" t="str">
        <f>IF(ISTEXT(AH75),VLOOKUP(AH75,'Cadastro dos Ativos'!$A$2:$C$1000,3,0),"")</f>
        <v/>
      </c>
      <c r="AJ75" s="242" t="str">
        <f>IF(AH75 &lt;&gt; "",IF(AI75="Futuros", (SUMIFS('Alocação'!$O$3:$O$1002,'Alocação'!$C$3:$C$1002,AH75,'Alocação'!$F$3:$F$1002,AH$9,'Alocação'!$B$3:$B$1002,"&lt;="&amp;$B$4)), (SUMIFS('Alocação'!$O$3:$O$1002,'Alocação'!$C$3:$C$1002,AH75,'Alocação'!$F$3:$F$1002,AH$9,'Alocação'!$B$3:$B$1002,"&lt;="&amp;$B$6))),"")</f>
        <v/>
      </c>
      <c r="AK75" s="243" t="str">
        <f>iferror(IF(AI75="Ações Americanas", HLOOKUP(AH75,'Histórico'!$A$1:$DD$990,MATCH($B$6,'Histórico'!$A:$A),FALSE)*HLOOKUP("PTAX",'Histórico'!$A$1:$FG$983,MATCH($B$6,'Histórico'!$A:$A),FALSE),IF(AI75="Ações Europeias", HLOOKUP(AH75,'Histórico'!$A$1:$DD$990,MATCH($B$6,'Histórico'!$A:$A),FALSE)*HLOOKUP("EUR/BRL",'Histórico'!$A$1:$FG$983,MATCH($B$6,'Histórico'!$A:$A),FALSE),  HLOOKUP(AH75,'Histórico'!$A$1:$DD$990,MATCH($B$6,'Histórico'!$A:$A),FALSE))),"")</f>
        <v/>
      </c>
      <c r="AL75" s="243" t="str">
        <f t="shared" si="17"/>
        <v/>
      </c>
      <c r="AM75" s="53"/>
      <c r="AN75" s="245"/>
      <c r="AO75" s="242" t="str">
        <f>IF(ISTEXT(AN75),VLOOKUP(AN75,'Cadastro dos Ativos'!$A$2:$C$1000,3,0),"")</f>
        <v/>
      </c>
      <c r="AP75" s="242" t="str">
        <f>IF(AN75 &lt;&gt; "",IF(AO75="Futuros", (SUMIFS('Alocação'!$O$3:$O$1002,'Alocação'!$C$3:$C$1002,AN75,'Alocação'!$F$3:$F$1002,AN$9,'Alocação'!$B$3:$B$1002,"&lt;="&amp;$B$4)), (SUMIFS('Alocação'!$O$3:$O$1002,'Alocação'!$C$3:$C$1002,AN75,'Alocação'!$F$3:$F$1002,AN$9,'Alocação'!$B$3:$B$1002,"&lt;="&amp;$B$6))),"")</f>
        <v/>
      </c>
      <c r="AQ75" s="243" t="str">
        <f>iferror(IF(AO75="Ações Americanas", HLOOKUP(AN75,'Histórico'!$A$1:$DD$990,MATCH($B$6,'Histórico'!$A:$A),FALSE)*HLOOKUP("PTAX",'Histórico'!$A$1:$FG$983,MATCH($B$6,'Histórico'!$A:$A),FALSE),IF(AO75="Ações Europeias", HLOOKUP(AN75,'Histórico'!$A$1:$DD$990,MATCH($B$6,'Histórico'!$A:$A),FALSE)*HLOOKUP("EUR/BRL",'Histórico'!$A$1:$FG$983,MATCH($B$6,'Histórico'!$A:$A),FALSE),  HLOOKUP(AN75,'Histórico'!$A$1:$DD$990,MATCH($B$6,'Histórico'!$A:$A),FALSE))),"")</f>
        <v/>
      </c>
      <c r="AR75" s="243" t="str">
        <f t="shared" si="18"/>
        <v/>
      </c>
      <c r="AS75" s="53"/>
      <c r="AT75" s="245"/>
      <c r="AU75" s="242" t="str">
        <f>IF(ISTEXT(AT75),VLOOKUP(AT75,'Cadastro dos Ativos'!$A$2:$C$1000,3,0),"")</f>
        <v/>
      </c>
      <c r="AV75" s="242" t="str">
        <f>IF(AT75 &lt;&gt; "",IF(AU75="Futuros", (SUMIFS('Alocação'!$O$3:$O$1002,'Alocação'!$C$3:$C$1002,AT75,'Alocação'!$F$3:$F$1002,AT$9,'Alocação'!$B$3:$B$1002,"&lt;="&amp;$B$4)), (SUMIFS('Alocação'!$O$3:$O$1002,'Alocação'!$C$3:$C$1002,AT75,'Alocação'!$F$3:$F$1002,AT$9,'Alocação'!$B$3:$B$1002,"&lt;="&amp;$B$6))),"")</f>
        <v/>
      </c>
      <c r="AW75" s="243" t="str">
        <f>iferror(IF(AU75="Ações Americanas", HLOOKUP(AT75,'Histórico'!$A$1:$DD$990,MATCH($B$6,'Histórico'!$A:$A),FALSE)*HLOOKUP("PTAX",'Histórico'!$A$1:$FG$983,MATCH($B$6,'Histórico'!$A:$A),FALSE),IF(AU75="Ações Europeias", HLOOKUP(AT75,'Histórico'!$A$1:$DD$990,MATCH($B$6,'Histórico'!$A:$A),FALSE)*HLOOKUP("EUR/BRL",'Histórico'!$A$1:$FG$983,MATCH($B$6,'Histórico'!$A:$A),FALSE),  HLOOKUP(AT75,'Histórico'!$A$1:$DD$990,MATCH($B$6,'Histórico'!$A:$A),FALSE))),"")</f>
        <v/>
      </c>
      <c r="AX75" s="243" t="str">
        <f t="shared" si="27"/>
        <v/>
      </c>
      <c r="AY75" s="183"/>
    </row>
    <row r="76" ht="15.75" customHeight="1">
      <c r="A76" s="176"/>
      <c r="B76" s="232">
        <v>45103.0</v>
      </c>
      <c r="C76" s="246">
        <v>1.029334099878394E8</v>
      </c>
      <c r="D76" s="246">
        <v>7.951185214627329E7</v>
      </c>
      <c r="E76" s="247"/>
      <c r="F76" s="246">
        <v>1.101121935878999E8</v>
      </c>
      <c r="G76" s="246">
        <v>1.182105221177231E8</v>
      </c>
      <c r="H76" s="247"/>
      <c r="I76" s="246">
        <v>1.064935953122948E8</v>
      </c>
      <c r="J76" s="246">
        <v>7.025494044404118E7</v>
      </c>
      <c r="K76" s="247"/>
      <c r="L76" s="246">
        <v>1.045953211123175E8</v>
      </c>
      <c r="M76" s="246">
        <v>7.252739233468574E7</v>
      </c>
      <c r="N76" s="240">
        <f t="shared" si="9"/>
        <v>-0.001370789865</v>
      </c>
      <c r="O76" s="240">
        <f t="shared" si="10"/>
        <v>0.001917787913</v>
      </c>
      <c r="P76" s="240">
        <f t="shared" si="11"/>
        <v>-0.002780399192</v>
      </c>
      <c r="Q76" s="240">
        <f t="shared" si="12"/>
        <v>-0.008419452343</v>
      </c>
      <c r="R76" s="236">
        <f t="shared" si="13"/>
        <v>103.288565</v>
      </c>
      <c r="S76" s="177"/>
      <c r="T76" s="233">
        <f t="shared" ref="T76:U76" si="86">IF(AND(C76&lt;&gt;"",F76&lt;&gt;"",I76&lt;&gt;""), SUM(I76,F76,C76,L76),"")</f>
        <v>424134520</v>
      </c>
      <c r="U76" s="233">
        <f t="shared" si="86"/>
        <v>340504707</v>
      </c>
      <c r="V76" s="233">
        <f t="shared" si="6"/>
        <v>106.03363</v>
      </c>
      <c r="W76" s="241">
        <f t="shared" si="15"/>
        <v>-0.002623301429</v>
      </c>
      <c r="X76" s="241">
        <f t="shared" si="16"/>
        <v>-0.002623301429</v>
      </c>
      <c r="Y76" s="241">
        <f t="shared" si="25"/>
        <v>0.002952685443</v>
      </c>
      <c r="Z76" s="233">
        <f t="shared" si="7"/>
        <v>103.288565</v>
      </c>
      <c r="AA76" s="165"/>
      <c r="AB76" s="245"/>
      <c r="AC76" s="242" t="str">
        <f>IF(ISTEXT(AB76),VLOOKUP(AB76,'Cadastro dos Ativos'!$A$2:$C$1000,3,0),"")</f>
        <v/>
      </c>
      <c r="AD76" s="242" t="str">
        <f>IF(AB76 &lt;&gt; "",IF(AC76="Futuros", (SUMIFS('Alocação'!$O$3:$O$1002,'Alocação'!$C$3:$C$1002,AB76,'Alocação'!$F$3:$F$1002,AB$9,'Alocação'!$B$3:$B$1002,"&lt;="&amp;$B$4)), (SUMIFS('Alocação'!$O$3:$O$1002,'Alocação'!$C$3:$C$1002,AB76,'Alocação'!$F$3:$F$1002,AB$9,'Alocação'!$B$3:$B$1002,"&lt;="&amp;$B$6))),"")</f>
        <v/>
      </c>
      <c r="AE76" s="243" t="str">
        <f>iferror(IF(AC76="Ações Americanas", HLOOKUP(AB76,'Histórico'!$A$1:$DD$990,MATCH($B$6,'Histórico'!$A:$A),FALSE)*HLOOKUP("PTAX",'Histórico'!$A$1:$FG$983,MATCH($B$6,'Histórico'!$A:$A),FALSE),IF(AC76="Ações Europeias", HLOOKUP(AB76,'Histórico'!$A$1:$DD$990,MATCH($B$6,'Histórico'!$A:$A),FALSE)*HLOOKUP("EUR/BRL",'Histórico'!$A$1:$FG$983,MATCH($B$6,'Histórico'!$A:$A),FALSE), HLOOKUP(AB76,'Histórico'!$A$1:$DD$990,MATCH($B$6,'Histórico'!$A:$A),FALSE))),"")</f>
        <v/>
      </c>
      <c r="AF76" s="243" t="str">
        <f t="shared" si="21"/>
        <v/>
      </c>
      <c r="AG76" s="53"/>
      <c r="AH76" s="245"/>
      <c r="AI76" s="242" t="str">
        <f>IF(ISTEXT(AH76),VLOOKUP(AH76,'Cadastro dos Ativos'!$A$2:$C$1000,3,0),"")</f>
        <v/>
      </c>
      <c r="AJ76" s="242" t="str">
        <f>IF(AH76 &lt;&gt; "",IF(AI76="Futuros", (SUMIFS('Alocação'!$O$3:$O$1002,'Alocação'!$C$3:$C$1002,AH76,'Alocação'!$F$3:$F$1002,AH$9,'Alocação'!$B$3:$B$1002,"&lt;="&amp;$B$4)), (SUMIFS('Alocação'!$O$3:$O$1002,'Alocação'!$C$3:$C$1002,AH76,'Alocação'!$F$3:$F$1002,AH$9,'Alocação'!$B$3:$B$1002,"&lt;="&amp;$B$6))),"")</f>
        <v/>
      </c>
      <c r="AK76" s="243" t="str">
        <f>iferror(IF(AI76="Ações Americanas", HLOOKUP(AH76,'Histórico'!$A$1:$DD$990,MATCH($B$6,'Histórico'!$A:$A),FALSE)*HLOOKUP("PTAX",'Histórico'!$A$1:$FG$983,MATCH($B$6,'Histórico'!$A:$A),FALSE),IF(AI76="Ações Europeias", HLOOKUP(AH76,'Histórico'!$A$1:$DD$990,MATCH($B$6,'Histórico'!$A:$A),FALSE)*HLOOKUP("EUR/BRL",'Histórico'!$A$1:$FG$983,MATCH($B$6,'Histórico'!$A:$A),FALSE),  HLOOKUP(AH76,'Histórico'!$A$1:$DD$990,MATCH($B$6,'Histórico'!$A:$A),FALSE))),"")</f>
        <v/>
      </c>
      <c r="AL76" s="243" t="str">
        <f t="shared" si="17"/>
        <v/>
      </c>
      <c r="AM76" s="53"/>
      <c r="AN76" s="245"/>
      <c r="AO76" s="242" t="str">
        <f>IF(ISTEXT(AN76),VLOOKUP(AN76,'Cadastro dos Ativos'!$A$2:$C$1000,3,0),"")</f>
        <v/>
      </c>
      <c r="AP76" s="242" t="str">
        <f>IF(AN76 &lt;&gt; "",IF(AO76="Futuros", (SUMIFS('Alocação'!$O$3:$O$1002,'Alocação'!$C$3:$C$1002,AN76,'Alocação'!$F$3:$F$1002,AN$9,'Alocação'!$B$3:$B$1002,"&lt;="&amp;$B$4)), (SUMIFS('Alocação'!$O$3:$O$1002,'Alocação'!$C$3:$C$1002,AN76,'Alocação'!$F$3:$F$1002,AN$9,'Alocação'!$B$3:$B$1002,"&lt;="&amp;$B$6))),"")</f>
        <v/>
      </c>
      <c r="AQ76" s="243" t="str">
        <f>iferror(IF(AO76="Ações Americanas", HLOOKUP(AN76,'Histórico'!$A$1:$DD$990,MATCH($B$6,'Histórico'!$A:$A),FALSE)*HLOOKUP("PTAX",'Histórico'!$A$1:$FG$983,MATCH($B$6,'Histórico'!$A:$A),FALSE),IF(AO76="Ações Europeias", HLOOKUP(AN76,'Histórico'!$A$1:$DD$990,MATCH($B$6,'Histórico'!$A:$A),FALSE)*HLOOKUP("EUR/BRL",'Histórico'!$A$1:$FG$983,MATCH($B$6,'Histórico'!$A:$A),FALSE),  HLOOKUP(AN76,'Histórico'!$A$1:$DD$990,MATCH($B$6,'Histórico'!$A:$A),FALSE))),"")</f>
        <v/>
      </c>
      <c r="AR76" s="243" t="str">
        <f t="shared" si="18"/>
        <v/>
      </c>
      <c r="AS76" s="53"/>
      <c r="AT76" s="245"/>
      <c r="AU76" s="242" t="str">
        <f>IF(ISTEXT(AT76),VLOOKUP(AT76,'Cadastro dos Ativos'!$A$2:$C$1000,3,0),"")</f>
        <v/>
      </c>
      <c r="AV76" s="242" t="str">
        <f>IF(AT76 &lt;&gt; "",IF(AU76="Futuros", (SUMIFS('Alocação'!$O$3:$O$1002,'Alocação'!$C$3:$C$1002,AT76,'Alocação'!$F$3:$F$1002,AT$9,'Alocação'!$B$3:$B$1002,"&lt;="&amp;$B$4)), (SUMIFS('Alocação'!$O$3:$O$1002,'Alocação'!$C$3:$C$1002,AT76,'Alocação'!$F$3:$F$1002,AT$9,'Alocação'!$B$3:$B$1002,"&lt;="&amp;$B$6))),"")</f>
        <v/>
      </c>
      <c r="AW76" s="243" t="str">
        <f>iferror(IF(AU76="Ações Americanas", HLOOKUP(AT76,'Histórico'!$A$1:$DD$990,MATCH($B$6,'Histórico'!$A:$A),FALSE)*HLOOKUP("PTAX",'Histórico'!$A$1:$FG$983,MATCH($B$6,'Histórico'!$A:$A),FALSE),IF(AU76="Ações Europeias", HLOOKUP(AT76,'Histórico'!$A$1:$DD$990,MATCH($B$6,'Histórico'!$A:$A),FALSE)*HLOOKUP("EUR/BRL",'Histórico'!$A$1:$FG$983,MATCH($B$6,'Histórico'!$A:$A),FALSE),  HLOOKUP(AT76,'Histórico'!$A$1:$DD$990,MATCH($B$6,'Histórico'!$A:$A),FALSE))),"")</f>
        <v/>
      </c>
      <c r="AX76" s="243" t="str">
        <f t="shared" si="27"/>
        <v/>
      </c>
      <c r="AY76" s="183"/>
    </row>
    <row r="77" ht="15.75" customHeight="1">
      <c r="A77" s="176"/>
      <c r="B77" s="232">
        <v>45104.0</v>
      </c>
      <c r="C77" s="246">
        <v>1.0277995841976E8</v>
      </c>
      <c r="D77" s="246">
        <v>7.913607863079475E7</v>
      </c>
      <c r="E77" s="247"/>
      <c r="F77" s="246">
        <v>1.102727843573368E8</v>
      </c>
      <c r="G77" s="246">
        <v>1.183594000593947E8</v>
      </c>
      <c r="H77" s="247"/>
      <c r="I77" s="246">
        <v>1.074735254051578E8</v>
      </c>
      <c r="J77" s="246">
        <v>7.061397620449182E7</v>
      </c>
      <c r="K77" s="247"/>
      <c r="L77" s="246">
        <v>1.038504269904301E8</v>
      </c>
      <c r="M77" s="246">
        <v>7.255804768476409E7</v>
      </c>
      <c r="N77" s="240">
        <f t="shared" si="9"/>
        <v>-0.001490784849</v>
      </c>
      <c r="O77" s="240">
        <f t="shared" si="10"/>
        <v>0.001458428574</v>
      </c>
      <c r="P77" s="240">
        <f t="shared" si="11"/>
        <v>0.009201774905</v>
      </c>
      <c r="Q77" s="240">
        <f t="shared" si="12"/>
        <v>-0.007121677279</v>
      </c>
      <c r="R77" s="236">
        <f t="shared" si="13"/>
        <v>103.3392146</v>
      </c>
      <c r="S77" s="177"/>
      <c r="T77" s="233">
        <f t="shared" ref="T77:U77" si="87">IF(AND(C77&lt;&gt;"",F77&lt;&gt;"",I77&lt;&gt;""), SUM(I77,F77,C77,L77),"")</f>
        <v>424376695.2</v>
      </c>
      <c r="U77" s="233">
        <f t="shared" si="87"/>
        <v>340667502.6</v>
      </c>
      <c r="V77" s="233">
        <f t="shared" si="6"/>
        <v>106.0941738</v>
      </c>
      <c r="W77" s="241">
        <f t="shared" si="15"/>
        <v>0.0005709867057</v>
      </c>
      <c r="X77" s="241">
        <f t="shared" si="16"/>
        <v>-0.002053812594</v>
      </c>
      <c r="Y77" s="241">
        <f t="shared" si="25"/>
        <v>0.002546232509</v>
      </c>
      <c r="Z77" s="233">
        <f t="shared" si="7"/>
        <v>103.3392146</v>
      </c>
      <c r="AA77" s="165"/>
      <c r="AB77" s="245"/>
      <c r="AC77" s="242" t="str">
        <f>IF(ISTEXT(AB77),VLOOKUP(AB77,'Cadastro dos Ativos'!$A$2:$C$1000,3,0),"")</f>
        <v/>
      </c>
      <c r="AD77" s="242" t="str">
        <f>IF(AB77 &lt;&gt; "",IF(AC77="Futuros", (SUMIFS('Alocação'!$O$3:$O$1002,'Alocação'!$C$3:$C$1002,AB77,'Alocação'!$F$3:$F$1002,AB$9,'Alocação'!$B$3:$B$1002,"&lt;="&amp;$B$4)), (SUMIFS('Alocação'!$O$3:$O$1002,'Alocação'!$C$3:$C$1002,AB77,'Alocação'!$F$3:$F$1002,AB$9,'Alocação'!$B$3:$B$1002,"&lt;="&amp;$B$6))),"")</f>
        <v/>
      </c>
      <c r="AE77" s="243" t="str">
        <f>iferror(IF(AC77="Ações Americanas", HLOOKUP(AB77,'Histórico'!$A$1:$DD$990,MATCH($B$6,'Histórico'!$A:$A),FALSE)*HLOOKUP("PTAX",'Histórico'!$A$1:$FG$983,MATCH($B$6,'Histórico'!$A:$A),FALSE),IF(AC77="Ações Europeias", HLOOKUP(AB77,'Histórico'!$A$1:$DD$990,MATCH($B$6,'Histórico'!$A:$A),FALSE)*HLOOKUP("EUR/BRL",'Histórico'!$A$1:$FG$983,MATCH($B$6,'Histórico'!$A:$A),FALSE), HLOOKUP(AB77,'Histórico'!$A$1:$DD$990,MATCH($B$6,'Histórico'!$A:$A),FALSE))),"")</f>
        <v/>
      </c>
      <c r="AF77" s="243" t="str">
        <f t="shared" si="21"/>
        <v/>
      </c>
      <c r="AG77" s="53"/>
      <c r="AH77" s="245"/>
      <c r="AI77" s="242" t="str">
        <f>IF(ISTEXT(AH77),VLOOKUP(AH77,'Cadastro dos Ativos'!$A$2:$C$1000,3,0),"")</f>
        <v/>
      </c>
      <c r="AJ77" s="242" t="str">
        <f>IF(AH77 &lt;&gt; "",IF(AI77="Futuros", (SUMIFS('Alocação'!$O$3:$O$1002,'Alocação'!$C$3:$C$1002,AH77,'Alocação'!$F$3:$F$1002,AH$9,'Alocação'!$B$3:$B$1002,"&lt;="&amp;$B$4)), (SUMIFS('Alocação'!$O$3:$O$1002,'Alocação'!$C$3:$C$1002,AH77,'Alocação'!$F$3:$F$1002,AH$9,'Alocação'!$B$3:$B$1002,"&lt;="&amp;$B$6))),"")</f>
        <v/>
      </c>
      <c r="AK77" s="243" t="str">
        <f>iferror(IF(AI77="Ações Americanas", HLOOKUP(AH77,'Histórico'!$A$1:$DD$990,MATCH($B$6,'Histórico'!$A:$A),FALSE)*HLOOKUP("PTAX",'Histórico'!$A$1:$FG$983,MATCH($B$6,'Histórico'!$A:$A),FALSE),IF(AI77="Ações Europeias", HLOOKUP(AH77,'Histórico'!$A$1:$DD$990,MATCH($B$6,'Histórico'!$A:$A),FALSE)*HLOOKUP("EUR/BRL",'Histórico'!$A$1:$FG$983,MATCH($B$6,'Histórico'!$A:$A),FALSE),  HLOOKUP(AH77,'Histórico'!$A$1:$DD$990,MATCH($B$6,'Histórico'!$A:$A),FALSE))),"")</f>
        <v/>
      </c>
      <c r="AL77" s="243" t="str">
        <f t="shared" si="17"/>
        <v/>
      </c>
      <c r="AM77" s="53"/>
      <c r="AN77" s="245"/>
      <c r="AO77" s="242" t="str">
        <f>IF(ISTEXT(AN77),VLOOKUP(AN77,'Cadastro dos Ativos'!$A$2:$C$1000,3,0),"")</f>
        <v/>
      </c>
      <c r="AP77" s="242" t="str">
        <f>IF(AN77 &lt;&gt; "",IF(AO77="Futuros", (SUMIFS('Alocação'!$O$3:$O$1002,'Alocação'!$C$3:$C$1002,AN77,'Alocação'!$F$3:$F$1002,AN$9,'Alocação'!$B$3:$B$1002,"&lt;="&amp;$B$4)), (SUMIFS('Alocação'!$O$3:$O$1002,'Alocação'!$C$3:$C$1002,AN77,'Alocação'!$F$3:$F$1002,AN$9,'Alocação'!$B$3:$B$1002,"&lt;="&amp;$B$6))),"")</f>
        <v/>
      </c>
      <c r="AQ77" s="243" t="str">
        <f>iferror(IF(AO77="Ações Americanas", HLOOKUP(AN77,'Histórico'!$A$1:$DD$990,MATCH($B$6,'Histórico'!$A:$A),FALSE)*HLOOKUP("PTAX",'Histórico'!$A$1:$FG$983,MATCH($B$6,'Histórico'!$A:$A),FALSE),IF(AO77="Ações Europeias", HLOOKUP(AN77,'Histórico'!$A$1:$DD$990,MATCH($B$6,'Histórico'!$A:$A),FALSE)*HLOOKUP("EUR/BRL",'Histórico'!$A$1:$FG$983,MATCH($B$6,'Histórico'!$A:$A),FALSE),  HLOOKUP(AN77,'Histórico'!$A$1:$DD$990,MATCH($B$6,'Histórico'!$A:$A),FALSE))),"")</f>
        <v/>
      </c>
      <c r="AR77" s="243" t="str">
        <f t="shared" si="18"/>
        <v/>
      </c>
      <c r="AS77" s="53"/>
      <c r="AT77" s="245"/>
      <c r="AU77" s="242" t="str">
        <f>IF(ISTEXT(AT77),VLOOKUP(AT77,'Cadastro dos Ativos'!$A$2:$C$1000,3,0),"")</f>
        <v/>
      </c>
      <c r="AV77" s="242" t="str">
        <f>IF(AT77 &lt;&gt; "",IF(AU77="Futuros", (SUMIFS('Alocação'!$O$3:$O$1002,'Alocação'!$C$3:$C$1002,AT77,'Alocação'!$F$3:$F$1002,AT$9,'Alocação'!$B$3:$B$1002,"&lt;="&amp;$B$4)), (SUMIFS('Alocação'!$O$3:$O$1002,'Alocação'!$C$3:$C$1002,AT77,'Alocação'!$F$3:$F$1002,AT$9,'Alocação'!$B$3:$B$1002,"&lt;="&amp;$B$6))),"")</f>
        <v/>
      </c>
      <c r="AW77" s="243" t="str">
        <f>iferror(IF(AU77="Ações Americanas", HLOOKUP(AT77,'Histórico'!$A$1:$DD$990,MATCH($B$6,'Histórico'!$A:$A),FALSE)*HLOOKUP("PTAX",'Histórico'!$A$1:$FG$983,MATCH($B$6,'Histórico'!$A:$A),FALSE),IF(AU77="Ações Europeias", HLOOKUP(AT77,'Histórico'!$A$1:$DD$990,MATCH($B$6,'Histórico'!$A:$A),FALSE)*HLOOKUP("EUR/BRL",'Histórico'!$A$1:$FG$983,MATCH($B$6,'Histórico'!$A:$A),FALSE),  HLOOKUP(AT77,'Histórico'!$A$1:$DD$990,MATCH($B$6,'Histórico'!$A:$A),FALSE))),"")</f>
        <v/>
      </c>
      <c r="AX77" s="243" t="str">
        <f t="shared" si="27"/>
        <v/>
      </c>
      <c r="AY77" s="183"/>
    </row>
    <row r="78" ht="15.75" customHeight="1">
      <c r="A78" s="176"/>
      <c r="B78" s="232">
        <v>45105.0</v>
      </c>
      <c r="C78" s="246">
        <v>1.028005632222058E8</v>
      </c>
      <c r="D78" s="246">
        <v>7.917019765852518E7</v>
      </c>
      <c r="E78" s="247"/>
      <c r="F78" s="246">
        <v>1.101141693656808E8</v>
      </c>
      <c r="G78" s="246">
        <v>1.18488477624924E8</v>
      </c>
      <c r="H78" s="247"/>
      <c r="I78" s="246">
        <v>1.078646322490707E8</v>
      </c>
      <c r="J78" s="246">
        <v>7.081927051428469E7</v>
      </c>
      <c r="K78" s="247"/>
      <c r="L78" s="246">
        <v>1.036201409728578E8</v>
      </c>
      <c r="M78" s="246">
        <v>7.2588762615064E7</v>
      </c>
      <c r="N78" s="240">
        <f t="shared" si="9"/>
        <v>0.0002004749054</v>
      </c>
      <c r="O78" s="240">
        <f t="shared" si="10"/>
        <v>-0.001438387473</v>
      </c>
      <c r="P78" s="240">
        <f t="shared" si="11"/>
        <v>0.003639099419</v>
      </c>
      <c r="Q78" s="240">
        <f t="shared" si="12"/>
        <v>-0.002217477812</v>
      </c>
      <c r="R78" s="236">
        <f t="shared" si="13"/>
        <v>103.3898891</v>
      </c>
      <c r="S78" s="177"/>
      <c r="T78" s="233">
        <f t="shared" ref="T78:U78" si="88">IF(AND(C78&lt;&gt;"",F78&lt;&gt;"",I78&lt;&gt;""), SUM(I78,F78,C78,L78),"")</f>
        <v>424399505.8</v>
      </c>
      <c r="U78" s="233">
        <f t="shared" si="88"/>
        <v>341066708.4</v>
      </c>
      <c r="V78" s="233">
        <f t="shared" si="6"/>
        <v>106.0998765</v>
      </c>
      <c r="W78" s="241">
        <f t="shared" si="15"/>
        <v>0.00005375091844</v>
      </c>
      <c r="X78" s="241">
        <f t="shared" si="16"/>
        <v>-0.00200017207</v>
      </c>
      <c r="Y78" s="241">
        <f t="shared" si="25"/>
        <v>0.002560052348</v>
      </c>
      <c r="Z78" s="233">
        <f t="shared" si="7"/>
        <v>103.3898891</v>
      </c>
      <c r="AA78" s="165"/>
      <c r="AB78" s="245"/>
      <c r="AC78" s="242" t="str">
        <f>IF(ISTEXT(AB78),VLOOKUP(AB78,'Cadastro dos Ativos'!$A$2:$C$1000,3,0),"")</f>
        <v/>
      </c>
      <c r="AD78" s="242" t="str">
        <f>IF(AB78 &lt;&gt; "",IF(AC78="Futuros", (SUMIFS('Alocação'!$O$3:$O$1002,'Alocação'!$C$3:$C$1002,AB78,'Alocação'!$F$3:$F$1002,AB$9,'Alocação'!$B$3:$B$1002,"&lt;="&amp;$B$4)), (SUMIFS('Alocação'!$O$3:$O$1002,'Alocação'!$C$3:$C$1002,AB78,'Alocação'!$F$3:$F$1002,AB$9,'Alocação'!$B$3:$B$1002,"&lt;="&amp;$B$6))),"")</f>
        <v/>
      </c>
      <c r="AE78" s="243" t="str">
        <f>iferror(IF(AC78="Ações Americanas", HLOOKUP(AB78,'Histórico'!$A$1:$DD$990,MATCH($B$6,'Histórico'!$A:$A),FALSE)*HLOOKUP("PTAX",'Histórico'!$A$1:$FG$983,MATCH($B$6,'Histórico'!$A:$A),FALSE),IF(AC78="Ações Europeias", HLOOKUP(AB78,'Histórico'!$A$1:$DD$990,MATCH($B$6,'Histórico'!$A:$A),FALSE)*HLOOKUP("EUR/BRL",'Histórico'!$A$1:$FG$983,MATCH($B$6,'Histórico'!$A:$A),FALSE), HLOOKUP(AB78,'Histórico'!$A$1:$DD$990,MATCH($B$6,'Histórico'!$A:$A),FALSE))),"")</f>
        <v/>
      </c>
      <c r="AF78" s="243" t="str">
        <f t="shared" si="21"/>
        <v/>
      </c>
      <c r="AG78" s="53"/>
      <c r="AH78" s="245"/>
      <c r="AI78" s="242" t="str">
        <f>IF(ISTEXT(AH78),VLOOKUP(AH78,'Cadastro dos Ativos'!$A$2:$C$1000,3,0),"")</f>
        <v/>
      </c>
      <c r="AJ78" s="242" t="str">
        <f>IF(AH78 &lt;&gt; "",IF(AI78="Futuros", (SUMIFS('Alocação'!$O$3:$O$1002,'Alocação'!$C$3:$C$1002,AH78,'Alocação'!$F$3:$F$1002,AH$9,'Alocação'!$B$3:$B$1002,"&lt;="&amp;$B$4)), (SUMIFS('Alocação'!$O$3:$O$1002,'Alocação'!$C$3:$C$1002,AH78,'Alocação'!$F$3:$F$1002,AH$9,'Alocação'!$B$3:$B$1002,"&lt;="&amp;$B$6))),"")</f>
        <v/>
      </c>
      <c r="AK78" s="243" t="str">
        <f>iferror(IF(AI78="Ações Americanas", HLOOKUP(AH78,'Histórico'!$A$1:$DD$990,MATCH($B$6,'Histórico'!$A:$A),FALSE)*HLOOKUP("PTAX",'Histórico'!$A$1:$FG$983,MATCH($B$6,'Histórico'!$A:$A),FALSE),IF(AI78="Ações Europeias", HLOOKUP(AH78,'Histórico'!$A$1:$DD$990,MATCH($B$6,'Histórico'!$A:$A),FALSE)*HLOOKUP("EUR/BRL",'Histórico'!$A$1:$FG$983,MATCH($B$6,'Histórico'!$A:$A),FALSE),  HLOOKUP(AH78,'Histórico'!$A$1:$DD$990,MATCH($B$6,'Histórico'!$A:$A),FALSE))),"")</f>
        <v/>
      </c>
      <c r="AL78" s="243" t="str">
        <f t="shared" si="17"/>
        <v/>
      </c>
      <c r="AM78" s="53"/>
      <c r="AN78" s="245"/>
      <c r="AO78" s="242" t="str">
        <f>IF(ISTEXT(AN78),VLOOKUP(AN78,'Cadastro dos Ativos'!$A$2:$C$1000,3,0),"")</f>
        <v/>
      </c>
      <c r="AP78" s="242" t="str">
        <f>IF(AN78 &lt;&gt; "",IF(AO78="Futuros", (SUMIFS('Alocação'!$O$3:$O$1002,'Alocação'!$C$3:$C$1002,AN78,'Alocação'!$F$3:$F$1002,AN$9,'Alocação'!$B$3:$B$1002,"&lt;="&amp;$B$4)), (SUMIFS('Alocação'!$O$3:$O$1002,'Alocação'!$C$3:$C$1002,AN78,'Alocação'!$F$3:$F$1002,AN$9,'Alocação'!$B$3:$B$1002,"&lt;="&amp;$B$6))),"")</f>
        <v/>
      </c>
      <c r="AQ78" s="243" t="str">
        <f>iferror(IF(AO78="Ações Americanas", HLOOKUP(AN78,'Histórico'!$A$1:$DD$990,MATCH($B$6,'Histórico'!$A:$A),FALSE)*HLOOKUP("PTAX",'Histórico'!$A$1:$FG$983,MATCH($B$6,'Histórico'!$A:$A),FALSE),IF(AO78="Ações Europeias", HLOOKUP(AN78,'Histórico'!$A$1:$DD$990,MATCH($B$6,'Histórico'!$A:$A),FALSE)*HLOOKUP("EUR/BRL",'Histórico'!$A$1:$FG$983,MATCH($B$6,'Histórico'!$A:$A),FALSE),  HLOOKUP(AN78,'Histórico'!$A$1:$DD$990,MATCH($B$6,'Histórico'!$A:$A),FALSE))),"")</f>
        <v/>
      </c>
      <c r="AR78" s="243" t="str">
        <f t="shared" si="18"/>
        <v/>
      </c>
      <c r="AS78" s="53"/>
      <c r="AT78" s="245"/>
      <c r="AU78" s="242" t="str">
        <f>IF(ISTEXT(AT78),VLOOKUP(AT78,'Cadastro dos Ativos'!$A$2:$C$1000,3,0),"")</f>
        <v/>
      </c>
      <c r="AV78" s="242" t="str">
        <f>IF(AT78 &lt;&gt; "",IF(AU78="Futuros", (SUMIFS('Alocação'!$O$3:$O$1002,'Alocação'!$C$3:$C$1002,AT78,'Alocação'!$F$3:$F$1002,AT$9,'Alocação'!$B$3:$B$1002,"&lt;="&amp;$B$4)), (SUMIFS('Alocação'!$O$3:$O$1002,'Alocação'!$C$3:$C$1002,AT78,'Alocação'!$F$3:$F$1002,AT$9,'Alocação'!$B$3:$B$1002,"&lt;="&amp;$B$6))),"")</f>
        <v/>
      </c>
      <c r="AW78" s="243" t="str">
        <f>iferror(IF(AU78="Ações Americanas", HLOOKUP(AT78,'Histórico'!$A$1:$DD$990,MATCH($B$6,'Histórico'!$A:$A),FALSE)*HLOOKUP("PTAX",'Histórico'!$A$1:$FG$983,MATCH($B$6,'Histórico'!$A:$A),FALSE),IF(AU78="Ações Europeias", HLOOKUP(AT78,'Histórico'!$A$1:$DD$990,MATCH($B$6,'Histórico'!$A:$A),FALSE)*HLOOKUP("EUR/BRL",'Histórico'!$A$1:$FG$983,MATCH($B$6,'Histórico'!$A:$A),FALSE),  HLOOKUP(AT78,'Histórico'!$A$1:$DD$990,MATCH($B$6,'Histórico'!$A:$A),FALSE))),"")</f>
        <v/>
      </c>
      <c r="AX78" s="243" t="str">
        <f t="shared" si="27"/>
        <v/>
      </c>
      <c r="AY78" s="183"/>
    </row>
    <row r="79" ht="15.75" customHeight="1">
      <c r="A79" s="176"/>
      <c r="B79" s="232">
        <v>45106.0</v>
      </c>
      <c r="C79" s="246">
        <v>1.033787101788473E8</v>
      </c>
      <c r="D79" s="246">
        <v>7.920433279722273E7</v>
      </c>
      <c r="E79" s="247"/>
      <c r="F79" s="246">
        <v>1.104330332696406E8</v>
      </c>
      <c r="G79" s="246">
        <v>1.187492906179026E8</v>
      </c>
      <c r="H79" s="247"/>
      <c r="I79" s="246">
        <v>1.08730166493339E8</v>
      </c>
      <c r="J79" s="246">
        <v>7.745835513597438E7</v>
      </c>
      <c r="K79" s="247"/>
      <c r="L79" s="246">
        <v>1.046362357085223E8</v>
      </c>
      <c r="M79" s="246">
        <v>7.261950675097607E7</v>
      </c>
      <c r="N79" s="240">
        <f t="shared" si="9"/>
        <v>0.00562396682</v>
      </c>
      <c r="O79" s="240">
        <f t="shared" si="10"/>
        <v>0.002895757247</v>
      </c>
      <c r="P79" s="240">
        <f t="shared" si="11"/>
        <v>0.008024263618</v>
      </c>
      <c r="Q79" s="240">
        <f t="shared" si="12"/>
        <v>0.009805957858</v>
      </c>
      <c r="R79" s="236">
        <f t="shared" si="13"/>
        <v>103.4405884</v>
      </c>
      <c r="S79" s="177"/>
      <c r="T79" s="233">
        <f t="shared" ref="T79:U79" si="89">IF(AND(C79&lt;&gt;"",F79&lt;&gt;"",I79&lt;&gt;""), SUM(I79,F79,C79,L79),"")</f>
        <v>427178145.7</v>
      </c>
      <c r="U79" s="233">
        <f t="shared" si="89"/>
        <v>348031485.3</v>
      </c>
      <c r="V79" s="233">
        <f t="shared" si="6"/>
        <v>106.7945364</v>
      </c>
      <c r="W79" s="241">
        <f t="shared" si="15"/>
        <v>0.006547226852</v>
      </c>
      <c r="X79" s="241">
        <f t="shared" si="16"/>
        <v>0</v>
      </c>
      <c r="Y79" s="241">
        <f t="shared" si="25"/>
        <v>0.003425180609</v>
      </c>
      <c r="Z79" s="233">
        <f t="shared" si="7"/>
        <v>103.4405884</v>
      </c>
      <c r="AA79" s="165"/>
      <c r="AB79" s="245"/>
      <c r="AC79" s="242" t="str">
        <f>IF(ISTEXT(AB79),VLOOKUP(AB79,'Cadastro dos Ativos'!$A$2:$C$1000,3,0),"")</f>
        <v/>
      </c>
      <c r="AD79" s="242" t="str">
        <f>IF(AB79 &lt;&gt; "",IF(AC79="Futuros", (SUMIFS('Alocação'!$O$3:$O$1002,'Alocação'!$C$3:$C$1002,AB79,'Alocação'!$F$3:$F$1002,AB$9,'Alocação'!$B$3:$B$1002,"&lt;="&amp;$B$4)), (SUMIFS('Alocação'!$O$3:$O$1002,'Alocação'!$C$3:$C$1002,AB79,'Alocação'!$F$3:$F$1002,AB$9,'Alocação'!$B$3:$B$1002,"&lt;="&amp;$B$6))),"")</f>
        <v/>
      </c>
      <c r="AE79" s="243" t="str">
        <f>iferror(IF(AC79="Ações Americanas", HLOOKUP(AB79,'Histórico'!$A$1:$DD$990,MATCH($B$6,'Histórico'!$A:$A),FALSE)*HLOOKUP("PTAX",'Histórico'!$A$1:$FG$983,MATCH($B$6,'Histórico'!$A:$A),FALSE),IF(AC79="Ações Europeias", HLOOKUP(AB79,'Histórico'!$A$1:$DD$990,MATCH($B$6,'Histórico'!$A:$A),FALSE)*HLOOKUP("EUR/BRL",'Histórico'!$A$1:$FG$983,MATCH($B$6,'Histórico'!$A:$A),FALSE), HLOOKUP(AB79,'Histórico'!$A$1:$DD$990,MATCH($B$6,'Histórico'!$A:$A),FALSE))),"")</f>
        <v/>
      </c>
      <c r="AF79" s="243" t="str">
        <f t="shared" si="21"/>
        <v/>
      </c>
      <c r="AG79" s="53"/>
      <c r="AH79" s="245"/>
      <c r="AI79" s="242" t="str">
        <f>IF(ISTEXT(AH79),VLOOKUP(AH79,'Cadastro dos Ativos'!$A$2:$C$1000,3,0),"")</f>
        <v/>
      </c>
      <c r="AJ79" s="242" t="str">
        <f>IF(AH79 &lt;&gt; "",IF(AI79="Futuros", (SUMIFS('Alocação'!$O$3:$O$1002,'Alocação'!$C$3:$C$1002,AH79,'Alocação'!$F$3:$F$1002,AH$9,'Alocação'!$B$3:$B$1002,"&lt;="&amp;$B$4)), (SUMIFS('Alocação'!$O$3:$O$1002,'Alocação'!$C$3:$C$1002,AH79,'Alocação'!$F$3:$F$1002,AH$9,'Alocação'!$B$3:$B$1002,"&lt;="&amp;$B$6))),"")</f>
        <v/>
      </c>
      <c r="AK79" s="243" t="str">
        <f>iferror(IF(AI79="Ações Americanas", HLOOKUP(AH79,'Histórico'!$A$1:$DD$990,MATCH($B$6,'Histórico'!$A:$A),FALSE)*HLOOKUP("PTAX",'Histórico'!$A$1:$FG$983,MATCH($B$6,'Histórico'!$A:$A),FALSE),IF(AI79="Ações Europeias", HLOOKUP(AH79,'Histórico'!$A$1:$DD$990,MATCH($B$6,'Histórico'!$A:$A),FALSE)*HLOOKUP("EUR/BRL",'Histórico'!$A$1:$FG$983,MATCH($B$6,'Histórico'!$A:$A),FALSE),  HLOOKUP(AH79,'Histórico'!$A$1:$DD$990,MATCH($B$6,'Histórico'!$A:$A),FALSE))),"")</f>
        <v/>
      </c>
      <c r="AL79" s="243" t="str">
        <f t="shared" si="17"/>
        <v/>
      </c>
      <c r="AM79" s="53"/>
      <c r="AN79" s="245"/>
      <c r="AO79" s="242" t="str">
        <f>IF(ISTEXT(AN79),VLOOKUP(AN79,'Cadastro dos Ativos'!$A$2:$C$1000,3,0),"")</f>
        <v/>
      </c>
      <c r="AP79" s="242" t="str">
        <f>IF(AN79 &lt;&gt; "",IF(AO79="Futuros", (SUMIFS('Alocação'!$O$3:$O$1002,'Alocação'!$C$3:$C$1002,AN79,'Alocação'!$F$3:$F$1002,AN$9,'Alocação'!$B$3:$B$1002,"&lt;="&amp;$B$4)), (SUMIFS('Alocação'!$O$3:$O$1002,'Alocação'!$C$3:$C$1002,AN79,'Alocação'!$F$3:$F$1002,AN$9,'Alocação'!$B$3:$B$1002,"&lt;="&amp;$B$6))),"")</f>
        <v/>
      </c>
      <c r="AQ79" s="243" t="str">
        <f>iferror(IF(AO79="Ações Americanas", HLOOKUP(AN79,'Histórico'!$A$1:$DD$990,MATCH($B$6,'Histórico'!$A:$A),FALSE)*HLOOKUP("PTAX",'Histórico'!$A$1:$FG$983,MATCH($B$6,'Histórico'!$A:$A),FALSE),IF(AO79="Ações Europeias", HLOOKUP(AN79,'Histórico'!$A$1:$DD$990,MATCH($B$6,'Histórico'!$A:$A),FALSE)*HLOOKUP("EUR/BRL",'Histórico'!$A$1:$FG$983,MATCH($B$6,'Histórico'!$A:$A),FALSE),  HLOOKUP(AN79,'Histórico'!$A$1:$DD$990,MATCH($B$6,'Histórico'!$A:$A),FALSE))),"")</f>
        <v/>
      </c>
      <c r="AR79" s="243" t="str">
        <f t="shared" si="18"/>
        <v/>
      </c>
      <c r="AS79" s="53"/>
      <c r="AT79" s="245"/>
      <c r="AU79" s="242" t="str">
        <f>IF(ISTEXT(AT79),VLOOKUP(AT79,'Cadastro dos Ativos'!$A$2:$C$1000,3,0),"")</f>
        <v/>
      </c>
      <c r="AV79" s="242" t="str">
        <f>IF(AT79 &lt;&gt; "",IF(AU79="Futuros", (SUMIFS('Alocação'!$O$3:$O$1002,'Alocação'!$C$3:$C$1002,AT79,'Alocação'!$F$3:$F$1002,AT$9,'Alocação'!$B$3:$B$1002,"&lt;="&amp;$B$4)), (SUMIFS('Alocação'!$O$3:$O$1002,'Alocação'!$C$3:$C$1002,AT79,'Alocação'!$F$3:$F$1002,AT$9,'Alocação'!$B$3:$B$1002,"&lt;="&amp;$B$6))),"")</f>
        <v/>
      </c>
      <c r="AW79" s="243" t="str">
        <f>iferror(IF(AU79="Ações Americanas", HLOOKUP(AT79,'Histórico'!$A$1:$DD$990,MATCH($B$6,'Histórico'!$A:$A),FALSE)*HLOOKUP("PTAX",'Histórico'!$A$1:$FG$983,MATCH($B$6,'Histórico'!$A:$A),FALSE),IF(AU79="Ações Europeias", HLOOKUP(AT79,'Histórico'!$A$1:$DD$990,MATCH($B$6,'Histórico'!$A:$A),FALSE)*HLOOKUP("EUR/BRL",'Histórico'!$A$1:$FG$983,MATCH($B$6,'Histórico'!$A:$A),FALSE),  HLOOKUP(AT79,'Histórico'!$A$1:$DD$990,MATCH($B$6,'Histórico'!$A:$A),FALSE))),"")</f>
        <v/>
      </c>
      <c r="AX79" s="243" t="str">
        <f t="shared" si="27"/>
        <v/>
      </c>
      <c r="AY79" s="183"/>
    </row>
    <row r="80" ht="15.75" customHeight="1">
      <c r="A80" s="176"/>
      <c r="B80" s="232">
        <v>45107.0</v>
      </c>
      <c r="C80" s="246">
        <v>1.034987639078534E8</v>
      </c>
      <c r="D80" s="246">
        <v>7.923845111350513E7</v>
      </c>
      <c r="E80" s="247"/>
      <c r="F80" s="246">
        <v>1.105659795546179E8</v>
      </c>
      <c r="G80" s="246">
        <v>1.188848557329756E8</v>
      </c>
      <c r="H80" s="247"/>
      <c r="I80" s="246">
        <v>1.091360345095582E8</v>
      </c>
      <c r="J80" s="246">
        <v>7.770021512213373E7</v>
      </c>
      <c r="K80" s="247"/>
      <c r="L80" s="246">
        <v>1.049535614912048E8</v>
      </c>
      <c r="M80" s="246">
        <v>7.265020646674493E7</v>
      </c>
      <c r="N80" s="240">
        <f t="shared" si="9"/>
        <v>0.001161300318</v>
      </c>
      <c r="O80" s="240">
        <f t="shared" si="10"/>
        <v>0.001203863383</v>
      </c>
      <c r="P80" s="240">
        <f t="shared" si="11"/>
        <v>0.003732800467</v>
      </c>
      <c r="Q80" s="240">
        <f t="shared" si="12"/>
        <v>0.003032656713</v>
      </c>
      <c r="R80" s="236">
        <f t="shared" si="13"/>
        <v>103.4913126</v>
      </c>
      <c r="S80" s="177"/>
      <c r="T80" s="233">
        <f t="shared" ref="T80:U80" si="90">IF(AND(C80&lt;&gt;"",F80&lt;&gt;"",I80&lt;&gt;""), SUM(I80,F80,C80,L80),"")</f>
        <v>428154339.5</v>
      </c>
      <c r="U80" s="233">
        <f t="shared" si="90"/>
        <v>348473728.4</v>
      </c>
      <c r="V80" s="233">
        <f t="shared" si="6"/>
        <v>107.0385849</v>
      </c>
      <c r="W80" s="241">
        <f t="shared" si="15"/>
        <v>0.002285214782</v>
      </c>
      <c r="X80" s="241">
        <f t="shared" si="16"/>
        <v>0</v>
      </c>
      <c r="Y80" s="241">
        <f t="shared" si="25"/>
        <v>0.003389639885</v>
      </c>
      <c r="Z80" s="233">
        <f t="shared" si="7"/>
        <v>103.4913126</v>
      </c>
      <c r="AA80" s="165"/>
      <c r="AB80" s="245"/>
      <c r="AC80" s="242" t="str">
        <f>IF(ISTEXT(AB80),VLOOKUP(AB80,'Cadastro dos Ativos'!$A$2:$C$1000,3,0),"")</f>
        <v/>
      </c>
      <c r="AD80" s="242" t="str">
        <f>IF(AB80 &lt;&gt; "",IF(AC80="Futuros", (SUMIFS('Alocação'!$O$3:$O$1002,'Alocação'!$C$3:$C$1002,AB80,'Alocação'!$F$3:$F$1002,AB$9,'Alocação'!$B$3:$B$1002,"&lt;="&amp;$B$4)), (SUMIFS('Alocação'!$O$3:$O$1002,'Alocação'!$C$3:$C$1002,AB80,'Alocação'!$F$3:$F$1002,AB$9,'Alocação'!$B$3:$B$1002,"&lt;="&amp;$B$6))),"")</f>
        <v/>
      </c>
      <c r="AE80" s="243" t="str">
        <f>iferror(IF(AC80="Ações Americanas", HLOOKUP(AB80,'Histórico'!$A$1:$DD$990,MATCH($B$6,'Histórico'!$A:$A),FALSE)*HLOOKUP("PTAX",'Histórico'!$A$1:$FG$983,MATCH($B$6,'Histórico'!$A:$A),FALSE),IF(AC80="Ações Europeias", HLOOKUP(AB80,'Histórico'!$A$1:$DD$990,MATCH($B$6,'Histórico'!$A:$A),FALSE)*HLOOKUP("EUR/BRL",'Histórico'!$A$1:$FG$983,MATCH($B$6,'Histórico'!$A:$A),FALSE), HLOOKUP(AB80,'Histórico'!$A$1:$DD$990,MATCH($B$6,'Histórico'!$A:$A),FALSE))),"")</f>
        <v/>
      </c>
      <c r="AF80" s="243" t="str">
        <f t="shared" si="21"/>
        <v/>
      </c>
      <c r="AG80" s="53"/>
      <c r="AH80" s="245"/>
      <c r="AI80" s="242" t="str">
        <f>IF(ISTEXT(AH80),VLOOKUP(AH80,'Cadastro dos Ativos'!$A$2:$C$1000,3,0),"")</f>
        <v/>
      </c>
      <c r="AJ80" s="242" t="str">
        <f>IF(AH80 &lt;&gt; "",IF(AI80="Futuros", (SUMIFS('Alocação'!$O$3:$O$1002,'Alocação'!$C$3:$C$1002,AH80,'Alocação'!$F$3:$F$1002,AH$9,'Alocação'!$B$3:$B$1002,"&lt;="&amp;$B$4)), (SUMIFS('Alocação'!$O$3:$O$1002,'Alocação'!$C$3:$C$1002,AH80,'Alocação'!$F$3:$F$1002,AH$9,'Alocação'!$B$3:$B$1002,"&lt;="&amp;$B$6))),"")</f>
        <v/>
      </c>
      <c r="AK80" s="243" t="str">
        <f>iferror(IF(AI80="Ações Americanas", HLOOKUP(AH80,'Histórico'!$A$1:$DD$990,MATCH($B$6,'Histórico'!$A:$A),FALSE)*HLOOKUP("PTAX",'Histórico'!$A$1:$FG$983,MATCH($B$6,'Histórico'!$A:$A),FALSE),IF(AI80="Ações Europeias", HLOOKUP(AH80,'Histórico'!$A$1:$DD$990,MATCH($B$6,'Histórico'!$A:$A),FALSE)*HLOOKUP("EUR/BRL",'Histórico'!$A$1:$FG$983,MATCH($B$6,'Histórico'!$A:$A),FALSE),  HLOOKUP(AH80,'Histórico'!$A$1:$DD$990,MATCH($B$6,'Histórico'!$A:$A),FALSE))),"")</f>
        <v/>
      </c>
      <c r="AL80" s="243" t="str">
        <f t="shared" si="17"/>
        <v/>
      </c>
      <c r="AM80" s="53"/>
      <c r="AN80" s="245"/>
      <c r="AO80" s="242" t="str">
        <f>IF(ISTEXT(AN80),VLOOKUP(AN80,'Cadastro dos Ativos'!$A$2:$C$1000,3,0),"")</f>
        <v/>
      </c>
      <c r="AP80" s="242" t="str">
        <f>IF(AN80 &lt;&gt; "",IF(AO80="Futuros", (SUMIFS('Alocação'!$O$3:$O$1002,'Alocação'!$C$3:$C$1002,AN80,'Alocação'!$F$3:$F$1002,AN$9,'Alocação'!$B$3:$B$1002,"&lt;="&amp;$B$4)), (SUMIFS('Alocação'!$O$3:$O$1002,'Alocação'!$C$3:$C$1002,AN80,'Alocação'!$F$3:$F$1002,AN$9,'Alocação'!$B$3:$B$1002,"&lt;="&amp;$B$6))),"")</f>
        <v/>
      </c>
      <c r="AQ80" s="243" t="str">
        <f>iferror(IF(AO80="Ações Americanas", HLOOKUP(AN80,'Histórico'!$A$1:$DD$990,MATCH($B$6,'Histórico'!$A:$A),FALSE)*HLOOKUP("PTAX",'Histórico'!$A$1:$FG$983,MATCH($B$6,'Histórico'!$A:$A),FALSE),IF(AO80="Ações Europeias", HLOOKUP(AN80,'Histórico'!$A$1:$DD$990,MATCH($B$6,'Histórico'!$A:$A),FALSE)*HLOOKUP("EUR/BRL",'Histórico'!$A$1:$FG$983,MATCH($B$6,'Histórico'!$A:$A),FALSE),  HLOOKUP(AN80,'Histórico'!$A$1:$DD$990,MATCH($B$6,'Histórico'!$A:$A),FALSE))),"")</f>
        <v/>
      </c>
      <c r="AR80" s="243" t="str">
        <f t="shared" si="18"/>
        <v/>
      </c>
      <c r="AS80" s="53"/>
      <c r="AT80" s="245"/>
      <c r="AU80" s="242" t="str">
        <f>IF(ISTEXT(AT80),VLOOKUP(AT80,'Cadastro dos Ativos'!$A$2:$C$1000,3,0),"")</f>
        <v/>
      </c>
      <c r="AV80" s="242" t="str">
        <f>IF(AT80 &lt;&gt; "",IF(AU80="Futuros", (SUMIFS('Alocação'!$O$3:$O$1002,'Alocação'!$C$3:$C$1002,AT80,'Alocação'!$F$3:$F$1002,AT$9,'Alocação'!$B$3:$B$1002,"&lt;="&amp;$B$4)), (SUMIFS('Alocação'!$O$3:$O$1002,'Alocação'!$C$3:$C$1002,AT80,'Alocação'!$F$3:$F$1002,AT$9,'Alocação'!$B$3:$B$1002,"&lt;="&amp;$B$6))),"")</f>
        <v/>
      </c>
      <c r="AW80" s="243" t="str">
        <f>iferror(IF(AU80="Ações Americanas", HLOOKUP(AT80,'Histórico'!$A$1:$DD$990,MATCH($B$6,'Histórico'!$A:$A),FALSE)*HLOOKUP("PTAX",'Histórico'!$A$1:$FG$983,MATCH($B$6,'Histórico'!$A:$A),FALSE),IF(AU80="Ações Europeias", HLOOKUP(AT80,'Histórico'!$A$1:$DD$990,MATCH($B$6,'Histórico'!$A:$A),FALSE)*HLOOKUP("EUR/BRL",'Histórico'!$A$1:$FG$983,MATCH($B$6,'Histórico'!$A:$A),FALSE),  HLOOKUP(AT80,'Histórico'!$A$1:$DD$990,MATCH($B$6,'Histórico'!$A:$A),FALSE))),"")</f>
        <v/>
      </c>
      <c r="AX80" s="243" t="str">
        <f t="shared" si="27"/>
        <v/>
      </c>
      <c r="AY80" s="183"/>
    </row>
    <row r="81" ht="15.75" customHeight="1">
      <c r="A81" s="176"/>
      <c r="B81" s="232">
        <v>45110.0</v>
      </c>
      <c r="C81" s="246">
        <v>1.035047119156888E8</v>
      </c>
      <c r="D81" s="246">
        <v>7.92725891732127E7</v>
      </c>
      <c r="E81" s="247"/>
      <c r="F81" s="246">
        <v>1.107629580816877E8</v>
      </c>
      <c r="G81" s="246">
        <v>1.189946131101046E8</v>
      </c>
      <c r="H81" s="247"/>
      <c r="I81" s="246">
        <v>1.09173768762837E8</v>
      </c>
      <c r="J81" s="246">
        <v>7.802741208804913E7</v>
      </c>
      <c r="K81" s="247"/>
      <c r="L81" s="246">
        <v>1.055887983735793E8</v>
      </c>
      <c r="M81" s="246">
        <v>7.268091174357933E7</v>
      </c>
      <c r="N81" s="240">
        <f t="shared" si="9"/>
        <v>0.00005746936109</v>
      </c>
      <c r="O81" s="240">
        <f t="shared" si="10"/>
        <v>0.001781547343</v>
      </c>
      <c r="P81" s="240">
        <f t="shared" si="11"/>
        <v>0.0003457543006</v>
      </c>
      <c r="Q81" s="240">
        <f t="shared" si="12"/>
        <v>0.006052551942</v>
      </c>
      <c r="R81" s="236">
        <f t="shared" si="13"/>
        <v>103.5420616</v>
      </c>
      <c r="S81" s="177"/>
      <c r="T81" s="233">
        <f t="shared" ref="T81:U81" si="91">IF(AND(C81&lt;&gt;"",F81&lt;&gt;"",I81&lt;&gt;""), SUM(I81,F81,C81,L81),"")</f>
        <v>429030237.1</v>
      </c>
      <c r="U81" s="233">
        <f t="shared" si="91"/>
        <v>348975526.1</v>
      </c>
      <c r="V81" s="233">
        <f t="shared" si="6"/>
        <v>107.2575593</v>
      </c>
      <c r="W81" s="241">
        <f t="shared" si="15"/>
        <v>0.002045752174</v>
      </c>
      <c r="X81" s="241">
        <f t="shared" si="16"/>
        <v>0</v>
      </c>
      <c r="Y81" s="241">
        <f t="shared" si="25"/>
        <v>0.002556311634</v>
      </c>
      <c r="Z81" s="233">
        <f t="shared" si="7"/>
        <v>103.5420616</v>
      </c>
      <c r="AA81" s="165"/>
      <c r="AB81" s="245"/>
      <c r="AC81" s="242" t="str">
        <f>IF(ISTEXT(AB81),VLOOKUP(AB81,'Cadastro dos Ativos'!$A$2:$C$1000,3,0),"")</f>
        <v/>
      </c>
      <c r="AD81" s="242" t="str">
        <f>IF(AB81 &lt;&gt; "",IF(AC81="Futuros", (SUMIFS('Alocação'!$O$3:$O$1002,'Alocação'!$C$3:$C$1002,AB81,'Alocação'!$F$3:$F$1002,AB$9,'Alocação'!$B$3:$B$1002,"&lt;="&amp;$B$4)), (SUMIFS('Alocação'!$O$3:$O$1002,'Alocação'!$C$3:$C$1002,AB81,'Alocação'!$F$3:$F$1002,AB$9,'Alocação'!$B$3:$B$1002,"&lt;="&amp;$B$6))),"")</f>
        <v/>
      </c>
      <c r="AE81" s="243" t="str">
        <f>iferror(IF(AC81="Ações Americanas", HLOOKUP(AB81,'Histórico'!$A$1:$DD$990,MATCH($B$6,'Histórico'!$A:$A),FALSE)*HLOOKUP("PTAX",'Histórico'!$A$1:$FG$983,MATCH($B$6,'Histórico'!$A:$A),FALSE),IF(AC81="Ações Europeias", HLOOKUP(AB81,'Histórico'!$A$1:$DD$990,MATCH($B$6,'Histórico'!$A:$A),FALSE)*HLOOKUP("EUR/BRL",'Histórico'!$A$1:$FG$983,MATCH($B$6,'Histórico'!$A:$A),FALSE), HLOOKUP(AB81,'Histórico'!$A$1:$DD$990,MATCH($B$6,'Histórico'!$A:$A),FALSE))),"")</f>
        <v/>
      </c>
      <c r="AF81" s="243" t="str">
        <f t="shared" si="21"/>
        <v/>
      </c>
      <c r="AG81" s="53"/>
      <c r="AH81" s="245"/>
      <c r="AI81" s="242" t="str">
        <f>IF(ISTEXT(AH81),VLOOKUP(AH81,'Cadastro dos Ativos'!$A$2:$C$1000,3,0),"")</f>
        <v/>
      </c>
      <c r="AJ81" s="242" t="str">
        <f>IF(AH81 &lt;&gt; "",IF(AI81="Futuros", (SUMIFS('Alocação'!$O$3:$O$1002,'Alocação'!$C$3:$C$1002,AH81,'Alocação'!$F$3:$F$1002,AH$9,'Alocação'!$B$3:$B$1002,"&lt;="&amp;$B$4)), (SUMIFS('Alocação'!$O$3:$O$1002,'Alocação'!$C$3:$C$1002,AH81,'Alocação'!$F$3:$F$1002,AH$9,'Alocação'!$B$3:$B$1002,"&lt;="&amp;$B$6))),"")</f>
        <v/>
      </c>
      <c r="AK81" s="243" t="str">
        <f>iferror(IF(AI81="Ações Americanas", HLOOKUP(AH81,'Histórico'!$A$1:$DD$990,MATCH($B$6,'Histórico'!$A:$A),FALSE)*HLOOKUP("PTAX",'Histórico'!$A$1:$FG$983,MATCH($B$6,'Histórico'!$A:$A),FALSE),IF(AI81="Ações Europeias", HLOOKUP(AH81,'Histórico'!$A$1:$DD$990,MATCH($B$6,'Histórico'!$A:$A),FALSE)*HLOOKUP("EUR/BRL",'Histórico'!$A$1:$FG$983,MATCH($B$6,'Histórico'!$A:$A),FALSE),  HLOOKUP(AH81,'Histórico'!$A$1:$DD$990,MATCH($B$6,'Histórico'!$A:$A),FALSE))),"")</f>
        <v/>
      </c>
      <c r="AL81" s="243" t="str">
        <f t="shared" si="17"/>
        <v/>
      </c>
      <c r="AM81" s="53"/>
      <c r="AN81" s="245"/>
      <c r="AO81" s="242" t="str">
        <f>IF(ISTEXT(AN81),VLOOKUP(AN81,'Cadastro dos Ativos'!$A$2:$C$1000,3,0),"")</f>
        <v/>
      </c>
      <c r="AP81" s="242" t="str">
        <f>IF(AN81 &lt;&gt; "",IF(AO81="Futuros", (SUMIFS('Alocação'!$O$3:$O$1002,'Alocação'!$C$3:$C$1002,AN81,'Alocação'!$F$3:$F$1002,AN$9,'Alocação'!$B$3:$B$1002,"&lt;="&amp;$B$4)), (SUMIFS('Alocação'!$O$3:$O$1002,'Alocação'!$C$3:$C$1002,AN81,'Alocação'!$F$3:$F$1002,AN$9,'Alocação'!$B$3:$B$1002,"&lt;="&amp;$B$6))),"")</f>
        <v/>
      </c>
      <c r="AQ81" s="243" t="str">
        <f>iferror(IF(AO81="Ações Americanas", HLOOKUP(AN81,'Histórico'!$A$1:$DD$990,MATCH($B$6,'Histórico'!$A:$A),FALSE)*HLOOKUP("PTAX",'Histórico'!$A$1:$FG$983,MATCH($B$6,'Histórico'!$A:$A),FALSE),IF(AO81="Ações Europeias", HLOOKUP(AN81,'Histórico'!$A$1:$DD$990,MATCH($B$6,'Histórico'!$A:$A),FALSE)*HLOOKUP("EUR/BRL",'Histórico'!$A$1:$FG$983,MATCH($B$6,'Histórico'!$A:$A),FALSE),  HLOOKUP(AN81,'Histórico'!$A$1:$DD$990,MATCH($B$6,'Histórico'!$A:$A),FALSE))),"")</f>
        <v/>
      </c>
      <c r="AR81" s="243" t="str">
        <f t="shared" si="18"/>
        <v/>
      </c>
      <c r="AS81" s="53"/>
      <c r="AT81" s="245"/>
      <c r="AU81" s="242" t="str">
        <f>IF(ISTEXT(AT81),VLOOKUP(AT81,'Cadastro dos Ativos'!$A$2:$C$1000,3,0),"")</f>
        <v/>
      </c>
      <c r="AV81" s="242" t="str">
        <f>IF(AT81 &lt;&gt; "",IF(AU81="Futuros", (SUMIFS('Alocação'!$O$3:$O$1002,'Alocação'!$C$3:$C$1002,AT81,'Alocação'!$F$3:$F$1002,AT$9,'Alocação'!$B$3:$B$1002,"&lt;="&amp;$B$4)), (SUMIFS('Alocação'!$O$3:$O$1002,'Alocação'!$C$3:$C$1002,AT81,'Alocação'!$F$3:$F$1002,AT$9,'Alocação'!$B$3:$B$1002,"&lt;="&amp;$B$6))),"")</f>
        <v/>
      </c>
      <c r="AW81" s="243" t="str">
        <f>iferror(IF(AU81="Ações Americanas", HLOOKUP(AT81,'Histórico'!$A$1:$DD$990,MATCH($B$6,'Histórico'!$A:$A),FALSE)*HLOOKUP("PTAX",'Histórico'!$A$1:$FG$983,MATCH($B$6,'Histórico'!$A:$A),FALSE),IF(AU81="Ações Europeias", HLOOKUP(AT81,'Histórico'!$A$1:$DD$990,MATCH($B$6,'Histórico'!$A:$A),FALSE)*HLOOKUP("EUR/BRL",'Histórico'!$A$1:$FG$983,MATCH($B$6,'Histórico'!$A:$A),FALSE),  HLOOKUP(AT81,'Histórico'!$A$1:$DD$990,MATCH($B$6,'Histórico'!$A:$A),FALSE))),"")</f>
        <v/>
      </c>
      <c r="AX81" s="243" t="str">
        <f t="shared" si="27"/>
        <v/>
      </c>
      <c r="AY81" s="183"/>
    </row>
    <row r="82" ht="15.75" customHeight="1">
      <c r="A82" s="176"/>
      <c r="B82" s="232">
        <v>45111.0</v>
      </c>
      <c r="C82" s="246">
        <v>1.033365764359723E8</v>
      </c>
      <c r="D82" s="246">
        <v>7.930674422362524E7</v>
      </c>
      <c r="E82" s="247"/>
      <c r="F82" s="246">
        <v>1.106595697640739E8</v>
      </c>
      <c r="G82" s="246">
        <v>1.189372586057924E8</v>
      </c>
      <c r="H82" s="247"/>
      <c r="I82" s="246">
        <v>1.092547808903453E8</v>
      </c>
      <c r="J82" s="246">
        <v>7.79952481405499E7</v>
      </c>
      <c r="K82" s="247"/>
      <c r="L82" s="246">
        <v>1.05642624180955E8</v>
      </c>
      <c r="M82" s="246">
        <v>7.271159508664998E7</v>
      </c>
      <c r="N82" s="240">
        <f t="shared" si="9"/>
        <v>-0.001624423435</v>
      </c>
      <c r="O82" s="240">
        <f t="shared" si="10"/>
        <v>-0.0009334196143</v>
      </c>
      <c r="P82" s="240">
        <f t="shared" si="11"/>
        <v>0.0007420475488</v>
      </c>
      <c r="Q82" s="240">
        <f t="shared" si="12"/>
        <v>0.0005097681592</v>
      </c>
      <c r="R82" s="236">
        <f t="shared" si="13"/>
        <v>103.5928355</v>
      </c>
      <c r="S82" s="177"/>
      <c r="T82" s="233">
        <f t="shared" ref="T82:U82" si="92">IF(AND(C82&lt;&gt;"",F82&lt;&gt;"",I82&lt;&gt;""), SUM(I82,F82,C82,L82),"")</f>
        <v>428893551.3</v>
      </c>
      <c r="U82" s="233">
        <f t="shared" si="92"/>
        <v>348950846.1</v>
      </c>
      <c r="V82" s="233">
        <f t="shared" si="6"/>
        <v>107.2233878</v>
      </c>
      <c r="W82" s="241">
        <f t="shared" si="15"/>
        <v>-0.0003185926087</v>
      </c>
      <c r="X82" s="241">
        <f t="shared" si="16"/>
        <v>-0.0003185926087</v>
      </c>
      <c r="Y82" s="241">
        <f t="shared" si="25"/>
        <v>0.002731722432</v>
      </c>
      <c r="Z82" s="233">
        <f t="shared" si="7"/>
        <v>103.5928355</v>
      </c>
      <c r="AA82" s="165"/>
      <c r="AB82" s="245"/>
      <c r="AC82" s="242" t="str">
        <f>IF(ISTEXT(AB82),VLOOKUP(AB82,'Cadastro dos Ativos'!$A$2:$C$1000,3,0),"")</f>
        <v/>
      </c>
      <c r="AD82" s="242" t="str">
        <f>IF(AB82 &lt;&gt; "",IF(AC82="Futuros", (SUMIFS('Alocação'!$O$3:$O$1002,'Alocação'!$C$3:$C$1002,AB82,'Alocação'!$F$3:$F$1002,AB$9,'Alocação'!$B$3:$B$1002,"&lt;="&amp;$B$4)), (SUMIFS('Alocação'!$O$3:$O$1002,'Alocação'!$C$3:$C$1002,AB82,'Alocação'!$F$3:$F$1002,AB$9,'Alocação'!$B$3:$B$1002,"&lt;="&amp;$B$6))),"")</f>
        <v/>
      </c>
      <c r="AE82" s="243" t="str">
        <f>iferror(IF(AC82="Ações Americanas", HLOOKUP(AB82,'Histórico'!$A$1:$DD$990,MATCH($B$6,'Histórico'!$A:$A),FALSE)*HLOOKUP("PTAX",'Histórico'!$A$1:$FG$983,MATCH($B$6,'Histórico'!$A:$A),FALSE),IF(AC82="Ações Europeias", HLOOKUP(AB82,'Histórico'!$A$1:$DD$990,MATCH($B$6,'Histórico'!$A:$A),FALSE)*HLOOKUP("EUR/BRL",'Histórico'!$A$1:$FG$983,MATCH($B$6,'Histórico'!$A:$A),FALSE), HLOOKUP(AB82,'Histórico'!$A$1:$DD$990,MATCH($B$6,'Histórico'!$A:$A),FALSE))),"")</f>
        <v/>
      </c>
      <c r="AF82" s="243" t="str">
        <f t="shared" si="21"/>
        <v/>
      </c>
      <c r="AG82" s="53"/>
      <c r="AH82" s="245"/>
      <c r="AI82" s="242" t="str">
        <f>IF(ISTEXT(AH82),VLOOKUP(AH82,'Cadastro dos Ativos'!$A$2:$C$1000,3,0),"")</f>
        <v/>
      </c>
      <c r="AJ82" s="242" t="str">
        <f>IF(AH82 &lt;&gt; "",IF(AI82="Futuros", (SUMIFS('Alocação'!$O$3:$O$1002,'Alocação'!$C$3:$C$1002,AH82,'Alocação'!$F$3:$F$1002,AH$9,'Alocação'!$B$3:$B$1002,"&lt;="&amp;$B$4)), (SUMIFS('Alocação'!$O$3:$O$1002,'Alocação'!$C$3:$C$1002,AH82,'Alocação'!$F$3:$F$1002,AH$9,'Alocação'!$B$3:$B$1002,"&lt;="&amp;$B$6))),"")</f>
        <v/>
      </c>
      <c r="AK82" s="243" t="str">
        <f>iferror(IF(AI82="Ações Americanas", HLOOKUP(AH82,'Histórico'!$A$1:$DD$990,MATCH($B$6,'Histórico'!$A:$A),FALSE)*HLOOKUP("PTAX",'Histórico'!$A$1:$FG$983,MATCH($B$6,'Histórico'!$A:$A),FALSE),IF(AI82="Ações Europeias", HLOOKUP(AH82,'Histórico'!$A$1:$DD$990,MATCH($B$6,'Histórico'!$A:$A),FALSE)*HLOOKUP("EUR/BRL",'Histórico'!$A$1:$FG$983,MATCH($B$6,'Histórico'!$A:$A),FALSE),  HLOOKUP(AH82,'Histórico'!$A$1:$DD$990,MATCH($B$6,'Histórico'!$A:$A),FALSE))),"")</f>
        <v/>
      </c>
      <c r="AL82" s="243" t="str">
        <f t="shared" si="17"/>
        <v/>
      </c>
      <c r="AM82" s="53"/>
      <c r="AN82" s="245"/>
      <c r="AO82" s="242" t="str">
        <f>IF(ISTEXT(AN82),VLOOKUP(AN82,'Cadastro dos Ativos'!$A$2:$C$1000,3,0),"")</f>
        <v/>
      </c>
      <c r="AP82" s="242" t="str">
        <f>IF(AN82 &lt;&gt; "",IF(AO82="Futuros", (SUMIFS('Alocação'!$O$3:$O$1002,'Alocação'!$C$3:$C$1002,AN82,'Alocação'!$F$3:$F$1002,AN$9,'Alocação'!$B$3:$B$1002,"&lt;="&amp;$B$4)), (SUMIFS('Alocação'!$O$3:$O$1002,'Alocação'!$C$3:$C$1002,AN82,'Alocação'!$F$3:$F$1002,AN$9,'Alocação'!$B$3:$B$1002,"&lt;="&amp;$B$6))),"")</f>
        <v/>
      </c>
      <c r="AQ82" s="243" t="str">
        <f>iferror(IF(AO82="Ações Americanas", HLOOKUP(AN82,'Histórico'!$A$1:$DD$990,MATCH($B$6,'Histórico'!$A:$A),FALSE)*HLOOKUP("PTAX",'Histórico'!$A$1:$FG$983,MATCH($B$6,'Histórico'!$A:$A),FALSE),IF(AO82="Ações Europeias", HLOOKUP(AN82,'Histórico'!$A$1:$DD$990,MATCH($B$6,'Histórico'!$A:$A),FALSE)*HLOOKUP("EUR/BRL",'Histórico'!$A$1:$FG$983,MATCH($B$6,'Histórico'!$A:$A),FALSE),  HLOOKUP(AN82,'Histórico'!$A$1:$DD$990,MATCH($B$6,'Histórico'!$A:$A),FALSE))),"")</f>
        <v/>
      </c>
      <c r="AR82" s="243" t="str">
        <f t="shared" si="18"/>
        <v/>
      </c>
      <c r="AS82" s="53"/>
      <c r="AT82" s="245"/>
      <c r="AU82" s="242" t="str">
        <f>IF(ISTEXT(AT82),VLOOKUP(AT82,'Cadastro dos Ativos'!$A$2:$C$1000,3,0),"")</f>
        <v/>
      </c>
      <c r="AV82" s="242" t="str">
        <f>IF(AT82 &lt;&gt; "",IF(AU82="Futuros", (SUMIFS('Alocação'!$O$3:$O$1002,'Alocação'!$C$3:$C$1002,AT82,'Alocação'!$F$3:$F$1002,AT$9,'Alocação'!$B$3:$B$1002,"&lt;="&amp;$B$4)), (SUMIFS('Alocação'!$O$3:$O$1002,'Alocação'!$C$3:$C$1002,AT82,'Alocação'!$F$3:$F$1002,AT$9,'Alocação'!$B$3:$B$1002,"&lt;="&amp;$B$6))),"")</f>
        <v/>
      </c>
      <c r="AW82" s="243" t="str">
        <f>iferror(IF(AU82="Ações Americanas", HLOOKUP(AT82,'Histórico'!$A$1:$DD$990,MATCH($B$6,'Histórico'!$A:$A),FALSE)*HLOOKUP("PTAX",'Histórico'!$A$1:$FG$983,MATCH($B$6,'Histórico'!$A:$A),FALSE),IF(AU82="Ações Europeias", HLOOKUP(AT82,'Histórico'!$A$1:$DD$990,MATCH($B$6,'Histórico'!$A:$A),FALSE)*HLOOKUP("EUR/BRL",'Histórico'!$A$1:$FG$983,MATCH($B$6,'Histórico'!$A:$A),FALSE),  HLOOKUP(AT82,'Histórico'!$A$1:$DD$990,MATCH($B$6,'Histórico'!$A:$A),FALSE))),"")</f>
        <v/>
      </c>
      <c r="AX82" s="243" t="str">
        <f t="shared" si="27"/>
        <v/>
      </c>
      <c r="AY82" s="183"/>
    </row>
    <row r="83" ht="15.75" customHeight="1">
      <c r="A83" s="176"/>
      <c r="B83" s="232">
        <v>45112.0</v>
      </c>
      <c r="C83" s="246">
        <v>1.034883750992119E8</v>
      </c>
      <c r="D83" s="246">
        <v>7.93409265588429E7</v>
      </c>
      <c r="E83" s="247"/>
      <c r="F83" s="246">
        <v>1.109971690662056E8</v>
      </c>
      <c r="G83" s="246">
        <v>1.191484515739398E8</v>
      </c>
      <c r="H83" s="247"/>
      <c r="I83" s="246">
        <v>1.096702030951529E8</v>
      </c>
      <c r="J83" s="246">
        <v>7.8131414467282E7</v>
      </c>
      <c r="K83" s="247"/>
      <c r="L83" s="246">
        <v>1.05859220458956E8</v>
      </c>
      <c r="M83" s="246">
        <v>7.274229083663963E7</v>
      </c>
      <c r="N83" s="240">
        <f t="shared" si="9"/>
        <v>0.001468973218</v>
      </c>
      <c r="O83" s="240">
        <f t="shared" si="10"/>
        <v>0.003050791747</v>
      </c>
      <c r="P83" s="240">
        <f t="shared" si="11"/>
        <v>0.003802325184</v>
      </c>
      <c r="Q83" s="240">
        <f t="shared" si="12"/>
        <v>0.002050273549</v>
      </c>
      <c r="R83" s="236">
        <f t="shared" si="13"/>
        <v>103.6436343</v>
      </c>
      <c r="S83" s="177"/>
      <c r="T83" s="233">
        <f t="shared" ref="T83:U83" si="93">IF(AND(C83&lt;&gt;"",F83&lt;&gt;"",I83&lt;&gt;""), SUM(I83,F83,C83,L83),"")</f>
        <v>430014967.7</v>
      </c>
      <c r="U83" s="233">
        <f t="shared" si="93"/>
        <v>349363083.4</v>
      </c>
      <c r="V83" s="233">
        <f t="shared" si="6"/>
        <v>107.5037419</v>
      </c>
      <c r="W83" s="241">
        <f t="shared" si="15"/>
        <v>0.002614673139</v>
      </c>
      <c r="X83" s="241">
        <f t="shared" si="16"/>
        <v>0</v>
      </c>
      <c r="Y83" s="241">
        <f t="shared" si="25"/>
        <v>0.002474833531</v>
      </c>
      <c r="Z83" s="233">
        <f t="shared" si="7"/>
        <v>103.6436343</v>
      </c>
      <c r="AA83" s="165"/>
      <c r="AB83" s="245"/>
      <c r="AC83" s="242" t="str">
        <f>IF(ISTEXT(AB83),VLOOKUP(AB83,'Cadastro dos Ativos'!$A$2:$C$1000,3,0),"")</f>
        <v/>
      </c>
      <c r="AD83" s="242" t="str">
        <f>IF(AB83 &lt;&gt; "",IF(AC83="Futuros", (SUMIFS('Alocação'!$O$3:$O$1002,'Alocação'!$C$3:$C$1002,AB83,'Alocação'!$F$3:$F$1002,AB$9,'Alocação'!$B$3:$B$1002,"&lt;="&amp;$B$4)), (SUMIFS('Alocação'!$O$3:$O$1002,'Alocação'!$C$3:$C$1002,AB83,'Alocação'!$F$3:$F$1002,AB$9,'Alocação'!$B$3:$B$1002,"&lt;="&amp;$B$6))),"")</f>
        <v/>
      </c>
      <c r="AE83" s="243" t="str">
        <f>iferror(IF(AC83="Ações Americanas", HLOOKUP(AB83,'Histórico'!$A$1:$DD$990,MATCH($B$6,'Histórico'!$A:$A),FALSE)*HLOOKUP("PTAX",'Histórico'!$A$1:$FG$983,MATCH($B$6,'Histórico'!$A:$A),FALSE),IF(AC83="Ações Europeias", HLOOKUP(AB83,'Histórico'!$A$1:$DD$990,MATCH($B$6,'Histórico'!$A:$A),FALSE)*HLOOKUP("EUR/BRL",'Histórico'!$A$1:$FG$983,MATCH($B$6,'Histórico'!$A:$A),FALSE), HLOOKUP(AB83,'Histórico'!$A$1:$DD$990,MATCH($B$6,'Histórico'!$A:$A),FALSE))),"")</f>
        <v/>
      </c>
      <c r="AF83" s="243" t="str">
        <f t="shared" si="21"/>
        <v/>
      </c>
      <c r="AG83" s="53"/>
      <c r="AH83" s="245"/>
      <c r="AI83" s="242" t="str">
        <f>IF(ISTEXT(AH83),VLOOKUP(AH83,'Cadastro dos Ativos'!$A$2:$C$1000,3,0),"")</f>
        <v/>
      </c>
      <c r="AJ83" s="242" t="str">
        <f>IF(AH83 &lt;&gt; "",IF(AI83="Futuros", (SUMIFS('Alocação'!$O$3:$O$1002,'Alocação'!$C$3:$C$1002,AH83,'Alocação'!$F$3:$F$1002,AH$9,'Alocação'!$B$3:$B$1002,"&lt;="&amp;$B$4)), (SUMIFS('Alocação'!$O$3:$O$1002,'Alocação'!$C$3:$C$1002,AH83,'Alocação'!$F$3:$F$1002,AH$9,'Alocação'!$B$3:$B$1002,"&lt;="&amp;$B$6))),"")</f>
        <v/>
      </c>
      <c r="AK83" s="243" t="str">
        <f>iferror(IF(AI83="Ações Americanas", HLOOKUP(AH83,'Histórico'!$A$1:$DD$990,MATCH($B$6,'Histórico'!$A:$A),FALSE)*HLOOKUP("PTAX",'Histórico'!$A$1:$FG$983,MATCH($B$6,'Histórico'!$A:$A),FALSE),IF(AI83="Ações Europeias", HLOOKUP(AH83,'Histórico'!$A$1:$DD$990,MATCH($B$6,'Histórico'!$A:$A),FALSE)*HLOOKUP("EUR/BRL",'Histórico'!$A$1:$FG$983,MATCH($B$6,'Histórico'!$A:$A),FALSE),  HLOOKUP(AH83,'Histórico'!$A$1:$DD$990,MATCH($B$6,'Histórico'!$A:$A),FALSE))),"")</f>
        <v/>
      </c>
      <c r="AL83" s="243" t="str">
        <f t="shared" si="17"/>
        <v/>
      </c>
      <c r="AM83" s="53"/>
      <c r="AN83" s="245"/>
      <c r="AO83" s="242" t="str">
        <f>IF(ISTEXT(AN83),VLOOKUP(AN83,'Cadastro dos Ativos'!$A$2:$C$1000,3,0),"")</f>
        <v/>
      </c>
      <c r="AP83" s="242" t="str">
        <f>IF(AN83 &lt;&gt; "",IF(AO83="Futuros", (SUMIFS('Alocação'!$O$3:$O$1002,'Alocação'!$C$3:$C$1002,AN83,'Alocação'!$F$3:$F$1002,AN$9,'Alocação'!$B$3:$B$1002,"&lt;="&amp;$B$4)), (SUMIFS('Alocação'!$O$3:$O$1002,'Alocação'!$C$3:$C$1002,AN83,'Alocação'!$F$3:$F$1002,AN$9,'Alocação'!$B$3:$B$1002,"&lt;="&amp;$B$6))),"")</f>
        <v/>
      </c>
      <c r="AQ83" s="243" t="str">
        <f>iferror(IF(AO83="Ações Americanas", HLOOKUP(AN83,'Histórico'!$A$1:$DD$990,MATCH($B$6,'Histórico'!$A:$A),FALSE)*HLOOKUP("PTAX",'Histórico'!$A$1:$FG$983,MATCH($B$6,'Histórico'!$A:$A),FALSE),IF(AO83="Ações Europeias", HLOOKUP(AN83,'Histórico'!$A$1:$DD$990,MATCH($B$6,'Histórico'!$A:$A),FALSE)*HLOOKUP("EUR/BRL",'Histórico'!$A$1:$FG$983,MATCH($B$6,'Histórico'!$A:$A),FALSE),  HLOOKUP(AN83,'Histórico'!$A$1:$DD$990,MATCH($B$6,'Histórico'!$A:$A),FALSE))),"")</f>
        <v/>
      </c>
      <c r="AR83" s="243" t="str">
        <f t="shared" si="18"/>
        <v/>
      </c>
      <c r="AS83" s="53"/>
      <c r="AT83" s="245"/>
      <c r="AU83" s="242" t="str">
        <f>IF(ISTEXT(AT83),VLOOKUP(AT83,'Cadastro dos Ativos'!$A$2:$C$1000,3,0),"")</f>
        <v/>
      </c>
      <c r="AV83" s="242" t="str">
        <f>IF(AT83 &lt;&gt; "",IF(AU83="Futuros", (SUMIFS('Alocação'!$O$3:$O$1002,'Alocação'!$C$3:$C$1002,AT83,'Alocação'!$F$3:$F$1002,AT$9,'Alocação'!$B$3:$B$1002,"&lt;="&amp;$B$4)), (SUMIFS('Alocação'!$O$3:$O$1002,'Alocação'!$C$3:$C$1002,AT83,'Alocação'!$F$3:$F$1002,AT$9,'Alocação'!$B$3:$B$1002,"&lt;="&amp;$B$6))),"")</f>
        <v/>
      </c>
      <c r="AW83" s="243" t="str">
        <f>iferror(IF(AU83="Ações Americanas", HLOOKUP(AT83,'Histórico'!$A$1:$DD$990,MATCH($B$6,'Histórico'!$A:$A),FALSE)*HLOOKUP("PTAX",'Histórico'!$A$1:$FG$983,MATCH($B$6,'Histórico'!$A:$A),FALSE),IF(AU83="Ações Europeias", HLOOKUP(AT83,'Histórico'!$A$1:$DD$990,MATCH($B$6,'Histórico'!$A:$A),FALSE)*HLOOKUP("EUR/BRL",'Histórico'!$A$1:$FG$983,MATCH($B$6,'Histórico'!$A:$A),FALSE),  HLOOKUP(AT83,'Histórico'!$A$1:$DD$990,MATCH($B$6,'Histórico'!$A:$A),FALSE))),"")</f>
        <v/>
      </c>
      <c r="AX83" s="243" t="str">
        <f t="shared" si="27"/>
        <v/>
      </c>
      <c r="AY83" s="183"/>
    </row>
    <row r="84" ht="15.75" customHeight="1">
      <c r="A84" s="176"/>
      <c r="B84" s="232">
        <v>45113.0</v>
      </c>
      <c r="C84" s="246">
        <v>1.033722259620874E8</v>
      </c>
      <c r="D84" s="246">
        <v>7.937511728988431E7</v>
      </c>
      <c r="E84" s="247"/>
      <c r="F84" s="246">
        <v>1.109732767144116E8</v>
      </c>
      <c r="G84" s="246">
        <v>1.190877898815529E8</v>
      </c>
      <c r="H84" s="247"/>
      <c r="I84" s="246">
        <v>1.093630092294015E8</v>
      </c>
      <c r="J84" s="246">
        <v>7.78544732218932E7</v>
      </c>
      <c r="K84" s="247"/>
      <c r="L84" s="246">
        <v>1.049575703480815E8</v>
      </c>
      <c r="M84" s="246">
        <v>7.27729893827952E7</v>
      </c>
      <c r="N84" s="240">
        <f t="shared" si="9"/>
        <v>-0.001122339944</v>
      </c>
      <c r="O84" s="240">
        <f t="shared" si="10"/>
        <v>-0.0002152519023</v>
      </c>
      <c r="P84" s="240">
        <f t="shared" si="11"/>
        <v>-0.002801069544</v>
      </c>
      <c r="Q84" s="240">
        <f t="shared" si="12"/>
        <v>-0.008517445216</v>
      </c>
      <c r="R84" s="236">
        <f t="shared" si="13"/>
        <v>103.6944581</v>
      </c>
      <c r="S84" s="177"/>
      <c r="T84" s="233">
        <f t="shared" ref="T84:U84" si="94">IF(AND(C84&lt;&gt;"",F84&lt;&gt;"",I84&lt;&gt;""), SUM(I84,F84,C84,L84),"")</f>
        <v>428666082.3</v>
      </c>
      <c r="U84" s="233">
        <f t="shared" si="94"/>
        <v>349090369.8</v>
      </c>
      <c r="V84" s="233">
        <f t="shared" si="6"/>
        <v>107.1665206</v>
      </c>
      <c r="W84" s="241">
        <f t="shared" si="15"/>
        <v>-0.003136833754</v>
      </c>
      <c r="X84" s="241">
        <f t="shared" si="16"/>
        <v>-0.003136833754</v>
      </c>
      <c r="Y84" s="241">
        <f t="shared" si="25"/>
        <v>0.002436633592</v>
      </c>
      <c r="Z84" s="233">
        <f t="shared" si="7"/>
        <v>103.6944581</v>
      </c>
      <c r="AA84" s="165"/>
      <c r="AB84" s="245"/>
      <c r="AC84" s="242" t="str">
        <f>IF(ISTEXT(AB84),VLOOKUP(AB84,'Cadastro dos Ativos'!$A$2:$C$1000,3,0),"")</f>
        <v/>
      </c>
      <c r="AD84" s="242" t="str">
        <f>IF(AB84 &lt;&gt; "",IF(AC84="Futuros", (SUMIFS('Alocação'!$O$3:$O$1002,'Alocação'!$C$3:$C$1002,AB84,'Alocação'!$F$3:$F$1002,AB$9,'Alocação'!$B$3:$B$1002,"&lt;="&amp;$B$4)), (SUMIFS('Alocação'!$O$3:$O$1002,'Alocação'!$C$3:$C$1002,AB84,'Alocação'!$F$3:$F$1002,AB$9,'Alocação'!$B$3:$B$1002,"&lt;="&amp;$B$6))),"")</f>
        <v/>
      </c>
      <c r="AE84" s="243" t="str">
        <f>iferror(IF(AC84="Ações Americanas", HLOOKUP(AB84,'Histórico'!$A$1:$DD$990,MATCH($B$6,'Histórico'!$A:$A),FALSE)*HLOOKUP("PTAX",'Histórico'!$A$1:$FG$983,MATCH($B$6,'Histórico'!$A:$A),FALSE),IF(AC84="Ações Europeias", HLOOKUP(AB84,'Histórico'!$A$1:$DD$990,MATCH($B$6,'Histórico'!$A:$A),FALSE)*HLOOKUP("EUR/BRL",'Histórico'!$A$1:$FG$983,MATCH($B$6,'Histórico'!$A:$A),FALSE), HLOOKUP(AB84,'Histórico'!$A$1:$DD$990,MATCH($B$6,'Histórico'!$A:$A),FALSE))),"")</f>
        <v/>
      </c>
      <c r="AF84" s="243" t="str">
        <f t="shared" si="21"/>
        <v/>
      </c>
      <c r="AG84" s="53"/>
      <c r="AH84" s="245"/>
      <c r="AI84" s="242" t="str">
        <f>IF(ISTEXT(AH84),VLOOKUP(AH84,'Cadastro dos Ativos'!$A$2:$C$1000,3,0),"")</f>
        <v/>
      </c>
      <c r="AJ84" s="242" t="str">
        <f>IF(AH84 &lt;&gt; "",IF(AI84="Futuros", (SUMIFS('Alocação'!$O$3:$O$1002,'Alocação'!$C$3:$C$1002,AH84,'Alocação'!$F$3:$F$1002,AH$9,'Alocação'!$B$3:$B$1002,"&lt;="&amp;$B$4)), (SUMIFS('Alocação'!$O$3:$O$1002,'Alocação'!$C$3:$C$1002,AH84,'Alocação'!$F$3:$F$1002,AH$9,'Alocação'!$B$3:$B$1002,"&lt;="&amp;$B$6))),"")</f>
        <v/>
      </c>
      <c r="AK84" s="243" t="str">
        <f>iferror(IF(AI84="Ações Americanas", HLOOKUP(AH84,'Histórico'!$A$1:$DD$990,MATCH($B$6,'Histórico'!$A:$A),FALSE)*HLOOKUP("PTAX",'Histórico'!$A$1:$FG$983,MATCH($B$6,'Histórico'!$A:$A),FALSE),IF(AI84="Ações Europeias", HLOOKUP(AH84,'Histórico'!$A$1:$DD$990,MATCH($B$6,'Histórico'!$A:$A),FALSE)*HLOOKUP("EUR/BRL",'Histórico'!$A$1:$FG$983,MATCH($B$6,'Histórico'!$A:$A),FALSE),  HLOOKUP(AH84,'Histórico'!$A$1:$DD$990,MATCH($B$6,'Histórico'!$A:$A),FALSE))),"")</f>
        <v/>
      </c>
      <c r="AL84" s="243" t="str">
        <f t="shared" si="17"/>
        <v/>
      </c>
      <c r="AM84" s="53"/>
      <c r="AN84" s="245"/>
      <c r="AO84" s="242" t="str">
        <f>IF(ISTEXT(AN84),VLOOKUP(AN84,'Cadastro dos Ativos'!$A$2:$C$1000,3,0),"")</f>
        <v/>
      </c>
      <c r="AP84" s="242" t="str">
        <f>IF(AN84 &lt;&gt; "",IF(AO84="Futuros", (SUMIFS('Alocação'!$O$3:$O$1002,'Alocação'!$C$3:$C$1002,AN84,'Alocação'!$F$3:$F$1002,AN$9,'Alocação'!$B$3:$B$1002,"&lt;="&amp;$B$4)), (SUMIFS('Alocação'!$O$3:$O$1002,'Alocação'!$C$3:$C$1002,AN84,'Alocação'!$F$3:$F$1002,AN$9,'Alocação'!$B$3:$B$1002,"&lt;="&amp;$B$6))),"")</f>
        <v/>
      </c>
      <c r="AQ84" s="243" t="str">
        <f>iferror(IF(AO84="Ações Americanas", HLOOKUP(AN84,'Histórico'!$A$1:$DD$990,MATCH($B$6,'Histórico'!$A:$A),FALSE)*HLOOKUP("PTAX",'Histórico'!$A$1:$FG$983,MATCH($B$6,'Histórico'!$A:$A),FALSE),IF(AO84="Ações Europeias", HLOOKUP(AN84,'Histórico'!$A$1:$DD$990,MATCH($B$6,'Histórico'!$A:$A),FALSE)*HLOOKUP("EUR/BRL",'Histórico'!$A$1:$FG$983,MATCH($B$6,'Histórico'!$A:$A),FALSE),  HLOOKUP(AN84,'Histórico'!$A$1:$DD$990,MATCH($B$6,'Histórico'!$A:$A),FALSE))),"")</f>
        <v/>
      </c>
      <c r="AR84" s="243" t="str">
        <f t="shared" si="18"/>
        <v/>
      </c>
      <c r="AS84" s="53"/>
      <c r="AT84" s="245"/>
      <c r="AU84" s="242" t="str">
        <f>IF(ISTEXT(AT84),VLOOKUP(AT84,'Cadastro dos Ativos'!$A$2:$C$1000,3,0),"")</f>
        <v/>
      </c>
      <c r="AV84" s="242" t="str">
        <f>IF(AT84 &lt;&gt; "",IF(AU84="Futuros", (SUMIFS('Alocação'!$O$3:$O$1002,'Alocação'!$C$3:$C$1002,AT84,'Alocação'!$F$3:$F$1002,AT$9,'Alocação'!$B$3:$B$1002,"&lt;="&amp;$B$4)), (SUMIFS('Alocação'!$O$3:$O$1002,'Alocação'!$C$3:$C$1002,AT84,'Alocação'!$F$3:$F$1002,AT$9,'Alocação'!$B$3:$B$1002,"&lt;="&amp;$B$6))),"")</f>
        <v/>
      </c>
      <c r="AW84" s="243" t="str">
        <f>iferror(IF(AU84="Ações Americanas", HLOOKUP(AT84,'Histórico'!$A$1:$DD$990,MATCH($B$6,'Histórico'!$A:$A),FALSE)*HLOOKUP("PTAX",'Histórico'!$A$1:$FG$983,MATCH($B$6,'Histórico'!$A:$A),FALSE),IF(AU84="Ações Europeias", HLOOKUP(AT84,'Histórico'!$A$1:$DD$990,MATCH($B$6,'Histórico'!$A:$A),FALSE)*HLOOKUP("EUR/BRL",'Histórico'!$A$1:$FG$983,MATCH($B$6,'Histórico'!$A:$A),FALSE),  HLOOKUP(AT84,'Histórico'!$A$1:$DD$990,MATCH($B$6,'Histórico'!$A:$A),FALSE))),"")</f>
        <v/>
      </c>
      <c r="AX84" s="243" t="str">
        <f t="shared" si="27"/>
        <v/>
      </c>
      <c r="AY84" s="183"/>
    </row>
    <row r="85" ht="15.75" customHeight="1">
      <c r="A85" s="176"/>
      <c r="B85" s="232">
        <v>45114.0</v>
      </c>
      <c r="C85" s="246">
        <v>1.035602641121708E8</v>
      </c>
      <c r="D85" s="246">
        <v>7.940932272730532E7</v>
      </c>
      <c r="E85" s="247"/>
      <c r="F85" s="246">
        <v>1.104243963733817E8</v>
      </c>
      <c r="G85" s="246">
        <v>1.186615049941362E8</v>
      </c>
      <c r="H85" s="247"/>
      <c r="I85" s="246">
        <v>1.084850050117939E8</v>
      </c>
      <c r="J85" s="246">
        <v>7.685949119791631E7</v>
      </c>
      <c r="K85" s="247"/>
      <c r="L85" s="246">
        <v>1.059812284385593E8</v>
      </c>
      <c r="M85" s="246">
        <v>7.280374806373477E7</v>
      </c>
      <c r="N85" s="240">
        <f t="shared" si="9"/>
        <v>0.001819039383</v>
      </c>
      <c r="O85" s="240">
        <f t="shared" si="10"/>
        <v>-0.004946058702</v>
      </c>
      <c r="P85" s="240">
        <f t="shared" si="11"/>
        <v>-0.008028347279</v>
      </c>
      <c r="Q85" s="240">
        <f t="shared" si="12"/>
        <v>0.009753065806</v>
      </c>
      <c r="R85" s="236">
        <f t="shared" si="13"/>
        <v>103.7453067</v>
      </c>
      <c r="S85" s="177"/>
      <c r="T85" s="233">
        <f t="shared" ref="T85:U85" si="95">IF(AND(C85&lt;&gt;"",F85&lt;&gt;"",I85&lt;&gt;""), SUM(I85,F85,C85,L85),"")</f>
        <v>428450893.9</v>
      </c>
      <c r="U85" s="233">
        <f t="shared" si="95"/>
        <v>347734067</v>
      </c>
      <c r="V85" s="233">
        <f t="shared" si="6"/>
        <v>107.1127235</v>
      </c>
      <c r="W85" s="241">
        <f t="shared" si="15"/>
        <v>-0.0005019952056</v>
      </c>
      <c r="X85" s="241">
        <f t="shared" si="16"/>
        <v>-0.003637254284</v>
      </c>
      <c r="Y85" s="241">
        <f t="shared" si="25"/>
        <v>0.002297607515</v>
      </c>
      <c r="Z85" s="233">
        <f t="shared" si="7"/>
        <v>103.7453067</v>
      </c>
      <c r="AA85" s="165"/>
      <c r="AB85" s="245"/>
      <c r="AC85" s="242" t="str">
        <f>IF(ISTEXT(AB85),VLOOKUP(AB85,'Cadastro dos Ativos'!$A$2:$C$1000,3,0),"")</f>
        <v/>
      </c>
      <c r="AD85" s="242" t="str">
        <f>IF(AB85 &lt;&gt; "",IF(AC85="Futuros", (SUMIFS('Alocação'!$O$3:$O$1002,'Alocação'!$C$3:$C$1002,AB85,'Alocação'!$F$3:$F$1002,AB$9,'Alocação'!$B$3:$B$1002,"&lt;="&amp;$B$4)), (SUMIFS('Alocação'!$O$3:$O$1002,'Alocação'!$C$3:$C$1002,AB85,'Alocação'!$F$3:$F$1002,AB$9,'Alocação'!$B$3:$B$1002,"&lt;="&amp;$B$6))),"")</f>
        <v/>
      </c>
      <c r="AE85" s="243" t="str">
        <f>iferror(IF(AC85="Ações Americanas", HLOOKUP(AB85,'Histórico'!$A$1:$DD$990,MATCH($B$6,'Histórico'!$A:$A),FALSE)*HLOOKUP("PTAX",'Histórico'!$A$1:$FG$983,MATCH($B$6,'Histórico'!$A:$A),FALSE),IF(AC85="Ações Europeias", HLOOKUP(AB85,'Histórico'!$A$1:$DD$990,MATCH($B$6,'Histórico'!$A:$A),FALSE)*HLOOKUP("EUR/BRL",'Histórico'!$A$1:$FG$983,MATCH($B$6,'Histórico'!$A:$A),FALSE), HLOOKUP(AB85,'Histórico'!$A$1:$DD$990,MATCH($B$6,'Histórico'!$A:$A),FALSE))),"")</f>
        <v/>
      </c>
      <c r="AF85" s="243" t="str">
        <f t="shared" si="21"/>
        <v/>
      </c>
      <c r="AG85" s="53"/>
      <c r="AH85" s="245"/>
      <c r="AI85" s="242" t="str">
        <f>IF(ISTEXT(AH85),VLOOKUP(AH85,'Cadastro dos Ativos'!$A$2:$C$1000,3,0),"")</f>
        <v/>
      </c>
      <c r="AJ85" s="242" t="str">
        <f>IF(AH85 &lt;&gt; "",IF(AI85="Futuros", (SUMIFS('Alocação'!$O$3:$O$1002,'Alocação'!$C$3:$C$1002,AH85,'Alocação'!$F$3:$F$1002,AH$9,'Alocação'!$B$3:$B$1002,"&lt;="&amp;$B$4)), (SUMIFS('Alocação'!$O$3:$O$1002,'Alocação'!$C$3:$C$1002,AH85,'Alocação'!$F$3:$F$1002,AH$9,'Alocação'!$B$3:$B$1002,"&lt;="&amp;$B$6))),"")</f>
        <v/>
      </c>
      <c r="AK85" s="243" t="str">
        <f>iferror(IF(AI85="Ações Americanas", HLOOKUP(AH85,'Histórico'!$A$1:$DD$990,MATCH($B$6,'Histórico'!$A:$A),FALSE)*HLOOKUP("PTAX",'Histórico'!$A$1:$FG$983,MATCH($B$6,'Histórico'!$A:$A),FALSE),IF(AI85="Ações Europeias", HLOOKUP(AH85,'Histórico'!$A$1:$DD$990,MATCH($B$6,'Histórico'!$A:$A),FALSE)*HLOOKUP("EUR/BRL",'Histórico'!$A$1:$FG$983,MATCH($B$6,'Histórico'!$A:$A),FALSE),  HLOOKUP(AH85,'Histórico'!$A$1:$DD$990,MATCH($B$6,'Histórico'!$A:$A),FALSE))),"")</f>
        <v/>
      </c>
      <c r="AL85" s="243" t="str">
        <f t="shared" si="17"/>
        <v/>
      </c>
      <c r="AM85" s="53"/>
      <c r="AN85" s="245"/>
      <c r="AO85" s="242" t="str">
        <f>IF(ISTEXT(AN85),VLOOKUP(AN85,'Cadastro dos Ativos'!$A$2:$C$1000,3,0),"")</f>
        <v/>
      </c>
      <c r="AP85" s="242" t="str">
        <f>IF(AN85 &lt;&gt; "",IF(AO85="Futuros", (SUMIFS('Alocação'!$O$3:$O$1002,'Alocação'!$C$3:$C$1002,AN85,'Alocação'!$F$3:$F$1002,AN$9,'Alocação'!$B$3:$B$1002,"&lt;="&amp;$B$4)), (SUMIFS('Alocação'!$O$3:$O$1002,'Alocação'!$C$3:$C$1002,AN85,'Alocação'!$F$3:$F$1002,AN$9,'Alocação'!$B$3:$B$1002,"&lt;="&amp;$B$6))),"")</f>
        <v/>
      </c>
      <c r="AQ85" s="243" t="str">
        <f>iferror(IF(AO85="Ações Americanas", HLOOKUP(AN85,'Histórico'!$A$1:$DD$990,MATCH($B$6,'Histórico'!$A:$A),FALSE)*HLOOKUP("PTAX",'Histórico'!$A$1:$FG$983,MATCH($B$6,'Histórico'!$A:$A),FALSE),IF(AO85="Ações Europeias", HLOOKUP(AN85,'Histórico'!$A$1:$DD$990,MATCH($B$6,'Histórico'!$A:$A),FALSE)*HLOOKUP("EUR/BRL",'Histórico'!$A$1:$FG$983,MATCH($B$6,'Histórico'!$A:$A),FALSE),  HLOOKUP(AN85,'Histórico'!$A$1:$DD$990,MATCH($B$6,'Histórico'!$A:$A),FALSE))),"")</f>
        <v/>
      </c>
      <c r="AR85" s="243" t="str">
        <f t="shared" si="18"/>
        <v/>
      </c>
      <c r="AS85" s="53"/>
      <c r="AT85" s="245"/>
      <c r="AU85" s="242" t="str">
        <f>IF(ISTEXT(AT85),VLOOKUP(AT85,'Cadastro dos Ativos'!$A$2:$C$1000,3,0),"")</f>
        <v/>
      </c>
      <c r="AV85" s="242" t="str">
        <f>IF(AT85 &lt;&gt; "",IF(AU85="Futuros", (SUMIFS('Alocação'!$O$3:$O$1002,'Alocação'!$C$3:$C$1002,AT85,'Alocação'!$F$3:$F$1002,AT$9,'Alocação'!$B$3:$B$1002,"&lt;="&amp;$B$4)), (SUMIFS('Alocação'!$O$3:$O$1002,'Alocação'!$C$3:$C$1002,AT85,'Alocação'!$F$3:$F$1002,AT$9,'Alocação'!$B$3:$B$1002,"&lt;="&amp;$B$6))),"")</f>
        <v/>
      </c>
      <c r="AW85" s="243" t="str">
        <f>iferror(IF(AU85="Ações Americanas", HLOOKUP(AT85,'Histórico'!$A$1:$DD$990,MATCH($B$6,'Histórico'!$A:$A),FALSE)*HLOOKUP("PTAX",'Histórico'!$A$1:$FG$983,MATCH($B$6,'Histórico'!$A:$A),FALSE),IF(AU85="Ações Europeias", HLOOKUP(AT85,'Histórico'!$A$1:$DD$990,MATCH($B$6,'Histórico'!$A:$A),FALSE)*HLOOKUP("EUR/BRL",'Histórico'!$A$1:$FG$983,MATCH($B$6,'Histórico'!$A:$A),FALSE),  HLOOKUP(AT85,'Histórico'!$A$1:$DD$990,MATCH($B$6,'Histórico'!$A:$A),FALSE))),"")</f>
        <v/>
      </c>
      <c r="AX85" s="243" t="str">
        <f t="shared" si="27"/>
        <v/>
      </c>
      <c r="AY85" s="183"/>
    </row>
    <row r="86" ht="15.75" customHeight="1">
      <c r="A86" s="176"/>
      <c r="B86" s="232">
        <v>45117.0</v>
      </c>
      <c r="C86" s="246">
        <v>1.03518675793991E8</v>
      </c>
      <c r="D86" s="246">
        <v>1.035186957139911E8</v>
      </c>
      <c r="E86" s="247"/>
      <c r="F86" s="246">
        <v>1.104997215511321E8</v>
      </c>
      <c r="G86" s="246">
        <v>1.104997414711321E8</v>
      </c>
      <c r="H86" s="247"/>
      <c r="I86" s="246">
        <v>1.085679412889659E8</v>
      </c>
      <c r="J86" s="246">
        <v>1.085679612089659E8</v>
      </c>
      <c r="K86" s="247"/>
      <c r="L86" s="246">
        <v>1.055224916247774E8</v>
      </c>
      <c r="M86" s="246">
        <v>7.283446188504848E7</v>
      </c>
      <c r="N86" s="240">
        <f t="shared" si="9"/>
        <v>-0.0004015856713</v>
      </c>
      <c r="O86" s="240">
        <f t="shared" si="10"/>
        <v>0.0006821425357</v>
      </c>
      <c r="P86" s="240">
        <f t="shared" si="11"/>
        <v>0.0007644953066</v>
      </c>
      <c r="Q86" s="240">
        <f t="shared" si="12"/>
        <v>-0.00432847232</v>
      </c>
      <c r="R86" s="236">
        <f t="shared" si="13"/>
        <v>103.7961803</v>
      </c>
      <c r="S86" s="177"/>
      <c r="T86" s="233">
        <f t="shared" ref="T86:U86" si="96">IF(AND(C86&lt;&gt;"",F86&lt;&gt;"",I86&lt;&gt;""), SUM(I86,F86,C86,L86),"")</f>
        <v>428108830.3</v>
      </c>
      <c r="U86" s="233">
        <f t="shared" si="96"/>
        <v>395420860.3</v>
      </c>
      <c r="V86" s="233">
        <f t="shared" si="6"/>
        <v>107.0272076</v>
      </c>
      <c r="W86" s="241">
        <f t="shared" si="15"/>
        <v>-0.0007983731202</v>
      </c>
      <c r="X86" s="241">
        <f t="shared" si="16"/>
        <v>-0.004432723518</v>
      </c>
      <c r="Y86" s="241">
        <f t="shared" si="25"/>
        <v>0.002046354161</v>
      </c>
      <c r="Z86" s="233">
        <f t="shared" si="7"/>
        <v>103.7961803</v>
      </c>
      <c r="AA86" s="165"/>
      <c r="AB86" s="245"/>
      <c r="AC86" s="242" t="str">
        <f>IF(ISTEXT(AB86),VLOOKUP(AB86,'Cadastro dos Ativos'!$A$2:$C$1000,3,0),"")</f>
        <v/>
      </c>
      <c r="AD86" s="242" t="str">
        <f>IF(AB86 &lt;&gt; "",IF(AC86="Futuros", (SUMIFS('Alocação'!$O$3:$O$1002,'Alocação'!$C$3:$C$1002,AB86,'Alocação'!$F$3:$F$1002,AB$9,'Alocação'!$B$3:$B$1002,"&lt;="&amp;$B$4)), (SUMIFS('Alocação'!$O$3:$O$1002,'Alocação'!$C$3:$C$1002,AB86,'Alocação'!$F$3:$F$1002,AB$9,'Alocação'!$B$3:$B$1002,"&lt;="&amp;$B$6))),"")</f>
        <v/>
      </c>
      <c r="AE86" s="243" t="str">
        <f>iferror(IF(AC86="Ações Americanas", HLOOKUP(AB86,'Histórico'!$A$1:$DD$990,MATCH($B$6,'Histórico'!$A:$A),FALSE)*HLOOKUP("PTAX",'Histórico'!$A$1:$FG$983,MATCH($B$6,'Histórico'!$A:$A),FALSE),IF(AC86="Ações Europeias", HLOOKUP(AB86,'Histórico'!$A$1:$DD$990,MATCH($B$6,'Histórico'!$A:$A),FALSE)*HLOOKUP("EUR/BRL",'Histórico'!$A$1:$FG$983,MATCH($B$6,'Histórico'!$A:$A),FALSE), HLOOKUP(AB86,'Histórico'!$A$1:$DD$990,MATCH($B$6,'Histórico'!$A:$A),FALSE))),"")</f>
        <v/>
      </c>
      <c r="AF86" s="243" t="str">
        <f t="shared" si="21"/>
        <v/>
      </c>
      <c r="AG86" s="53"/>
      <c r="AH86" s="245"/>
      <c r="AI86" s="242" t="str">
        <f>IF(ISTEXT(AH86),VLOOKUP(AH86,'Cadastro dos Ativos'!$A$2:$C$1000,3,0),"")</f>
        <v/>
      </c>
      <c r="AJ86" s="242" t="str">
        <f>IF(AH86 &lt;&gt; "",IF(AI86="Futuros", (SUMIFS('Alocação'!$O$3:$O$1002,'Alocação'!$C$3:$C$1002,AH86,'Alocação'!$F$3:$F$1002,AH$9,'Alocação'!$B$3:$B$1002,"&lt;="&amp;$B$4)), (SUMIFS('Alocação'!$O$3:$O$1002,'Alocação'!$C$3:$C$1002,AH86,'Alocação'!$F$3:$F$1002,AH$9,'Alocação'!$B$3:$B$1002,"&lt;="&amp;$B$6))),"")</f>
        <v/>
      </c>
      <c r="AK86" s="243" t="str">
        <f>iferror(IF(AI86="Ações Americanas", HLOOKUP(AH86,'Histórico'!$A$1:$DD$990,MATCH($B$6,'Histórico'!$A:$A),FALSE)*HLOOKUP("PTAX",'Histórico'!$A$1:$FG$983,MATCH($B$6,'Histórico'!$A:$A),FALSE),IF(AI86="Ações Europeias", HLOOKUP(AH86,'Histórico'!$A$1:$DD$990,MATCH($B$6,'Histórico'!$A:$A),FALSE)*HLOOKUP("EUR/BRL",'Histórico'!$A$1:$FG$983,MATCH($B$6,'Histórico'!$A:$A),FALSE),  HLOOKUP(AH86,'Histórico'!$A$1:$DD$990,MATCH($B$6,'Histórico'!$A:$A),FALSE))),"")</f>
        <v/>
      </c>
      <c r="AL86" s="243" t="str">
        <f t="shared" si="17"/>
        <v/>
      </c>
      <c r="AM86" s="53"/>
      <c r="AN86" s="245"/>
      <c r="AO86" s="242" t="str">
        <f>IF(ISTEXT(AN86),VLOOKUP(AN86,'Cadastro dos Ativos'!$A$2:$C$1000,3,0),"")</f>
        <v/>
      </c>
      <c r="AP86" s="242" t="str">
        <f>IF(AN86 &lt;&gt; "",IF(AO86="Futuros", (SUMIFS('Alocação'!$O$3:$O$1002,'Alocação'!$C$3:$C$1002,AN86,'Alocação'!$F$3:$F$1002,AN$9,'Alocação'!$B$3:$B$1002,"&lt;="&amp;$B$4)), (SUMIFS('Alocação'!$O$3:$O$1002,'Alocação'!$C$3:$C$1002,AN86,'Alocação'!$F$3:$F$1002,AN$9,'Alocação'!$B$3:$B$1002,"&lt;="&amp;$B$6))),"")</f>
        <v/>
      </c>
      <c r="AQ86" s="243" t="str">
        <f>iferror(IF(AO86="Ações Americanas", HLOOKUP(AN86,'Histórico'!$A$1:$DD$990,MATCH($B$6,'Histórico'!$A:$A),FALSE)*HLOOKUP("PTAX",'Histórico'!$A$1:$FG$983,MATCH($B$6,'Histórico'!$A:$A),FALSE),IF(AO86="Ações Europeias", HLOOKUP(AN86,'Histórico'!$A$1:$DD$990,MATCH($B$6,'Histórico'!$A:$A),FALSE)*HLOOKUP("EUR/BRL",'Histórico'!$A$1:$FG$983,MATCH($B$6,'Histórico'!$A:$A),FALSE),  HLOOKUP(AN86,'Histórico'!$A$1:$DD$990,MATCH($B$6,'Histórico'!$A:$A),FALSE))),"")</f>
        <v/>
      </c>
      <c r="AR86" s="243" t="str">
        <f t="shared" si="18"/>
        <v/>
      </c>
      <c r="AS86" s="53"/>
      <c r="AT86" s="245"/>
      <c r="AU86" s="242" t="str">
        <f>IF(ISTEXT(AT86),VLOOKUP(AT86,'Cadastro dos Ativos'!$A$2:$C$1000,3,0),"")</f>
        <v/>
      </c>
      <c r="AV86" s="242" t="str">
        <f>IF(AT86 &lt;&gt; "",IF(AU86="Futuros", (SUMIFS('Alocação'!$O$3:$O$1002,'Alocação'!$C$3:$C$1002,AT86,'Alocação'!$F$3:$F$1002,AT$9,'Alocação'!$B$3:$B$1002,"&lt;="&amp;$B$4)), (SUMIFS('Alocação'!$O$3:$O$1002,'Alocação'!$C$3:$C$1002,AT86,'Alocação'!$F$3:$F$1002,AT$9,'Alocação'!$B$3:$B$1002,"&lt;="&amp;$B$6))),"")</f>
        <v/>
      </c>
      <c r="AW86" s="243" t="str">
        <f>iferror(IF(AU86="Ações Americanas", HLOOKUP(AT86,'Histórico'!$A$1:$DD$990,MATCH($B$6,'Histórico'!$A:$A),FALSE)*HLOOKUP("PTAX",'Histórico'!$A$1:$FG$983,MATCH($B$6,'Histórico'!$A:$A),FALSE),IF(AU86="Ações Europeias", HLOOKUP(AT86,'Histórico'!$A$1:$DD$990,MATCH($B$6,'Histórico'!$A:$A),FALSE)*HLOOKUP("EUR/BRL",'Histórico'!$A$1:$FG$983,MATCH($B$6,'Histórico'!$A:$A),FALSE),  HLOOKUP(AT86,'Histórico'!$A$1:$DD$990,MATCH($B$6,'Histórico'!$A:$A),FALSE))),"")</f>
        <v/>
      </c>
      <c r="AX86" s="243" t="str">
        <f t="shared" si="27"/>
        <v/>
      </c>
      <c r="AY86" s="183"/>
    </row>
    <row r="87" ht="15.75" customHeight="1">
      <c r="A87" s="176"/>
      <c r="B87" s="232">
        <v>45118.0</v>
      </c>
      <c r="C87" s="246">
        <v>1.035651351392479E8</v>
      </c>
      <c r="D87" s="246">
        <v>1.035651545392475E8</v>
      </c>
      <c r="E87" s="234"/>
      <c r="F87" s="246">
        <v>1.10549313965005E8</v>
      </c>
      <c r="G87" s="246">
        <v>1.105493333650046E8</v>
      </c>
      <c r="H87" s="234"/>
      <c r="I87" s="246">
        <v>1.086166667266975E8</v>
      </c>
      <c r="J87" s="246">
        <v>1.086166861266971E8</v>
      </c>
      <c r="K87" s="234"/>
      <c r="L87" s="246">
        <v>1.050920487844078E8</v>
      </c>
      <c r="M87" s="246">
        <v>7.28652184090931E7</v>
      </c>
      <c r="N87" s="240">
        <f t="shared" si="9"/>
        <v>0.00044880158</v>
      </c>
      <c r="O87" s="240">
        <f t="shared" si="10"/>
        <v>0.0004488012565</v>
      </c>
      <c r="P87" s="240">
        <f t="shared" si="11"/>
        <v>0.0004488013418</v>
      </c>
      <c r="Q87" s="240">
        <f t="shared" si="12"/>
        <v>-0.004079157284</v>
      </c>
      <c r="R87" s="236">
        <f t="shared" si="13"/>
        <v>103.8470788</v>
      </c>
      <c r="S87" s="177"/>
      <c r="T87" s="233">
        <f t="shared" ref="T87:U87" si="97">IF(AND(C87&lt;&gt;"",F87&lt;&gt;"",I87&lt;&gt;""), SUM(I87,F87,C87,L87),"")</f>
        <v>427823164.6</v>
      </c>
      <c r="U87" s="233">
        <f t="shared" si="97"/>
        <v>395596392.4</v>
      </c>
      <c r="V87" s="233">
        <f t="shared" si="6"/>
        <v>106.9557912</v>
      </c>
      <c r="W87" s="241">
        <f t="shared" si="15"/>
        <v>-0.0006672734205</v>
      </c>
      <c r="X87" s="241">
        <f t="shared" si="16"/>
        <v>-0.0050970391</v>
      </c>
      <c r="Y87" s="241">
        <f t="shared" si="25"/>
        <v>0.002047624911</v>
      </c>
      <c r="Z87" s="233">
        <f t="shared" si="7"/>
        <v>103.8470788</v>
      </c>
      <c r="AA87" s="165"/>
      <c r="AB87" s="245"/>
      <c r="AC87" s="242" t="str">
        <f>IF(ISTEXT(AB87),VLOOKUP(AB87,'Cadastro dos Ativos'!$A$2:$C$1000,3,0),"")</f>
        <v/>
      </c>
      <c r="AD87" s="242" t="str">
        <f>IF(AB87 &lt;&gt; "",IF(AC87="Futuros", (SUMIFS('Alocação'!$O$3:$O$1002,'Alocação'!$C$3:$C$1002,AB87,'Alocação'!$F$3:$F$1002,AB$9,'Alocação'!$B$3:$B$1002,"&lt;="&amp;$B$4)), (SUMIFS('Alocação'!$O$3:$O$1002,'Alocação'!$C$3:$C$1002,AB87,'Alocação'!$F$3:$F$1002,AB$9,'Alocação'!$B$3:$B$1002,"&lt;="&amp;$B$6))),"")</f>
        <v/>
      </c>
      <c r="AE87" s="243" t="str">
        <f>iferror(IF(AC87="Ações Americanas", HLOOKUP(AB87,'Histórico'!$A$1:$DD$990,MATCH($B$6,'Histórico'!$A:$A),FALSE)*HLOOKUP("PTAX",'Histórico'!$A$1:$FG$983,MATCH($B$6,'Histórico'!$A:$A),FALSE),IF(AC87="Ações Europeias", HLOOKUP(AB87,'Histórico'!$A$1:$DD$990,MATCH($B$6,'Histórico'!$A:$A),FALSE)*HLOOKUP("EUR/BRL",'Histórico'!$A$1:$FG$983,MATCH($B$6,'Histórico'!$A:$A),FALSE), HLOOKUP(AB87,'Histórico'!$A$1:$DD$990,MATCH($B$6,'Histórico'!$A:$A),FALSE))),"")</f>
        <v/>
      </c>
      <c r="AF87" s="243" t="str">
        <f t="shared" si="21"/>
        <v/>
      </c>
      <c r="AG87" s="53"/>
      <c r="AH87" s="245"/>
      <c r="AI87" s="242" t="str">
        <f>IF(ISTEXT(AH87),VLOOKUP(AH87,'Cadastro dos Ativos'!$A$2:$C$1000,3,0),"")</f>
        <v/>
      </c>
      <c r="AJ87" s="242" t="str">
        <f>IF(AH87 &lt;&gt; "",IF(AI87="Futuros", (SUMIFS('Alocação'!$O$3:$O$1002,'Alocação'!$C$3:$C$1002,AH87,'Alocação'!$F$3:$F$1002,AH$9,'Alocação'!$B$3:$B$1002,"&lt;="&amp;$B$4)), (SUMIFS('Alocação'!$O$3:$O$1002,'Alocação'!$C$3:$C$1002,AH87,'Alocação'!$F$3:$F$1002,AH$9,'Alocação'!$B$3:$B$1002,"&lt;="&amp;$B$6))),"")</f>
        <v/>
      </c>
      <c r="AK87" s="243" t="str">
        <f>iferror(IF(AI87="Ações Americanas", HLOOKUP(AH87,'Histórico'!$A$1:$DD$990,MATCH($B$6,'Histórico'!$A:$A),FALSE)*HLOOKUP("PTAX",'Histórico'!$A$1:$FG$983,MATCH($B$6,'Histórico'!$A:$A),FALSE),IF(AI87="Ações Europeias", HLOOKUP(AH87,'Histórico'!$A$1:$DD$990,MATCH($B$6,'Histórico'!$A:$A),FALSE)*HLOOKUP("EUR/BRL",'Histórico'!$A$1:$FG$983,MATCH($B$6,'Histórico'!$A:$A),FALSE),  HLOOKUP(AH87,'Histórico'!$A$1:$DD$990,MATCH($B$6,'Histórico'!$A:$A),FALSE))),"")</f>
        <v/>
      </c>
      <c r="AL87" s="243" t="str">
        <f t="shared" si="17"/>
        <v/>
      </c>
      <c r="AM87" s="53"/>
      <c r="AN87" s="245"/>
      <c r="AO87" s="242" t="str">
        <f>IF(ISTEXT(AN87),VLOOKUP(AN87,'Cadastro dos Ativos'!$A$2:$C$1000,3,0),"")</f>
        <v/>
      </c>
      <c r="AP87" s="242" t="str">
        <f>IF(AN87 &lt;&gt; "",IF(AO87="Futuros", (SUMIFS('Alocação'!$O$3:$O$1002,'Alocação'!$C$3:$C$1002,AN87,'Alocação'!$F$3:$F$1002,AN$9,'Alocação'!$B$3:$B$1002,"&lt;="&amp;$B$4)), (SUMIFS('Alocação'!$O$3:$O$1002,'Alocação'!$C$3:$C$1002,AN87,'Alocação'!$F$3:$F$1002,AN$9,'Alocação'!$B$3:$B$1002,"&lt;="&amp;$B$6))),"")</f>
        <v/>
      </c>
      <c r="AQ87" s="243" t="str">
        <f>iferror(IF(AO87="Ações Americanas", HLOOKUP(AN87,'Histórico'!$A$1:$DD$990,MATCH($B$6,'Histórico'!$A:$A),FALSE)*HLOOKUP("PTAX",'Histórico'!$A$1:$FG$983,MATCH($B$6,'Histórico'!$A:$A),FALSE),IF(AO87="Ações Europeias", HLOOKUP(AN87,'Histórico'!$A$1:$DD$990,MATCH($B$6,'Histórico'!$A:$A),FALSE)*HLOOKUP("EUR/BRL",'Histórico'!$A$1:$FG$983,MATCH($B$6,'Histórico'!$A:$A),FALSE),  HLOOKUP(AN87,'Histórico'!$A$1:$DD$990,MATCH($B$6,'Histórico'!$A:$A),FALSE))),"")</f>
        <v/>
      </c>
      <c r="AR87" s="243" t="str">
        <f t="shared" si="18"/>
        <v/>
      </c>
      <c r="AS87" s="53"/>
      <c r="AT87" s="245"/>
      <c r="AU87" s="242" t="str">
        <f>IF(ISTEXT(AT87),VLOOKUP(AT87,'Cadastro dos Ativos'!$A$2:$C$1000,3,0),"")</f>
        <v/>
      </c>
      <c r="AV87" s="242" t="str">
        <f>IF(AT87 &lt;&gt; "",IF(AU87="Futuros", (SUMIFS('Alocação'!$O$3:$O$1002,'Alocação'!$C$3:$C$1002,AT87,'Alocação'!$F$3:$F$1002,AT$9,'Alocação'!$B$3:$B$1002,"&lt;="&amp;$B$4)), (SUMIFS('Alocação'!$O$3:$O$1002,'Alocação'!$C$3:$C$1002,AT87,'Alocação'!$F$3:$F$1002,AT$9,'Alocação'!$B$3:$B$1002,"&lt;="&amp;$B$6))),"")</f>
        <v/>
      </c>
      <c r="AW87" s="243" t="str">
        <f>iferror(IF(AU87="Ações Americanas", HLOOKUP(AT87,'Histórico'!$A$1:$DD$990,MATCH($B$6,'Histórico'!$A:$A),FALSE)*HLOOKUP("PTAX",'Histórico'!$A$1:$FG$983,MATCH($B$6,'Histórico'!$A:$A),FALSE),IF(AU87="Ações Europeias", HLOOKUP(AT87,'Histórico'!$A$1:$DD$990,MATCH($B$6,'Histórico'!$A:$A),FALSE)*HLOOKUP("EUR/BRL",'Histórico'!$A$1:$FG$983,MATCH($B$6,'Histórico'!$A:$A),FALSE),  HLOOKUP(AT87,'Histórico'!$A$1:$DD$990,MATCH($B$6,'Histórico'!$A:$A),FALSE))),"")</f>
        <v/>
      </c>
      <c r="AX87" s="243" t="str">
        <f t="shared" si="27"/>
        <v/>
      </c>
      <c r="AY87" s="183"/>
    </row>
    <row r="88" ht="15.75" customHeight="1">
      <c r="A88" s="176"/>
      <c r="B88" s="232">
        <v>45119.0</v>
      </c>
      <c r="C88" s="246">
        <v>1.036116156450298E8</v>
      </c>
      <c r="D88" s="246">
        <v>1.036116342150294E8</v>
      </c>
      <c r="E88" s="234"/>
      <c r="F88" s="246">
        <v>1.105989289455131E8</v>
      </c>
      <c r="G88" s="246">
        <v>1.105989475155127E8</v>
      </c>
      <c r="H88" s="234"/>
      <c r="I88" s="246">
        <v>1.086654143419684E8</v>
      </c>
      <c r="J88" s="246">
        <v>1.086654329119681E8</v>
      </c>
      <c r="K88" s="247"/>
      <c r="L88" s="246">
        <v>1.049576474917611E8</v>
      </c>
      <c r="M88" s="246">
        <v>7.289601598584835E7</v>
      </c>
      <c r="N88" s="240">
        <f t="shared" si="9"/>
        <v>0.0004488045684</v>
      </c>
      <c r="O88" s="240">
        <f t="shared" si="10"/>
        <v>0.0004488040561</v>
      </c>
      <c r="P88" s="240">
        <f t="shared" si="11"/>
        <v>0.0004488041913</v>
      </c>
      <c r="Q88" s="240">
        <f t="shared" si="12"/>
        <v>-0.001278891164</v>
      </c>
      <c r="R88" s="236">
        <f t="shared" si="13"/>
        <v>103.8980023</v>
      </c>
      <c r="S88" s="177"/>
      <c r="T88" s="233">
        <f t="shared" ref="T88:U88" si="98">IF(AND(C88&lt;&gt;"",F88&lt;&gt;"",I88&lt;&gt;""), SUM(I88,F88,C88,L88),"")</f>
        <v>427833606.4</v>
      </c>
      <c r="U88" s="233">
        <f t="shared" si="98"/>
        <v>395772030.6</v>
      </c>
      <c r="V88" s="233">
        <f t="shared" si="6"/>
        <v>106.9584016</v>
      </c>
      <c r="W88" s="241">
        <f t="shared" si="15"/>
        <v>0.00002440683389</v>
      </c>
      <c r="X88" s="241">
        <f t="shared" si="16"/>
        <v>-0.005072756669</v>
      </c>
      <c r="Y88" s="241">
        <f t="shared" si="25"/>
        <v>0.001226127523</v>
      </c>
      <c r="Z88" s="233">
        <f t="shared" si="7"/>
        <v>103.8980023</v>
      </c>
      <c r="AA88" s="165"/>
      <c r="AB88" s="245"/>
      <c r="AC88" s="242" t="str">
        <f>IF(ISTEXT(AB88),VLOOKUP(AB88,'Cadastro dos Ativos'!$A$2:$C$1000,3,0),"")</f>
        <v/>
      </c>
      <c r="AD88" s="242" t="str">
        <f>IF(AB88 &lt;&gt; "",IF(AC88="Futuros", (SUMIFS('Alocação'!$O$3:$O$1002,'Alocação'!$C$3:$C$1002,AB88,'Alocação'!$F$3:$F$1002,AB$9,'Alocação'!$B$3:$B$1002,"&lt;="&amp;$B$4)), (SUMIFS('Alocação'!$O$3:$O$1002,'Alocação'!$C$3:$C$1002,AB88,'Alocação'!$F$3:$F$1002,AB$9,'Alocação'!$B$3:$B$1002,"&lt;="&amp;$B$6))),"")</f>
        <v/>
      </c>
      <c r="AE88" s="243" t="str">
        <f>iferror(IF(AC88="Ações Americanas", HLOOKUP(AB88,'Histórico'!$A$1:$DD$990,MATCH($B$6,'Histórico'!$A:$A),FALSE)*HLOOKUP("PTAX",'Histórico'!$A$1:$FG$983,MATCH($B$6,'Histórico'!$A:$A),FALSE),IF(AC88="Ações Europeias", HLOOKUP(AB88,'Histórico'!$A$1:$DD$990,MATCH($B$6,'Histórico'!$A:$A),FALSE)*HLOOKUP("EUR/BRL",'Histórico'!$A$1:$FG$983,MATCH($B$6,'Histórico'!$A:$A),FALSE), HLOOKUP(AB88,'Histórico'!$A$1:$DD$990,MATCH($B$6,'Histórico'!$A:$A),FALSE))),"")</f>
        <v/>
      </c>
      <c r="AF88" s="243" t="str">
        <f t="shared" si="21"/>
        <v/>
      </c>
      <c r="AG88" s="53"/>
      <c r="AH88" s="245"/>
      <c r="AI88" s="242" t="str">
        <f>IF(ISTEXT(AH88),VLOOKUP(AH88,'Cadastro dos Ativos'!$A$2:$C$1000,3,0),"")</f>
        <v/>
      </c>
      <c r="AJ88" s="242" t="str">
        <f>IF(AH88 &lt;&gt; "",IF(AI88="Futuros", (SUMIFS('Alocação'!$O$3:$O$1002,'Alocação'!$C$3:$C$1002,AH88,'Alocação'!$F$3:$F$1002,AH$9,'Alocação'!$B$3:$B$1002,"&lt;="&amp;$B$4)), (SUMIFS('Alocação'!$O$3:$O$1002,'Alocação'!$C$3:$C$1002,AH88,'Alocação'!$F$3:$F$1002,AH$9,'Alocação'!$B$3:$B$1002,"&lt;="&amp;$B$6))),"")</f>
        <v/>
      </c>
      <c r="AK88" s="243" t="str">
        <f>iferror(IF(AI88="Ações Americanas", HLOOKUP(AH88,'Histórico'!$A$1:$DD$990,MATCH($B$6,'Histórico'!$A:$A),FALSE)*HLOOKUP("PTAX",'Histórico'!$A$1:$FG$983,MATCH($B$6,'Histórico'!$A:$A),FALSE),IF(AI88="Ações Europeias", HLOOKUP(AH88,'Histórico'!$A$1:$DD$990,MATCH($B$6,'Histórico'!$A:$A),FALSE)*HLOOKUP("EUR/BRL",'Histórico'!$A$1:$FG$983,MATCH($B$6,'Histórico'!$A:$A),FALSE),  HLOOKUP(AH88,'Histórico'!$A$1:$DD$990,MATCH($B$6,'Histórico'!$A:$A),FALSE))),"")</f>
        <v/>
      </c>
      <c r="AL88" s="243" t="str">
        <f t="shared" si="17"/>
        <v/>
      </c>
      <c r="AM88" s="53"/>
      <c r="AN88" s="245"/>
      <c r="AO88" s="242" t="str">
        <f>IF(ISTEXT(AN88),VLOOKUP(AN88,'Cadastro dos Ativos'!$A$2:$C$1000,3,0),"")</f>
        <v/>
      </c>
      <c r="AP88" s="242" t="str">
        <f>IF(AN88 &lt;&gt; "",IF(AO88="Futuros", (SUMIFS('Alocação'!$O$3:$O$1002,'Alocação'!$C$3:$C$1002,AN88,'Alocação'!$F$3:$F$1002,AN$9,'Alocação'!$B$3:$B$1002,"&lt;="&amp;$B$4)), (SUMIFS('Alocação'!$O$3:$O$1002,'Alocação'!$C$3:$C$1002,AN88,'Alocação'!$F$3:$F$1002,AN$9,'Alocação'!$B$3:$B$1002,"&lt;="&amp;$B$6))),"")</f>
        <v/>
      </c>
      <c r="AQ88" s="243" t="str">
        <f>iferror(IF(AO88="Ações Americanas", HLOOKUP(AN88,'Histórico'!$A$1:$DD$990,MATCH($B$6,'Histórico'!$A:$A),FALSE)*HLOOKUP("PTAX",'Histórico'!$A$1:$FG$983,MATCH($B$6,'Histórico'!$A:$A),FALSE),IF(AO88="Ações Europeias", HLOOKUP(AN88,'Histórico'!$A$1:$DD$990,MATCH($B$6,'Histórico'!$A:$A),FALSE)*HLOOKUP("EUR/BRL",'Histórico'!$A$1:$FG$983,MATCH($B$6,'Histórico'!$A:$A),FALSE),  HLOOKUP(AN88,'Histórico'!$A$1:$DD$990,MATCH($B$6,'Histórico'!$A:$A),FALSE))),"")</f>
        <v/>
      </c>
      <c r="AR88" s="243" t="str">
        <f t="shared" si="18"/>
        <v/>
      </c>
      <c r="AS88" s="53"/>
      <c r="AT88" s="245"/>
      <c r="AU88" s="242" t="str">
        <f>IF(ISTEXT(AT88),VLOOKUP(AT88,'Cadastro dos Ativos'!$A$2:$C$1000,3,0),"")</f>
        <v/>
      </c>
      <c r="AV88" s="242" t="str">
        <f>IF(AT88 &lt;&gt; "",IF(AU88="Futuros", (SUMIFS('Alocação'!$O$3:$O$1002,'Alocação'!$C$3:$C$1002,AT88,'Alocação'!$F$3:$F$1002,AT$9,'Alocação'!$B$3:$B$1002,"&lt;="&amp;$B$4)), (SUMIFS('Alocação'!$O$3:$O$1002,'Alocação'!$C$3:$C$1002,AT88,'Alocação'!$F$3:$F$1002,AT$9,'Alocação'!$B$3:$B$1002,"&lt;="&amp;$B$6))),"")</f>
        <v/>
      </c>
      <c r="AW88" s="243" t="str">
        <f>iferror(IF(AU88="Ações Americanas", HLOOKUP(AT88,'Histórico'!$A$1:$DD$990,MATCH($B$6,'Histórico'!$A:$A),FALSE)*HLOOKUP("PTAX",'Histórico'!$A$1:$FG$983,MATCH($B$6,'Histórico'!$A:$A),FALSE),IF(AU88="Ações Europeias", HLOOKUP(AT88,'Histórico'!$A$1:$DD$990,MATCH($B$6,'Histórico'!$A:$A),FALSE)*HLOOKUP("EUR/BRL",'Histórico'!$A$1:$FG$983,MATCH($B$6,'Histórico'!$A:$A),FALSE),  HLOOKUP(AT88,'Histórico'!$A$1:$DD$990,MATCH($B$6,'Histórico'!$A:$A),FALSE))),"")</f>
        <v/>
      </c>
      <c r="AX88" s="243" t="str">
        <f t="shared" si="27"/>
        <v/>
      </c>
      <c r="AY88" s="183"/>
    </row>
    <row r="89" ht="15.75" customHeight="1">
      <c r="A89" s="176"/>
      <c r="B89" s="232">
        <v>45120.0</v>
      </c>
      <c r="C89" s="246">
        <v>1.036581166406762E8</v>
      </c>
      <c r="D89" s="246">
        <v>1.036581347506762E8</v>
      </c>
      <c r="E89" s="247"/>
      <c r="F89" s="246">
        <v>1.106485658226269E8</v>
      </c>
      <c r="G89" s="246">
        <v>1.106485839326269E8</v>
      </c>
      <c r="H89" s="247"/>
      <c r="I89" s="246">
        <v>1.087141834645748E8</v>
      </c>
      <c r="J89" s="246">
        <v>1.087142015745748E8</v>
      </c>
      <c r="K89" s="247"/>
      <c r="L89" s="246">
        <v>1.049047184528584E8</v>
      </c>
      <c r="M89" s="246">
        <v>7.292683714498116E7</v>
      </c>
      <c r="N89" s="240">
        <f t="shared" si="9"/>
        <v>0.0004488009897</v>
      </c>
      <c r="O89" s="240">
        <f t="shared" si="10"/>
        <v>0.0004488007035</v>
      </c>
      <c r="P89" s="240">
        <f t="shared" si="11"/>
        <v>0.000448800779</v>
      </c>
      <c r="Q89" s="240">
        <f t="shared" si="12"/>
        <v>-0.0005042894936</v>
      </c>
      <c r="R89" s="236">
        <f t="shared" si="13"/>
        <v>103.9489508</v>
      </c>
      <c r="S89" s="177"/>
      <c r="T89" s="233">
        <f t="shared" ref="T89:U89" si="99">IF(AND(C89&lt;&gt;"",F89&lt;&gt;"",I89&lt;&gt;""), SUM(I89,F89,C89,L89),"")</f>
        <v>427925584.4</v>
      </c>
      <c r="U89" s="233">
        <f t="shared" si="99"/>
        <v>395947757.4</v>
      </c>
      <c r="V89" s="233">
        <f t="shared" si="6"/>
        <v>106.9813961</v>
      </c>
      <c r="W89" s="241">
        <f t="shared" si="15"/>
        <v>0.0002149853473</v>
      </c>
      <c r="X89" s="241">
        <f t="shared" si="16"/>
        <v>-0.00485886189</v>
      </c>
      <c r="Y89" s="241">
        <f t="shared" si="25"/>
        <v>0.0004427464637</v>
      </c>
      <c r="Z89" s="233">
        <f t="shared" si="7"/>
        <v>103.9489508</v>
      </c>
      <c r="AA89" s="165"/>
      <c r="AB89" s="245"/>
      <c r="AC89" s="242" t="str">
        <f>IF(ISTEXT(AB89),VLOOKUP(AB89,'Cadastro dos Ativos'!$A$2:$C$1000,3,0),"")</f>
        <v/>
      </c>
      <c r="AD89" s="242" t="str">
        <f>IF(AB89 &lt;&gt; "",IF(AC89="Futuros", (SUMIFS('Alocação'!$O$3:$O$1002,'Alocação'!$C$3:$C$1002,AB89,'Alocação'!$F$3:$F$1002,AB$9,'Alocação'!$B$3:$B$1002,"&lt;="&amp;$B$4)), (SUMIFS('Alocação'!$O$3:$O$1002,'Alocação'!$C$3:$C$1002,AB89,'Alocação'!$F$3:$F$1002,AB$9,'Alocação'!$B$3:$B$1002,"&lt;="&amp;$B$6))),"")</f>
        <v/>
      </c>
      <c r="AE89" s="243" t="str">
        <f>iferror(IF(AC89="Ações Americanas", HLOOKUP(AB89,'Histórico'!$A$1:$DD$990,MATCH($B$6,'Histórico'!$A:$A),FALSE)*HLOOKUP("PTAX",'Histórico'!$A$1:$FG$983,MATCH($B$6,'Histórico'!$A:$A),FALSE),IF(AC89="Ações Europeias", HLOOKUP(AB89,'Histórico'!$A$1:$DD$990,MATCH($B$6,'Histórico'!$A:$A),FALSE)*HLOOKUP("EUR/BRL",'Histórico'!$A$1:$FG$983,MATCH($B$6,'Histórico'!$A:$A),FALSE), HLOOKUP(AB89,'Histórico'!$A$1:$DD$990,MATCH($B$6,'Histórico'!$A:$A),FALSE))),"")</f>
        <v/>
      </c>
      <c r="AF89" s="243" t="str">
        <f t="shared" si="21"/>
        <v/>
      </c>
      <c r="AG89" s="53"/>
      <c r="AH89" s="245"/>
      <c r="AI89" s="242" t="str">
        <f>IF(ISTEXT(AH89),VLOOKUP(AH89,'Cadastro dos Ativos'!$A$2:$C$1000,3,0),"")</f>
        <v/>
      </c>
      <c r="AJ89" s="242" t="str">
        <f>IF(AH89 &lt;&gt; "",IF(AI89="Futuros", (SUMIFS('Alocação'!$O$3:$O$1002,'Alocação'!$C$3:$C$1002,AH89,'Alocação'!$F$3:$F$1002,AH$9,'Alocação'!$B$3:$B$1002,"&lt;="&amp;$B$4)), (SUMIFS('Alocação'!$O$3:$O$1002,'Alocação'!$C$3:$C$1002,AH89,'Alocação'!$F$3:$F$1002,AH$9,'Alocação'!$B$3:$B$1002,"&lt;="&amp;$B$6))),"")</f>
        <v/>
      </c>
      <c r="AK89" s="243" t="str">
        <f>iferror(IF(AI89="Ações Americanas", HLOOKUP(AH89,'Histórico'!$A$1:$DD$990,MATCH($B$6,'Histórico'!$A:$A),FALSE)*HLOOKUP("PTAX",'Histórico'!$A$1:$FG$983,MATCH($B$6,'Histórico'!$A:$A),FALSE),IF(AI89="Ações Europeias", HLOOKUP(AH89,'Histórico'!$A$1:$DD$990,MATCH($B$6,'Histórico'!$A:$A),FALSE)*HLOOKUP("EUR/BRL",'Histórico'!$A$1:$FG$983,MATCH($B$6,'Histórico'!$A:$A),FALSE),  HLOOKUP(AH89,'Histórico'!$A$1:$DD$990,MATCH($B$6,'Histórico'!$A:$A),FALSE))),"")</f>
        <v/>
      </c>
      <c r="AL89" s="243" t="str">
        <f t="shared" si="17"/>
        <v/>
      </c>
      <c r="AM89" s="53"/>
      <c r="AN89" s="245"/>
      <c r="AO89" s="242" t="str">
        <f>IF(ISTEXT(AN89),VLOOKUP(AN89,'Cadastro dos Ativos'!$A$2:$C$1000,3,0),"")</f>
        <v/>
      </c>
      <c r="AP89" s="242" t="str">
        <f>IF(AN89 &lt;&gt; "",IF(AO89="Futuros", (SUMIFS('Alocação'!$O$3:$O$1002,'Alocação'!$C$3:$C$1002,AN89,'Alocação'!$F$3:$F$1002,AN$9,'Alocação'!$B$3:$B$1002,"&lt;="&amp;$B$4)), (SUMIFS('Alocação'!$O$3:$O$1002,'Alocação'!$C$3:$C$1002,AN89,'Alocação'!$F$3:$F$1002,AN$9,'Alocação'!$B$3:$B$1002,"&lt;="&amp;$B$6))),"")</f>
        <v/>
      </c>
      <c r="AQ89" s="243" t="str">
        <f>iferror(IF(AO89="Ações Americanas", HLOOKUP(AN89,'Histórico'!$A$1:$DD$990,MATCH($B$6,'Histórico'!$A:$A),FALSE)*HLOOKUP("PTAX",'Histórico'!$A$1:$FG$983,MATCH($B$6,'Histórico'!$A:$A),FALSE),IF(AO89="Ações Europeias", HLOOKUP(AN89,'Histórico'!$A$1:$DD$990,MATCH($B$6,'Histórico'!$A:$A),FALSE)*HLOOKUP("EUR/BRL",'Histórico'!$A$1:$FG$983,MATCH($B$6,'Histórico'!$A:$A),FALSE),  HLOOKUP(AN89,'Histórico'!$A$1:$DD$990,MATCH($B$6,'Histórico'!$A:$A),FALSE))),"")</f>
        <v/>
      </c>
      <c r="AR89" s="243" t="str">
        <f t="shared" si="18"/>
        <v/>
      </c>
      <c r="AS89" s="53"/>
      <c r="AT89" s="245"/>
      <c r="AU89" s="242" t="str">
        <f>IF(ISTEXT(AT89),VLOOKUP(AT89,'Cadastro dos Ativos'!$A$2:$C$1000,3,0),"")</f>
        <v/>
      </c>
      <c r="AV89" s="242" t="str">
        <f>IF(AT89 &lt;&gt; "",IF(AU89="Futuros", (SUMIFS('Alocação'!$O$3:$O$1002,'Alocação'!$C$3:$C$1002,AT89,'Alocação'!$F$3:$F$1002,AT$9,'Alocação'!$B$3:$B$1002,"&lt;="&amp;$B$4)), (SUMIFS('Alocação'!$O$3:$O$1002,'Alocação'!$C$3:$C$1002,AT89,'Alocação'!$F$3:$F$1002,AT$9,'Alocação'!$B$3:$B$1002,"&lt;="&amp;$B$6))),"")</f>
        <v/>
      </c>
      <c r="AW89" s="243" t="str">
        <f>iferror(IF(AU89="Ações Americanas", HLOOKUP(AT89,'Histórico'!$A$1:$DD$990,MATCH($B$6,'Histórico'!$A:$A),FALSE)*HLOOKUP("PTAX",'Histórico'!$A$1:$FG$983,MATCH($B$6,'Histórico'!$A:$A),FALSE),IF(AU89="Ações Europeias", HLOOKUP(AT89,'Histórico'!$A$1:$DD$990,MATCH($B$6,'Histórico'!$A:$A),FALSE)*HLOOKUP("EUR/BRL",'Histórico'!$A$1:$FG$983,MATCH($B$6,'Histórico'!$A:$A),FALSE),  HLOOKUP(AT89,'Histórico'!$A$1:$DD$990,MATCH($B$6,'Histórico'!$A:$A),FALSE))),"")</f>
        <v/>
      </c>
      <c r="AX89" s="243" t="str">
        <f t="shared" si="27"/>
        <v/>
      </c>
      <c r="AY89" s="183"/>
    </row>
    <row r="90" ht="15.75" customHeight="1">
      <c r="A90" s="176"/>
      <c r="B90" s="232">
        <v>45121.0</v>
      </c>
      <c r="C90" s="246">
        <v>1.037046391855723E8</v>
      </c>
      <c r="D90" s="246">
        <v>1.037046561555716E8</v>
      </c>
      <c r="E90" s="247"/>
      <c r="F90" s="246">
        <v>1.106982256563628E8</v>
      </c>
      <c r="G90" s="246">
        <v>1.106982426263621E8</v>
      </c>
      <c r="H90" s="247"/>
      <c r="I90" s="246">
        <v>1.08762975154358E8</v>
      </c>
      <c r="J90" s="246">
        <v>1.087629921243573E8</v>
      </c>
      <c r="K90" s="247"/>
      <c r="L90" s="246">
        <v>1.042219599461904E8</v>
      </c>
      <c r="M90" s="246">
        <v>7.29576770847993E7</v>
      </c>
      <c r="N90" s="240">
        <f t="shared" si="9"/>
        <v>0.0004488075455</v>
      </c>
      <c r="O90" s="240">
        <f t="shared" si="10"/>
        <v>0.000448806845</v>
      </c>
      <c r="P90" s="240">
        <f t="shared" si="11"/>
        <v>0.0004488070298</v>
      </c>
      <c r="Q90" s="240">
        <f t="shared" si="12"/>
        <v>-0.006508367943</v>
      </c>
      <c r="R90" s="236">
        <f t="shared" si="13"/>
        <v>103.9999242</v>
      </c>
      <c r="S90" s="177"/>
      <c r="T90" s="233">
        <f t="shared" ref="T90:U90" si="100">IF(AND(C90&lt;&gt;"",F90&lt;&gt;"",I90&lt;&gt;""), SUM(I90,F90,C90,L90),"")</f>
        <v>427387799.9</v>
      </c>
      <c r="U90" s="233">
        <f t="shared" si="100"/>
        <v>396123568</v>
      </c>
      <c r="V90" s="233">
        <f t="shared" si="6"/>
        <v>106.84695</v>
      </c>
      <c r="W90" s="241">
        <f t="shared" si="15"/>
        <v>-0.001256724201</v>
      </c>
      <c r="X90" s="241">
        <f t="shared" si="16"/>
        <v>-0.006109479842</v>
      </c>
      <c r="Y90" s="241">
        <f t="shared" si="25"/>
        <v>0.0006074098825</v>
      </c>
      <c r="Z90" s="233">
        <f t="shared" si="7"/>
        <v>103.9999242</v>
      </c>
      <c r="AA90" s="165"/>
      <c r="AB90" s="245"/>
      <c r="AC90" s="242" t="str">
        <f>IF(ISTEXT(AB90),VLOOKUP(AB90,'Cadastro dos Ativos'!$A$2:$C$1000,3,0),"")</f>
        <v/>
      </c>
      <c r="AD90" s="242" t="str">
        <f>IF(AB90 &lt;&gt; "",IF(AC90="Futuros", (SUMIFS('Alocação'!$O$3:$O$1002,'Alocação'!$C$3:$C$1002,AB90,'Alocação'!$F$3:$F$1002,AB$9,'Alocação'!$B$3:$B$1002,"&lt;="&amp;$B$4)), (SUMIFS('Alocação'!$O$3:$O$1002,'Alocação'!$C$3:$C$1002,AB90,'Alocação'!$F$3:$F$1002,AB$9,'Alocação'!$B$3:$B$1002,"&lt;="&amp;$B$6))),"")</f>
        <v/>
      </c>
      <c r="AE90" s="243" t="str">
        <f>iferror(IF(AC90="Ações Americanas", HLOOKUP(AB90,'Histórico'!$A$1:$DD$990,MATCH($B$6,'Histórico'!$A:$A),FALSE)*HLOOKUP("PTAX",'Histórico'!$A$1:$FG$983,MATCH($B$6,'Histórico'!$A:$A),FALSE),IF(AC90="Ações Europeias", HLOOKUP(AB90,'Histórico'!$A$1:$DD$990,MATCH($B$6,'Histórico'!$A:$A),FALSE)*HLOOKUP("EUR/BRL",'Histórico'!$A$1:$FG$983,MATCH($B$6,'Histórico'!$A:$A),FALSE), HLOOKUP(AB90,'Histórico'!$A$1:$DD$990,MATCH($B$6,'Histórico'!$A:$A),FALSE))),"")</f>
        <v/>
      </c>
      <c r="AF90" s="243" t="str">
        <f t="shared" si="21"/>
        <v/>
      </c>
      <c r="AG90" s="53"/>
      <c r="AH90" s="245"/>
      <c r="AI90" s="242" t="str">
        <f>IF(ISTEXT(AH90),VLOOKUP(AH90,'Cadastro dos Ativos'!$A$2:$C$1000,3,0),"")</f>
        <v/>
      </c>
      <c r="AJ90" s="242" t="str">
        <f>IF(AH90 &lt;&gt; "",IF(AI90="Futuros", (SUMIFS('Alocação'!$O$3:$O$1002,'Alocação'!$C$3:$C$1002,AH90,'Alocação'!$F$3:$F$1002,AH$9,'Alocação'!$B$3:$B$1002,"&lt;="&amp;$B$4)), (SUMIFS('Alocação'!$O$3:$O$1002,'Alocação'!$C$3:$C$1002,AH90,'Alocação'!$F$3:$F$1002,AH$9,'Alocação'!$B$3:$B$1002,"&lt;="&amp;$B$6))),"")</f>
        <v/>
      </c>
      <c r="AK90" s="243" t="str">
        <f>iferror(IF(AI90="Ações Americanas", HLOOKUP(AH90,'Histórico'!$A$1:$DD$990,MATCH($B$6,'Histórico'!$A:$A),FALSE)*HLOOKUP("PTAX",'Histórico'!$A$1:$FG$983,MATCH($B$6,'Histórico'!$A:$A),FALSE),IF(AI90="Ações Europeias", HLOOKUP(AH90,'Histórico'!$A$1:$DD$990,MATCH($B$6,'Histórico'!$A:$A),FALSE)*HLOOKUP("EUR/BRL",'Histórico'!$A$1:$FG$983,MATCH($B$6,'Histórico'!$A:$A),FALSE),  HLOOKUP(AH90,'Histórico'!$A$1:$DD$990,MATCH($B$6,'Histórico'!$A:$A),FALSE))),"")</f>
        <v/>
      </c>
      <c r="AL90" s="243" t="str">
        <f t="shared" si="17"/>
        <v/>
      </c>
      <c r="AM90" s="53"/>
      <c r="AN90" s="245"/>
      <c r="AO90" s="242" t="str">
        <f>IF(ISTEXT(AN90),VLOOKUP(AN90,'Cadastro dos Ativos'!$A$2:$C$1000,3,0),"")</f>
        <v/>
      </c>
      <c r="AP90" s="242" t="str">
        <f>IF(AN90 &lt;&gt; "",IF(AO90="Futuros", (SUMIFS('Alocação'!$O$3:$O$1002,'Alocação'!$C$3:$C$1002,AN90,'Alocação'!$F$3:$F$1002,AN$9,'Alocação'!$B$3:$B$1002,"&lt;="&amp;$B$4)), (SUMIFS('Alocação'!$O$3:$O$1002,'Alocação'!$C$3:$C$1002,AN90,'Alocação'!$F$3:$F$1002,AN$9,'Alocação'!$B$3:$B$1002,"&lt;="&amp;$B$6))),"")</f>
        <v/>
      </c>
      <c r="AQ90" s="243" t="str">
        <f>iferror(IF(AO90="Ações Americanas", HLOOKUP(AN90,'Histórico'!$A$1:$DD$990,MATCH($B$6,'Histórico'!$A:$A),FALSE)*HLOOKUP("PTAX",'Histórico'!$A$1:$FG$983,MATCH($B$6,'Histórico'!$A:$A),FALSE),IF(AO90="Ações Europeias", HLOOKUP(AN90,'Histórico'!$A$1:$DD$990,MATCH($B$6,'Histórico'!$A:$A),FALSE)*HLOOKUP("EUR/BRL",'Histórico'!$A$1:$FG$983,MATCH($B$6,'Histórico'!$A:$A),FALSE),  HLOOKUP(AN90,'Histórico'!$A$1:$DD$990,MATCH($B$6,'Histórico'!$A:$A),FALSE))),"")</f>
        <v/>
      </c>
      <c r="AR90" s="243" t="str">
        <f t="shared" si="18"/>
        <v/>
      </c>
      <c r="AS90" s="53"/>
      <c r="AT90" s="245"/>
      <c r="AU90" s="242" t="str">
        <f>IF(ISTEXT(AT90),VLOOKUP(AT90,'Cadastro dos Ativos'!$A$2:$C$1000,3,0),"")</f>
        <v/>
      </c>
      <c r="AV90" s="242" t="str">
        <f>IF(AT90 &lt;&gt; "",IF(AU90="Futuros", (SUMIFS('Alocação'!$O$3:$O$1002,'Alocação'!$C$3:$C$1002,AT90,'Alocação'!$F$3:$F$1002,AT$9,'Alocação'!$B$3:$B$1002,"&lt;="&amp;$B$4)), (SUMIFS('Alocação'!$O$3:$O$1002,'Alocação'!$C$3:$C$1002,AT90,'Alocação'!$F$3:$F$1002,AT$9,'Alocação'!$B$3:$B$1002,"&lt;="&amp;$B$6))),"")</f>
        <v/>
      </c>
      <c r="AW90" s="243" t="str">
        <f>iferror(IF(AU90="Ações Americanas", HLOOKUP(AT90,'Histórico'!$A$1:$DD$990,MATCH($B$6,'Histórico'!$A:$A),FALSE)*HLOOKUP("PTAX",'Histórico'!$A$1:$FG$983,MATCH($B$6,'Histórico'!$A:$A),FALSE),IF(AU90="Ações Europeias", HLOOKUP(AT90,'Histórico'!$A$1:$DD$990,MATCH($B$6,'Histórico'!$A:$A),FALSE)*HLOOKUP("EUR/BRL",'Histórico'!$A$1:$FG$983,MATCH($B$6,'Histórico'!$A:$A),FALSE),  HLOOKUP(AT90,'Histórico'!$A$1:$DD$990,MATCH($B$6,'Histórico'!$A:$A),FALSE))),"")</f>
        <v/>
      </c>
      <c r="AX90" s="243" t="str">
        <f t="shared" si="27"/>
        <v/>
      </c>
      <c r="AY90" s="183"/>
    </row>
    <row r="91" ht="15.75" customHeight="1">
      <c r="A91" s="176"/>
      <c r="B91" s="232">
        <v>45124.0</v>
      </c>
      <c r="C91" s="246">
        <v>1.037511811090415E8</v>
      </c>
      <c r="D91" s="246">
        <v>1.037511984390414E8</v>
      </c>
      <c r="E91" s="247"/>
      <c r="F91" s="246">
        <v>1.10747906276676E8</v>
      </c>
      <c r="G91" s="246">
        <v>1.107479236066759E8</v>
      </c>
      <c r="H91" s="247"/>
      <c r="I91" s="246">
        <v>1.088117872410985E8</v>
      </c>
      <c r="J91" s="246">
        <v>1.088118045710985E8</v>
      </c>
      <c r="K91" s="247"/>
      <c r="L91" s="246">
        <v>1.049177555264979E8</v>
      </c>
      <c r="M91" s="246">
        <v>7.298857302739629E7</v>
      </c>
      <c r="N91" s="240">
        <f t="shared" si="9"/>
        <v>0.0004487930707</v>
      </c>
      <c r="O91" s="240">
        <f t="shared" si="10"/>
        <v>0.0004487932848</v>
      </c>
      <c r="P91" s="240">
        <f t="shared" si="11"/>
        <v>0.0004487932283</v>
      </c>
      <c r="Q91" s="240">
        <f t="shared" si="12"/>
        <v>0.006676093797</v>
      </c>
      <c r="R91" s="236">
        <f t="shared" si="13"/>
        <v>104.0509227</v>
      </c>
      <c r="S91" s="177"/>
      <c r="T91" s="233">
        <f t="shared" ref="T91:U91" si="101">IF(AND(C91&lt;&gt;"",F91&lt;&gt;"",I91&lt;&gt;""), SUM(I91,F91,C91,L91),"")</f>
        <v>428228630.2</v>
      </c>
      <c r="U91" s="233">
        <f t="shared" si="101"/>
        <v>396299499.6</v>
      </c>
      <c r="V91" s="233">
        <f t="shared" si="6"/>
        <v>107.0571575</v>
      </c>
      <c r="W91" s="241">
        <f t="shared" si="15"/>
        <v>0.001967370643</v>
      </c>
      <c r="X91" s="241">
        <f t="shared" si="16"/>
        <v>-0.00415412881</v>
      </c>
      <c r="Y91" s="241">
        <f t="shared" si="25"/>
        <v>0.001217166786</v>
      </c>
      <c r="Z91" s="233">
        <f t="shared" si="7"/>
        <v>104.0509227</v>
      </c>
      <c r="AA91" s="165"/>
      <c r="AB91" s="245"/>
      <c r="AC91" s="242" t="str">
        <f>IF(ISTEXT(AB91),VLOOKUP(AB91,'Cadastro dos Ativos'!$A$2:$C$1000,3,0),"")</f>
        <v/>
      </c>
      <c r="AD91" s="242" t="str">
        <f>IF(AB91 &lt;&gt; "",IF(AC91="Futuros", (SUMIFS('Alocação'!$O$3:$O$1002,'Alocação'!$C$3:$C$1002,AB91,'Alocação'!$F$3:$F$1002,AB$9,'Alocação'!$B$3:$B$1002,"&lt;="&amp;$B$4)), (SUMIFS('Alocação'!$O$3:$O$1002,'Alocação'!$C$3:$C$1002,AB91,'Alocação'!$F$3:$F$1002,AB$9,'Alocação'!$B$3:$B$1002,"&lt;="&amp;$B$6))),"")</f>
        <v/>
      </c>
      <c r="AE91" s="243" t="str">
        <f>iferror(IF(AC91="Ações Americanas", HLOOKUP(AB91,'Histórico'!$A$1:$DD$990,MATCH($B$6,'Histórico'!$A:$A),FALSE)*HLOOKUP("PTAX",'Histórico'!$A$1:$FG$983,MATCH($B$6,'Histórico'!$A:$A),FALSE),IF(AC91="Ações Europeias", HLOOKUP(AB91,'Histórico'!$A$1:$DD$990,MATCH($B$6,'Histórico'!$A:$A),FALSE)*HLOOKUP("EUR/BRL",'Histórico'!$A$1:$FG$983,MATCH($B$6,'Histórico'!$A:$A),FALSE), HLOOKUP(AB91,'Histórico'!$A$1:$DD$990,MATCH($B$6,'Histórico'!$A:$A),FALSE))),"")</f>
        <v/>
      </c>
      <c r="AF91" s="243" t="str">
        <f t="shared" si="21"/>
        <v/>
      </c>
      <c r="AG91" s="53"/>
      <c r="AH91" s="245"/>
      <c r="AI91" s="242" t="str">
        <f>IF(ISTEXT(AH91),VLOOKUP(AH91,'Cadastro dos Ativos'!$A$2:$C$1000,3,0),"")</f>
        <v/>
      </c>
      <c r="AJ91" s="242" t="str">
        <f>IF(AH91 &lt;&gt; "",IF(AI91="Futuros", (SUMIFS('Alocação'!$O$3:$O$1002,'Alocação'!$C$3:$C$1002,AH91,'Alocação'!$F$3:$F$1002,AH$9,'Alocação'!$B$3:$B$1002,"&lt;="&amp;$B$4)), (SUMIFS('Alocação'!$O$3:$O$1002,'Alocação'!$C$3:$C$1002,AH91,'Alocação'!$F$3:$F$1002,AH$9,'Alocação'!$B$3:$B$1002,"&lt;="&amp;$B$6))),"")</f>
        <v/>
      </c>
      <c r="AK91" s="243" t="str">
        <f>iferror(IF(AI91="Ações Americanas", HLOOKUP(AH91,'Histórico'!$A$1:$DD$990,MATCH($B$6,'Histórico'!$A:$A),FALSE)*HLOOKUP("PTAX",'Histórico'!$A$1:$FG$983,MATCH($B$6,'Histórico'!$A:$A),FALSE),IF(AI91="Ações Europeias", HLOOKUP(AH91,'Histórico'!$A$1:$DD$990,MATCH($B$6,'Histórico'!$A:$A),FALSE)*HLOOKUP("EUR/BRL",'Histórico'!$A$1:$FG$983,MATCH($B$6,'Histórico'!$A:$A),FALSE),  HLOOKUP(AH91,'Histórico'!$A$1:$DD$990,MATCH($B$6,'Histórico'!$A:$A),FALSE))),"")</f>
        <v/>
      </c>
      <c r="AL91" s="243" t="str">
        <f t="shared" si="17"/>
        <v/>
      </c>
      <c r="AM91" s="53"/>
      <c r="AN91" s="245"/>
      <c r="AO91" s="242" t="str">
        <f>IF(ISTEXT(AN91),VLOOKUP(AN91,'Cadastro dos Ativos'!$A$2:$C$1000,3,0),"")</f>
        <v/>
      </c>
      <c r="AP91" s="242" t="str">
        <f>IF(AN91 &lt;&gt; "",IF(AO91="Futuros", (SUMIFS('Alocação'!$O$3:$O$1002,'Alocação'!$C$3:$C$1002,AN91,'Alocação'!$F$3:$F$1002,AN$9,'Alocação'!$B$3:$B$1002,"&lt;="&amp;$B$4)), (SUMIFS('Alocação'!$O$3:$O$1002,'Alocação'!$C$3:$C$1002,AN91,'Alocação'!$F$3:$F$1002,AN$9,'Alocação'!$B$3:$B$1002,"&lt;="&amp;$B$6))),"")</f>
        <v/>
      </c>
      <c r="AQ91" s="243" t="str">
        <f>iferror(IF(AO91="Ações Americanas", HLOOKUP(AN91,'Histórico'!$A$1:$DD$990,MATCH($B$6,'Histórico'!$A:$A),FALSE)*HLOOKUP("PTAX",'Histórico'!$A$1:$FG$983,MATCH($B$6,'Histórico'!$A:$A),FALSE),IF(AO91="Ações Europeias", HLOOKUP(AN91,'Histórico'!$A$1:$DD$990,MATCH($B$6,'Histórico'!$A:$A),FALSE)*HLOOKUP("EUR/BRL",'Histórico'!$A$1:$FG$983,MATCH($B$6,'Histórico'!$A:$A),FALSE),  HLOOKUP(AN91,'Histórico'!$A$1:$DD$990,MATCH($B$6,'Histórico'!$A:$A),FALSE))),"")</f>
        <v/>
      </c>
      <c r="AR91" s="243" t="str">
        <f t="shared" si="18"/>
        <v/>
      </c>
      <c r="AS91" s="53"/>
      <c r="AT91" s="245"/>
      <c r="AU91" s="242" t="str">
        <f>IF(ISTEXT(AT91),VLOOKUP(AT91,'Cadastro dos Ativos'!$A$2:$C$1000,3,0),"")</f>
        <v/>
      </c>
      <c r="AV91" s="242" t="str">
        <f>IF(AT91 &lt;&gt; "",IF(AU91="Futuros", (SUMIFS('Alocação'!$O$3:$O$1002,'Alocação'!$C$3:$C$1002,AT91,'Alocação'!$F$3:$F$1002,AT$9,'Alocação'!$B$3:$B$1002,"&lt;="&amp;$B$4)), (SUMIFS('Alocação'!$O$3:$O$1002,'Alocação'!$C$3:$C$1002,AT91,'Alocação'!$F$3:$F$1002,AT$9,'Alocação'!$B$3:$B$1002,"&lt;="&amp;$B$6))),"")</f>
        <v/>
      </c>
      <c r="AW91" s="243" t="str">
        <f>iferror(IF(AU91="Ações Americanas", HLOOKUP(AT91,'Histórico'!$A$1:$DD$990,MATCH($B$6,'Histórico'!$A:$A),FALSE)*HLOOKUP("PTAX",'Histórico'!$A$1:$FG$983,MATCH($B$6,'Histórico'!$A:$A),FALSE),IF(AU91="Ações Europeias", HLOOKUP(AT91,'Histórico'!$A$1:$DD$990,MATCH($B$6,'Histórico'!$A:$A),FALSE)*HLOOKUP("EUR/BRL",'Histórico'!$A$1:$FG$983,MATCH($B$6,'Histórico'!$A:$A),FALSE),  HLOOKUP(AT91,'Histórico'!$A$1:$DD$990,MATCH($B$6,'Histórico'!$A:$A),FALSE))),"")</f>
        <v/>
      </c>
      <c r="AX91" s="243" t="str">
        <f t="shared" si="27"/>
        <v/>
      </c>
      <c r="AY91" s="183"/>
    </row>
    <row r="92" ht="15.75" customHeight="1">
      <c r="A92" s="176"/>
      <c r="B92" s="232">
        <v>45125.0</v>
      </c>
      <c r="C92" s="246">
        <v>1.037977443905452E8</v>
      </c>
      <c r="D92" s="246">
        <v>1.037977616105445E8</v>
      </c>
      <c r="E92" s="247"/>
      <c r="F92" s="246">
        <v>1.107976096636597E8</v>
      </c>
      <c r="G92" s="246">
        <v>1.10797626883659E8</v>
      </c>
      <c r="H92" s="247"/>
      <c r="I92" s="246">
        <v>1.088606217047149E8</v>
      </c>
      <c r="J92" s="246">
        <v>1.088606389247142E8</v>
      </c>
      <c r="K92" s="247"/>
      <c r="L92" s="246">
        <v>1.049918765877063E8</v>
      </c>
      <c r="M92" s="246">
        <v>7.301944355135792E7</v>
      </c>
      <c r="N92" s="240">
        <f t="shared" si="9"/>
        <v>0.0004487976041</v>
      </c>
      <c r="O92" s="240">
        <f t="shared" si="10"/>
        <v>0.0004487975318</v>
      </c>
      <c r="P92" s="240">
        <f t="shared" si="11"/>
        <v>0.0004487975508</v>
      </c>
      <c r="Q92" s="240">
        <f t="shared" si="12"/>
        <v>0.0007064682316</v>
      </c>
      <c r="R92" s="236">
        <f t="shared" si="13"/>
        <v>104.1019461</v>
      </c>
      <c r="S92" s="177"/>
      <c r="T92" s="233">
        <f t="shared" ref="T92:U92" si="102">IF(AND(C92&lt;&gt;"",F92&lt;&gt;"",I92&lt;&gt;""), SUM(I92,F92,C92,L92),"")</f>
        <v>428447852.3</v>
      </c>
      <c r="U92" s="233">
        <f t="shared" si="102"/>
        <v>396475471</v>
      </c>
      <c r="V92" s="233">
        <f t="shared" si="6"/>
        <v>107.1119631</v>
      </c>
      <c r="W92" s="241">
        <f t="shared" si="15"/>
        <v>0.0005119279233</v>
      </c>
      <c r="X92" s="241">
        <f t="shared" si="16"/>
        <v>-0.003644327501</v>
      </c>
      <c r="Y92" s="241">
        <f t="shared" si="25"/>
        <v>0.001154482386</v>
      </c>
      <c r="Z92" s="233">
        <f t="shared" si="7"/>
        <v>104.1019461</v>
      </c>
      <c r="AA92" s="165"/>
      <c r="AB92" s="245"/>
      <c r="AC92" s="242" t="str">
        <f>IF(ISTEXT(AB92),VLOOKUP(AB92,'Cadastro dos Ativos'!$A$2:$C$1000,3,0),"")</f>
        <v/>
      </c>
      <c r="AD92" s="242" t="str">
        <f>IF(AB92 &lt;&gt; "",IF(AC92="Futuros", (SUMIFS('Alocação'!$O$3:$O$1002,'Alocação'!$C$3:$C$1002,AB92,'Alocação'!$F$3:$F$1002,AB$9,'Alocação'!$B$3:$B$1002,"&lt;="&amp;$B$4)), (SUMIFS('Alocação'!$O$3:$O$1002,'Alocação'!$C$3:$C$1002,AB92,'Alocação'!$F$3:$F$1002,AB$9,'Alocação'!$B$3:$B$1002,"&lt;="&amp;$B$6))),"")</f>
        <v/>
      </c>
      <c r="AE92" s="243" t="str">
        <f>iferror(IF(AC92="Ações Americanas", HLOOKUP(AB92,'Histórico'!$A$1:$DD$990,MATCH($B$6,'Histórico'!$A:$A),FALSE)*HLOOKUP("PTAX",'Histórico'!$A$1:$FG$983,MATCH($B$6,'Histórico'!$A:$A),FALSE),IF(AC92="Ações Europeias", HLOOKUP(AB92,'Histórico'!$A$1:$DD$990,MATCH($B$6,'Histórico'!$A:$A),FALSE)*HLOOKUP("EUR/BRL",'Histórico'!$A$1:$FG$983,MATCH($B$6,'Histórico'!$A:$A),FALSE), HLOOKUP(AB92,'Histórico'!$A$1:$DD$990,MATCH($B$6,'Histórico'!$A:$A),FALSE))),"")</f>
        <v/>
      </c>
      <c r="AF92" s="243" t="str">
        <f t="shared" si="21"/>
        <v/>
      </c>
      <c r="AG92" s="53"/>
      <c r="AH92" s="245"/>
      <c r="AI92" s="242" t="str">
        <f>IF(ISTEXT(AH92),VLOOKUP(AH92,'Cadastro dos Ativos'!$A$2:$C$1000,3,0),"")</f>
        <v/>
      </c>
      <c r="AJ92" s="242" t="str">
        <f>IF(AH92 &lt;&gt; "",IF(AI92="Futuros", (SUMIFS('Alocação'!$O$3:$O$1002,'Alocação'!$C$3:$C$1002,AH92,'Alocação'!$F$3:$F$1002,AH$9,'Alocação'!$B$3:$B$1002,"&lt;="&amp;$B$4)), (SUMIFS('Alocação'!$O$3:$O$1002,'Alocação'!$C$3:$C$1002,AH92,'Alocação'!$F$3:$F$1002,AH$9,'Alocação'!$B$3:$B$1002,"&lt;="&amp;$B$6))),"")</f>
        <v/>
      </c>
      <c r="AK92" s="243" t="str">
        <f>iferror(IF(AI92="Ações Americanas", HLOOKUP(AH92,'Histórico'!$A$1:$DD$990,MATCH($B$6,'Histórico'!$A:$A),FALSE)*HLOOKUP("PTAX",'Histórico'!$A$1:$FG$983,MATCH($B$6,'Histórico'!$A:$A),FALSE),IF(AI92="Ações Europeias", HLOOKUP(AH92,'Histórico'!$A$1:$DD$990,MATCH($B$6,'Histórico'!$A:$A),FALSE)*HLOOKUP("EUR/BRL",'Histórico'!$A$1:$FG$983,MATCH($B$6,'Histórico'!$A:$A),FALSE),  HLOOKUP(AH92,'Histórico'!$A$1:$DD$990,MATCH($B$6,'Histórico'!$A:$A),FALSE))),"")</f>
        <v/>
      </c>
      <c r="AL92" s="243" t="str">
        <f t="shared" si="17"/>
        <v/>
      </c>
      <c r="AM92" s="53"/>
      <c r="AN92" s="245"/>
      <c r="AO92" s="242" t="str">
        <f>IF(ISTEXT(AN92),VLOOKUP(AN92,'Cadastro dos Ativos'!$A$2:$C$1000,3,0),"")</f>
        <v/>
      </c>
      <c r="AP92" s="242" t="str">
        <f>IF(AN92 &lt;&gt; "",IF(AO92="Futuros", (SUMIFS('Alocação'!$O$3:$O$1002,'Alocação'!$C$3:$C$1002,AN92,'Alocação'!$F$3:$F$1002,AN$9,'Alocação'!$B$3:$B$1002,"&lt;="&amp;$B$4)), (SUMIFS('Alocação'!$O$3:$O$1002,'Alocação'!$C$3:$C$1002,AN92,'Alocação'!$F$3:$F$1002,AN$9,'Alocação'!$B$3:$B$1002,"&lt;="&amp;$B$6))),"")</f>
        <v/>
      </c>
      <c r="AQ92" s="243" t="str">
        <f>iferror(IF(AO92="Ações Americanas", HLOOKUP(AN92,'Histórico'!$A$1:$DD$990,MATCH($B$6,'Histórico'!$A:$A),FALSE)*HLOOKUP("PTAX",'Histórico'!$A$1:$FG$983,MATCH($B$6,'Histórico'!$A:$A),FALSE),IF(AO92="Ações Europeias", HLOOKUP(AN92,'Histórico'!$A$1:$DD$990,MATCH($B$6,'Histórico'!$A:$A),FALSE)*HLOOKUP("EUR/BRL",'Histórico'!$A$1:$FG$983,MATCH($B$6,'Histórico'!$A:$A),FALSE),  HLOOKUP(AN92,'Histórico'!$A$1:$DD$990,MATCH($B$6,'Histórico'!$A:$A),FALSE))),"")</f>
        <v/>
      </c>
      <c r="AR92" s="243" t="str">
        <f t="shared" si="18"/>
        <v/>
      </c>
      <c r="AS92" s="53"/>
      <c r="AT92" s="245"/>
      <c r="AU92" s="242" t="str">
        <f>IF(ISTEXT(AT92),VLOOKUP(AT92,'Cadastro dos Ativos'!$A$2:$C$1000,3,0),"")</f>
        <v/>
      </c>
      <c r="AV92" s="242" t="str">
        <f>IF(AT92 &lt;&gt; "",IF(AU92="Futuros", (SUMIFS('Alocação'!$O$3:$O$1002,'Alocação'!$C$3:$C$1002,AT92,'Alocação'!$F$3:$F$1002,AT$9,'Alocação'!$B$3:$B$1002,"&lt;="&amp;$B$4)), (SUMIFS('Alocação'!$O$3:$O$1002,'Alocação'!$C$3:$C$1002,AT92,'Alocação'!$F$3:$F$1002,AT$9,'Alocação'!$B$3:$B$1002,"&lt;="&amp;$B$6))),"")</f>
        <v/>
      </c>
      <c r="AW92" s="243" t="str">
        <f>iferror(IF(AU92="Ações Americanas", HLOOKUP(AT92,'Histórico'!$A$1:$DD$990,MATCH($B$6,'Histórico'!$A:$A),FALSE)*HLOOKUP("PTAX",'Histórico'!$A$1:$FG$983,MATCH($B$6,'Histórico'!$A:$A),FALSE),IF(AU92="Ações Europeias", HLOOKUP(AT92,'Histórico'!$A$1:$DD$990,MATCH($B$6,'Histórico'!$A:$A),FALSE)*HLOOKUP("EUR/BRL",'Histórico'!$A$1:$FG$983,MATCH($B$6,'Histórico'!$A:$A),FALSE),  HLOOKUP(AT92,'Histórico'!$A$1:$DD$990,MATCH($B$6,'Histórico'!$A:$A),FALSE))),"")</f>
        <v/>
      </c>
      <c r="AX92" s="243" t="str">
        <f t="shared" si="27"/>
        <v/>
      </c>
      <c r="AY92" s="183"/>
    </row>
    <row r="93" ht="15.75" customHeight="1">
      <c r="A93" s="176"/>
      <c r="B93" s="232">
        <v>45126.0</v>
      </c>
      <c r="C93" s="246">
        <v>1.038443284494281E8</v>
      </c>
      <c r="D93" s="246">
        <v>1.038443456794276E8</v>
      </c>
      <c r="E93" s="247"/>
      <c r="F93" s="246">
        <v>1.108473352372908E8</v>
      </c>
      <c r="G93" s="246">
        <v>1.108473524672903E8</v>
      </c>
      <c r="H93" s="247"/>
      <c r="I93" s="246">
        <v>1.089094779650088E8</v>
      </c>
      <c r="J93" s="246">
        <v>1.089094951950084E8</v>
      </c>
      <c r="K93" s="247"/>
      <c r="L93" s="246">
        <v>1.049318585137697E8</v>
      </c>
      <c r="M93" s="246">
        <v>7.30503253745065E7</v>
      </c>
      <c r="N93" s="240">
        <f t="shared" si="9"/>
        <v>0.0004487964469</v>
      </c>
      <c r="O93" s="240">
        <f t="shared" si="10"/>
        <v>0.0004487964477</v>
      </c>
      <c r="P93" s="240">
        <f t="shared" si="11"/>
        <v>0.0004487964475</v>
      </c>
      <c r="Q93" s="240">
        <f t="shared" si="12"/>
        <v>-0.0005716449299</v>
      </c>
      <c r="R93" s="236">
        <f t="shared" si="13"/>
        <v>104.1529946</v>
      </c>
      <c r="S93" s="177"/>
      <c r="T93" s="233">
        <f t="shared" ref="T93:U93" si="103">IF(AND(C93&lt;&gt;"",F93&lt;&gt;"",I93&lt;&gt;""), SUM(I93,F93,C93,L93),"")</f>
        <v>428533000.2</v>
      </c>
      <c r="U93" s="233">
        <f t="shared" si="103"/>
        <v>396651518.7</v>
      </c>
      <c r="V93" s="233">
        <f t="shared" si="6"/>
        <v>107.13325</v>
      </c>
      <c r="W93" s="241">
        <f t="shared" si="15"/>
        <v>0.0001987355483</v>
      </c>
      <c r="X93" s="241">
        <f t="shared" si="16"/>
        <v>-0.003446316211</v>
      </c>
      <c r="Y93" s="241">
        <f t="shared" si="25"/>
        <v>0.001146973762</v>
      </c>
      <c r="Z93" s="233">
        <f t="shared" si="7"/>
        <v>104.1529946</v>
      </c>
      <c r="AA93" s="165"/>
      <c r="AB93" s="245"/>
      <c r="AC93" s="242" t="str">
        <f>IF(ISTEXT(AB93),VLOOKUP(AB93,'Cadastro dos Ativos'!$A$2:$C$1000,3,0),"")</f>
        <v/>
      </c>
      <c r="AD93" s="242" t="str">
        <f>IF(AB93 &lt;&gt; "",IF(AC93="Futuros", (SUMIFS('Alocação'!$O$3:$O$1002,'Alocação'!$C$3:$C$1002,AB93,'Alocação'!$F$3:$F$1002,AB$9,'Alocação'!$B$3:$B$1002,"&lt;="&amp;$B$4)), (SUMIFS('Alocação'!$O$3:$O$1002,'Alocação'!$C$3:$C$1002,AB93,'Alocação'!$F$3:$F$1002,AB$9,'Alocação'!$B$3:$B$1002,"&lt;="&amp;$B$6))),"")</f>
        <v/>
      </c>
      <c r="AE93" s="243" t="str">
        <f>iferror(IF(AC93="Ações Americanas", HLOOKUP(AB93,'Histórico'!$A$1:$DD$990,MATCH($B$6,'Histórico'!$A:$A),FALSE)*HLOOKUP("PTAX",'Histórico'!$A$1:$FG$983,MATCH($B$6,'Histórico'!$A:$A),FALSE),IF(AC93="Ações Europeias", HLOOKUP(AB93,'Histórico'!$A$1:$DD$990,MATCH($B$6,'Histórico'!$A:$A),FALSE)*HLOOKUP("EUR/BRL",'Histórico'!$A$1:$FG$983,MATCH($B$6,'Histórico'!$A:$A),FALSE), HLOOKUP(AB93,'Histórico'!$A$1:$DD$990,MATCH($B$6,'Histórico'!$A:$A),FALSE))),"")</f>
        <v/>
      </c>
      <c r="AF93" s="243" t="str">
        <f t="shared" si="21"/>
        <v/>
      </c>
      <c r="AG93" s="53"/>
      <c r="AH93" s="245"/>
      <c r="AI93" s="242" t="str">
        <f>IF(ISTEXT(AH93),VLOOKUP(AH93,'Cadastro dos Ativos'!$A$2:$C$1000,3,0),"")</f>
        <v/>
      </c>
      <c r="AJ93" s="242" t="str">
        <f>IF(AH93 &lt;&gt; "",IF(AI93="Futuros", (SUMIFS('Alocação'!$O$3:$O$1002,'Alocação'!$C$3:$C$1002,AH93,'Alocação'!$F$3:$F$1002,AH$9,'Alocação'!$B$3:$B$1002,"&lt;="&amp;$B$4)), (SUMIFS('Alocação'!$O$3:$O$1002,'Alocação'!$C$3:$C$1002,AH93,'Alocação'!$F$3:$F$1002,AH$9,'Alocação'!$B$3:$B$1002,"&lt;="&amp;$B$6))),"")</f>
        <v/>
      </c>
      <c r="AK93" s="243" t="str">
        <f>iferror(IF(AI93="Ações Americanas", HLOOKUP(AH93,'Histórico'!$A$1:$DD$990,MATCH($B$6,'Histórico'!$A:$A),FALSE)*HLOOKUP("PTAX",'Histórico'!$A$1:$FG$983,MATCH($B$6,'Histórico'!$A:$A),FALSE),IF(AI93="Ações Europeias", HLOOKUP(AH93,'Histórico'!$A$1:$DD$990,MATCH($B$6,'Histórico'!$A:$A),FALSE)*HLOOKUP("EUR/BRL",'Histórico'!$A$1:$FG$983,MATCH($B$6,'Histórico'!$A:$A),FALSE),  HLOOKUP(AH93,'Histórico'!$A$1:$DD$990,MATCH($B$6,'Histórico'!$A:$A),FALSE))),"")</f>
        <v/>
      </c>
      <c r="AL93" s="243" t="str">
        <f t="shared" si="17"/>
        <v/>
      </c>
      <c r="AM93" s="53"/>
      <c r="AN93" s="245"/>
      <c r="AO93" s="242" t="str">
        <f>IF(ISTEXT(AN93),VLOOKUP(AN93,'Cadastro dos Ativos'!$A$2:$C$1000,3,0),"")</f>
        <v/>
      </c>
      <c r="AP93" s="242" t="str">
        <f>IF(AN93 &lt;&gt; "",IF(AO93="Futuros", (SUMIFS('Alocação'!$O$3:$O$1002,'Alocação'!$C$3:$C$1002,AN93,'Alocação'!$F$3:$F$1002,AN$9,'Alocação'!$B$3:$B$1002,"&lt;="&amp;$B$4)), (SUMIFS('Alocação'!$O$3:$O$1002,'Alocação'!$C$3:$C$1002,AN93,'Alocação'!$F$3:$F$1002,AN$9,'Alocação'!$B$3:$B$1002,"&lt;="&amp;$B$6))),"")</f>
        <v/>
      </c>
      <c r="AQ93" s="243" t="str">
        <f>iferror(IF(AO93="Ações Americanas", HLOOKUP(AN93,'Histórico'!$A$1:$DD$990,MATCH($B$6,'Histórico'!$A:$A),FALSE)*HLOOKUP("PTAX",'Histórico'!$A$1:$FG$983,MATCH($B$6,'Histórico'!$A:$A),FALSE),IF(AO93="Ações Europeias", HLOOKUP(AN93,'Histórico'!$A$1:$DD$990,MATCH($B$6,'Histórico'!$A:$A),FALSE)*HLOOKUP("EUR/BRL",'Histórico'!$A$1:$FG$983,MATCH($B$6,'Histórico'!$A:$A),FALSE),  HLOOKUP(AN93,'Histórico'!$A$1:$DD$990,MATCH($B$6,'Histórico'!$A:$A),FALSE))),"")</f>
        <v/>
      </c>
      <c r="AR93" s="243" t="str">
        <f t="shared" si="18"/>
        <v/>
      </c>
      <c r="AS93" s="53"/>
      <c r="AT93" s="245"/>
      <c r="AU93" s="242" t="str">
        <f>IF(ISTEXT(AT93),VLOOKUP(AT93,'Cadastro dos Ativos'!$A$2:$C$1000,3,0),"")</f>
        <v/>
      </c>
      <c r="AV93" s="242" t="str">
        <f>IF(AT93 &lt;&gt; "",IF(AU93="Futuros", (SUMIFS('Alocação'!$O$3:$O$1002,'Alocação'!$C$3:$C$1002,AT93,'Alocação'!$F$3:$F$1002,AT$9,'Alocação'!$B$3:$B$1002,"&lt;="&amp;$B$4)), (SUMIFS('Alocação'!$O$3:$O$1002,'Alocação'!$C$3:$C$1002,AT93,'Alocação'!$F$3:$F$1002,AT$9,'Alocação'!$B$3:$B$1002,"&lt;="&amp;$B$6))),"")</f>
        <v/>
      </c>
      <c r="AW93" s="243" t="str">
        <f>iferror(IF(AU93="Ações Americanas", HLOOKUP(AT93,'Histórico'!$A$1:$DD$990,MATCH($B$6,'Histórico'!$A:$A),FALSE)*HLOOKUP("PTAX",'Histórico'!$A$1:$FG$983,MATCH($B$6,'Histórico'!$A:$A),FALSE),IF(AU93="Ações Europeias", HLOOKUP(AT93,'Histórico'!$A$1:$DD$990,MATCH($B$6,'Histórico'!$A:$A),FALSE)*HLOOKUP("EUR/BRL",'Histórico'!$A$1:$FG$983,MATCH($B$6,'Histórico'!$A:$A),FALSE),  HLOOKUP(AT93,'Histórico'!$A$1:$DD$990,MATCH($B$6,'Histórico'!$A:$A),FALSE))),"")</f>
        <v/>
      </c>
      <c r="AX93" s="243" t="str">
        <f t="shared" si="27"/>
        <v/>
      </c>
      <c r="AY93" s="183"/>
    </row>
    <row r="94" ht="15.75" customHeight="1">
      <c r="A94" s="176"/>
      <c r="B94" s="232">
        <v>45127.0</v>
      </c>
      <c r="C94" s="246">
        <v>1.038909336550764E8</v>
      </c>
      <c r="D94" s="246">
        <v>1.038909506550764E8</v>
      </c>
      <c r="E94" s="247"/>
      <c r="F94" s="246">
        <v>1.108970833675881E8</v>
      </c>
      <c r="G94" s="246">
        <v>1.108971003675881E8</v>
      </c>
      <c r="H94" s="247"/>
      <c r="I94" s="246">
        <v>1.089583563918243E8</v>
      </c>
      <c r="J94" s="246">
        <v>1.089583733918243E8</v>
      </c>
      <c r="K94" s="247"/>
      <c r="L94" s="246">
        <v>1.050263094302846E8</v>
      </c>
      <c r="M94" s="246">
        <v>7.308122642799576E7</v>
      </c>
      <c r="N94" s="240">
        <f t="shared" si="9"/>
        <v>0.0004487987581</v>
      </c>
      <c r="O94" s="240">
        <f t="shared" si="10"/>
        <v>0.0004487986129</v>
      </c>
      <c r="P94" s="240">
        <f t="shared" si="11"/>
        <v>0.0004487986512</v>
      </c>
      <c r="Q94" s="240">
        <f t="shared" si="12"/>
        <v>0.0009001166838</v>
      </c>
      <c r="R94" s="236">
        <f t="shared" si="13"/>
        <v>104.2040681</v>
      </c>
      <c r="S94" s="177"/>
      <c r="T94" s="233">
        <f t="shared" ref="T94:U94" si="104">IF(AND(C94&lt;&gt;"",F94&lt;&gt;"",I94&lt;&gt;""), SUM(I94,F94,C94,L94),"")</f>
        <v>428772682.8</v>
      </c>
      <c r="U94" s="233">
        <f t="shared" si="104"/>
        <v>396827650.8</v>
      </c>
      <c r="V94" s="233">
        <f t="shared" si="6"/>
        <v>107.1931707</v>
      </c>
      <c r="W94" s="241">
        <f t="shared" si="15"/>
        <v>0.0005593097362</v>
      </c>
      <c r="X94" s="241">
        <f t="shared" si="16"/>
        <v>-0.002888934033</v>
      </c>
      <c r="Y94" s="241">
        <f t="shared" si="25"/>
        <v>0.001148882666</v>
      </c>
      <c r="Z94" s="233">
        <f t="shared" si="7"/>
        <v>104.2040681</v>
      </c>
      <c r="AA94" s="165"/>
      <c r="AB94" s="245"/>
      <c r="AC94" s="242" t="str">
        <f>IF(ISTEXT(AB94),VLOOKUP(AB94,'Cadastro dos Ativos'!$A$2:$C$1000,3,0),"")</f>
        <v/>
      </c>
      <c r="AD94" s="242" t="str">
        <f>IF(AB94 &lt;&gt; "",IF(AC94="Futuros", (SUMIFS('Alocação'!$O$3:$O$1002,'Alocação'!$C$3:$C$1002,AB94,'Alocação'!$F$3:$F$1002,AB$9,'Alocação'!$B$3:$B$1002,"&lt;="&amp;$B$4)), (SUMIFS('Alocação'!$O$3:$O$1002,'Alocação'!$C$3:$C$1002,AB94,'Alocação'!$F$3:$F$1002,AB$9,'Alocação'!$B$3:$B$1002,"&lt;="&amp;$B$6))),"")</f>
        <v/>
      </c>
      <c r="AE94" s="243" t="str">
        <f>iferror(IF(AC94="Ações Americanas", HLOOKUP(AB94,'Histórico'!$A$1:$DD$990,MATCH($B$6,'Histórico'!$A:$A),FALSE)*HLOOKUP("PTAX",'Histórico'!$A$1:$FG$983,MATCH($B$6,'Histórico'!$A:$A),FALSE),IF(AC94="Ações Europeias", HLOOKUP(AB94,'Histórico'!$A$1:$DD$990,MATCH($B$6,'Histórico'!$A:$A),FALSE)*HLOOKUP("EUR/BRL",'Histórico'!$A$1:$FG$983,MATCH($B$6,'Histórico'!$A:$A),FALSE), HLOOKUP(AB94,'Histórico'!$A$1:$DD$990,MATCH($B$6,'Histórico'!$A:$A),FALSE))),"")</f>
        <v/>
      </c>
      <c r="AF94" s="243" t="str">
        <f t="shared" si="21"/>
        <v/>
      </c>
      <c r="AG94" s="53"/>
      <c r="AH94" s="245"/>
      <c r="AI94" s="242" t="str">
        <f>IF(ISTEXT(AH94),VLOOKUP(AH94,'Cadastro dos Ativos'!$A$2:$C$1000,3,0),"")</f>
        <v/>
      </c>
      <c r="AJ94" s="242" t="str">
        <f>IF(AH94 &lt;&gt; "",IF(AI94="Futuros", (SUMIFS('Alocação'!$O$3:$O$1002,'Alocação'!$C$3:$C$1002,AH94,'Alocação'!$F$3:$F$1002,AH$9,'Alocação'!$B$3:$B$1002,"&lt;="&amp;$B$4)), (SUMIFS('Alocação'!$O$3:$O$1002,'Alocação'!$C$3:$C$1002,AH94,'Alocação'!$F$3:$F$1002,AH$9,'Alocação'!$B$3:$B$1002,"&lt;="&amp;$B$6))),"")</f>
        <v/>
      </c>
      <c r="AK94" s="243" t="str">
        <f>iferror(IF(AI94="Ações Americanas", HLOOKUP(AH94,'Histórico'!$A$1:$DD$990,MATCH($B$6,'Histórico'!$A:$A),FALSE)*HLOOKUP("PTAX",'Histórico'!$A$1:$FG$983,MATCH($B$6,'Histórico'!$A:$A),FALSE),IF(AI94="Ações Europeias", HLOOKUP(AH94,'Histórico'!$A$1:$DD$990,MATCH($B$6,'Histórico'!$A:$A),FALSE)*HLOOKUP("EUR/BRL",'Histórico'!$A$1:$FG$983,MATCH($B$6,'Histórico'!$A:$A),FALSE),  HLOOKUP(AH94,'Histórico'!$A$1:$DD$990,MATCH($B$6,'Histórico'!$A:$A),FALSE))),"")</f>
        <v/>
      </c>
      <c r="AL94" s="243" t="str">
        <f t="shared" si="17"/>
        <v/>
      </c>
      <c r="AM94" s="53"/>
      <c r="AN94" s="245"/>
      <c r="AO94" s="242" t="str">
        <f>IF(ISTEXT(AN94),VLOOKUP(AN94,'Cadastro dos Ativos'!$A$2:$C$1000,3,0),"")</f>
        <v/>
      </c>
      <c r="AP94" s="242" t="str">
        <f>IF(AN94 &lt;&gt; "",IF(AO94="Futuros", (SUMIFS('Alocação'!$O$3:$O$1002,'Alocação'!$C$3:$C$1002,AN94,'Alocação'!$F$3:$F$1002,AN$9,'Alocação'!$B$3:$B$1002,"&lt;="&amp;$B$4)), (SUMIFS('Alocação'!$O$3:$O$1002,'Alocação'!$C$3:$C$1002,AN94,'Alocação'!$F$3:$F$1002,AN$9,'Alocação'!$B$3:$B$1002,"&lt;="&amp;$B$6))),"")</f>
        <v/>
      </c>
      <c r="AQ94" s="243" t="str">
        <f>iferror(IF(AO94="Ações Americanas", HLOOKUP(AN94,'Histórico'!$A$1:$DD$990,MATCH($B$6,'Histórico'!$A:$A),FALSE)*HLOOKUP("PTAX",'Histórico'!$A$1:$FG$983,MATCH($B$6,'Histórico'!$A:$A),FALSE),IF(AO94="Ações Europeias", HLOOKUP(AN94,'Histórico'!$A$1:$DD$990,MATCH($B$6,'Histórico'!$A:$A),FALSE)*HLOOKUP("EUR/BRL",'Histórico'!$A$1:$FG$983,MATCH($B$6,'Histórico'!$A:$A),FALSE),  HLOOKUP(AN94,'Histórico'!$A$1:$DD$990,MATCH($B$6,'Histórico'!$A:$A),FALSE))),"")</f>
        <v/>
      </c>
      <c r="AR94" s="243" t="str">
        <f t="shared" si="18"/>
        <v/>
      </c>
      <c r="AS94" s="53"/>
      <c r="AT94" s="245"/>
      <c r="AU94" s="242" t="str">
        <f>IF(ISTEXT(AT94),VLOOKUP(AT94,'Cadastro dos Ativos'!$A$2:$C$1000,3,0),"")</f>
        <v/>
      </c>
      <c r="AV94" s="242" t="str">
        <f>IF(AT94 &lt;&gt; "",IF(AU94="Futuros", (SUMIFS('Alocação'!$O$3:$O$1002,'Alocação'!$C$3:$C$1002,AT94,'Alocação'!$F$3:$F$1002,AT$9,'Alocação'!$B$3:$B$1002,"&lt;="&amp;$B$4)), (SUMIFS('Alocação'!$O$3:$O$1002,'Alocação'!$C$3:$C$1002,AT94,'Alocação'!$F$3:$F$1002,AT$9,'Alocação'!$B$3:$B$1002,"&lt;="&amp;$B$6))),"")</f>
        <v/>
      </c>
      <c r="AW94" s="243" t="str">
        <f>iferror(IF(AU94="Ações Americanas", HLOOKUP(AT94,'Histórico'!$A$1:$DD$990,MATCH($B$6,'Histórico'!$A:$A),FALSE)*HLOOKUP("PTAX",'Histórico'!$A$1:$FG$983,MATCH($B$6,'Histórico'!$A:$A),FALSE),IF(AU94="Ações Europeias", HLOOKUP(AT94,'Histórico'!$A$1:$DD$990,MATCH($B$6,'Histórico'!$A:$A),FALSE)*HLOOKUP("EUR/BRL",'Histórico'!$A$1:$FG$983,MATCH($B$6,'Histórico'!$A:$A),FALSE),  HLOOKUP(AT94,'Histórico'!$A$1:$DD$990,MATCH($B$6,'Histórico'!$A:$A),FALSE))),"")</f>
        <v/>
      </c>
      <c r="AX94" s="243" t="str">
        <f t="shared" si="27"/>
        <v/>
      </c>
      <c r="AY94" s="183"/>
    </row>
    <row r="95" ht="15.75" customHeight="1">
      <c r="A95" s="176"/>
      <c r="B95" s="232">
        <v>45128.0</v>
      </c>
      <c r="C95" s="246">
        <v>1.0360602041716E8</v>
      </c>
      <c r="D95" s="246">
        <v>1.135000390468597E8</v>
      </c>
      <c r="E95" s="247"/>
      <c r="F95" s="246">
        <v>1.109468520945538E8</v>
      </c>
      <c r="G95" s="246">
        <v>1.109468705945538E8</v>
      </c>
      <c r="H95" s="247"/>
      <c r="I95" s="246">
        <v>1.090072550249882E8</v>
      </c>
      <c r="J95" s="246">
        <v>1.090072735249882E8</v>
      </c>
      <c r="K95" s="247"/>
      <c r="L95" s="246">
        <v>1.057312190553446E8</v>
      </c>
      <c r="M95" s="246">
        <v>7.311213759501746E7</v>
      </c>
      <c r="N95" s="240">
        <f t="shared" si="9"/>
        <v>-0.002742426388</v>
      </c>
      <c r="O95" s="240">
        <f t="shared" si="10"/>
        <v>0.0004487830108</v>
      </c>
      <c r="P95" s="240">
        <f t="shared" si="11"/>
        <v>0.0004487827715</v>
      </c>
      <c r="Q95" s="240">
        <f t="shared" si="12"/>
        <v>0.006711743266</v>
      </c>
      <c r="R95" s="236">
        <f t="shared" si="13"/>
        <v>104.2551667</v>
      </c>
      <c r="S95" s="177"/>
      <c r="T95" s="233">
        <f t="shared" ref="T95:U95" si="105">IF(AND(C95&lt;&gt;"",F95&lt;&gt;"",I95&lt;&gt;""), SUM(I95,F95,C95,L95),"")</f>
        <v>429291346.6</v>
      </c>
      <c r="U95" s="233">
        <f t="shared" si="105"/>
        <v>406566320.8</v>
      </c>
      <c r="V95" s="233">
        <f t="shared" si="6"/>
        <v>107.3228366</v>
      </c>
      <c r="W95" s="241">
        <f t="shared" si="15"/>
        <v>0.001209647368</v>
      </c>
      <c r="X95" s="241">
        <f t="shared" si="16"/>
        <v>-0.001682781256</v>
      </c>
      <c r="Y95" s="241">
        <f t="shared" si="25"/>
        <v>0.0007058755591</v>
      </c>
      <c r="Z95" s="233">
        <f t="shared" si="7"/>
        <v>104.2551667</v>
      </c>
      <c r="AA95" s="165"/>
      <c r="AB95" s="245"/>
      <c r="AC95" s="242" t="str">
        <f>IF(ISTEXT(AB95),VLOOKUP(AB95,'Cadastro dos Ativos'!$A$2:$C$1000,3,0),"")</f>
        <v/>
      </c>
      <c r="AD95" s="242" t="str">
        <f>IF(AB95 &lt;&gt; "",IF(AC95="Futuros", (SUMIFS('Alocação'!$O$3:$O$1002,'Alocação'!$C$3:$C$1002,AB95,'Alocação'!$F$3:$F$1002,AB$9,'Alocação'!$B$3:$B$1002,"&lt;="&amp;$B$4)), (SUMIFS('Alocação'!$O$3:$O$1002,'Alocação'!$C$3:$C$1002,AB95,'Alocação'!$F$3:$F$1002,AB$9,'Alocação'!$B$3:$B$1002,"&lt;="&amp;$B$6))),"")</f>
        <v/>
      </c>
      <c r="AE95" s="243" t="str">
        <f>iferror(IF(AC95="Ações Americanas", HLOOKUP(AB95,'Histórico'!$A$1:$DD$990,MATCH($B$6,'Histórico'!$A:$A),FALSE)*HLOOKUP("PTAX",'Histórico'!$A$1:$FG$983,MATCH($B$6,'Histórico'!$A:$A),FALSE),IF(AC95="Ações Europeias", HLOOKUP(AB95,'Histórico'!$A$1:$DD$990,MATCH($B$6,'Histórico'!$A:$A),FALSE)*HLOOKUP("EUR/BRL",'Histórico'!$A$1:$FG$983,MATCH($B$6,'Histórico'!$A:$A),FALSE), HLOOKUP(AB95,'Histórico'!$A$1:$DD$990,MATCH($B$6,'Histórico'!$A:$A),FALSE))),"")</f>
        <v/>
      </c>
      <c r="AF95" s="243" t="str">
        <f t="shared" si="21"/>
        <v/>
      </c>
      <c r="AG95" s="53"/>
      <c r="AH95" s="245"/>
      <c r="AI95" s="242" t="str">
        <f>IF(ISTEXT(AH95),VLOOKUP(AH95,'Cadastro dos Ativos'!$A$2:$C$1000,3,0),"")</f>
        <v/>
      </c>
      <c r="AJ95" s="242" t="str">
        <f>IF(AH95 &lt;&gt; "",IF(AI95="Futuros", (SUMIFS('Alocação'!$O$3:$O$1002,'Alocação'!$C$3:$C$1002,AH95,'Alocação'!$F$3:$F$1002,AH$9,'Alocação'!$B$3:$B$1002,"&lt;="&amp;$B$4)), (SUMIFS('Alocação'!$O$3:$O$1002,'Alocação'!$C$3:$C$1002,AH95,'Alocação'!$F$3:$F$1002,AH$9,'Alocação'!$B$3:$B$1002,"&lt;="&amp;$B$6))),"")</f>
        <v/>
      </c>
      <c r="AK95" s="243" t="str">
        <f>iferror(IF(AI95="Ações Americanas", HLOOKUP(AH95,'Histórico'!$A$1:$DD$990,MATCH($B$6,'Histórico'!$A:$A),FALSE)*HLOOKUP("PTAX",'Histórico'!$A$1:$FG$983,MATCH($B$6,'Histórico'!$A:$A),FALSE),IF(AI95="Ações Europeias", HLOOKUP(AH95,'Histórico'!$A$1:$DD$990,MATCH($B$6,'Histórico'!$A:$A),FALSE)*HLOOKUP("EUR/BRL",'Histórico'!$A$1:$FG$983,MATCH($B$6,'Histórico'!$A:$A),FALSE),  HLOOKUP(AH95,'Histórico'!$A$1:$DD$990,MATCH($B$6,'Histórico'!$A:$A),FALSE))),"")</f>
        <v/>
      </c>
      <c r="AL95" s="243" t="str">
        <f t="shared" si="17"/>
        <v/>
      </c>
      <c r="AM95" s="53"/>
      <c r="AN95" s="245"/>
      <c r="AO95" s="242" t="str">
        <f>IF(ISTEXT(AN95),VLOOKUP(AN95,'Cadastro dos Ativos'!$A$2:$C$1000,3,0),"")</f>
        <v/>
      </c>
      <c r="AP95" s="242" t="str">
        <f>IF(AN95 &lt;&gt; "",IF(AO95="Futuros", (SUMIFS('Alocação'!$O$3:$O$1002,'Alocação'!$C$3:$C$1002,AN95,'Alocação'!$F$3:$F$1002,AN$9,'Alocação'!$B$3:$B$1002,"&lt;="&amp;$B$4)), (SUMIFS('Alocação'!$O$3:$O$1002,'Alocação'!$C$3:$C$1002,AN95,'Alocação'!$F$3:$F$1002,AN$9,'Alocação'!$B$3:$B$1002,"&lt;="&amp;$B$6))),"")</f>
        <v/>
      </c>
      <c r="AQ95" s="243" t="str">
        <f>iferror(IF(AO95="Ações Americanas", HLOOKUP(AN95,'Histórico'!$A$1:$DD$990,MATCH($B$6,'Histórico'!$A:$A),FALSE)*HLOOKUP("PTAX",'Histórico'!$A$1:$FG$983,MATCH($B$6,'Histórico'!$A:$A),FALSE),IF(AO95="Ações Europeias", HLOOKUP(AN95,'Histórico'!$A$1:$DD$990,MATCH($B$6,'Histórico'!$A:$A),FALSE)*HLOOKUP("EUR/BRL",'Histórico'!$A$1:$FG$983,MATCH($B$6,'Histórico'!$A:$A),FALSE),  HLOOKUP(AN95,'Histórico'!$A$1:$DD$990,MATCH($B$6,'Histórico'!$A:$A),FALSE))),"")</f>
        <v/>
      </c>
      <c r="AR95" s="243" t="str">
        <f t="shared" si="18"/>
        <v/>
      </c>
      <c r="AS95" s="53"/>
      <c r="AT95" s="245"/>
      <c r="AU95" s="242" t="str">
        <f>IF(ISTEXT(AT95),VLOOKUP(AT95,'Cadastro dos Ativos'!$A$2:$C$1000,3,0),"")</f>
        <v/>
      </c>
      <c r="AV95" s="242" t="str">
        <f>IF(AT95 &lt;&gt; "",IF(AU95="Futuros", (SUMIFS('Alocação'!$O$3:$O$1002,'Alocação'!$C$3:$C$1002,AT95,'Alocação'!$F$3:$F$1002,AT$9,'Alocação'!$B$3:$B$1002,"&lt;="&amp;$B$4)), (SUMIFS('Alocação'!$O$3:$O$1002,'Alocação'!$C$3:$C$1002,AT95,'Alocação'!$F$3:$F$1002,AT$9,'Alocação'!$B$3:$B$1002,"&lt;="&amp;$B$6))),"")</f>
        <v/>
      </c>
      <c r="AW95" s="243" t="str">
        <f>iferror(IF(AU95="Ações Americanas", HLOOKUP(AT95,'Histórico'!$A$1:$DD$990,MATCH($B$6,'Histórico'!$A:$A),FALSE)*HLOOKUP("PTAX",'Histórico'!$A$1:$FG$983,MATCH($B$6,'Histórico'!$A:$A),FALSE),IF(AU95="Ações Europeias", HLOOKUP(AT95,'Histórico'!$A$1:$DD$990,MATCH($B$6,'Histórico'!$A:$A),FALSE)*HLOOKUP("EUR/BRL",'Histórico'!$A$1:$FG$983,MATCH($B$6,'Histórico'!$A:$A),FALSE),  HLOOKUP(AT95,'Histórico'!$A$1:$DD$990,MATCH($B$6,'Histórico'!$A:$A),FALSE))),"")</f>
        <v/>
      </c>
      <c r="AX95" s="243" t="str">
        <f t="shared" si="27"/>
        <v/>
      </c>
      <c r="AY95" s="183"/>
    </row>
    <row r="96" ht="15.75" customHeight="1">
      <c r="A96" s="176"/>
      <c r="B96" s="232">
        <v>45131.0</v>
      </c>
      <c r="C96" s="246">
        <v>1.030975745120791E8</v>
      </c>
      <c r="D96" s="246">
        <v>1.130910432861384E8</v>
      </c>
      <c r="E96" s="247"/>
      <c r="F96" s="246">
        <v>1.109966443583105E8</v>
      </c>
      <c r="G96" s="246">
        <v>1.109966631583097E8</v>
      </c>
      <c r="H96" s="247"/>
      <c r="I96" s="246">
        <v>1.090561768044481E8</v>
      </c>
      <c r="J96" s="246">
        <v>1.090561956044474E8</v>
      </c>
      <c r="K96" s="247"/>
      <c r="L96" s="246">
        <v>1.063753537707949E8</v>
      </c>
      <c r="M96" s="246">
        <v>7.314302281264597E7</v>
      </c>
      <c r="N96" s="240">
        <f t="shared" si="9"/>
        <v>-0.004907493822</v>
      </c>
      <c r="O96" s="240">
        <f t="shared" si="10"/>
        <v>0.0004487938397</v>
      </c>
      <c r="P96" s="240">
        <f t="shared" si="11"/>
        <v>0.0004487937931</v>
      </c>
      <c r="Q96" s="240">
        <f t="shared" si="12"/>
        <v>0.006092190379</v>
      </c>
      <c r="R96" s="236">
        <f t="shared" si="13"/>
        <v>104.3062903</v>
      </c>
      <c r="S96" s="177"/>
      <c r="T96" s="233">
        <f t="shared" ref="T96:U96" si="106">IF(AND(C96&lt;&gt;"",F96&lt;&gt;"",I96&lt;&gt;""), SUM(I96,F96,C96,L96),"")</f>
        <v>429525749.4</v>
      </c>
      <c r="U96" s="233">
        <f t="shared" si="106"/>
        <v>406286924.9</v>
      </c>
      <c r="V96" s="233">
        <f t="shared" si="6"/>
        <v>107.3814374</v>
      </c>
      <c r="W96" s="241">
        <f t="shared" si="15"/>
        <v>0.0005460227779</v>
      </c>
      <c r="X96" s="241">
        <f t="shared" si="16"/>
        <v>-0.001137677315</v>
      </c>
      <c r="Y96" s="241">
        <f t="shared" si="25"/>
        <v>0.0003690790857</v>
      </c>
      <c r="Z96" s="233">
        <f t="shared" si="7"/>
        <v>104.3062903</v>
      </c>
      <c r="AA96" s="165"/>
      <c r="AB96" s="245"/>
      <c r="AC96" s="242" t="str">
        <f>IF(ISTEXT(AB96),VLOOKUP(AB96,'Cadastro dos Ativos'!$A$2:$C$1000,3,0),"")</f>
        <v/>
      </c>
      <c r="AD96" s="242" t="str">
        <f>IF(AB96 &lt;&gt; "",IF(AC96="Futuros", (SUMIFS('Alocação'!$O$3:$O$1002,'Alocação'!$C$3:$C$1002,AB96,'Alocação'!$F$3:$F$1002,AB$9,'Alocação'!$B$3:$B$1002,"&lt;="&amp;$B$4)), (SUMIFS('Alocação'!$O$3:$O$1002,'Alocação'!$C$3:$C$1002,AB96,'Alocação'!$F$3:$F$1002,AB$9,'Alocação'!$B$3:$B$1002,"&lt;="&amp;$B$6))),"")</f>
        <v/>
      </c>
      <c r="AE96" s="243" t="str">
        <f>iferror(IF(AC96="Ações Americanas", HLOOKUP(AB96,'Histórico'!$A$1:$DD$990,MATCH($B$6,'Histórico'!$A:$A),FALSE)*HLOOKUP("PTAX",'Histórico'!$A$1:$FG$983,MATCH($B$6,'Histórico'!$A:$A),FALSE),IF(AC96="Ações Europeias", HLOOKUP(AB96,'Histórico'!$A$1:$DD$990,MATCH($B$6,'Histórico'!$A:$A),FALSE)*HLOOKUP("EUR/BRL",'Histórico'!$A$1:$FG$983,MATCH($B$6,'Histórico'!$A:$A),FALSE), HLOOKUP(AB96,'Histórico'!$A$1:$DD$990,MATCH($B$6,'Histórico'!$A:$A),FALSE))),"")</f>
        <v/>
      </c>
      <c r="AF96" s="243" t="str">
        <f t="shared" si="21"/>
        <v/>
      </c>
      <c r="AG96" s="53"/>
      <c r="AH96" s="245"/>
      <c r="AI96" s="242" t="str">
        <f>IF(ISTEXT(AH96),VLOOKUP(AH96,'Cadastro dos Ativos'!$A$2:$C$1000,3,0),"")</f>
        <v/>
      </c>
      <c r="AJ96" s="242" t="str">
        <f>IF(AH96 &lt;&gt; "",IF(AI96="Futuros", (SUMIFS('Alocação'!$O$3:$O$1002,'Alocação'!$C$3:$C$1002,AH96,'Alocação'!$F$3:$F$1002,AH$9,'Alocação'!$B$3:$B$1002,"&lt;="&amp;$B$4)), (SUMIFS('Alocação'!$O$3:$O$1002,'Alocação'!$C$3:$C$1002,AH96,'Alocação'!$F$3:$F$1002,AH$9,'Alocação'!$B$3:$B$1002,"&lt;="&amp;$B$6))),"")</f>
        <v/>
      </c>
      <c r="AK96" s="243" t="str">
        <f>iferror(IF(AI96="Ações Americanas", HLOOKUP(AH96,'Histórico'!$A$1:$DD$990,MATCH($B$6,'Histórico'!$A:$A),FALSE)*HLOOKUP("PTAX",'Histórico'!$A$1:$FG$983,MATCH($B$6,'Histórico'!$A:$A),FALSE),IF(AI96="Ações Europeias", HLOOKUP(AH96,'Histórico'!$A$1:$DD$990,MATCH($B$6,'Histórico'!$A:$A),FALSE)*HLOOKUP("EUR/BRL",'Histórico'!$A$1:$FG$983,MATCH($B$6,'Histórico'!$A:$A),FALSE),  HLOOKUP(AH96,'Histórico'!$A$1:$DD$990,MATCH($B$6,'Histórico'!$A:$A),FALSE))),"")</f>
        <v/>
      </c>
      <c r="AL96" s="243" t="str">
        <f t="shared" si="17"/>
        <v/>
      </c>
      <c r="AM96" s="53"/>
      <c r="AN96" s="245"/>
      <c r="AO96" s="242" t="str">
        <f>IF(ISTEXT(AN96),VLOOKUP(AN96,'Cadastro dos Ativos'!$A$2:$C$1000,3,0),"")</f>
        <v/>
      </c>
      <c r="AP96" s="242" t="str">
        <f>IF(AN96 &lt;&gt; "",IF(AO96="Futuros", (SUMIFS('Alocação'!$O$3:$O$1002,'Alocação'!$C$3:$C$1002,AN96,'Alocação'!$F$3:$F$1002,AN$9,'Alocação'!$B$3:$B$1002,"&lt;="&amp;$B$4)), (SUMIFS('Alocação'!$O$3:$O$1002,'Alocação'!$C$3:$C$1002,AN96,'Alocação'!$F$3:$F$1002,AN$9,'Alocação'!$B$3:$B$1002,"&lt;="&amp;$B$6))),"")</f>
        <v/>
      </c>
      <c r="AQ96" s="243" t="str">
        <f>iferror(IF(AO96="Ações Americanas", HLOOKUP(AN96,'Histórico'!$A$1:$DD$990,MATCH($B$6,'Histórico'!$A:$A),FALSE)*HLOOKUP("PTAX",'Histórico'!$A$1:$FG$983,MATCH($B$6,'Histórico'!$A:$A),FALSE),IF(AO96="Ações Europeias", HLOOKUP(AN96,'Histórico'!$A$1:$DD$990,MATCH($B$6,'Histórico'!$A:$A),FALSE)*HLOOKUP("EUR/BRL",'Histórico'!$A$1:$FG$983,MATCH($B$6,'Histórico'!$A:$A),FALSE),  HLOOKUP(AN96,'Histórico'!$A$1:$DD$990,MATCH($B$6,'Histórico'!$A:$A),FALSE))),"")</f>
        <v/>
      </c>
      <c r="AR96" s="243" t="str">
        <f t="shared" si="18"/>
        <v/>
      </c>
      <c r="AS96" s="53"/>
      <c r="AT96" s="245"/>
      <c r="AU96" s="242" t="str">
        <f>IF(ISTEXT(AT96),VLOOKUP(AT96,'Cadastro dos Ativos'!$A$2:$C$1000,3,0),"")</f>
        <v/>
      </c>
      <c r="AV96" s="242" t="str">
        <f>IF(AT96 &lt;&gt; "",IF(AU96="Futuros", (SUMIFS('Alocação'!$O$3:$O$1002,'Alocação'!$C$3:$C$1002,AT96,'Alocação'!$F$3:$F$1002,AT$9,'Alocação'!$B$3:$B$1002,"&lt;="&amp;$B$4)), (SUMIFS('Alocação'!$O$3:$O$1002,'Alocação'!$C$3:$C$1002,AT96,'Alocação'!$F$3:$F$1002,AT$9,'Alocação'!$B$3:$B$1002,"&lt;="&amp;$B$6))),"")</f>
        <v/>
      </c>
      <c r="AW96" s="243" t="str">
        <f>iferror(IF(AU96="Ações Americanas", HLOOKUP(AT96,'Histórico'!$A$1:$DD$990,MATCH($B$6,'Histórico'!$A:$A),FALSE)*HLOOKUP("PTAX",'Histórico'!$A$1:$FG$983,MATCH($B$6,'Histórico'!$A:$A),FALSE),IF(AU96="Ações Europeias", HLOOKUP(AT96,'Histórico'!$A$1:$DD$990,MATCH($B$6,'Histórico'!$A:$A),FALSE)*HLOOKUP("EUR/BRL",'Histórico'!$A$1:$FG$983,MATCH($B$6,'Histórico'!$A:$A),FALSE),  HLOOKUP(AT96,'Histórico'!$A$1:$DD$990,MATCH($B$6,'Histórico'!$A:$A),FALSE))),"")</f>
        <v/>
      </c>
      <c r="AX96" s="243" t="str">
        <f t="shared" si="27"/>
        <v/>
      </c>
      <c r="AY96" s="183"/>
    </row>
    <row r="97" ht="15.75" customHeight="1">
      <c r="A97" s="176"/>
      <c r="B97" s="232">
        <v>45132.0</v>
      </c>
      <c r="C97" s="246">
        <v>1.033146348500962E8</v>
      </c>
      <c r="D97" s="246">
        <v>1.133429535954346E8</v>
      </c>
      <c r="E97" s="247"/>
      <c r="F97" s="246">
        <v>1.110464596088106E8</v>
      </c>
      <c r="G97" s="246">
        <v>1.110464780688097E8</v>
      </c>
      <c r="H97" s="247"/>
      <c r="I97" s="246">
        <v>1.091051211799812E8</v>
      </c>
      <c r="J97" s="246">
        <v>1.091051396399803E8</v>
      </c>
      <c r="K97" s="247"/>
      <c r="L97" s="246">
        <v>1.066990668406813E8</v>
      </c>
      <c r="M97" s="246">
        <v>7.317388565849896E7</v>
      </c>
      <c r="N97" s="240">
        <f t="shared" si="9"/>
        <v>0.002105387436</v>
      </c>
      <c r="O97" s="240">
        <f t="shared" si="10"/>
        <v>0.0004487996082</v>
      </c>
      <c r="P97" s="240">
        <f t="shared" si="11"/>
        <v>0.0004487996642</v>
      </c>
      <c r="Q97" s="240">
        <f t="shared" si="12"/>
        <v>0.003043120971</v>
      </c>
      <c r="R97" s="236">
        <f t="shared" si="13"/>
        <v>104.3574389</v>
      </c>
      <c r="S97" s="177"/>
      <c r="T97" s="233">
        <f t="shared" ref="T97:U97" si="107">IF(AND(C97&lt;&gt;"",F97&lt;&gt;"",I97&lt;&gt;""), SUM(I97,F97,C97,L97),"")</f>
        <v>430165282.5</v>
      </c>
      <c r="U97" s="233">
        <f t="shared" si="107"/>
        <v>406668457</v>
      </c>
      <c r="V97" s="233">
        <f t="shared" si="6"/>
        <v>107.5413206</v>
      </c>
      <c r="W97" s="241">
        <f t="shared" si="15"/>
        <v>0.001488928277</v>
      </c>
      <c r="X97" s="241">
        <f t="shared" si="16"/>
        <v>0</v>
      </c>
      <c r="Y97" s="241">
        <f t="shared" si="25"/>
        <v>0.0005306568835</v>
      </c>
      <c r="Z97" s="233">
        <f t="shared" si="7"/>
        <v>104.3574389</v>
      </c>
      <c r="AA97" s="165"/>
      <c r="AB97" s="245"/>
      <c r="AC97" s="242" t="str">
        <f>IF(ISTEXT(AB97),VLOOKUP(AB97,'Cadastro dos Ativos'!$A$2:$C$1000,3,0),"")</f>
        <v/>
      </c>
      <c r="AD97" s="242" t="str">
        <f>IF(AB97 &lt;&gt; "",IF(AC97="Futuros", (SUMIFS('Alocação'!$O$3:$O$1002,'Alocação'!$C$3:$C$1002,AB97,'Alocação'!$F$3:$F$1002,AB$9,'Alocação'!$B$3:$B$1002,"&lt;="&amp;$B$4)), (SUMIFS('Alocação'!$O$3:$O$1002,'Alocação'!$C$3:$C$1002,AB97,'Alocação'!$F$3:$F$1002,AB$9,'Alocação'!$B$3:$B$1002,"&lt;="&amp;$B$6))),"")</f>
        <v/>
      </c>
      <c r="AE97" s="243" t="str">
        <f>iferror(IF(AC97="Ações Americanas", HLOOKUP(AB97,'Histórico'!$A$1:$DD$990,MATCH($B$6,'Histórico'!$A:$A),FALSE)*HLOOKUP("PTAX",'Histórico'!$A$1:$FG$983,MATCH($B$6,'Histórico'!$A:$A),FALSE),IF(AC97="Ações Europeias", HLOOKUP(AB97,'Histórico'!$A$1:$DD$990,MATCH($B$6,'Histórico'!$A:$A),FALSE)*HLOOKUP("EUR/BRL",'Histórico'!$A$1:$FG$983,MATCH($B$6,'Histórico'!$A:$A),FALSE), HLOOKUP(AB97,'Histórico'!$A$1:$DD$990,MATCH($B$6,'Histórico'!$A:$A),FALSE))),"")</f>
        <v/>
      </c>
      <c r="AF97" s="243" t="str">
        <f t="shared" si="21"/>
        <v/>
      </c>
      <c r="AG97" s="53"/>
      <c r="AH97" s="245"/>
      <c r="AI97" s="242" t="str">
        <f>IF(ISTEXT(AH97),VLOOKUP(AH97,'Cadastro dos Ativos'!$A$2:$C$1000,3,0),"")</f>
        <v/>
      </c>
      <c r="AJ97" s="242" t="str">
        <f>IF(AH97 &lt;&gt; "",IF(AI97="Futuros", (SUMIFS('Alocação'!$O$3:$O$1002,'Alocação'!$C$3:$C$1002,AH97,'Alocação'!$F$3:$F$1002,AH$9,'Alocação'!$B$3:$B$1002,"&lt;="&amp;$B$4)), (SUMIFS('Alocação'!$O$3:$O$1002,'Alocação'!$C$3:$C$1002,AH97,'Alocação'!$F$3:$F$1002,AH$9,'Alocação'!$B$3:$B$1002,"&lt;="&amp;$B$6))),"")</f>
        <v/>
      </c>
      <c r="AK97" s="243" t="str">
        <f>iferror(IF(AI97="Ações Americanas", HLOOKUP(AH97,'Histórico'!$A$1:$DD$990,MATCH($B$6,'Histórico'!$A:$A),FALSE)*HLOOKUP("PTAX",'Histórico'!$A$1:$FG$983,MATCH($B$6,'Histórico'!$A:$A),FALSE),IF(AI97="Ações Europeias", HLOOKUP(AH97,'Histórico'!$A$1:$DD$990,MATCH($B$6,'Histórico'!$A:$A),FALSE)*HLOOKUP("EUR/BRL",'Histórico'!$A$1:$FG$983,MATCH($B$6,'Histórico'!$A:$A),FALSE),  HLOOKUP(AH97,'Histórico'!$A$1:$DD$990,MATCH($B$6,'Histórico'!$A:$A),FALSE))),"")</f>
        <v/>
      </c>
      <c r="AL97" s="243" t="str">
        <f t="shared" si="17"/>
        <v/>
      </c>
      <c r="AM97" s="53"/>
      <c r="AN97" s="245"/>
      <c r="AO97" s="242" t="str">
        <f>IF(ISTEXT(AN97),VLOOKUP(AN97,'Cadastro dos Ativos'!$A$2:$C$1000,3,0),"")</f>
        <v/>
      </c>
      <c r="AP97" s="242" t="str">
        <f>IF(AN97 &lt;&gt; "",IF(AO97="Futuros", (SUMIFS('Alocação'!$O$3:$O$1002,'Alocação'!$C$3:$C$1002,AN97,'Alocação'!$F$3:$F$1002,AN$9,'Alocação'!$B$3:$B$1002,"&lt;="&amp;$B$4)), (SUMIFS('Alocação'!$O$3:$O$1002,'Alocação'!$C$3:$C$1002,AN97,'Alocação'!$F$3:$F$1002,AN$9,'Alocação'!$B$3:$B$1002,"&lt;="&amp;$B$6))),"")</f>
        <v/>
      </c>
      <c r="AQ97" s="243" t="str">
        <f>iferror(IF(AO97="Ações Americanas", HLOOKUP(AN97,'Histórico'!$A$1:$DD$990,MATCH($B$6,'Histórico'!$A:$A),FALSE)*HLOOKUP("PTAX",'Histórico'!$A$1:$FG$983,MATCH($B$6,'Histórico'!$A:$A),FALSE),IF(AO97="Ações Europeias", HLOOKUP(AN97,'Histórico'!$A$1:$DD$990,MATCH($B$6,'Histórico'!$A:$A),FALSE)*HLOOKUP("EUR/BRL",'Histórico'!$A$1:$FG$983,MATCH($B$6,'Histórico'!$A:$A),FALSE),  HLOOKUP(AN97,'Histórico'!$A$1:$DD$990,MATCH($B$6,'Histórico'!$A:$A),FALSE))),"")</f>
        <v/>
      </c>
      <c r="AR97" s="243" t="str">
        <f t="shared" si="18"/>
        <v/>
      </c>
      <c r="AS97" s="53"/>
      <c r="AT97" s="245"/>
      <c r="AU97" s="242" t="str">
        <f>IF(ISTEXT(AT97),VLOOKUP(AT97,'Cadastro dos Ativos'!$A$2:$C$1000,3,0),"")</f>
        <v/>
      </c>
      <c r="AV97" s="242" t="str">
        <f>IF(AT97 &lt;&gt; "",IF(AU97="Futuros", (SUMIFS('Alocação'!$O$3:$O$1002,'Alocação'!$C$3:$C$1002,AT97,'Alocação'!$F$3:$F$1002,AT$9,'Alocação'!$B$3:$B$1002,"&lt;="&amp;$B$4)), (SUMIFS('Alocação'!$O$3:$O$1002,'Alocação'!$C$3:$C$1002,AT97,'Alocação'!$F$3:$F$1002,AT$9,'Alocação'!$B$3:$B$1002,"&lt;="&amp;$B$6))),"")</f>
        <v/>
      </c>
      <c r="AW97" s="243" t="str">
        <f>iferror(IF(AU97="Ações Americanas", HLOOKUP(AT97,'Histórico'!$A$1:$DD$990,MATCH($B$6,'Histórico'!$A:$A),FALSE)*HLOOKUP("PTAX",'Histórico'!$A$1:$FG$983,MATCH($B$6,'Histórico'!$A:$A),FALSE),IF(AU97="Ações Europeias", HLOOKUP(AT97,'Histórico'!$A$1:$DD$990,MATCH($B$6,'Histórico'!$A:$A),FALSE)*HLOOKUP("EUR/BRL",'Histórico'!$A$1:$FG$983,MATCH($B$6,'Histórico'!$A:$A),FALSE),  HLOOKUP(AT97,'Histórico'!$A$1:$DD$990,MATCH($B$6,'Histórico'!$A:$A),FALSE))),"")</f>
        <v/>
      </c>
      <c r="AX97" s="243" t="str">
        <f t="shared" si="27"/>
        <v/>
      </c>
      <c r="AY97" s="183"/>
    </row>
    <row r="98" ht="15.75" customHeight="1">
      <c r="A98" s="176"/>
      <c r="B98" s="232">
        <v>45133.0</v>
      </c>
      <c r="C98" s="246">
        <v>1.030019195218246E8</v>
      </c>
      <c r="D98" s="246">
        <v>1.130948377702453E8</v>
      </c>
      <c r="E98" s="247"/>
      <c r="F98" s="246">
        <v>1.110962969060447E8</v>
      </c>
      <c r="G98" s="246">
        <v>1.11096315336045E8</v>
      </c>
      <c r="H98" s="247"/>
      <c r="I98" s="246">
        <v>1.091540872114027E8</v>
      </c>
      <c r="J98" s="246">
        <v>1.09154105641403E8</v>
      </c>
      <c r="K98" s="247"/>
      <c r="L98" s="246">
        <v>1.070037268097795E8</v>
      </c>
      <c r="M98" s="246">
        <v>7.320474505285965E7</v>
      </c>
      <c r="N98" s="240">
        <f t="shared" si="9"/>
        <v>-0.003026825084</v>
      </c>
      <c r="O98" s="240">
        <f t="shared" si="10"/>
        <v>0.0004487968136</v>
      </c>
      <c r="P98" s="240">
        <f t="shared" si="11"/>
        <v>0.0004487968199</v>
      </c>
      <c r="Q98" s="240">
        <f t="shared" si="12"/>
        <v>0.002855319902</v>
      </c>
      <c r="R98" s="236">
        <f t="shared" si="13"/>
        <v>104.4086127</v>
      </c>
      <c r="S98" s="177"/>
      <c r="T98" s="233">
        <f t="shared" ref="T98:U98" si="108">IF(AND(C98&lt;&gt;"",F98&lt;&gt;"",I98&lt;&gt;""), SUM(I98,F98,C98,L98),"")</f>
        <v>430256030.4</v>
      </c>
      <c r="U98" s="233">
        <f t="shared" si="108"/>
        <v>406550003.8</v>
      </c>
      <c r="V98" s="233">
        <f t="shared" si="6"/>
        <v>107.5640076</v>
      </c>
      <c r="W98" s="241">
        <f t="shared" si="15"/>
        <v>0.0002109607009</v>
      </c>
      <c r="X98" s="241">
        <f t="shared" si="16"/>
        <v>0</v>
      </c>
      <c r="Y98" s="241">
        <f t="shared" si="25"/>
        <v>0.0005272078452</v>
      </c>
      <c r="Z98" s="233">
        <f t="shared" si="7"/>
        <v>104.4086127</v>
      </c>
      <c r="AA98" s="165"/>
      <c r="AB98" s="245"/>
      <c r="AC98" s="242" t="str">
        <f>IF(ISTEXT(AB98),VLOOKUP(AB98,'Cadastro dos Ativos'!$A$2:$C$1000,3,0),"")</f>
        <v/>
      </c>
      <c r="AD98" s="242" t="str">
        <f>IF(AB98 &lt;&gt; "",IF(AC98="Futuros", (SUMIFS('Alocação'!$O$3:$O$1002,'Alocação'!$C$3:$C$1002,AB98,'Alocação'!$F$3:$F$1002,AB$9,'Alocação'!$B$3:$B$1002,"&lt;="&amp;$B$4)), (SUMIFS('Alocação'!$O$3:$O$1002,'Alocação'!$C$3:$C$1002,AB98,'Alocação'!$F$3:$F$1002,AB$9,'Alocação'!$B$3:$B$1002,"&lt;="&amp;$B$6))),"")</f>
        <v/>
      </c>
      <c r="AE98" s="243" t="str">
        <f>iferror(IF(AC98="Ações Americanas", HLOOKUP(AB98,'Histórico'!$A$1:$DD$990,MATCH($B$6,'Histórico'!$A:$A),FALSE)*HLOOKUP("PTAX",'Histórico'!$A$1:$FG$983,MATCH($B$6,'Histórico'!$A:$A),FALSE),IF(AC98="Ações Europeias", HLOOKUP(AB98,'Histórico'!$A$1:$DD$990,MATCH($B$6,'Histórico'!$A:$A),FALSE)*HLOOKUP("EUR/BRL",'Histórico'!$A$1:$FG$983,MATCH($B$6,'Histórico'!$A:$A),FALSE), HLOOKUP(AB98,'Histórico'!$A$1:$DD$990,MATCH($B$6,'Histórico'!$A:$A),FALSE))),"")</f>
        <v/>
      </c>
      <c r="AF98" s="243" t="str">
        <f t="shared" si="21"/>
        <v/>
      </c>
      <c r="AG98" s="53"/>
      <c r="AH98" s="245"/>
      <c r="AI98" s="242" t="str">
        <f>IF(ISTEXT(AH98),VLOOKUP(AH98,'Cadastro dos Ativos'!$A$2:$C$1000,3,0),"")</f>
        <v/>
      </c>
      <c r="AJ98" s="242" t="str">
        <f>IF(AH98 &lt;&gt; "",IF(AI98="Futuros", (SUMIFS('Alocação'!$O$3:$O$1002,'Alocação'!$C$3:$C$1002,AH98,'Alocação'!$F$3:$F$1002,AH$9,'Alocação'!$B$3:$B$1002,"&lt;="&amp;$B$4)), (SUMIFS('Alocação'!$O$3:$O$1002,'Alocação'!$C$3:$C$1002,AH98,'Alocação'!$F$3:$F$1002,AH$9,'Alocação'!$B$3:$B$1002,"&lt;="&amp;$B$6))),"")</f>
        <v/>
      </c>
      <c r="AK98" s="243" t="str">
        <f>iferror(IF(AI98="Ações Americanas", HLOOKUP(AH98,'Histórico'!$A$1:$DD$990,MATCH($B$6,'Histórico'!$A:$A),FALSE)*HLOOKUP("PTAX",'Histórico'!$A$1:$FG$983,MATCH($B$6,'Histórico'!$A:$A),FALSE),IF(AI98="Ações Europeias", HLOOKUP(AH98,'Histórico'!$A$1:$DD$990,MATCH($B$6,'Histórico'!$A:$A),FALSE)*HLOOKUP("EUR/BRL",'Histórico'!$A$1:$FG$983,MATCH($B$6,'Histórico'!$A:$A),FALSE),  HLOOKUP(AH98,'Histórico'!$A$1:$DD$990,MATCH($B$6,'Histórico'!$A:$A),FALSE))),"")</f>
        <v/>
      </c>
      <c r="AL98" s="243" t="str">
        <f t="shared" si="17"/>
        <v/>
      </c>
      <c r="AM98" s="53"/>
      <c r="AN98" s="245"/>
      <c r="AO98" s="242" t="str">
        <f>IF(ISTEXT(AN98),VLOOKUP(AN98,'Cadastro dos Ativos'!$A$2:$C$1000,3,0),"")</f>
        <v/>
      </c>
      <c r="AP98" s="242" t="str">
        <f>IF(AN98 &lt;&gt; "",IF(AO98="Futuros", (SUMIFS('Alocação'!$O$3:$O$1002,'Alocação'!$C$3:$C$1002,AN98,'Alocação'!$F$3:$F$1002,AN$9,'Alocação'!$B$3:$B$1002,"&lt;="&amp;$B$4)), (SUMIFS('Alocação'!$O$3:$O$1002,'Alocação'!$C$3:$C$1002,AN98,'Alocação'!$F$3:$F$1002,AN$9,'Alocação'!$B$3:$B$1002,"&lt;="&amp;$B$6))),"")</f>
        <v/>
      </c>
      <c r="AQ98" s="243" t="str">
        <f>iferror(IF(AO98="Ações Americanas", HLOOKUP(AN98,'Histórico'!$A$1:$DD$990,MATCH($B$6,'Histórico'!$A:$A),FALSE)*HLOOKUP("PTAX",'Histórico'!$A$1:$FG$983,MATCH($B$6,'Histórico'!$A:$A),FALSE),IF(AO98="Ações Europeias", HLOOKUP(AN98,'Histórico'!$A$1:$DD$990,MATCH($B$6,'Histórico'!$A:$A),FALSE)*HLOOKUP("EUR/BRL",'Histórico'!$A$1:$FG$983,MATCH($B$6,'Histórico'!$A:$A),FALSE),  HLOOKUP(AN98,'Histórico'!$A$1:$DD$990,MATCH($B$6,'Histórico'!$A:$A),FALSE))),"")</f>
        <v/>
      </c>
      <c r="AR98" s="243" t="str">
        <f t="shared" si="18"/>
        <v/>
      </c>
      <c r="AS98" s="53"/>
      <c r="AT98" s="245"/>
      <c r="AU98" s="242" t="str">
        <f>IF(ISTEXT(AT98),VLOOKUP(AT98,'Cadastro dos Ativos'!$A$2:$C$1000,3,0),"")</f>
        <v/>
      </c>
      <c r="AV98" s="242" t="str">
        <f>IF(AT98 &lt;&gt; "",IF(AU98="Futuros", (SUMIFS('Alocação'!$O$3:$O$1002,'Alocação'!$C$3:$C$1002,AT98,'Alocação'!$F$3:$F$1002,AT$9,'Alocação'!$B$3:$B$1002,"&lt;="&amp;$B$4)), (SUMIFS('Alocação'!$O$3:$O$1002,'Alocação'!$C$3:$C$1002,AT98,'Alocação'!$F$3:$F$1002,AT$9,'Alocação'!$B$3:$B$1002,"&lt;="&amp;$B$6))),"")</f>
        <v/>
      </c>
      <c r="AW98" s="243" t="str">
        <f>iferror(IF(AU98="Ações Americanas", HLOOKUP(AT98,'Histórico'!$A$1:$DD$990,MATCH($B$6,'Histórico'!$A:$A),FALSE)*HLOOKUP("PTAX",'Histórico'!$A$1:$FG$983,MATCH($B$6,'Histórico'!$A:$A),FALSE),IF(AU98="Ações Europeias", HLOOKUP(AT98,'Histórico'!$A$1:$DD$990,MATCH($B$6,'Histórico'!$A:$A),FALSE)*HLOOKUP("EUR/BRL",'Histórico'!$A$1:$FG$983,MATCH($B$6,'Histórico'!$A:$A),FALSE),  HLOOKUP(AT98,'Histórico'!$A$1:$DD$990,MATCH($B$6,'Histórico'!$A:$A),FALSE))),"")</f>
        <v/>
      </c>
      <c r="AX98" s="243" t="str">
        <f t="shared" si="27"/>
        <v/>
      </c>
      <c r="AY98" s="183"/>
    </row>
    <row r="99" ht="15.75" customHeight="1">
      <c r="A99" s="176"/>
      <c r="B99" s="232">
        <v>45134.0</v>
      </c>
      <c r="C99" s="246">
        <v>1.035059954004995E8</v>
      </c>
      <c r="D99" s="246">
        <v>1.133694131583196E8</v>
      </c>
      <c r="E99" s="247"/>
      <c r="F99" s="246">
        <v>1.111461572900673E8</v>
      </c>
      <c r="G99" s="246">
        <v>1.111461749700676E8</v>
      </c>
      <c r="H99" s="247"/>
      <c r="I99" s="246">
        <v>1.08948795073973E8</v>
      </c>
      <c r="J99" s="246">
        <v>9.139802303696984E7</v>
      </c>
      <c r="K99" s="247"/>
      <c r="L99" s="246">
        <v>1.070806349081443E8</v>
      </c>
      <c r="M99" s="246">
        <v>7.323560211969979E7</v>
      </c>
      <c r="N99" s="240">
        <f t="shared" si="9"/>
        <v>0.004893849367</v>
      </c>
      <c r="O99" s="240">
        <f t="shared" si="10"/>
        <v>0.0004488032942</v>
      </c>
      <c r="P99" s="240">
        <f t="shared" si="11"/>
        <v>-0.001880755386</v>
      </c>
      <c r="Q99" s="240">
        <f t="shared" si="12"/>
        <v>0.0007187422406</v>
      </c>
      <c r="R99" s="236">
        <f t="shared" si="13"/>
        <v>104.4598115</v>
      </c>
      <c r="S99" s="177"/>
      <c r="T99" s="233">
        <f t="shared" ref="T99:U99" si="109">IF(AND(C99&lt;&gt;"",F99&lt;&gt;"",I99&lt;&gt;""), SUM(I99,F99,C99,L99),"")</f>
        <v>430681582.7</v>
      </c>
      <c r="U99" s="233">
        <f t="shared" si="109"/>
        <v>389149213.3</v>
      </c>
      <c r="V99" s="233">
        <f t="shared" si="6"/>
        <v>107.6703957</v>
      </c>
      <c r="W99" s="241">
        <f t="shared" si="15"/>
        <v>0.0009890674239</v>
      </c>
      <c r="X99" s="241">
        <f t="shared" si="16"/>
        <v>0</v>
      </c>
      <c r="Y99" s="241">
        <f t="shared" si="25"/>
        <v>0.0005123750578</v>
      </c>
      <c r="Z99" s="233">
        <f t="shared" si="7"/>
        <v>104.4598115</v>
      </c>
      <c r="AA99" s="165"/>
      <c r="AB99" s="245"/>
      <c r="AC99" s="242" t="str">
        <f>IF(ISTEXT(AB99),VLOOKUP(AB99,'Cadastro dos Ativos'!$A$2:$C$1000,3,0),"")</f>
        <v/>
      </c>
      <c r="AD99" s="242" t="str">
        <f>IF(AB99 &lt;&gt; "",IF(AC99="Futuros", (SUMIFS('Alocação'!$O$3:$O$1002,'Alocação'!$C$3:$C$1002,AB99,'Alocação'!$F$3:$F$1002,AB$9,'Alocação'!$B$3:$B$1002,"&lt;="&amp;$B$4)), (SUMIFS('Alocação'!$O$3:$O$1002,'Alocação'!$C$3:$C$1002,AB99,'Alocação'!$F$3:$F$1002,AB$9,'Alocação'!$B$3:$B$1002,"&lt;="&amp;$B$6))),"")</f>
        <v/>
      </c>
      <c r="AE99" s="243" t="str">
        <f>iferror(IF(AC99="Ações Americanas", HLOOKUP(AB99,'Histórico'!$A$1:$DD$990,MATCH($B$6,'Histórico'!$A:$A),FALSE)*HLOOKUP("PTAX",'Histórico'!$A$1:$FG$983,MATCH($B$6,'Histórico'!$A:$A),FALSE),IF(AC99="Ações Europeias", HLOOKUP(AB99,'Histórico'!$A$1:$DD$990,MATCH($B$6,'Histórico'!$A:$A),FALSE)*HLOOKUP("EUR/BRL",'Histórico'!$A$1:$FG$983,MATCH($B$6,'Histórico'!$A:$A),FALSE), HLOOKUP(AB99,'Histórico'!$A$1:$DD$990,MATCH($B$6,'Histórico'!$A:$A),FALSE))),"")</f>
        <v/>
      </c>
      <c r="AF99" s="243" t="str">
        <f t="shared" si="21"/>
        <v/>
      </c>
      <c r="AG99" s="53"/>
      <c r="AH99" s="245"/>
      <c r="AI99" s="242" t="str">
        <f>IF(ISTEXT(AH99),VLOOKUP(AH99,'Cadastro dos Ativos'!$A$2:$C$1000,3,0),"")</f>
        <v/>
      </c>
      <c r="AJ99" s="242" t="str">
        <f>IF(AH99 &lt;&gt; "",IF(AI99="Futuros", (SUMIFS('Alocação'!$O$3:$O$1002,'Alocação'!$C$3:$C$1002,AH99,'Alocação'!$F$3:$F$1002,AH$9,'Alocação'!$B$3:$B$1002,"&lt;="&amp;$B$4)), (SUMIFS('Alocação'!$O$3:$O$1002,'Alocação'!$C$3:$C$1002,AH99,'Alocação'!$F$3:$F$1002,AH$9,'Alocação'!$B$3:$B$1002,"&lt;="&amp;$B$6))),"")</f>
        <v/>
      </c>
      <c r="AK99" s="243" t="str">
        <f>iferror(IF(AI99="Ações Americanas", HLOOKUP(AH99,'Histórico'!$A$1:$DD$990,MATCH($B$6,'Histórico'!$A:$A),FALSE)*HLOOKUP("PTAX",'Histórico'!$A$1:$FG$983,MATCH($B$6,'Histórico'!$A:$A),FALSE),IF(AI99="Ações Europeias", HLOOKUP(AH99,'Histórico'!$A$1:$DD$990,MATCH($B$6,'Histórico'!$A:$A),FALSE)*HLOOKUP("EUR/BRL",'Histórico'!$A$1:$FG$983,MATCH($B$6,'Histórico'!$A:$A),FALSE),  HLOOKUP(AH99,'Histórico'!$A$1:$DD$990,MATCH($B$6,'Histórico'!$A:$A),FALSE))),"")</f>
        <v/>
      </c>
      <c r="AL99" s="243" t="str">
        <f t="shared" si="17"/>
        <v/>
      </c>
      <c r="AM99" s="53"/>
      <c r="AN99" s="245"/>
      <c r="AO99" s="242" t="str">
        <f>IF(ISTEXT(AN99),VLOOKUP(AN99,'Cadastro dos Ativos'!$A$2:$C$1000,3,0),"")</f>
        <v/>
      </c>
      <c r="AP99" s="242" t="str">
        <f>IF(AN99 &lt;&gt; "",IF(AO99="Futuros", (SUMIFS('Alocação'!$O$3:$O$1002,'Alocação'!$C$3:$C$1002,AN99,'Alocação'!$F$3:$F$1002,AN$9,'Alocação'!$B$3:$B$1002,"&lt;="&amp;$B$4)), (SUMIFS('Alocação'!$O$3:$O$1002,'Alocação'!$C$3:$C$1002,AN99,'Alocação'!$F$3:$F$1002,AN$9,'Alocação'!$B$3:$B$1002,"&lt;="&amp;$B$6))),"")</f>
        <v/>
      </c>
      <c r="AQ99" s="243" t="str">
        <f>iferror(IF(AO99="Ações Americanas", HLOOKUP(AN99,'Histórico'!$A$1:$DD$990,MATCH($B$6,'Histórico'!$A:$A),FALSE)*HLOOKUP("PTAX",'Histórico'!$A$1:$FG$983,MATCH($B$6,'Histórico'!$A:$A),FALSE),IF(AO99="Ações Europeias", HLOOKUP(AN99,'Histórico'!$A$1:$DD$990,MATCH($B$6,'Histórico'!$A:$A),FALSE)*HLOOKUP("EUR/BRL",'Histórico'!$A$1:$FG$983,MATCH($B$6,'Histórico'!$A:$A),FALSE),  HLOOKUP(AN99,'Histórico'!$A$1:$DD$990,MATCH($B$6,'Histórico'!$A:$A),FALSE))),"")</f>
        <v/>
      </c>
      <c r="AR99" s="243" t="str">
        <f t="shared" si="18"/>
        <v/>
      </c>
      <c r="AS99" s="53"/>
      <c r="AT99" s="245"/>
      <c r="AU99" s="242" t="str">
        <f>IF(ISTEXT(AT99),VLOOKUP(AT99,'Cadastro dos Ativos'!$A$2:$C$1000,3,0),"")</f>
        <v/>
      </c>
      <c r="AV99" s="242" t="str">
        <f>IF(AT99 &lt;&gt; "",IF(AU99="Futuros", (SUMIFS('Alocação'!$O$3:$O$1002,'Alocação'!$C$3:$C$1002,AT99,'Alocação'!$F$3:$F$1002,AT$9,'Alocação'!$B$3:$B$1002,"&lt;="&amp;$B$4)), (SUMIFS('Alocação'!$O$3:$O$1002,'Alocação'!$C$3:$C$1002,AT99,'Alocação'!$F$3:$F$1002,AT$9,'Alocação'!$B$3:$B$1002,"&lt;="&amp;$B$6))),"")</f>
        <v/>
      </c>
      <c r="AW99" s="243" t="str">
        <f>iferror(IF(AU99="Ações Americanas", HLOOKUP(AT99,'Histórico'!$A$1:$DD$990,MATCH($B$6,'Histórico'!$A:$A),FALSE)*HLOOKUP("PTAX",'Histórico'!$A$1:$FG$983,MATCH($B$6,'Histórico'!$A:$A),FALSE),IF(AU99="Ações Europeias", HLOOKUP(AT99,'Histórico'!$A$1:$DD$990,MATCH($B$6,'Histórico'!$A:$A),FALSE)*HLOOKUP("EUR/BRL",'Histórico'!$A$1:$FG$983,MATCH($B$6,'Histórico'!$A:$A),FALSE),  HLOOKUP(AT99,'Histórico'!$A$1:$DD$990,MATCH($B$6,'Histórico'!$A:$A),FALSE))),"")</f>
        <v/>
      </c>
      <c r="AX99" s="243" t="str">
        <f t="shared" si="27"/>
        <v/>
      </c>
      <c r="AY99" s="183"/>
    </row>
    <row r="100" ht="15.75" customHeight="1">
      <c r="A100" s="176"/>
      <c r="B100" s="232">
        <v>45135.0</v>
      </c>
      <c r="C100" s="246">
        <v>1.032873721904941E8</v>
      </c>
      <c r="D100" s="246">
        <v>1.131915894651542E8</v>
      </c>
      <c r="E100" s="247"/>
      <c r="F100" s="246">
        <v>1.112975260208736E8</v>
      </c>
      <c r="G100" s="246">
        <v>1.112975435808731E8</v>
      </c>
      <c r="H100" s="247"/>
      <c r="I100" s="246">
        <v>1.08950731964067E8</v>
      </c>
      <c r="J100" s="246">
        <v>9.143800518431208E7</v>
      </c>
      <c r="K100" s="247"/>
      <c r="L100" s="246">
        <v>1.072992535812512E8</v>
      </c>
      <c r="M100" s="246">
        <v>7.326647031422426E7</v>
      </c>
      <c r="N100" s="240">
        <f t="shared" si="9"/>
        <v>-0.002112179195</v>
      </c>
      <c r="O100" s="240">
        <f t="shared" si="10"/>
        <v>0.001361889016</v>
      </c>
      <c r="P100" s="240">
        <f t="shared" si="11"/>
        <v>0.00001777798545</v>
      </c>
      <c r="Q100" s="240">
        <f t="shared" si="12"/>
        <v>0.002041626605</v>
      </c>
      <c r="R100" s="236">
        <f t="shared" si="13"/>
        <v>104.5110355</v>
      </c>
      <c r="S100" s="177"/>
      <c r="T100" s="233">
        <f t="shared" ref="T100:U100" si="110">IF(AND(C100&lt;&gt;"",F100&lt;&gt;"",I100&lt;&gt;""), SUM(I100,F100,C100,L100),"")</f>
        <v>430834883.8</v>
      </c>
      <c r="U100" s="233">
        <f t="shared" si="110"/>
        <v>389193608.5</v>
      </c>
      <c r="V100" s="233">
        <f t="shared" si="6"/>
        <v>107.7087209</v>
      </c>
      <c r="W100" s="241">
        <f t="shared" si="15"/>
        <v>0.0003559499411</v>
      </c>
      <c r="X100" s="241">
        <f t="shared" si="16"/>
        <v>0</v>
      </c>
      <c r="Y100" s="241">
        <f t="shared" si="25"/>
        <v>0.0005209493844</v>
      </c>
      <c r="Z100" s="233">
        <f t="shared" si="7"/>
        <v>104.5110355</v>
      </c>
      <c r="AA100" s="165"/>
      <c r="AB100" s="245"/>
      <c r="AC100" s="242" t="str">
        <f>IF(ISTEXT(AB100),VLOOKUP(AB100,'Cadastro dos Ativos'!$A$2:$C$1000,3,0),"")</f>
        <v/>
      </c>
      <c r="AD100" s="242" t="str">
        <f>IF(AB100 &lt;&gt; "",IF(AC100="Futuros", (SUMIFS('Alocação'!$O$3:$O$1002,'Alocação'!$C$3:$C$1002,AB100,'Alocação'!$F$3:$F$1002,AB$9,'Alocação'!$B$3:$B$1002,"&lt;="&amp;$B$4)), (SUMIFS('Alocação'!$O$3:$O$1002,'Alocação'!$C$3:$C$1002,AB100,'Alocação'!$F$3:$F$1002,AB$9,'Alocação'!$B$3:$B$1002,"&lt;="&amp;$B$6))),"")</f>
        <v/>
      </c>
      <c r="AE100" s="243" t="str">
        <f>iferror(IF(AC100="Ações Americanas", HLOOKUP(AB100,'Histórico'!$A$1:$DD$990,MATCH($B$6,'Histórico'!$A:$A),FALSE)*HLOOKUP("PTAX",'Histórico'!$A$1:$FG$983,MATCH($B$6,'Histórico'!$A:$A),FALSE),IF(AC100="Ações Europeias", HLOOKUP(AB100,'Histórico'!$A$1:$DD$990,MATCH($B$6,'Histórico'!$A:$A),FALSE)*HLOOKUP("EUR/BRL",'Histórico'!$A$1:$FG$983,MATCH($B$6,'Histórico'!$A:$A),FALSE), HLOOKUP(AB100,'Histórico'!$A$1:$DD$990,MATCH($B$6,'Histórico'!$A:$A),FALSE))),"")</f>
        <v/>
      </c>
      <c r="AF100" s="243" t="str">
        <f t="shared" si="21"/>
        <v/>
      </c>
      <c r="AG100" s="53"/>
      <c r="AH100" s="245"/>
      <c r="AI100" s="242" t="str">
        <f>IF(ISTEXT(AH100),VLOOKUP(AH100,'Cadastro dos Ativos'!$A$2:$C$1000,3,0),"")</f>
        <v/>
      </c>
      <c r="AJ100" s="242" t="str">
        <f>IF(AH100 &lt;&gt; "",IF(AI100="Futuros", (SUMIFS('Alocação'!$O$3:$O$1002,'Alocação'!$C$3:$C$1002,AH100,'Alocação'!$F$3:$F$1002,AH$9,'Alocação'!$B$3:$B$1002,"&lt;="&amp;$B$4)), (SUMIFS('Alocação'!$O$3:$O$1002,'Alocação'!$C$3:$C$1002,AH100,'Alocação'!$F$3:$F$1002,AH$9,'Alocação'!$B$3:$B$1002,"&lt;="&amp;$B$6))),"")</f>
        <v/>
      </c>
      <c r="AK100" s="243" t="str">
        <f>iferror(IF(AI100="Ações Americanas", HLOOKUP(AH100,'Histórico'!$A$1:$DD$990,MATCH($B$6,'Histórico'!$A:$A),FALSE)*HLOOKUP("PTAX",'Histórico'!$A$1:$FG$983,MATCH($B$6,'Histórico'!$A:$A),FALSE),IF(AI100="Ações Europeias", HLOOKUP(AH100,'Histórico'!$A$1:$DD$990,MATCH($B$6,'Histórico'!$A:$A),FALSE)*HLOOKUP("EUR/BRL",'Histórico'!$A$1:$FG$983,MATCH($B$6,'Histórico'!$A:$A),FALSE),  HLOOKUP(AH100,'Histórico'!$A$1:$DD$990,MATCH($B$6,'Histórico'!$A:$A),FALSE))),"")</f>
        <v/>
      </c>
      <c r="AL100" s="243" t="str">
        <f t="shared" si="17"/>
        <v/>
      </c>
      <c r="AM100" s="53"/>
      <c r="AN100" s="245"/>
      <c r="AO100" s="242" t="str">
        <f>IF(ISTEXT(AN100),VLOOKUP(AN100,'Cadastro dos Ativos'!$A$2:$C$1000,3,0),"")</f>
        <v/>
      </c>
      <c r="AP100" s="242" t="str">
        <f>IF(AN100 &lt;&gt; "",IF(AO100="Futuros", (SUMIFS('Alocação'!$O$3:$O$1002,'Alocação'!$C$3:$C$1002,AN100,'Alocação'!$F$3:$F$1002,AN$9,'Alocação'!$B$3:$B$1002,"&lt;="&amp;$B$4)), (SUMIFS('Alocação'!$O$3:$O$1002,'Alocação'!$C$3:$C$1002,AN100,'Alocação'!$F$3:$F$1002,AN$9,'Alocação'!$B$3:$B$1002,"&lt;="&amp;$B$6))),"")</f>
        <v/>
      </c>
      <c r="AQ100" s="243" t="str">
        <f>iferror(IF(AO100="Ações Americanas", HLOOKUP(AN100,'Histórico'!$A$1:$DD$990,MATCH($B$6,'Histórico'!$A:$A),FALSE)*HLOOKUP("PTAX",'Histórico'!$A$1:$FG$983,MATCH($B$6,'Histórico'!$A:$A),FALSE),IF(AO100="Ações Europeias", HLOOKUP(AN100,'Histórico'!$A$1:$DD$990,MATCH($B$6,'Histórico'!$A:$A),FALSE)*HLOOKUP("EUR/BRL",'Histórico'!$A$1:$FG$983,MATCH($B$6,'Histórico'!$A:$A),FALSE),  HLOOKUP(AN100,'Histórico'!$A$1:$DD$990,MATCH($B$6,'Histórico'!$A:$A),FALSE))),"")</f>
        <v/>
      </c>
      <c r="AR100" s="243" t="str">
        <f t="shared" si="18"/>
        <v/>
      </c>
      <c r="AS100" s="53"/>
      <c r="AT100" s="245"/>
      <c r="AU100" s="242" t="str">
        <f>IF(ISTEXT(AT100),VLOOKUP(AT100,'Cadastro dos Ativos'!$A$2:$C$1000,3,0),"")</f>
        <v/>
      </c>
      <c r="AV100" s="242" t="str">
        <f>IF(AT100 &lt;&gt; "",IF(AU100="Futuros", (SUMIFS('Alocação'!$O$3:$O$1002,'Alocação'!$C$3:$C$1002,AT100,'Alocação'!$F$3:$F$1002,AT$9,'Alocação'!$B$3:$B$1002,"&lt;="&amp;$B$4)), (SUMIFS('Alocação'!$O$3:$O$1002,'Alocação'!$C$3:$C$1002,AT100,'Alocação'!$F$3:$F$1002,AT$9,'Alocação'!$B$3:$B$1002,"&lt;="&amp;$B$6))),"")</f>
        <v/>
      </c>
      <c r="AW100" s="243" t="str">
        <f>iferror(IF(AU100="Ações Americanas", HLOOKUP(AT100,'Histórico'!$A$1:$DD$990,MATCH($B$6,'Histórico'!$A:$A),FALSE)*HLOOKUP("PTAX",'Histórico'!$A$1:$FG$983,MATCH($B$6,'Histórico'!$A:$A),FALSE),IF(AU100="Ações Europeias", HLOOKUP(AT100,'Histórico'!$A$1:$DD$990,MATCH($B$6,'Histórico'!$A:$A),FALSE)*HLOOKUP("EUR/BRL",'Histórico'!$A$1:$FG$983,MATCH($B$6,'Histórico'!$A:$A),FALSE),  HLOOKUP(AT100,'Histórico'!$A$1:$DD$990,MATCH($B$6,'Histórico'!$A:$A),FALSE))),"")</f>
        <v/>
      </c>
      <c r="AX100" s="243" t="str">
        <f t="shared" si="27"/>
        <v/>
      </c>
      <c r="AY100" s="183"/>
    </row>
    <row r="101" ht="15.75" customHeight="1">
      <c r="A101" s="176"/>
      <c r="B101" s="232">
        <v>45138.0</v>
      </c>
      <c r="C101" s="248">
        <v>1.033458284353235E8</v>
      </c>
      <c r="D101" s="248">
        <v>1.133715958759249E8</v>
      </c>
      <c r="E101" s="2"/>
      <c r="F101" s="248">
        <v>1.112030778253673E8</v>
      </c>
      <c r="G101" s="248">
        <v>1.11203095525368E8</v>
      </c>
      <c r="H101" s="2"/>
      <c r="I101" s="248">
        <v>1.091448131860939E8</v>
      </c>
      <c r="J101" s="248">
        <v>9.147800752334897E7</v>
      </c>
      <c r="K101" s="2"/>
      <c r="L101" s="248">
        <v>1.076513234129187E8</v>
      </c>
      <c r="M101" s="248">
        <v>7.329734126932202E7</v>
      </c>
      <c r="N101" s="240">
        <f t="shared" si="9"/>
        <v>0.0005659573246</v>
      </c>
      <c r="O101" s="240">
        <f t="shared" si="10"/>
        <v>-0.0008486100175</v>
      </c>
      <c r="P101" s="240">
        <f t="shared" si="11"/>
        <v>0.001781366848</v>
      </c>
      <c r="Q101" s="240">
        <f t="shared" si="12"/>
        <v>0.003281195534</v>
      </c>
      <c r="R101" s="236">
        <f t="shared" si="13"/>
        <v>104.5622846</v>
      </c>
      <c r="S101" s="177"/>
      <c r="T101" s="233">
        <f t="shared" ref="T101:U101" si="111">IF(AND(C101&lt;&gt;"",F101&lt;&gt;"",I101&lt;&gt;""), SUM(I101,F101,C101,L101),"")</f>
        <v>431345042.9</v>
      </c>
      <c r="U101" s="233">
        <f t="shared" si="111"/>
        <v>389350040.2</v>
      </c>
      <c r="V101" s="233">
        <f t="shared" si="6"/>
        <v>107.8362607</v>
      </c>
      <c r="W101" s="241">
        <f t="shared" si="15"/>
        <v>0.001184117448</v>
      </c>
      <c r="X101" s="241">
        <f t="shared" si="16"/>
        <v>0</v>
      </c>
      <c r="Y101" s="241">
        <f t="shared" si="25"/>
        <v>0.0005457958058</v>
      </c>
      <c r="Z101" s="233">
        <f t="shared" si="7"/>
        <v>104.5622846</v>
      </c>
      <c r="AA101" s="165"/>
      <c r="AB101" s="245"/>
      <c r="AC101" s="242" t="str">
        <f>IF(ISTEXT(AB101),VLOOKUP(AB101,'Cadastro dos Ativos'!$A$2:$C$1000,3,0),"")</f>
        <v/>
      </c>
      <c r="AD101" s="242" t="str">
        <f>IF(AB101 &lt;&gt; "",IF(AC101="Futuros", (SUMIFS('Alocação'!$O$3:$O$1002,'Alocação'!$C$3:$C$1002,AB101,'Alocação'!$F$3:$F$1002,AB$9,'Alocação'!$B$3:$B$1002,"&lt;="&amp;$B$4)), (SUMIFS('Alocação'!$O$3:$O$1002,'Alocação'!$C$3:$C$1002,AB101,'Alocação'!$F$3:$F$1002,AB$9,'Alocação'!$B$3:$B$1002,"&lt;="&amp;$B$6))),"")</f>
        <v/>
      </c>
      <c r="AE101" s="243" t="str">
        <f>iferror(IF(AC101="Ações Americanas", HLOOKUP(AB101,'Histórico'!$A$1:$DD$990,MATCH($B$6,'Histórico'!$A:$A),FALSE)*HLOOKUP("PTAX",'Histórico'!$A$1:$FG$983,MATCH($B$6,'Histórico'!$A:$A),FALSE),IF(AC101="Ações Europeias", HLOOKUP(AB101,'Histórico'!$A$1:$DD$990,MATCH($B$6,'Histórico'!$A:$A),FALSE)*HLOOKUP("EUR/BRL",'Histórico'!$A$1:$FG$983,MATCH($B$6,'Histórico'!$A:$A),FALSE), HLOOKUP(AB101,'Histórico'!$A$1:$DD$990,MATCH($B$6,'Histórico'!$A:$A),FALSE))),"")</f>
        <v/>
      </c>
      <c r="AF101" s="243" t="str">
        <f t="shared" si="21"/>
        <v/>
      </c>
      <c r="AG101" s="53"/>
      <c r="AH101" s="245"/>
      <c r="AI101" s="242" t="str">
        <f>IF(ISTEXT(AH101),VLOOKUP(AH101,'Cadastro dos Ativos'!$A$2:$C$1000,3,0),"")</f>
        <v/>
      </c>
      <c r="AJ101" s="242" t="str">
        <f>IF(AH101 &lt;&gt; "",IF(AI101="Futuros", (SUMIFS('Alocação'!$O$3:$O$1002,'Alocação'!$C$3:$C$1002,AH101,'Alocação'!$F$3:$F$1002,AH$9,'Alocação'!$B$3:$B$1002,"&lt;="&amp;$B$4)), (SUMIFS('Alocação'!$O$3:$O$1002,'Alocação'!$C$3:$C$1002,AH101,'Alocação'!$F$3:$F$1002,AH$9,'Alocação'!$B$3:$B$1002,"&lt;="&amp;$B$6))),"")</f>
        <v/>
      </c>
      <c r="AK101" s="243" t="str">
        <f>iferror(IF(AI101="Ações Americanas", HLOOKUP(AH101,'Histórico'!$A$1:$DD$990,MATCH($B$6,'Histórico'!$A:$A),FALSE)*HLOOKUP("PTAX",'Histórico'!$A$1:$FG$983,MATCH($B$6,'Histórico'!$A:$A),FALSE),IF(AI101="Ações Europeias", HLOOKUP(AH101,'Histórico'!$A$1:$DD$990,MATCH($B$6,'Histórico'!$A:$A),FALSE)*HLOOKUP("EUR/BRL",'Histórico'!$A$1:$FG$983,MATCH($B$6,'Histórico'!$A:$A),FALSE),  HLOOKUP(AH101,'Histórico'!$A$1:$DD$990,MATCH($B$6,'Histórico'!$A:$A),FALSE))),"")</f>
        <v/>
      </c>
      <c r="AL101" s="243" t="str">
        <f t="shared" si="17"/>
        <v/>
      </c>
      <c r="AM101" s="53"/>
      <c r="AN101" s="245"/>
      <c r="AO101" s="242" t="str">
        <f>IF(ISTEXT(AN101),VLOOKUP(AN101,'Cadastro dos Ativos'!$A$2:$C$1000,3,0),"")</f>
        <v/>
      </c>
      <c r="AP101" s="242" t="str">
        <f>IF(AN101 &lt;&gt; "",IF(AO101="Futuros", (SUMIFS('Alocação'!$O$3:$O$1002,'Alocação'!$C$3:$C$1002,AN101,'Alocação'!$F$3:$F$1002,AN$9,'Alocação'!$B$3:$B$1002,"&lt;="&amp;$B$4)), (SUMIFS('Alocação'!$O$3:$O$1002,'Alocação'!$C$3:$C$1002,AN101,'Alocação'!$F$3:$F$1002,AN$9,'Alocação'!$B$3:$B$1002,"&lt;="&amp;$B$6))),"")</f>
        <v/>
      </c>
      <c r="AQ101" s="243" t="str">
        <f>iferror(IF(AO101="Ações Americanas", HLOOKUP(AN101,'Histórico'!$A$1:$DD$990,MATCH($B$6,'Histórico'!$A:$A),FALSE)*HLOOKUP("PTAX",'Histórico'!$A$1:$FG$983,MATCH($B$6,'Histórico'!$A:$A),FALSE),IF(AO101="Ações Europeias", HLOOKUP(AN101,'Histórico'!$A$1:$DD$990,MATCH($B$6,'Histórico'!$A:$A),FALSE)*HLOOKUP("EUR/BRL",'Histórico'!$A$1:$FG$983,MATCH($B$6,'Histórico'!$A:$A),FALSE),  HLOOKUP(AN101,'Histórico'!$A$1:$DD$990,MATCH($B$6,'Histórico'!$A:$A),FALSE))),"")</f>
        <v/>
      </c>
      <c r="AR101" s="243" t="str">
        <f t="shared" si="18"/>
        <v/>
      </c>
      <c r="AS101" s="53"/>
      <c r="AT101" s="245"/>
      <c r="AU101" s="242" t="str">
        <f>IF(ISTEXT(AT101),VLOOKUP(AT101,'Cadastro dos Ativos'!$A$2:$C$1000,3,0),"")</f>
        <v/>
      </c>
      <c r="AV101" s="242" t="str">
        <f>IF(AT101 &lt;&gt; "",IF(AU101="Futuros", (SUMIFS('Alocação'!$O$3:$O$1002,'Alocação'!$C$3:$C$1002,AT101,'Alocação'!$F$3:$F$1002,AT$9,'Alocação'!$B$3:$B$1002,"&lt;="&amp;$B$4)), (SUMIFS('Alocação'!$O$3:$O$1002,'Alocação'!$C$3:$C$1002,AT101,'Alocação'!$F$3:$F$1002,AT$9,'Alocação'!$B$3:$B$1002,"&lt;="&amp;$B$6))),"")</f>
        <v/>
      </c>
      <c r="AW101" s="243" t="str">
        <f>iferror(IF(AU101="Ações Americanas", HLOOKUP(AT101,'Histórico'!$A$1:$DD$990,MATCH($B$6,'Histórico'!$A:$A),FALSE)*HLOOKUP("PTAX",'Histórico'!$A$1:$FG$983,MATCH($B$6,'Histórico'!$A:$A),FALSE),IF(AU101="Ações Europeias", HLOOKUP(AT101,'Histórico'!$A$1:$DD$990,MATCH($B$6,'Histórico'!$A:$A),FALSE)*HLOOKUP("EUR/BRL",'Histórico'!$A$1:$FG$983,MATCH($B$6,'Histórico'!$A:$A),FALSE),  HLOOKUP(AT101,'Histórico'!$A$1:$DD$990,MATCH($B$6,'Histórico'!$A:$A),FALSE))),"")</f>
        <v/>
      </c>
      <c r="AX101" s="243" t="str">
        <f t="shared" si="27"/>
        <v/>
      </c>
      <c r="AY101" s="183"/>
    </row>
    <row r="102" ht="15.75" customHeight="1">
      <c r="A102" s="176"/>
      <c r="B102" s="232">
        <v>45139.0</v>
      </c>
      <c r="C102" s="246">
        <v>1.041443228298898E8</v>
      </c>
      <c r="D102" s="246">
        <v>1.141335402545495E8</v>
      </c>
      <c r="E102" s="247"/>
      <c r="F102" s="246">
        <v>1.113035873719192E8</v>
      </c>
      <c r="G102" s="246">
        <v>1.113036050819183E8</v>
      </c>
      <c r="H102" s="247"/>
      <c r="I102" s="246">
        <v>1.091401272842478E8</v>
      </c>
      <c r="J102" s="246">
        <v>9.151801871176799E7</v>
      </c>
      <c r="K102" s="247"/>
      <c r="L102" s="246">
        <v>1.078639391131562E8</v>
      </c>
      <c r="M102" s="246">
        <v>7.332820710162814E7</v>
      </c>
      <c r="N102" s="240">
        <f t="shared" si="9"/>
        <v>0.007726430826</v>
      </c>
      <c r="O102" s="240">
        <f t="shared" si="10"/>
        <v>0.000903837812</v>
      </c>
      <c r="P102" s="240">
        <f t="shared" si="11"/>
        <v>-0.00004293288622</v>
      </c>
      <c r="Q102" s="240">
        <f t="shared" si="12"/>
        <v>0.001975040283</v>
      </c>
      <c r="R102" s="236">
        <f t="shared" si="13"/>
        <v>104.6135588</v>
      </c>
      <c r="S102" s="177"/>
      <c r="T102" s="233">
        <f t="shared" ref="T102:U102" si="112">IF(AND(C102&lt;&gt;"",F102&lt;&gt;"",I102&lt;&gt;""), SUM(I102,F102,C102,L102),"")</f>
        <v>432451976.6</v>
      </c>
      <c r="U102" s="233">
        <f t="shared" si="112"/>
        <v>390283371.1</v>
      </c>
      <c r="V102" s="233">
        <f t="shared" si="6"/>
        <v>108.1129941</v>
      </c>
      <c r="W102" s="241">
        <f t="shared" si="15"/>
        <v>0.002566237303</v>
      </c>
      <c r="X102" s="241">
        <f t="shared" si="16"/>
        <v>0</v>
      </c>
      <c r="Y102" s="241">
        <f t="shared" si="25"/>
        <v>0.0009361802151</v>
      </c>
      <c r="Z102" s="233">
        <f t="shared" si="7"/>
        <v>104.6135588</v>
      </c>
      <c r="AA102" s="165"/>
      <c r="AB102" s="245"/>
      <c r="AC102" s="242" t="str">
        <f>IF(ISTEXT(AB102),VLOOKUP(AB102,'Cadastro dos Ativos'!$A$2:$C$1000,3,0),"")</f>
        <v/>
      </c>
      <c r="AD102" s="242" t="str">
        <f>IF(AB102 &lt;&gt; "",IF(AC102="Futuros", (SUMIFS('Alocação'!$O$3:$O$1002,'Alocação'!$C$3:$C$1002,AB102,'Alocação'!$F$3:$F$1002,AB$9,'Alocação'!$B$3:$B$1002,"&lt;="&amp;$B$4)), (SUMIFS('Alocação'!$O$3:$O$1002,'Alocação'!$C$3:$C$1002,AB102,'Alocação'!$F$3:$F$1002,AB$9,'Alocação'!$B$3:$B$1002,"&lt;="&amp;$B$6))),"")</f>
        <v/>
      </c>
      <c r="AE102" s="243" t="str">
        <f>iferror(IF(AC102="Ações Americanas", HLOOKUP(AB102,'Histórico'!$A$1:$DD$990,MATCH($B$6,'Histórico'!$A:$A),FALSE)*HLOOKUP("PTAX",'Histórico'!$A$1:$FG$983,MATCH($B$6,'Histórico'!$A:$A),FALSE),IF(AC102="Ações Europeias", HLOOKUP(AB102,'Histórico'!$A$1:$DD$990,MATCH($B$6,'Histórico'!$A:$A),FALSE)*HLOOKUP("EUR/BRL",'Histórico'!$A$1:$FG$983,MATCH($B$6,'Histórico'!$A:$A),FALSE), HLOOKUP(AB102,'Histórico'!$A$1:$DD$990,MATCH($B$6,'Histórico'!$A:$A),FALSE))),"")</f>
        <v/>
      </c>
      <c r="AF102" s="243" t="str">
        <f t="shared" si="21"/>
        <v/>
      </c>
      <c r="AG102" s="53"/>
      <c r="AH102" s="245"/>
      <c r="AI102" s="242" t="str">
        <f>IF(ISTEXT(AH102),VLOOKUP(AH102,'Cadastro dos Ativos'!$A$2:$C$1000,3,0),"")</f>
        <v/>
      </c>
      <c r="AJ102" s="242" t="str">
        <f>IF(AH102 &lt;&gt; "",IF(AI102="Futuros", (SUMIFS('Alocação'!$O$3:$O$1002,'Alocação'!$C$3:$C$1002,AH102,'Alocação'!$F$3:$F$1002,AH$9,'Alocação'!$B$3:$B$1002,"&lt;="&amp;$B$4)), (SUMIFS('Alocação'!$O$3:$O$1002,'Alocação'!$C$3:$C$1002,AH102,'Alocação'!$F$3:$F$1002,AH$9,'Alocação'!$B$3:$B$1002,"&lt;="&amp;$B$6))),"")</f>
        <v/>
      </c>
      <c r="AK102" s="243" t="str">
        <f>iferror(IF(AI102="Ações Americanas", HLOOKUP(AH102,'Histórico'!$A$1:$DD$990,MATCH($B$6,'Histórico'!$A:$A),FALSE)*HLOOKUP("PTAX",'Histórico'!$A$1:$FG$983,MATCH($B$6,'Histórico'!$A:$A),FALSE),IF(AI102="Ações Europeias", HLOOKUP(AH102,'Histórico'!$A$1:$DD$990,MATCH($B$6,'Histórico'!$A:$A),FALSE)*HLOOKUP("EUR/BRL",'Histórico'!$A$1:$FG$983,MATCH($B$6,'Histórico'!$A:$A),FALSE),  HLOOKUP(AH102,'Histórico'!$A$1:$DD$990,MATCH($B$6,'Histórico'!$A:$A),FALSE))),"")</f>
        <v/>
      </c>
      <c r="AL102" s="243" t="str">
        <f t="shared" si="17"/>
        <v/>
      </c>
      <c r="AM102" s="53"/>
      <c r="AN102" s="245"/>
      <c r="AO102" s="242" t="str">
        <f>IF(ISTEXT(AN102),VLOOKUP(AN102,'Cadastro dos Ativos'!$A$2:$C$1000,3,0),"")</f>
        <v/>
      </c>
      <c r="AP102" s="242" t="str">
        <f>IF(AN102 &lt;&gt; "",IF(AO102="Futuros", (SUMIFS('Alocação'!$O$3:$O$1002,'Alocação'!$C$3:$C$1002,AN102,'Alocação'!$F$3:$F$1002,AN$9,'Alocação'!$B$3:$B$1002,"&lt;="&amp;$B$4)), (SUMIFS('Alocação'!$O$3:$O$1002,'Alocação'!$C$3:$C$1002,AN102,'Alocação'!$F$3:$F$1002,AN$9,'Alocação'!$B$3:$B$1002,"&lt;="&amp;$B$6))),"")</f>
        <v/>
      </c>
      <c r="AQ102" s="243" t="str">
        <f>iferror(IF(AO102="Ações Americanas", HLOOKUP(AN102,'Histórico'!$A$1:$DD$990,MATCH($B$6,'Histórico'!$A:$A),FALSE)*HLOOKUP("PTAX",'Histórico'!$A$1:$FG$983,MATCH($B$6,'Histórico'!$A:$A),FALSE),IF(AO102="Ações Europeias", HLOOKUP(AN102,'Histórico'!$A$1:$DD$990,MATCH($B$6,'Histórico'!$A:$A),FALSE)*HLOOKUP("EUR/BRL",'Histórico'!$A$1:$FG$983,MATCH($B$6,'Histórico'!$A:$A),FALSE),  HLOOKUP(AN102,'Histórico'!$A$1:$DD$990,MATCH($B$6,'Histórico'!$A:$A),FALSE))),"")</f>
        <v/>
      </c>
      <c r="AR102" s="243" t="str">
        <f t="shared" si="18"/>
        <v/>
      </c>
      <c r="AS102" s="53"/>
      <c r="AT102" s="245"/>
      <c r="AU102" s="242" t="str">
        <f>IF(ISTEXT(AT102),VLOOKUP(AT102,'Cadastro dos Ativos'!$A$2:$C$1000,3,0),"")</f>
        <v/>
      </c>
      <c r="AV102" s="242" t="str">
        <f>IF(AT102 &lt;&gt; "",IF(AU102="Futuros", (SUMIFS('Alocação'!$O$3:$O$1002,'Alocação'!$C$3:$C$1002,AT102,'Alocação'!$F$3:$F$1002,AT$9,'Alocação'!$B$3:$B$1002,"&lt;="&amp;$B$4)), (SUMIFS('Alocação'!$O$3:$O$1002,'Alocação'!$C$3:$C$1002,AT102,'Alocação'!$F$3:$F$1002,AT$9,'Alocação'!$B$3:$B$1002,"&lt;="&amp;$B$6))),"")</f>
        <v/>
      </c>
      <c r="AW102" s="243" t="str">
        <f>iferror(IF(AU102="Ações Americanas", HLOOKUP(AT102,'Histórico'!$A$1:$DD$990,MATCH($B$6,'Histórico'!$A:$A),FALSE)*HLOOKUP("PTAX",'Histórico'!$A$1:$FG$983,MATCH($B$6,'Histórico'!$A:$A),FALSE),IF(AU102="Ações Europeias", HLOOKUP(AT102,'Histórico'!$A$1:$DD$990,MATCH($B$6,'Histórico'!$A:$A),FALSE)*HLOOKUP("EUR/BRL",'Histórico'!$A$1:$FG$983,MATCH($B$6,'Histórico'!$A:$A),FALSE),  HLOOKUP(AT102,'Histórico'!$A$1:$DD$990,MATCH($B$6,'Histórico'!$A:$A),FALSE))),"")</f>
        <v/>
      </c>
      <c r="AX102" s="243" t="str">
        <f t="shared" si="27"/>
        <v/>
      </c>
      <c r="AY102" s="183"/>
    </row>
    <row r="103" ht="15.75" customHeight="1">
      <c r="A103" s="176"/>
      <c r="B103" s="232">
        <v>45140.0</v>
      </c>
      <c r="C103" s="246">
        <v>1.043572843300292E8</v>
      </c>
      <c r="D103" s="246">
        <v>1.143031519316089E8</v>
      </c>
      <c r="E103" s="247"/>
      <c r="F103" s="246">
        <v>1.111917939268022E8</v>
      </c>
      <c r="G103" s="246">
        <v>1.111918113468023E8</v>
      </c>
      <c r="H103" s="247"/>
      <c r="I103" s="246">
        <v>1.088395438715008E8</v>
      </c>
      <c r="J103" s="246">
        <v>9.155805049792905E7</v>
      </c>
      <c r="K103" s="247"/>
      <c r="L103" s="246">
        <v>1.077684580611206E8</v>
      </c>
      <c r="M103" s="246">
        <v>7.335907604798473E7</v>
      </c>
      <c r="N103" s="240">
        <f t="shared" si="9"/>
        <v>0.002044869027</v>
      </c>
      <c r="O103" s="240">
        <f t="shared" si="10"/>
        <v>-0.001004401096</v>
      </c>
      <c r="P103" s="240">
        <f t="shared" si="11"/>
        <v>-0.002754105389</v>
      </c>
      <c r="Q103" s="240">
        <f t="shared" si="12"/>
        <v>-0.0008851990092</v>
      </c>
      <c r="R103" s="236">
        <f t="shared" si="13"/>
        <v>104.6648581</v>
      </c>
      <c r="S103" s="177"/>
      <c r="T103" s="233">
        <f t="shared" ref="T103:U103" si="113">IF(AND(C103&lt;&gt;"",F103&lt;&gt;"",I103&lt;&gt;""), SUM(I103,F103,C103,L103),"")</f>
        <v>432157080.2</v>
      </c>
      <c r="U103" s="233">
        <f t="shared" si="113"/>
        <v>390412089.8</v>
      </c>
      <c r="V103" s="233">
        <f t="shared" si="6"/>
        <v>108.03927</v>
      </c>
      <c r="W103" s="241">
        <f t="shared" si="15"/>
        <v>-0.0006819171277</v>
      </c>
      <c r="X103" s="241">
        <f t="shared" si="16"/>
        <v>-0.0006819171277</v>
      </c>
      <c r="Y103" s="241">
        <f t="shared" si="25"/>
        <v>0.001189743327</v>
      </c>
      <c r="Z103" s="233">
        <f t="shared" si="7"/>
        <v>104.6648581</v>
      </c>
      <c r="AA103" s="165"/>
      <c r="AB103" s="245"/>
      <c r="AC103" s="242" t="str">
        <f>IF(ISTEXT(AB103),VLOOKUP(AB103,'Cadastro dos Ativos'!$A$2:$C$1000,3,0),"")</f>
        <v/>
      </c>
      <c r="AD103" s="242" t="str">
        <f>IF(AB103 &lt;&gt; "",IF(AC103="Futuros", (SUMIFS('Alocação'!$O$3:$O$1002,'Alocação'!$C$3:$C$1002,AB103,'Alocação'!$F$3:$F$1002,AB$9,'Alocação'!$B$3:$B$1002,"&lt;="&amp;$B$4)), (SUMIFS('Alocação'!$O$3:$O$1002,'Alocação'!$C$3:$C$1002,AB103,'Alocação'!$F$3:$F$1002,AB$9,'Alocação'!$B$3:$B$1002,"&lt;="&amp;$B$6))),"")</f>
        <v/>
      </c>
      <c r="AE103" s="243" t="str">
        <f>iferror(IF(AC103="Ações Americanas", HLOOKUP(AB103,'Histórico'!$A$1:$DD$990,MATCH($B$6,'Histórico'!$A:$A),FALSE)*HLOOKUP("PTAX",'Histórico'!$A$1:$FG$983,MATCH($B$6,'Histórico'!$A:$A),FALSE),IF(AC103="Ações Europeias", HLOOKUP(AB103,'Histórico'!$A$1:$DD$990,MATCH($B$6,'Histórico'!$A:$A),FALSE)*HLOOKUP("EUR/BRL",'Histórico'!$A$1:$FG$983,MATCH($B$6,'Histórico'!$A:$A),FALSE), HLOOKUP(AB103,'Histórico'!$A$1:$DD$990,MATCH($B$6,'Histórico'!$A:$A),FALSE))),"")</f>
        <v/>
      </c>
      <c r="AF103" s="243" t="str">
        <f t="shared" si="21"/>
        <v/>
      </c>
      <c r="AG103" s="53"/>
      <c r="AH103" s="245"/>
      <c r="AI103" s="242" t="str">
        <f>IF(ISTEXT(AH103),VLOOKUP(AH103,'Cadastro dos Ativos'!$A$2:$C$1000,3,0),"")</f>
        <v/>
      </c>
      <c r="AJ103" s="242" t="str">
        <f>IF(AH103 &lt;&gt; "",IF(AI103="Futuros", (SUMIFS('Alocação'!$O$3:$O$1002,'Alocação'!$C$3:$C$1002,AH103,'Alocação'!$F$3:$F$1002,AH$9,'Alocação'!$B$3:$B$1002,"&lt;="&amp;$B$4)), (SUMIFS('Alocação'!$O$3:$O$1002,'Alocação'!$C$3:$C$1002,AH103,'Alocação'!$F$3:$F$1002,AH$9,'Alocação'!$B$3:$B$1002,"&lt;="&amp;$B$6))),"")</f>
        <v/>
      </c>
      <c r="AK103" s="243" t="str">
        <f>iferror(IF(AI103="Ações Americanas", HLOOKUP(AH103,'Histórico'!$A$1:$DD$990,MATCH($B$6,'Histórico'!$A:$A),FALSE)*HLOOKUP("PTAX",'Histórico'!$A$1:$FG$983,MATCH($B$6,'Histórico'!$A:$A),FALSE),IF(AI103="Ações Europeias", HLOOKUP(AH103,'Histórico'!$A$1:$DD$990,MATCH($B$6,'Histórico'!$A:$A),FALSE)*HLOOKUP("EUR/BRL",'Histórico'!$A$1:$FG$983,MATCH($B$6,'Histórico'!$A:$A),FALSE),  HLOOKUP(AH103,'Histórico'!$A$1:$DD$990,MATCH($B$6,'Histórico'!$A:$A),FALSE))),"")</f>
        <v/>
      </c>
      <c r="AL103" s="243" t="str">
        <f t="shared" si="17"/>
        <v/>
      </c>
      <c r="AM103" s="53"/>
      <c r="AN103" s="245"/>
      <c r="AO103" s="242" t="str">
        <f>IF(ISTEXT(AN103),VLOOKUP(AN103,'Cadastro dos Ativos'!$A$2:$C$1000,3,0),"")</f>
        <v/>
      </c>
      <c r="AP103" s="242" t="str">
        <f>IF(AN103 &lt;&gt; "",IF(AO103="Futuros", (SUMIFS('Alocação'!$O$3:$O$1002,'Alocação'!$C$3:$C$1002,AN103,'Alocação'!$F$3:$F$1002,AN$9,'Alocação'!$B$3:$B$1002,"&lt;="&amp;$B$4)), (SUMIFS('Alocação'!$O$3:$O$1002,'Alocação'!$C$3:$C$1002,AN103,'Alocação'!$F$3:$F$1002,AN$9,'Alocação'!$B$3:$B$1002,"&lt;="&amp;$B$6))),"")</f>
        <v/>
      </c>
      <c r="AQ103" s="243" t="str">
        <f>iferror(IF(AO103="Ações Americanas", HLOOKUP(AN103,'Histórico'!$A$1:$DD$990,MATCH($B$6,'Histórico'!$A:$A),FALSE)*HLOOKUP("PTAX",'Histórico'!$A$1:$FG$983,MATCH($B$6,'Histórico'!$A:$A),FALSE),IF(AO103="Ações Europeias", HLOOKUP(AN103,'Histórico'!$A$1:$DD$990,MATCH($B$6,'Histórico'!$A:$A),FALSE)*HLOOKUP("EUR/BRL",'Histórico'!$A$1:$FG$983,MATCH($B$6,'Histórico'!$A:$A),FALSE),  HLOOKUP(AN103,'Histórico'!$A$1:$DD$990,MATCH($B$6,'Histórico'!$A:$A),FALSE))),"")</f>
        <v/>
      </c>
      <c r="AR103" s="243" t="str">
        <f t="shared" si="18"/>
        <v/>
      </c>
      <c r="AS103" s="53"/>
      <c r="AT103" s="245"/>
      <c r="AU103" s="242" t="str">
        <f>IF(ISTEXT(AT103),VLOOKUP(AT103,'Cadastro dos Ativos'!$A$2:$C$1000,3,0),"")</f>
        <v/>
      </c>
      <c r="AV103" s="242" t="str">
        <f>IF(AT103 &lt;&gt; "",IF(AU103="Futuros", (SUMIFS('Alocação'!$O$3:$O$1002,'Alocação'!$C$3:$C$1002,AT103,'Alocação'!$F$3:$F$1002,AT$9,'Alocação'!$B$3:$B$1002,"&lt;="&amp;$B$4)), (SUMIFS('Alocação'!$O$3:$O$1002,'Alocação'!$C$3:$C$1002,AT103,'Alocação'!$F$3:$F$1002,AT$9,'Alocação'!$B$3:$B$1002,"&lt;="&amp;$B$6))),"")</f>
        <v/>
      </c>
      <c r="AW103" s="243" t="str">
        <f>iferror(IF(AU103="Ações Americanas", HLOOKUP(AT103,'Histórico'!$A$1:$DD$990,MATCH($B$6,'Histórico'!$A:$A),FALSE)*HLOOKUP("PTAX",'Histórico'!$A$1:$FG$983,MATCH($B$6,'Histórico'!$A:$A),FALSE),IF(AU103="Ações Europeias", HLOOKUP(AT103,'Histórico'!$A$1:$DD$990,MATCH($B$6,'Histórico'!$A:$A),FALSE)*HLOOKUP("EUR/BRL",'Histórico'!$A$1:$FG$983,MATCH($B$6,'Histórico'!$A:$A),FALSE),  HLOOKUP(AT103,'Histórico'!$A$1:$DD$990,MATCH($B$6,'Histórico'!$A:$A),FALSE))),"")</f>
        <v/>
      </c>
      <c r="AX103" s="243" t="str">
        <f t="shared" si="27"/>
        <v/>
      </c>
      <c r="AY103" s="183"/>
    </row>
    <row r="104" ht="15.75" customHeight="1">
      <c r="A104" s="176"/>
      <c r="B104" s="232">
        <v>45141.0</v>
      </c>
      <c r="C104" s="246">
        <v>1.053076038263471E8</v>
      </c>
      <c r="D104" s="246">
        <v>1.152279709185273E8</v>
      </c>
      <c r="E104" s="247"/>
      <c r="F104" s="246">
        <v>1.111088308690366E8</v>
      </c>
      <c r="G104" s="246">
        <v>1.111088480390367E8</v>
      </c>
      <c r="H104" s="247"/>
      <c r="I104" s="246">
        <v>1.088410058117235E8</v>
      </c>
      <c r="J104" s="246">
        <v>9.159812037496604E7</v>
      </c>
      <c r="K104" s="247"/>
      <c r="L104" s="246">
        <v>1.071856490259277E8</v>
      </c>
      <c r="M104" s="246">
        <v>7.338996631342044E7</v>
      </c>
      <c r="N104" s="240">
        <f t="shared" si="9"/>
        <v>0.009106403088</v>
      </c>
      <c r="O104" s="240">
        <f t="shared" si="10"/>
        <v>-0.0007461257242</v>
      </c>
      <c r="P104" s="240">
        <f t="shared" si="11"/>
        <v>0.00001343206863</v>
      </c>
      <c r="Q104" s="240">
        <f t="shared" si="12"/>
        <v>-0.005407974148</v>
      </c>
      <c r="R104" s="236">
        <f t="shared" si="13"/>
        <v>104.7161826</v>
      </c>
      <c r="S104" s="177"/>
      <c r="T104" s="233">
        <f t="shared" ref="T104:U104" si="114">IF(AND(C104&lt;&gt;"",F104&lt;&gt;"",I104&lt;&gt;""), SUM(I104,F104,C104,L104),"")</f>
        <v>432443089.5</v>
      </c>
      <c r="U104" s="233">
        <f t="shared" si="114"/>
        <v>391324905.6</v>
      </c>
      <c r="V104" s="233">
        <f t="shared" si="6"/>
        <v>108.1107724</v>
      </c>
      <c r="W104" s="241">
        <f t="shared" si="15"/>
        <v>0.000661818021</v>
      </c>
      <c r="X104" s="241">
        <f t="shared" si="16"/>
        <v>-0.00002055041174</v>
      </c>
      <c r="Y104" s="241">
        <f t="shared" si="25"/>
        <v>0.001191428474</v>
      </c>
      <c r="Z104" s="233">
        <f t="shared" si="7"/>
        <v>104.7161826</v>
      </c>
      <c r="AA104" s="165"/>
      <c r="AB104" s="245"/>
      <c r="AC104" s="242" t="str">
        <f>IF(ISTEXT(AB104),VLOOKUP(AB104,'Cadastro dos Ativos'!$A$2:$C$1000,3,0),"")</f>
        <v/>
      </c>
      <c r="AD104" s="242" t="str">
        <f>IF(AB104 &lt;&gt; "",IF(AC104="Futuros", (SUMIFS('Alocação'!$O$3:$O$1002,'Alocação'!$C$3:$C$1002,AB104,'Alocação'!$F$3:$F$1002,AB$9,'Alocação'!$B$3:$B$1002,"&lt;="&amp;$B$4)), (SUMIFS('Alocação'!$O$3:$O$1002,'Alocação'!$C$3:$C$1002,AB104,'Alocação'!$F$3:$F$1002,AB$9,'Alocação'!$B$3:$B$1002,"&lt;="&amp;$B$6))),"")</f>
        <v/>
      </c>
      <c r="AE104" s="243" t="str">
        <f>iferror(IF(AC104="Ações Americanas", HLOOKUP(AB104,'Histórico'!$A$1:$DD$990,MATCH($B$6,'Histórico'!$A:$A),FALSE)*HLOOKUP("PTAX",'Histórico'!$A$1:$FG$983,MATCH($B$6,'Histórico'!$A:$A),FALSE),IF(AC104="Ações Europeias", HLOOKUP(AB104,'Histórico'!$A$1:$DD$990,MATCH($B$6,'Histórico'!$A:$A),FALSE)*HLOOKUP("EUR/BRL",'Histórico'!$A$1:$FG$983,MATCH($B$6,'Histórico'!$A:$A),FALSE), HLOOKUP(AB104,'Histórico'!$A$1:$DD$990,MATCH($B$6,'Histórico'!$A:$A),FALSE))),"")</f>
        <v/>
      </c>
      <c r="AF104" s="243" t="str">
        <f t="shared" si="21"/>
        <v/>
      </c>
      <c r="AG104" s="53"/>
      <c r="AH104" s="245"/>
      <c r="AI104" s="242" t="str">
        <f>IF(ISTEXT(AH104),VLOOKUP(AH104,'Cadastro dos Ativos'!$A$2:$C$1000,3,0),"")</f>
        <v/>
      </c>
      <c r="AJ104" s="242" t="str">
        <f>IF(AH104 &lt;&gt; "",IF(AI104="Futuros", (SUMIFS('Alocação'!$O$3:$O$1002,'Alocação'!$C$3:$C$1002,AH104,'Alocação'!$F$3:$F$1002,AH$9,'Alocação'!$B$3:$B$1002,"&lt;="&amp;$B$4)), (SUMIFS('Alocação'!$O$3:$O$1002,'Alocação'!$C$3:$C$1002,AH104,'Alocação'!$F$3:$F$1002,AH$9,'Alocação'!$B$3:$B$1002,"&lt;="&amp;$B$6))),"")</f>
        <v/>
      </c>
      <c r="AK104" s="243" t="str">
        <f>iferror(IF(AI104="Ações Americanas", HLOOKUP(AH104,'Histórico'!$A$1:$DD$990,MATCH($B$6,'Histórico'!$A:$A),FALSE)*HLOOKUP("PTAX",'Histórico'!$A$1:$FG$983,MATCH($B$6,'Histórico'!$A:$A),FALSE),IF(AI104="Ações Europeias", HLOOKUP(AH104,'Histórico'!$A$1:$DD$990,MATCH($B$6,'Histórico'!$A:$A),FALSE)*HLOOKUP("EUR/BRL",'Histórico'!$A$1:$FG$983,MATCH($B$6,'Histórico'!$A:$A),FALSE),  HLOOKUP(AH104,'Histórico'!$A$1:$DD$990,MATCH($B$6,'Histórico'!$A:$A),FALSE))),"")</f>
        <v/>
      </c>
      <c r="AL104" s="243" t="str">
        <f t="shared" si="17"/>
        <v/>
      </c>
      <c r="AM104" s="53"/>
      <c r="AN104" s="245"/>
      <c r="AO104" s="242" t="str">
        <f>IF(ISTEXT(AN104),VLOOKUP(AN104,'Cadastro dos Ativos'!$A$2:$C$1000,3,0),"")</f>
        <v/>
      </c>
      <c r="AP104" s="242" t="str">
        <f>IF(AN104 &lt;&gt; "",IF(AO104="Futuros", (SUMIFS('Alocação'!$O$3:$O$1002,'Alocação'!$C$3:$C$1002,AN104,'Alocação'!$F$3:$F$1002,AN$9,'Alocação'!$B$3:$B$1002,"&lt;="&amp;$B$4)), (SUMIFS('Alocação'!$O$3:$O$1002,'Alocação'!$C$3:$C$1002,AN104,'Alocação'!$F$3:$F$1002,AN$9,'Alocação'!$B$3:$B$1002,"&lt;="&amp;$B$6))),"")</f>
        <v/>
      </c>
      <c r="AQ104" s="243" t="str">
        <f>iferror(IF(AO104="Ações Americanas", HLOOKUP(AN104,'Histórico'!$A$1:$DD$990,MATCH($B$6,'Histórico'!$A:$A),FALSE)*HLOOKUP("PTAX",'Histórico'!$A$1:$FG$983,MATCH($B$6,'Histórico'!$A:$A),FALSE),IF(AO104="Ações Europeias", HLOOKUP(AN104,'Histórico'!$A$1:$DD$990,MATCH($B$6,'Histórico'!$A:$A),FALSE)*HLOOKUP("EUR/BRL",'Histórico'!$A$1:$FG$983,MATCH($B$6,'Histórico'!$A:$A),FALSE),  HLOOKUP(AN104,'Histórico'!$A$1:$DD$990,MATCH($B$6,'Histórico'!$A:$A),FALSE))),"")</f>
        <v/>
      </c>
      <c r="AR104" s="243" t="str">
        <f t="shared" si="18"/>
        <v/>
      </c>
      <c r="AS104" s="53"/>
      <c r="AT104" s="245"/>
      <c r="AU104" s="242" t="str">
        <f>IF(ISTEXT(AT104),VLOOKUP(AT104,'Cadastro dos Ativos'!$A$2:$C$1000,3,0),"")</f>
        <v/>
      </c>
      <c r="AV104" s="242" t="str">
        <f>IF(AT104 &lt;&gt; "",IF(AU104="Futuros", (SUMIFS('Alocação'!$O$3:$O$1002,'Alocação'!$C$3:$C$1002,AT104,'Alocação'!$F$3:$F$1002,AT$9,'Alocação'!$B$3:$B$1002,"&lt;="&amp;$B$4)), (SUMIFS('Alocação'!$O$3:$O$1002,'Alocação'!$C$3:$C$1002,AT104,'Alocação'!$F$3:$F$1002,AT$9,'Alocação'!$B$3:$B$1002,"&lt;="&amp;$B$6))),"")</f>
        <v/>
      </c>
      <c r="AW104" s="243" t="str">
        <f>iferror(IF(AU104="Ações Americanas", HLOOKUP(AT104,'Histórico'!$A$1:$DD$990,MATCH($B$6,'Histórico'!$A:$A),FALSE)*HLOOKUP("PTAX",'Histórico'!$A$1:$FG$983,MATCH($B$6,'Histórico'!$A:$A),FALSE),IF(AU104="Ações Europeias", HLOOKUP(AT104,'Histórico'!$A$1:$DD$990,MATCH($B$6,'Histórico'!$A:$A),FALSE)*HLOOKUP("EUR/BRL",'Histórico'!$A$1:$FG$983,MATCH($B$6,'Histórico'!$A:$A),FALSE),  HLOOKUP(AT104,'Histórico'!$A$1:$DD$990,MATCH($B$6,'Histórico'!$A:$A),FALSE))),"")</f>
        <v/>
      </c>
      <c r="AX104" s="243" t="str">
        <f t="shared" si="27"/>
        <v/>
      </c>
      <c r="AY104" s="183"/>
    </row>
    <row r="105" ht="15.75" customHeight="1">
      <c r="A105" s="176"/>
      <c r="B105" s="232">
        <v>45142.0</v>
      </c>
      <c r="C105" s="246">
        <v>1.052149132812225E8</v>
      </c>
      <c r="D105" s="246">
        <v>1.150460308125011E8</v>
      </c>
      <c r="E105" s="247"/>
      <c r="F105" s="246">
        <v>1.111504379616891E8</v>
      </c>
      <c r="G105" s="246">
        <v>1.111504551816884E8</v>
      </c>
      <c r="H105" s="247"/>
      <c r="I105" s="246">
        <v>1.091553931134041E8</v>
      </c>
      <c r="J105" s="246">
        <v>9.163660663322783E7</v>
      </c>
      <c r="K105" s="247"/>
      <c r="L105" s="246">
        <v>1.076922544364862E8</v>
      </c>
      <c r="M105" s="246">
        <v>7.341962164351554E7</v>
      </c>
      <c r="N105" s="240">
        <f t="shared" si="9"/>
        <v>-0.0008801885311</v>
      </c>
      <c r="O105" s="240">
        <f t="shared" si="10"/>
        <v>0.0003744715188</v>
      </c>
      <c r="P105" s="240">
        <f t="shared" si="11"/>
        <v>0.002888500518</v>
      </c>
      <c r="Q105" s="240">
        <f t="shared" si="12"/>
        <v>0.004726429472</v>
      </c>
      <c r="R105" s="236">
        <f t="shared" si="13"/>
        <v>104.7675323</v>
      </c>
      <c r="S105" s="177"/>
      <c r="T105" s="233">
        <f t="shared" ref="T105:U105" si="115">IF(AND(C105&lt;&gt;"",F105&lt;&gt;"",I105&lt;&gt;""), SUM(I105,F105,C105,L105),"")</f>
        <v>433212998.8</v>
      </c>
      <c r="U105" s="233">
        <f t="shared" si="115"/>
        <v>391252714.3</v>
      </c>
      <c r="V105" s="233">
        <f t="shared" si="6"/>
        <v>108.3032497</v>
      </c>
      <c r="W105" s="241">
        <f t="shared" si="15"/>
        <v>0.001780371287</v>
      </c>
      <c r="X105" s="241">
        <f t="shared" si="16"/>
        <v>0</v>
      </c>
      <c r="Y105" s="241">
        <f t="shared" si="25"/>
        <v>0.001223421654</v>
      </c>
      <c r="Z105" s="233">
        <f t="shared" si="7"/>
        <v>104.7675323</v>
      </c>
      <c r="AA105" s="165"/>
      <c r="AB105" s="245"/>
      <c r="AC105" s="242" t="str">
        <f>IF(ISTEXT(AB105),VLOOKUP(AB105,'Cadastro dos Ativos'!$A$2:$C$1000,3,0),"")</f>
        <v/>
      </c>
      <c r="AD105" s="242" t="str">
        <f>IF(AB105 &lt;&gt; "",IF(AC105="Futuros", (SUMIFS('Alocação'!$O$3:$O$1002,'Alocação'!$C$3:$C$1002,AB105,'Alocação'!$F$3:$F$1002,AB$9,'Alocação'!$B$3:$B$1002,"&lt;="&amp;$B$4)), (SUMIFS('Alocação'!$O$3:$O$1002,'Alocação'!$C$3:$C$1002,AB105,'Alocação'!$F$3:$F$1002,AB$9,'Alocação'!$B$3:$B$1002,"&lt;="&amp;$B$6))),"")</f>
        <v/>
      </c>
      <c r="AE105" s="243" t="str">
        <f>iferror(IF(AC105="Ações Americanas", HLOOKUP(AB105,'Histórico'!$A$1:$DD$990,MATCH($B$6,'Histórico'!$A:$A),FALSE)*HLOOKUP("PTAX",'Histórico'!$A$1:$FG$983,MATCH($B$6,'Histórico'!$A:$A),FALSE),IF(AC105="Ações Europeias", HLOOKUP(AB105,'Histórico'!$A$1:$DD$990,MATCH($B$6,'Histórico'!$A:$A),FALSE)*HLOOKUP("EUR/BRL",'Histórico'!$A$1:$FG$983,MATCH($B$6,'Histórico'!$A:$A),FALSE), HLOOKUP(AB105,'Histórico'!$A$1:$DD$990,MATCH($B$6,'Histórico'!$A:$A),FALSE))),"")</f>
        <v/>
      </c>
      <c r="AF105" s="243" t="str">
        <f t="shared" si="21"/>
        <v/>
      </c>
      <c r="AG105" s="53"/>
      <c r="AH105" s="245"/>
      <c r="AI105" s="242" t="str">
        <f>IF(ISTEXT(AH105),VLOOKUP(AH105,'Cadastro dos Ativos'!$A$2:$C$1000,3,0),"")</f>
        <v/>
      </c>
      <c r="AJ105" s="242" t="str">
        <f>IF(AH105 &lt;&gt; "",IF(AI105="Futuros", (SUMIFS('Alocação'!$O$3:$O$1002,'Alocação'!$C$3:$C$1002,AH105,'Alocação'!$F$3:$F$1002,AH$9,'Alocação'!$B$3:$B$1002,"&lt;="&amp;$B$4)), (SUMIFS('Alocação'!$O$3:$O$1002,'Alocação'!$C$3:$C$1002,AH105,'Alocação'!$F$3:$F$1002,AH$9,'Alocação'!$B$3:$B$1002,"&lt;="&amp;$B$6))),"")</f>
        <v/>
      </c>
      <c r="AK105" s="243" t="str">
        <f>iferror(IF(AI105="Ações Americanas", HLOOKUP(AH105,'Histórico'!$A$1:$DD$990,MATCH($B$6,'Histórico'!$A:$A),FALSE)*HLOOKUP("PTAX",'Histórico'!$A$1:$FG$983,MATCH($B$6,'Histórico'!$A:$A),FALSE),IF(AI105="Ações Europeias", HLOOKUP(AH105,'Histórico'!$A$1:$DD$990,MATCH($B$6,'Histórico'!$A:$A),FALSE)*HLOOKUP("EUR/BRL",'Histórico'!$A$1:$FG$983,MATCH($B$6,'Histórico'!$A:$A),FALSE),  HLOOKUP(AH105,'Histórico'!$A$1:$DD$990,MATCH($B$6,'Histórico'!$A:$A),FALSE))),"")</f>
        <v/>
      </c>
      <c r="AL105" s="243" t="str">
        <f t="shared" si="17"/>
        <v/>
      </c>
      <c r="AM105" s="53"/>
      <c r="AN105" s="245"/>
      <c r="AO105" s="242" t="str">
        <f>IF(ISTEXT(AN105),VLOOKUP(AN105,'Cadastro dos Ativos'!$A$2:$C$1000,3,0),"")</f>
        <v/>
      </c>
      <c r="AP105" s="242" t="str">
        <f>IF(AN105 &lt;&gt; "",IF(AO105="Futuros", (SUMIFS('Alocação'!$O$3:$O$1002,'Alocação'!$C$3:$C$1002,AN105,'Alocação'!$F$3:$F$1002,AN$9,'Alocação'!$B$3:$B$1002,"&lt;="&amp;$B$4)), (SUMIFS('Alocação'!$O$3:$O$1002,'Alocação'!$C$3:$C$1002,AN105,'Alocação'!$F$3:$F$1002,AN$9,'Alocação'!$B$3:$B$1002,"&lt;="&amp;$B$6))),"")</f>
        <v/>
      </c>
      <c r="AQ105" s="243" t="str">
        <f>iferror(IF(AO105="Ações Americanas", HLOOKUP(AN105,'Histórico'!$A$1:$DD$990,MATCH($B$6,'Histórico'!$A:$A),FALSE)*HLOOKUP("PTAX",'Histórico'!$A$1:$FG$983,MATCH($B$6,'Histórico'!$A:$A),FALSE),IF(AO105="Ações Europeias", HLOOKUP(AN105,'Histórico'!$A$1:$DD$990,MATCH($B$6,'Histórico'!$A:$A),FALSE)*HLOOKUP("EUR/BRL",'Histórico'!$A$1:$FG$983,MATCH($B$6,'Histórico'!$A:$A),FALSE),  HLOOKUP(AN105,'Histórico'!$A$1:$DD$990,MATCH($B$6,'Histórico'!$A:$A),FALSE))),"")</f>
        <v/>
      </c>
      <c r="AR105" s="243" t="str">
        <f t="shared" si="18"/>
        <v/>
      </c>
      <c r="AS105" s="53"/>
      <c r="AT105" s="245"/>
      <c r="AU105" s="242" t="str">
        <f>IF(ISTEXT(AT105),VLOOKUP(AT105,'Cadastro dos Ativos'!$A$2:$C$1000,3,0),"")</f>
        <v/>
      </c>
      <c r="AV105" s="242" t="str">
        <f>IF(AT105 &lt;&gt; "",IF(AU105="Futuros", (SUMIFS('Alocação'!$O$3:$O$1002,'Alocação'!$C$3:$C$1002,AT105,'Alocação'!$F$3:$F$1002,AT$9,'Alocação'!$B$3:$B$1002,"&lt;="&amp;$B$4)), (SUMIFS('Alocação'!$O$3:$O$1002,'Alocação'!$C$3:$C$1002,AT105,'Alocação'!$F$3:$F$1002,AT$9,'Alocação'!$B$3:$B$1002,"&lt;="&amp;$B$6))),"")</f>
        <v/>
      </c>
      <c r="AW105" s="243" t="str">
        <f>iferror(IF(AU105="Ações Americanas", HLOOKUP(AT105,'Histórico'!$A$1:$DD$990,MATCH($B$6,'Histórico'!$A:$A),FALSE)*HLOOKUP("PTAX",'Histórico'!$A$1:$FG$983,MATCH($B$6,'Histórico'!$A:$A),FALSE),IF(AU105="Ações Europeias", HLOOKUP(AT105,'Histórico'!$A$1:$DD$990,MATCH($B$6,'Histórico'!$A:$A),FALSE)*HLOOKUP("EUR/BRL",'Histórico'!$A$1:$FG$983,MATCH($B$6,'Histórico'!$A:$A),FALSE),  HLOOKUP(AT105,'Histórico'!$A$1:$DD$990,MATCH($B$6,'Histórico'!$A:$A),FALSE))),"")</f>
        <v/>
      </c>
      <c r="AX105" s="243" t="str">
        <f t="shared" si="27"/>
        <v/>
      </c>
      <c r="AY105" s="183"/>
    </row>
    <row r="106" ht="15.75" customHeight="1">
      <c r="A106" s="176"/>
      <c r="B106" s="232">
        <v>45145.0</v>
      </c>
      <c r="C106" s="246">
        <v>1.056109684131109E8</v>
      </c>
      <c r="D106" s="246">
        <v>1.154378357149907E8</v>
      </c>
      <c r="E106" s="247"/>
      <c r="F106" s="246">
        <v>1.113598884189403E8</v>
      </c>
      <c r="G106" s="246">
        <v>1.113599056689403E8</v>
      </c>
      <c r="H106" s="247"/>
      <c r="I106" s="246">
        <v>1.09111738312176E8</v>
      </c>
      <c r="J106" s="246">
        <v>9.167509318888105E7</v>
      </c>
      <c r="K106" s="247"/>
      <c r="L106" s="246">
        <v>1.073750950874375E8</v>
      </c>
      <c r="M106" s="246">
        <v>7.344926158365333E7</v>
      </c>
      <c r="N106" s="240">
        <f t="shared" si="9"/>
        <v>0.003764248998</v>
      </c>
      <c r="O106" s="240">
        <f t="shared" si="10"/>
        <v>0.001884387152</v>
      </c>
      <c r="P106" s="240">
        <f t="shared" si="11"/>
        <v>-0.0003999326097</v>
      </c>
      <c r="Q106" s="240">
        <f t="shared" si="12"/>
        <v>-0.002945052555</v>
      </c>
      <c r="R106" s="236">
        <f t="shared" si="13"/>
        <v>104.8189072</v>
      </c>
      <c r="S106" s="177"/>
      <c r="T106" s="233">
        <f t="shared" ref="T106:U106" si="116">IF(AND(C106&lt;&gt;"",F106&lt;&gt;"",I106&lt;&gt;""), SUM(I106,F106,C106,L106),"")</f>
        <v>433457690.2</v>
      </c>
      <c r="U106" s="233">
        <f t="shared" si="116"/>
        <v>391922096.2</v>
      </c>
      <c r="V106" s="233">
        <f t="shared" si="6"/>
        <v>108.3644226</v>
      </c>
      <c r="W106" s="241">
        <f t="shared" si="15"/>
        <v>0.0005648294016</v>
      </c>
      <c r="X106" s="241">
        <f t="shared" si="16"/>
        <v>0</v>
      </c>
      <c r="Y106" s="241">
        <f t="shared" si="25"/>
        <v>0.001244216914</v>
      </c>
      <c r="Z106" s="233">
        <f t="shared" si="7"/>
        <v>104.8189072</v>
      </c>
      <c r="AA106" s="165"/>
      <c r="AB106" s="245"/>
      <c r="AC106" s="242" t="str">
        <f>IF(ISTEXT(AB106),VLOOKUP(AB106,'Cadastro dos Ativos'!$A$2:$C$1000,3,0),"")</f>
        <v/>
      </c>
      <c r="AD106" s="242" t="str">
        <f>IF(AB106 &lt;&gt; "",IF(AC106="Futuros", (SUMIFS('Alocação'!$O$3:$O$1002,'Alocação'!$C$3:$C$1002,AB106,'Alocação'!$F$3:$F$1002,AB$9,'Alocação'!$B$3:$B$1002,"&lt;="&amp;$B$4)), (SUMIFS('Alocação'!$O$3:$O$1002,'Alocação'!$C$3:$C$1002,AB106,'Alocação'!$F$3:$F$1002,AB$9,'Alocação'!$B$3:$B$1002,"&lt;="&amp;$B$6))),"")</f>
        <v/>
      </c>
      <c r="AE106" s="243" t="str">
        <f>iferror(IF(AC106="Ações Americanas", HLOOKUP(AB106,'Histórico'!$A$1:$DD$990,MATCH($B$6,'Histórico'!$A:$A),FALSE)*HLOOKUP("PTAX",'Histórico'!$A$1:$FG$983,MATCH($B$6,'Histórico'!$A:$A),FALSE),IF(AC106="Ações Europeias", HLOOKUP(AB106,'Histórico'!$A$1:$DD$990,MATCH($B$6,'Histórico'!$A:$A),FALSE)*HLOOKUP("EUR/BRL",'Histórico'!$A$1:$FG$983,MATCH($B$6,'Histórico'!$A:$A),FALSE), HLOOKUP(AB106,'Histórico'!$A$1:$DD$990,MATCH($B$6,'Histórico'!$A:$A),FALSE))),"")</f>
        <v/>
      </c>
      <c r="AF106" s="243" t="str">
        <f t="shared" si="21"/>
        <v/>
      </c>
      <c r="AG106" s="53"/>
      <c r="AH106" s="245"/>
      <c r="AI106" s="242" t="str">
        <f>IF(ISTEXT(AH106),VLOOKUP(AH106,'Cadastro dos Ativos'!$A$2:$C$1000,3,0),"")</f>
        <v/>
      </c>
      <c r="AJ106" s="242" t="str">
        <f>IF(AH106 &lt;&gt; "",IF(AI106="Futuros", (SUMIFS('Alocação'!$O$3:$O$1002,'Alocação'!$C$3:$C$1002,AH106,'Alocação'!$F$3:$F$1002,AH$9,'Alocação'!$B$3:$B$1002,"&lt;="&amp;$B$4)), (SUMIFS('Alocação'!$O$3:$O$1002,'Alocação'!$C$3:$C$1002,AH106,'Alocação'!$F$3:$F$1002,AH$9,'Alocação'!$B$3:$B$1002,"&lt;="&amp;$B$6))),"")</f>
        <v/>
      </c>
      <c r="AK106" s="243" t="str">
        <f>iferror(IF(AI106="Ações Americanas", HLOOKUP(AH106,'Histórico'!$A$1:$DD$990,MATCH($B$6,'Histórico'!$A:$A),FALSE)*HLOOKUP("PTAX",'Histórico'!$A$1:$FG$983,MATCH($B$6,'Histórico'!$A:$A),FALSE),IF(AI106="Ações Europeias", HLOOKUP(AH106,'Histórico'!$A$1:$DD$990,MATCH($B$6,'Histórico'!$A:$A),FALSE)*HLOOKUP("EUR/BRL",'Histórico'!$A$1:$FG$983,MATCH($B$6,'Histórico'!$A:$A),FALSE),  HLOOKUP(AH106,'Histórico'!$A$1:$DD$990,MATCH($B$6,'Histórico'!$A:$A),FALSE))),"")</f>
        <v/>
      </c>
      <c r="AL106" s="243" t="str">
        <f t="shared" si="17"/>
        <v/>
      </c>
      <c r="AM106" s="53"/>
      <c r="AN106" s="245"/>
      <c r="AO106" s="242" t="str">
        <f>IF(ISTEXT(AN106),VLOOKUP(AN106,'Cadastro dos Ativos'!$A$2:$C$1000,3,0),"")</f>
        <v/>
      </c>
      <c r="AP106" s="242" t="str">
        <f>IF(AN106 &lt;&gt; "",IF(AO106="Futuros", (SUMIFS('Alocação'!$O$3:$O$1002,'Alocação'!$C$3:$C$1002,AN106,'Alocação'!$F$3:$F$1002,AN$9,'Alocação'!$B$3:$B$1002,"&lt;="&amp;$B$4)), (SUMIFS('Alocação'!$O$3:$O$1002,'Alocação'!$C$3:$C$1002,AN106,'Alocação'!$F$3:$F$1002,AN$9,'Alocação'!$B$3:$B$1002,"&lt;="&amp;$B$6))),"")</f>
        <v/>
      </c>
      <c r="AQ106" s="243" t="str">
        <f>iferror(IF(AO106="Ações Americanas", HLOOKUP(AN106,'Histórico'!$A$1:$DD$990,MATCH($B$6,'Histórico'!$A:$A),FALSE)*HLOOKUP("PTAX",'Histórico'!$A$1:$FG$983,MATCH($B$6,'Histórico'!$A:$A),FALSE),IF(AO106="Ações Europeias", HLOOKUP(AN106,'Histórico'!$A$1:$DD$990,MATCH($B$6,'Histórico'!$A:$A),FALSE)*HLOOKUP("EUR/BRL",'Histórico'!$A$1:$FG$983,MATCH($B$6,'Histórico'!$A:$A),FALSE),  HLOOKUP(AN106,'Histórico'!$A$1:$DD$990,MATCH($B$6,'Histórico'!$A:$A),FALSE))),"")</f>
        <v/>
      </c>
      <c r="AR106" s="243" t="str">
        <f t="shared" si="18"/>
        <v/>
      </c>
      <c r="AS106" s="53"/>
      <c r="AT106" s="245"/>
      <c r="AU106" s="242" t="str">
        <f>IF(ISTEXT(AT106),VLOOKUP(AT106,'Cadastro dos Ativos'!$A$2:$C$1000,3,0),"")</f>
        <v/>
      </c>
      <c r="AV106" s="242" t="str">
        <f>IF(AT106 &lt;&gt; "",IF(AU106="Futuros", (SUMIFS('Alocação'!$O$3:$O$1002,'Alocação'!$C$3:$C$1002,AT106,'Alocação'!$F$3:$F$1002,AT$9,'Alocação'!$B$3:$B$1002,"&lt;="&amp;$B$4)), (SUMIFS('Alocação'!$O$3:$O$1002,'Alocação'!$C$3:$C$1002,AT106,'Alocação'!$F$3:$F$1002,AT$9,'Alocação'!$B$3:$B$1002,"&lt;="&amp;$B$6))),"")</f>
        <v/>
      </c>
      <c r="AW106" s="243" t="str">
        <f>iferror(IF(AU106="Ações Americanas", HLOOKUP(AT106,'Histórico'!$A$1:$DD$990,MATCH($B$6,'Histórico'!$A:$A),FALSE)*HLOOKUP("PTAX",'Histórico'!$A$1:$FG$983,MATCH($B$6,'Histórico'!$A:$A),FALSE),IF(AU106="Ações Europeias", HLOOKUP(AT106,'Histórico'!$A$1:$DD$990,MATCH($B$6,'Histórico'!$A:$A),FALSE)*HLOOKUP("EUR/BRL",'Histórico'!$A$1:$FG$983,MATCH($B$6,'Histórico'!$A:$A),FALSE),  HLOOKUP(AT106,'Histórico'!$A$1:$DD$990,MATCH($B$6,'Histórico'!$A:$A),FALSE))),"")</f>
        <v/>
      </c>
      <c r="AX106" s="243" t="str">
        <f t="shared" si="27"/>
        <v/>
      </c>
      <c r="AY106" s="183"/>
    </row>
    <row r="107" ht="15.75" customHeight="1">
      <c r="A107" s="176"/>
      <c r="B107" s="232">
        <v>45146.0</v>
      </c>
      <c r="C107" s="246">
        <v>1.056993821055101E8</v>
      </c>
      <c r="D107" s="246">
        <v>1.154973493465108E8</v>
      </c>
      <c r="E107" s="247"/>
      <c r="F107" s="246">
        <v>1.110169051593523E8</v>
      </c>
      <c r="G107" s="246">
        <v>1.11016922689353E8</v>
      </c>
      <c r="H107" s="247"/>
      <c r="I107" s="246">
        <v>1.091200416807193E8</v>
      </c>
      <c r="J107" s="246">
        <v>9.171360119646682E7</v>
      </c>
      <c r="K107" s="247"/>
      <c r="L107" s="246">
        <v>1.069515177445053E8</v>
      </c>
      <c r="M107" s="246">
        <v>7.347893479722597E7</v>
      </c>
      <c r="N107" s="240">
        <f t="shared" si="9"/>
        <v>0.0008371639208</v>
      </c>
      <c r="O107" s="240">
        <f t="shared" si="10"/>
        <v>-0.003079953334</v>
      </c>
      <c r="P107" s="240">
        <f t="shared" si="11"/>
        <v>0.00007609968159</v>
      </c>
      <c r="Q107" s="240">
        <f t="shared" si="12"/>
        <v>-0.003944837884</v>
      </c>
      <c r="R107" s="236">
        <f t="shared" si="13"/>
        <v>104.8703072</v>
      </c>
      <c r="S107" s="177"/>
      <c r="T107" s="233">
        <f t="shared" ref="T107:U107" si="117">IF(AND(C107&lt;&gt;"",F107&lt;&gt;"",I107&lt;&gt;""), SUM(I107,F107,C107,L107),"")</f>
        <v>432787846.7</v>
      </c>
      <c r="U107" s="233">
        <f t="shared" si="117"/>
        <v>391706808</v>
      </c>
      <c r="V107" s="233">
        <f t="shared" si="6"/>
        <v>108.1969617</v>
      </c>
      <c r="W107" s="241">
        <f t="shared" si="15"/>
        <v>-0.001545349308</v>
      </c>
      <c r="X107" s="241">
        <f t="shared" si="16"/>
        <v>-0.001545349308</v>
      </c>
      <c r="Y107" s="241">
        <f t="shared" si="25"/>
        <v>0.001290181188</v>
      </c>
      <c r="Z107" s="233">
        <f t="shared" si="7"/>
        <v>104.8703072</v>
      </c>
      <c r="AA107" s="165"/>
      <c r="AB107" s="245"/>
      <c r="AC107" s="242" t="str">
        <f>IF(ISTEXT(AB107),VLOOKUP(AB107,'Cadastro dos Ativos'!$A$2:$C$1000,3,0),"")</f>
        <v/>
      </c>
      <c r="AD107" s="242" t="str">
        <f>IF(AB107 &lt;&gt; "",IF(AC107="Futuros", (SUMIFS('Alocação'!$O$3:$O$1002,'Alocação'!$C$3:$C$1002,AB107,'Alocação'!$F$3:$F$1002,AB$9,'Alocação'!$B$3:$B$1002,"&lt;="&amp;$B$4)), (SUMIFS('Alocação'!$O$3:$O$1002,'Alocação'!$C$3:$C$1002,AB107,'Alocação'!$F$3:$F$1002,AB$9,'Alocação'!$B$3:$B$1002,"&lt;="&amp;$B$6))),"")</f>
        <v/>
      </c>
      <c r="AE107" s="243" t="str">
        <f>iferror(IF(AC107="Ações Americanas", HLOOKUP(AB107,'Histórico'!$A$1:$DD$990,MATCH($B$6,'Histórico'!$A:$A),FALSE)*HLOOKUP("PTAX",'Histórico'!$A$1:$FG$983,MATCH($B$6,'Histórico'!$A:$A),FALSE),IF(AC107="Ações Europeias", HLOOKUP(AB107,'Histórico'!$A$1:$DD$990,MATCH($B$6,'Histórico'!$A:$A),FALSE)*HLOOKUP("EUR/BRL",'Histórico'!$A$1:$FG$983,MATCH($B$6,'Histórico'!$A:$A),FALSE), HLOOKUP(AB107,'Histórico'!$A$1:$DD$990,MATCH($B$6,'Histórico'!$A:$A),FALSE))),"")</f>
        <v/>
      </c>
      <c r="AF107" s="243" t="str">
        <f t="shared" si="21"/>
        <v/>
      </c>
      <c r="AG107" s="53"/>
      <c r="AH107" s="245"/>
      <c r="AI107" s="242" t="str">
        <f>IF(ISTEXT(AH107),VLOOKUP(AH107,'Cadastro dos Ativos'!$A$2:$C$1000,3,0),"")</f>
        <v/>
      </c>
      <c r="AJ107" s="242" t="str">
        <f>IF(AH107 &lt;&gt; "",IF(AI107="Futuros", (SUMIFS('Alocação'!$O$3:$O$1002,'Alocação'!$C$3:$C$1002,AH107,'Alocação'!$F$3:$F$1002,AH$9,'Alocação'!$B$3:$B$1002,"&lt;="&amp;$B$4)), (SUMIFS('Alocação'!$O$3:$O$1002,'Alocação'!$C$3:$C$1002,AH107,'Alocação'!$F$3:$F$1002,AH$9,'Alocação'!$B$3:$B$1002,"&lt;="&amp;$B$6))),"")</f>
        <v/>
      </c>
      <c r="AK107" s="243" t="str">
        <f>iferror(IF(AI107="Ações Americanas", HLOOKUP(AH107,'Histórico'!$A$1:$DD$990,MATCH($B$6,'Histórico'!$A:$A),FALSE)*HLOOKUP("PTAX",'Histórico'!$A$1:$FG$983,MATCH($B$6,'Histórico'!$A:$A),FALSE),IF(AI107="Ações Europeias", HLOOKUP(AH107,'Histórico'!$A$1:$DD$990,MATCH($B$6,'Histórico'!$A:$A),FALSE)*HLOOKUP("EUR/BRL",'Histórico'!$A$1:$FG$983,MATCH($B$6,'Histórico'!$A:$A),FALSE),  HLOOKUP(AH107,'Histórico'!$A$1:$DD$990,MATCH($B$6,'Histórico'!$A:$A),FALSE))),"")</f>
        <v/>
      </c>
      <c r="AL107" s="243" t="str">
        <f t="shared" si="17"/>
        <v/>
      </c>
      <c r="AM107" s="53"/>
      <c r="AN107" s="245"/>
      <c r="AO107" s="242" t="str">
        <f>IF(ISTEXT(AN107),VLOOKUP(AN107,'Cadastro dos Ativos'!$A$2:$C$1000,3,0),"")</f>
        <v/>
      </c>
      <c r="AP107" s="242" t="str">
        <f>IF(AN107 &lt;&gt; "",IF(AO107="Futuros", (SUMIFS('Alocação'!$O$3:$O$1002,'Alocação'!$C$3:$C$1002,AN107,'Alocação'!$F$3:$F$1002,AN$9,'Alocação'!$B$3:$B$1002,"&lt;="&amp;$B$4)), (SUMIFS('Alocação'!$O$3:$O$1002,'Alocação'!$C$3:$C$1002,AN107,'Alocação'!$F$3:$F$1002,AN$9,'Alocação'!$B$3:$B$1002,"&lt;="&amp;$B$6))),"")</f>
        <v/>
      </c>
      <c r="AQ107" s="243" t="str">
        <f>iferror(IF(AO107="Ações Americanas", HLOOKUP(AN107,'Histórico'!$A$1:$DD$990,MATCH($B$6,'Histórico'!$A:$A),FALSE)*HLOOKUP("PTAX",'Histórico'!$A$1:$FG$983,MATCH($B$6,'Histórico'!$A:$A),FALSE),IF(AO107="Ações Europeias", HLOOKUP(AN107,'Histórico'!$A$1:$DD$990,MATCH($B$6,'Histórico'!$A:$A),FALSE)*HLOOKUP("EUR/BRL",'Histórico'!$A$1:$FG$983,MATCH($B$6,'Histórico'!$A:$A),FALSE),  HLOOKUP(AN107,'Histórico'!$A$1:$DD$990,MATCH($B$6,'Histórico'!$A:$A),FALSE))),"")</f>
        <v/>
      </c>
      <c r="AR107" s="243" t="str">
        <f t="shared" si="18"/>
        <v/>
      </c>
      <c r="AS107" s="53"/>
      <c r="AT107" s="245"/>
      <c r="AU107" s="242" t="str">
        <f>IF(ISTEXT(AT107),VLOOKUP(AT107,'Cadastro dos Ativos'!$A$2:$C$1000,3,0),"")</f>
        <v/>
      </c>
      <c r="AV107" s="242" t="str">
        <f>IF(AT107 &lt;&gt; "",IF(AU107="Futuros", (SUMIFS('Alocação'!$O$3:$O$1002,'Alocação'!$C$3:$C$1002,AT107,'Alocação'!$F$3:$F$1002,AT$9,'Alocação'!$B$3:$B$1002,"&lt;="&amp;$B$4)), (SUMIFS('Alocação'!$O$3:$O$1002,'Alocação'!$C$3:$C$1002,AT107,'Alocação'!$F$3:$F$1002,AT$9,'Alocação'!$B$3:$B$1002,"&lt;="&amp;$B$6))),"")</f>
        <v/>
      </c>
      <c r="AW107" s="243" t="str">
        <f>iferror(IF(AU107="Ações Americanas", HLOOKUP(AT107,'Histórico'!$A$1:$DD$990,MATCH($B$6,'Histórico'!$A:$A),FALSE)*HLOOKUP("PTAX",'Histórico'!$A$1:$FG$983,MATCH($B$6,'Histórico'!$A:$A),FALSE),IF(AU107="Ações Europeias", HLOOKUP(AT107,'Histórico'!$A$1:$DD$990,MATCH($B$6,'Histórico'!$A:$A),FALSE)*HLOOKUP("EUR/BRL",'Histórico'!$A$1:$FG$983,MATCH($B$6,'Histórico'!$A:$A),FALSE),  HLOOKUP(AT107,'Histórico'!$A$1:$DD$990,MATCH($B$6,'Histórico'!$A:$A),FALSE))),"")</f>
        <v/>
      </c>
      <c r="AX107" s="243" t="str">
        <f t="shared" si="27"/>
        <v/>
      </c>
      <c r="AY107" s="183"/>
    </row>
    <row r="108" ht="15.75" customHeight="1">
      <c r="A108" s="176"/>
      <c r="B108" s="232">
        <v>45147.0</v>
      </c>
      <c r="C108" s="246">
        <v>1.058459468614361E8</v>
      </c>
      <c r="D108" s="246">
        <v>1.155954631879363E8</v>
      </c>
      <c r="E108" s="247"/>
      <c r="F108" s="246">
        <v>1.110909629488672E8</v>
      </c>
      <c r="G108" s="246">
        <v>1.031509793858674E8</v>
      </c>
      <c r="H108" s="247"/>
      <c r="I108" s="246">
        <v>1.088810810553045E8</v>
      </c>
      <c r="J108" s="246">
        <v>9.175212759663184E7</v>
      </c>
      <c r="K108" s="247"/>
      <c r="L108" s="246">
        <v>1.055528809981015E8</v>
      </c>
      <c r="M108" s="246">
        <v>7.350864758810163E7</v>
      </c>
      <c r="N108" s="240">
        <f t="shared" si="9"/>
        <v>0.001386618853</v>
      </c>
      <c r="O108" s="240">
        <f t="shared" si="10"/>
        <v>0.0006670856966</v>
      </c>
      <c r="P108" s="240">
        <f t="shared" si="11"/>
        <v>-0.002189887593</v>
      </c>
      <c r="Q108" s="240">
        <f t="shared" si="12"/>
        <v>-0.01307729685</v>
      </c>
      <c r="R108" s="236">
        <f t="shared" si="13"/>
        <v>104.9217325</v>
      </c>
      <c r="S108" s="177"/>
      <c r="T108" s="233">
        <f t="shared" ref="T108:U108" si="118">IF(AND(C108&lt;&gt;"",F108&lt;&gt;"",I108&lt;&gt;""), SUM(I108,F108,C108,L108),"")</f>
        <v>431370871.9</v>
      </c>
      <c r="U108" s="233">
        <f t="shared" si="118"/>
        <v>384007217.8</v>
      </c>
      <c r="V108" s="233">
        <f t="shared" si="6"/>
        <v>107.842718</v>
      </c>
      <c r="W108" s="241">
        <f t="shared" si="15"/>
        <v>-0.003274063348</v>
      </c>
      <c r="X108" s="241">
        <f t="shared" si="16"/>
        <v>-0.004814353084</v>
      </c>
      <c r="Y108" s="241">
        <f t="shared" si="25"/>
        <v>0.002023449912</v>
      </c>
      <c r="Z108" s="233">
        <f t="shared" si="7"/>
        <v>104.9217325</v>
      </c>
      <c r="AA108" s="165"/>
      <c r="AB108" s="245"/>
      <c r="AC108" s="242" t="str">
        <f>IF(ISTEXT(AB108),VLOOKUP(AB108,'Cadastro dos Ativos'!$A$2:$C$1000,3,0),"")</f>
        <v/>
      </c>
      <c r="AD108" s="242" t="str">
        <f>IF(AB108 &lt;&gt; "",IF(AC108="Futuros", (SUMIFS('Alocação'!$O$3:$O$1002,'Alocação'!$C$3:$C$1002,AB108,'Alocação'!$F$3:$F$1002,AB$9,'Alocação'!$B$3:$B$1002,"&lt;="&amp;$B$4)), (SUMIFS('Alocação'!$O$3:$O$1002,'Alocação'!$C$3:$C$1002,AB108,'Alocação'!$F$3:$F$1002,AB$9,'Alocação'!$B$3:$B$1002,"&lt;="&amp;$B$6))),"")</f>
        <v/>
      </c>
      <c r="AE108" s="243" t="str">
        <f>iferror(IF(AC108="Ações Americanas", HLOOKUP(AB108,'Histórico'!$A$1:$DD$990,MATCH($B$6,'Histórico'!$A:$A),FALSE)*HLOOKUP("PTAX",'Histórico'!$A$1:$FG$983,MATCH($B$6,'Histórico'!$A:$A),FALSE),IF(AC108="Ações Europeias", HLOOKUP(AB108,'Histórico'!$A$1:$DD$990,MATCH($B$6,'Histórico'!$A:$A),FALSE)*HLOOKUP("EUR/BRL",'Histórico'!$A$1:$FG$983,MATCH($B$6,'Histórico'!$A:$A),FALSE), HLOOKUP(AB108,'Histórico'!$A$1:$DD$990,MATCH($B$6,'Histórico'!$A:$A),FALSE))),"")</f>
        <v/>
      </c>
      <c r="AF108" s="243" t="str">
        <f t="shared" si="21"/>
        <v/>
      </c>
      <c r="AG108" s="53"/>
      <c r="AH108" s="245"/>
      <c r="AI108" s="242" t="str">
        <f>IF(ISTEXT(AH108),VLOOKUP(AH108,'Cadastro dos Ativos'!$A$2:$C$1000,3,0),"")</f>
        <v/>
      </c>
      <c r="AJ108" s="242" t="str">
        <f>IF(AH108 &lt;&gt; "",IF(AI108="Futuros", (SUMIFS('Alocação'!$O$3:$O$1002,'Alocação'!$C$3:$C$1002,AH108,'Alocação'!$F$3:$F$1002,AH$9,'Alocação'!$B$3:$B$1002,"&lt;="&amp;$B$4)), (SUMIFS('Alocação'!$O$3:$O$1002,'Alocação'!$C$3:$C$1002,AH108,'Alocação'!$F$3:$F$1002,AH$9,'Alocação'!$B$3:$B$1002,"&lt;="&amp;$B$6))),"")</f>
        <v/>
      </c>
      <c r="AK108" s="243" t="str">
        <f>iferror(IF(AI108="Ações Americanas", HLOOKUP(AH108,'Histórico'!$A$1:$DD$990,MATCH($B$6,'Histórico'!$A:$A),FALSE)*HLOOKUP("PTAX",'Histórico'!$A$1:$FG$983,MATCH($B$6,'Histórico'!$A:$A),FALSE),IF(AI108="Ações Europeias", HLOOKUP(AH108,'Histórico'!$A$1:$DD$990,MATCH($B$6,'Histórico'!$A:$A),FALSE)*HLOOKUP("EUR/BRL",'Histórico'!$A$1:$FG$983,MATCH($B$6,'Histórico'!$A:$A),FALSE),  HLOOKUP(AH108,'Histórico'!$A$1:$DD$990,MATCH($B$6,'Histórico'!$A:$A),FALSE))),"")</f>
        <v/>
      </c>
      <c r="AL108" s="243" t="str">
        <f t="shared" si="17"/>
        <v/>
      </c>
      <c r="AM108" s="53"/>
      <c r="AN108" s="245"/>
      <c r="AO108" s="242" t="str">
        <f>IF(ISTEXT(AN108),VLOOKUP(AN108,'Cadastro dos Ativos'!$A$2:$C$1000,3,0),"")</f>
        <v/>
      </c>
      <c r="AP108" s="242" t="str">
        <f>IF(AN108 &lt;&gt; "",IF(AO108="Futuros", (SUMIFS('Alocação'!$O$3:$O$1002,'Alocação'!$C$3:$C$1002,AN108,'Alocação'!$F$3:$F$1002,AN$9,'Alocação'!$B$3:$B$1002,"&lt;="&amp;$B$4)), (SUMIFS('Alocação'!$O$3:$O$1002,'Alocação'!$C$3:$C$1002,AN108,'Alocação'!$F$3:$F$1002,AN$9,'Alocação'!$B$3:$B$1002,"&lt;="&amp;$B$6))),"")</f>
        <v/>
      </c>
      <c r="AQ108" s="243" t="str">
        <f>iferror(IF(AO108="Ações Americanas", HLOOKUP(AN108,'Histórico'!$A$1:$DD$990,MATCH($B$6,'Histórico'!$A:$A),FALSE)*HLOOKUP("PTAX",'Histórico'!$A$1:$FG$983,MATCH($B$6,'Histórico'!$A:$A),FALSE),IF(AO108="Ações Europeias", HLOOKUP(AN108,'Histórico'!$A$1:$DD$990,MATCH($B$6,'Histórico'!$A:$A),FALSE)*HLOOKUP("EUR/BRL",'Histórico'!$A$1:$FG$983,MATCH($B$6,'Histórico'!$A:$A),FALSE),  HLOOKUP(AN108,'Histórico'!$A$1:$DD$990,MATCH($B$6,'Histórico'!$A:$A),FALSE))),"")</f>
        <v/>
      </c>
      <c r="AR108" s="243" t="str">
        <f t="shared" si="18"/>
        <v/>
      </c>
      <c r="AS108" s="53"/>
      <c r="AT108" s="245"/>
      <c r="AU108" s="242" t="str">
        <f>IF(ISTEXT(AT108),VLOOKUP(AT108,'Cadastro dos Ativos'!$A$2:$C$1000,3,0),"")</f>
        <v/>
      </c>
      <c r="AV108" s="242" t="str">
        <f>IF(AT108 &lt;&gt; "",IF(AU108="Futuros", (SUMIFS('Alocação'!$O$3:$O$1002,'Alocação'!$C$3:$C$1002,AT108,'Alocação'!$F$3:$F$1002,AT$9,'Alocação'!$B$3:$B$1002,"&lt;="&amp;$B$4)), (SUMIFS('Alocação'!$O$3:$O$1002,'Alocação'!$C$3:$C$1002,AT108,'Alocação'!$F$3:$F$1002,AT$9,'Alocação'!$B$3:$B$1002,"&lt;="&amp;$B$6))),"")</f>
        <v/>
      </c>
      <c r="AW108" s="243" t="str">
        <f>iferror(IF(AU108="Ações Americanas", HLOOKUP(AT108,'Histórico'!$A$1:$DD$990,MATCH($B$6,'Histórico'!$A:$A),FALSE)*HLOOKUP("PTAX",'Histórico'!$A$1:$FG$983,MATCH($B$6,'Histórico'!$A:$A),FALSE),IF(AU108="Ações Europeias", HLOOKUP(AT108,'Histórico'!$A$1:$DD$990,MATCH($B$6,'Histórico'!$A:$A),FALSE)*HLOOKUP("EUR/BRL",'Histórico'!$A$1:$FG$983,MATCH($B$6,'Histórico'!$A:$A),FALSE),  HLOOKUP(AT108,'Histórico'!$A$1:$DD$990,MATCH($B$6,'Histórico'!$A:$A),FALSE))),"")</f>
        <v/>
      </c>
      <c r="AX108" s="243" t="str">
        <f t="shared" si="27"/>
        <v/>
      </c>
      <c r="AY108" s="183"/>
    </row>
    <row r="109" ht="15.75" customHeight="1">
      <c r="A109" s="176"/>
      <c r="B109" s="232">
        <v>45148.0</v>
      </c>
      <c r="C109" s="246">
        <v>1.062541318333821E8</v>
      </c>
      <c r="D109" s="246">
        <v>1.159875002318815E8</v>
      </c>
      <c r="E109" s="247"/>
      <c r="F109" s="246">
        <v>1.111509243591683E8</v>
      </c>
      <c r="G109" s="246">
        <v>1.032059428841676E8</v>
      </c>
      <c r="H109" s="247"/>
      <c r="I109" s="246">
        <v>1.085969685907878E8</v>
      </c>
      <c r="J109" s="246">
        <v>9.17906870076276E7</v>
      </c>
      <c r="K109" s="247"/>
      <c r="L109" s="246">
        <v>1.060624893656508E8</v>
      </c>
      <c r="M109" s="246">
        <v>7.353845758565007E7</v>
      </c>
      <c r="N109" s="240">
        <f t="shared" si="9"/>
        <v>0.003856406259</v>
      </c>
      <c r="O109" s="240">
        <f t="shared" si="10"/>
        <v>0.0005397505675</v>
      </c>
      <c r="P109" s="240">
        <f t="shared" si="11"/>
        <v>-0.002609383207</v>
      </c>
      <c r="Q109" s="240">
        <f t="shared" si="12"/>
        <v>0.004827991076</v>
      </c>
      <c r="R109" s="236">
        <f t="shared" si="13"/>
        <v>104.9731829</v>
      </c>
      <c r="S109" s="177"/>
      <c r="T109" s="233">
        <f t="shared" ref="T109:U109" si="119">IF(AND(C109&lt;&gt;"",F109&lt;&gt;"",I109&lt;&gt;""), SUM(I109,F109,C109,L109),"")</f>
        <v>432064514.1</v>
      </c>
      <c r="U109" s="233">
        <f t="shared" si="119"/>
        <v>384522587.7</v>
      </c>
      <c r="V109" s="233">
        <f t="shared" si="6"/>
        <v>108.0161285</v>
      </c>
      <c r="W109" s="241">
        <f t="shared" si="15"/>
        <v>0.001607995186</v>
      </c>
      <c r="X109" s="241">
        <f t="shared" si="16"/>
        <v>-0.003214099355</v>
      </c>
      <c r="Y109" s="241">
        <f t="shared" si="25"/>
        <v>0.00218128011</v>
      </c>
      <c r="Z109" s="233">
        <f t="shared" si="7"/>
        <v>104.9731829</v>
      </c>
      <c r="AA109" s="165"/>
      <c r="AB109" s="245"/>
      <c r="AC109" s="242" t="str">
        <f>IF(ISTEXT(AB109),VLOOKUP(AB109,'Cadastro dos Ativos'!$A$2:$C$1000,3,0),"")</f>
        <v/>
      </c>
      <c r="AD109" s="242" t="str">
        <f>IF(AB109 &lt;&gt; "",IF(AC109="Futuros", (SUMIFS('Alocação'!$O$3:$O$1002,'Alocação'!$C$3:$C$1002,AB109,'Alocação'!$F$3:$F$1002,AB$9,'Alocação'!$B$3:$B$1002,"&lt;="&amp;$B$4)), (SUMIFS('Alocação'!$O$3:$O$1002,'Alocação'!$C$3:$C$1002,AB109,'Alocação'!$F$3:$F$1002,AB$9,'Alocação'!$B$3:$B$1002,"&lt;="&amp;$B$6))),"")</f>
        <v/>
      </c>
      <c r="AE109" s="243" t="str">
        <f>iferror(IF(AC109="Ações Americanas", HLOOKUP(AB109,'Histórico'!$A$1:$DD$990,MATCH($B$6,'Histórico'!$A:$A),FALSE)*HLOOKUP("PTAX",'Histórico'!$A$1:$FG$983,MATCH($B$6,'Histórico'!$A:$A),FALSE),IF(AC109="Ações Europeias", HLOOKUP(AB109,'Histórico'!$A$1:$DD$990,MATCH($B$6,'Histórico'!$A:$A),FALSE)*HLOOKUP("EUR/BRL",'Histórico'!$A$1:$FG$983,MATCH($B$6,'Histórico'!$A:$A),FALSE), HLOOKUP(AB109,'Histórico'!$A$1:$DD$990,MATCH($B$6,'Histórico'!$A:$A),FALSE))),"")</f>
        <v/>
      </c>
      <c r="AF109" s="243" t="str">
        <f t="shared" si="21"/>
        <v/>
      </c>
      <c r="AG109" s="53"/>
      <c r="AH109" s="245"/>
      <c r="AI109" s="242" t="str">
        <f>IF(ISTEXT(AH109),VLOOKUP(AH109,'Cadastro dos Ativos'!$A$2:$C$1000,3,0),"")</f>
        <v/>
      </c>
      <c r="AJ109" s="242" t="str">
        <f>IF(AH109 &lt;&gt; "",IF(AI109="Futuros", (SUMIFS('Alocação'!$O$3:$O$1002,'Alocação'!$C$3:$C$1002,AH109,'Alocação'!$F$3:$F$1002,AH$9,'Alocação'!$B$3:$B$1002,"&lt;="&amp;$B$4)), (SUMIFS('Alocação'!$O$3:$O$1002,'Alocação'!$C$3:$C$1002,AH109,'Alocação'!$F$3:$F$1002,AH$9,'Alocação'!$B$3:$B$1002,"&lt;="&amp;$B$6))),"")</f>
        <v/>
      </c>
      <c r="AK109" s="243" t="str">
        <f>iferror(IF(AI109="Ações Americanas", HLOOKUP(AH109,'Histórico'!$A$1:$DD$990,MATCH($B$6,'Histórico'!$A:$A),FALSE)*HLOOKUP("PTAX",'Histórico'!$A$1:$FG$983,MATCH($B$6,'Histórico'!$A:$A),FALSE),IF(AI109="Ações Europeias", HLOOKUP(AH109,'Histórico'!$A$1:$DD$990,MATCH($B$6,'Histórico'!$A:$A),FALSE)*HLOOKUP("EUR/BRL",'Histórico'!$A$1:$FG$983,MATCH($B$6,'Histórico'!$A:$A),FALSE),  HLOOKUP(AH109,'Histórico'!$A$1:$DD$990,MATCH($B$6,'Histórico'!$A:$A),FALSE))),"")</f>
        <v/>
      </c>
      <c r="AL109" s="243" t="str">
        <f t="shared" si="17"/>
        <v/>
      </c>
      <c r="AM109" s="53"/>
      <c r="AN109" s="245"/>
      <c r="AO109" s="242" t="str">
        <f>IF(ISTEXT(AN109),VLOOKUP(AN109,'Cadastro dos Ativos'!$A$2:$C$1000,3,0),"")</f>
        <v/>
      </c>
      <c r="AP109" s="242" t="str">
        <f>IF(AN109 &lt;&gt; "",IF(AO109="Futuros", (SUMIFS('Alocação'!$O$3:$O$1002,'Alocação'!$C$3:$C$1002,AN109,'Alocação'!$F$3:$F$1002,AN$9,'Alocação'!$B$3:$B$1002,"&lt;="&amp;$B$4)), (SUMIFS('Alocação'!$O$3:$O$1002,'Alocação'!$C$3:$C$1002,AN109,'Alocação'!$F$3:$F$1002,AN$9,'Alocação'!$B$3:$B$1002,"&lt;="&amp;$B$6))),"")</f>
        <v/>
      </c>
      <c r="AQ109" s="243" t="str">
        <f>iferror(IF(AO109="Ações Americanas", HLOOKUP(AN109,'Histórico'!$A$1:$DD$990,MATCH($B$6,'Histórico'!$A:$A),FALSE)*HLOOKUP("PTAX",'Histórico'!$A$1:$FG$983,MATCH($B$6,'Histórico'!$A:$A),FALSE),IF(AO109="Ações Europeias", HLOOKUP(AN109,'Histórico'!$A$1:$DD$990,MATCH($B$6,'Histórico'!$A:$A),FALSE)*HLOOKUP("EUR/BRL",'Histórico'!$A$1:$FG$983,MATCH($B$6,'Histórico'!$A:$A),FALSE),  HLOOKUP(AN109,'Histórico'!$A$1:$DD$990,MATCH($B$6,'Histórico'!$A:$A),FALSE))),"")</f>
        <v/>
      </c>
      <c r="AR109" s="243" t="str">
        <f t="shared" si="18"/>
        <v/>
      </c>
      <c r="AS109" s="53"/>
      <c r="AT109" s="245"/>
      <c r="AU109" s="242" t="str">
        <f>IF(ISTEXT(AT109),VLOOKUP(AT109,'Cadastro dos Ativos'!$A$2:$C$1000,3,0),"")</f>
        <v/>
      </c>
      <c r="AV109" s="242" t="str">
        <f>IF(AT109 &lt;&gt; "",IF(AU109="Futuros", (SUMIFS('Alocação'!$O$3:$O$1002,'Alocação'!$C$3:$C$1002,AT109,'Alocação'!$F$3:$F$1002,AT$9,'Alocação'!$B$3:$B$1002,"&lt;="&amp;$B$4)), (SUMIFS('Alocação'!$O$3:$O$1002,'Alocação'!$C$3:$C$1002,AT109,'Alocação'!$F$3:$F$1002,AT$9,'Alocação'!$B$3:$B$1002,"&lt;="&amp;$B$6))),"")</f>
        <v/>
      </c>
      <c r="AW109" s="243" t="str">
        <f>iferror(IF(AU109="Ações Americanas", HLOOKUP(AT109,'Histórico'!$A$1:$DD$990,MATCH($B$6,'Histórico'!$A:$A),FALSE)*HLOOKUP("PTAX",'Histórico'!$A$1:$FG$983,MATCH($B$6,'Histórico'!$A:$A),FALSE),IF(AU109="Ações Europeias", HLOOKUP(AT109,'Histórico'!$A$1:$DD$990,MATCH($B$6,'Histórico'!$A:$A),FALSE)*HLOOKUP("EUR/BRL",'Histórico'!$A$1:$FG$983,MATCH($B$6,'Histórico'!$A:$A),FALSE),  HLOOKUP(AT109,'Histórico'!$A$1:$DD$990,MATCH($B$6,'Histórico'!$A:$A),FALSE))),"")</f>
        <v/>
      </c>
      <c r="AX109" s="243" t="str">
        <f t="shared" si="27"/>
        <v/>
      </c>
      <c r="AY109" s="183"/>
    </row>
    <row r="110" ht="15.75" customHeight="1">
      <c r="A110" s="176"/>
      <c r="B110" s="232">
        <v>45149.0</v>
      </c>
      <c r="C110" s="246">
        <v>1.066675046020191E8</v>
      </c>
      <c r="D110" s="246">
        <v>1.163787716520184E8</v>
      </c>
      <c r="E110" s="247"/>
      <c r="F110" s="246">
        <v>1.111650547251869E8</v>
      </c>
      <c r="G110" s="246">
        <v>1.032070715921861E8</v>
      </c>
      <c r="H110" s="247"/>
      <c r="I110" s="246">
        <v>1.085905329184967E8</v>
      </c>
      <c r="J110" s="246">
        <v>9.182928211337219E7</v>
      </c>
      <c r="K110" s="247"/>
      <c r="L110" s="246">
        <v>1.053340850416609E8</v>
      </c>
      <c r="M110" s="246">
        <v>7.356825209166014E7</v>
      </c>
      <c r="N110" s="240">
        <f t="shared" si="9"/>
        <v>0.003890415944</v>
      </c>
      <c r="O110" s="240">
        <f t="shared" si="10"/>
        <v>0.0001271277419</v>
      </c>
      <c r="P110" s="240">
        <f t="shared" si="11"/>
        <v>-0.00005926198838</v>
      </c>
      <c r="Q110" s="240">
        <f t="shared" si="12"/>
        <v>-0.006867690249</v>
      </c>
      <c r="R110" s="236">
        <f t="shared" si="13"/>
        <v>105.0246586</v>
      </c>
      <c r="S110" s="177"/>
      <c r="T110" s="233">
        <f t="shared" ref="T110:U110" si="120">IF(AND(C110&lt;&gt;"",F110&lt;&gt;"",I110&lt;&gt;""), SUM(I110,F110,C110,L110),"")</f>
        <v>431757177.3</v>
      </c>
      <c r="U110" s="233">
        <f t="shared" si="120"/>
        <v>384983377.4</v>
      </c>
      <c r="V110" s="233">
        <f t="shared" si="6"/>
        <v>107.9392943</v>
      </c>
      <c r="W110" s="241">
        <f t="shared" si="15"/>
        <v>-0.0007113216929</v>
      </c>
      <c r="X110" s="241">
        <f t="shared" si="16"/>
        <v>-0.003923134789</v>
      </c>
      <c r="Y110" s="241">
        <f t="shared" si="25"/>
        <v>0.001888328826</v>
      </c>
      <c r="Z110" s="233">
        <f t="shared" si="7"/>
        <v>105.0246586</v>
      </c>
      <c r="AA110" s="165"/>
      <c r="AB110" s="245"/>
      <c r="AC110" s="242" t="str">
        <f>IF(ISTEXT(AB110),VLOOKUP(AB110,'Cadastro dos Ativos'!$A$2:$C$1000,3,0),"")</f>
        <v/>
      </c>
      <c r="AD110" s="242" t="str">
        <f>IF(AB110 &lt;&gt; "",IF(AC110="Futuros", (SUMIFS('Alocação'!$O$3:$O$1002,'Alocação'!$C$3:$C$1002,AB110,'Alocação'!$F$3:$F$1002,AB$9,'Alocação'!$B$3:$B$1002,"&lt;="&amp;$B$4)), (SUMIFS('Alocação'!$O$3:$O$1002,'Alocação'!$C$3:$C$1002,AB110,'Alocação'!$F$3:$F$1002,AB$9,'Alocação'!$B$3:$B$1002,"&lt;="&amp;$B$6))),"")</f>
        <v/>
      </c>
      <c r="AE110" s="243" t="str">
        <f>iferror(IF(AC110="Ações Americanas", HLOOKUP(AB110,'Histórico'!$A$1:$DD$990,MATCH($B$6,'Histórico'!$A:$A),FALSE)*HLOOKUP("PTAX",'Histórico'!$A$1:$FG$983,MATCH($B$6,'Histórico'!$A:$A),FALSE),IF(AC110="Ações Europeias", HLOOKUP(AB110,'Histórico'!$A$1:$DD$990,MATCH($B$6,'Histórico'!$A:$A),FALSE)*HLOOKUP("EUR/BRL",'Histórico'!$A$1:$FG$983,MATCH($B$6,'Histórico'!$A:$A),FALSE), HLOOKUP(AB110,'Histórico'!$A$1:$DD$990,MATCH($B$6,'Histórico'!$A:$A),FALSE))),"")</f>
        <v/>
      </c>
      <c r="AF110" s="243" t="str">
        <f t="shared" si="21"/>
        <v/>
      </c>
      <c r="AG110" s="53"/>
      <c r="AH110" s="245"/>
      <c r="AI110" s="242" t="str">
        <f>IF(ISTEXT(AH110),VLOOKUP(AH110,'Cadastro dos Ativos'!$A$2:$C$1000,3,0),"")</f>
        <v/>
      </c>
      <c r="AJ110" s="242" t="str">
        <f>IF(AH110 &lt;&gt; "",IF(AI110="Futuros", (SUMIFS('Alocação'!$O$3:$O$1002,'Alocação'!$C$3:$C$1002,AH110,'Alocação'!$F$3:$F$1002,AH$9,'Alocação'!$B$3:$B$1002,"&lt;="&amp;$B$4)), (SUMIFS('Alocação'!$O$3:$O$1002,'Alocação'!$C$3:$C$1002,AH110,'Alocação'!$F$3:$F$1002,AH$9,'Alocação'!$B$3:$B$1002,"&lt;="&amp;$B$6))),"")</f>
        <v/>
      </c>
      <c r="AK110" s="243" t="str">
        <f>iferror(IF(AI110="Ações Americanas", HLOOKUP(AH110,'Histórico'!$A$1:$DD$990,MATCH($B$6,'Histórico'!$A:$A),FALSE)*HLOOKUP("PTAX",'Histórico'!$A$1:$FG$983,MATCH($B$6,'Histórico'!$A:$A),FALSE),IF(AI110="Ações Europeias", HLOOKUP(AH110,'Histórico'!$A$1:$DD$990,MATCH($B$6,'Histórico'!$A:$A),FALSE)*HLOOKUP("EUR/BRL",'Histórico'!$A$1:$FG$983,MATCH($B$6,'Histórico'!$A:$A),FALSE),  HLOOKUP(AH110,'Histórico'!$A$1:$DD$990,MATCH($B$6,'Histórico'!$A:$A),FALSE))),"")</f>
        <v/>
      </c>
      <c r="AL110" s="243" t="str">
        <f t="shared" si="17"/>
        <v/>
      </c>
      <c r="AM110" s="53"/>
      <c r="AN110" s="245"/>
      <c r="AO110" s="242" t="str">
        <f>IF(ISTEXT(AN110),VLOOKUP(AN110,'Cadastro dos Ativos'!$A$2:$C$1000,3,0),"")</f>
        <v/>
      </c>
      <c r="AP110" s="242" t="str">
        <f>IF(AN110 &lt;&gt; "",IF(AO110="Futuros", (SUMIFS('Alocação'!$O$3:$O$1002,'Alocação'!$C$3:$C$1002,AN110,'Alocação'!$F$3:$F$1002,AN$9,'Alocação'!$B$3:$B$1002,"&lt;="&amp;$B$4)), (SUMIFS('Alocação'!$O$3:$O$1002,'Alocação'!$C$3:$C$1002,AN110,'Alocação'!$F$3:$F$1002,AN$9,'Alocação'!$B$3:$B$1002,"&lt;="&amp;$B$6))),"")</f>
        <v/>
      </c>
      <c r="AQ110" s="243" t="str">
        <f>iferror(IF(AO110="Ações Americanas", HLOOKUP(AN110,'Histórico'!$A$1:$DD$990,MATCH($B$6,'Histórico'!$A:$A),FALSE)*HLOOKUP("PTAX",'Histórico'!$A$1:$FG$983,MATCH($B$6,'Histórico'!$A:$A),FALSE),IF(AO110="Ações Europeias", HLOOKUP(AN110,'Histórico'!$A$1:$DD$990,MATCH($B$6,'Histórico'!$A:$A),FALSE)*HLOOKUP("EUR/BRL",'Histórico'!$A$1:$FG$983,MATCH($B$6,'Histórico'!$A:$A),FALSE),  HLOOKUP(AN110,'Histórico'!$A$1:$DD$990,MATCH($B$6,'Histórico'!$A:$A),FALSE))),"")</f>
        <v/>
      </c>
      <c r="AR110" s="243" t="str">
        <f t="shared" si="18"/>
        <v/>
      </c>
      <c r="AS110" s="53"/>
      <c r="AT110" s="245"/>
      <c r="AU110" s="242" t="str">
        <f>IF(ISTEXT(AT110),VLOOKUP(AT110,'Cadastro dos Ativos'!$A$2:$C$1000,3,0),"")</f>
        <v/>
      </c>
      <c r="AV110" s="242" t="str">
        <f>IF(AT110 &lt;&gt; "",IF(AU110="Futuros", (SUMIFS('Alocação'!$O$3:$O$1002,'Alocação'!$C$3:$C$1002,AT110,'Alocação'!$F$3:$F$1002,AT$9,'Alocação'!$B$3:$B$1002,"&lt;="&amp;$B$4)), (SUMIFS('Alocação'!$O$3:$O$1002,'Alocação'!$C$3:$C$1002,AT110,'Alocação'!$F$3:$F$1002,AT$9,'Alocação'!$B$3:$B$1002,"&lt;="&amp;$B$6))),"")</f>
        <v/>
      </c>
      <c r="AW110" s="243" t="str">
        <f>iferror(IF(AU110="Ações Americanas", HLOOKUP(AT110,'Histórico'!$A$1:$DD$990,MATCH($B$6,'Histórico'!$A:$A),FALSE)*HLOOKUP("PTAX",'Histórico'!$A$1:$FG$983,MATCH($B$6,'Histórico'!$A:$A),FALSE),IF(AU110="Ações Europeias", HLOOKUP(AT110,'Histórico'!$A$1:$DD$990,MATCH($B$6,'Histórico'!$A:$A),FALSE)*HLOOKUP("EUR/BRL",'Histórico'!$A$1:$FG$983,MATCH($B$6,'Histórico'!$A:$A),FALSE),  HLOOKUP(AT110,'Histórico'!$A$1:$DD$990,MATCH($B$6,'Histórico'!$A:$A),FALSE))),"")</f>
        <v/>
      </c>
      <c r="AX110" s="243" t="str">
        <f t="shared" si="27"/>
        <v/>
      </c>
      <c r="AY110" s="183"/>
    </row>
    <row r="111" ht="15.75" customHeight="1">
      <c r="A111" s="176"/>
      <c r="B111" s="232">
        <v>45152.0</v>
      </c>
      <c r="C111" s="246">
        <v>1.074712700039149E8</v>
      </c>
      <c r="D111" s="246">
        <v>1.171026367663947E8</v>
      </c>
      <c r="E111" s="247"/>
      <c r="F111" s="246">
        <v>1.111380693098529E8</v>
      </c>
      <c r="G111" s="246">
        <v>1.032020862188171E8</v>
      </c>
      <c r="H111" s="247"/>
      <c r="I111" s="246">
        <v>1.084696030423107E8</v>
      </c>
      <c r="J111" s="246">
        <v>9.214462848124108E7</v>
      </c>
      <c r="K111" s="247"/>
      <c r="L111" s="246">
        <v>1.043900369474085E8</v>
      </c>
      <c r="M111" s="246">
        <v>7.359810424470884E7</v>
      </c>
      <c r="N111" s="240">
        <f t="shared" si="9"/>
        <v>0.007535241449</v>
      </c>
      <c r="O111" s="240">
        <f t="shared" si="10"/>
        <v>-0.0002427508843</v>
      </c>
      <c r="P111" s="240">
        <f t="shared" si="11"/>
        <v>-0.001113631851</v>
      </c>
      <c r="Q111" s="240">
        <f t="shared" si="12"/>
        <v>-0.008962417947</v>
      </c>
      <c r="R111" s="236">
        <f t="shared" si="13"/>
        <v>105.0761596</v>
      </c>
      <c r="S111" s="177"/>
      <c r="T111" s="233">
        <f t="shared" ref="T111:U111" si="121">IF(AND(C111&lt;&gt;"",F111&lt;&gt;"",I111&lt;&gt;""), SUM(I111,F111,C111,L111),"")</f>
        <v>431468979.3</v>
      </c>
      <c r="U111" s="233">
        <f t="shared" si="121"/>
        <v>386047455.7</v>
      </c>
      <c r="V111" s="233">
        <f t="shared" si="6"/>
        <v>107.8672448</v>
      </c>
      <c r="W111" s="241">
        <f t="shared" si="15"/>
        <v>-0.0006675001576</v>
      </c>
      <c r="X111" s="241">
        <f t="shared" si="16"/>
        <v>-0.004588016254</v>
      </c>
      <c r="Y111" s="241">
        <f t="shared" si="25"/>
        <v>0.001762861269</v>
      </c>
      <c r="Z111" s="233">
        <f t="shared" si="7"/>
        <v>105.0761596</v>
      </c>
      <c r="AA111" s="165"/>
      <c r="AB111" s="245"/>
      <c r="AC111" s="242" t="str">
        <f>IF(ISTEXT(AB111),VLOOKUP(AB111,'Cadastro dos Ativos'!$A$2:$C$1000,3,0),"")</f>
        <v/>
      </c>
      <c r="AD111" s="242" t="str">
        <f>IF(AB111 &lt;&gt; "",IF(AC111="Futuros", (SUMIFS('Alocação'!$O$3:$O$1002,'Alocação'!$C$3:$C$1002,AB111,'Alocação'!$F$3:$F$1002,AB$9,'Alocação'!$B$3:$B$1002,"&lt;="&amp;$B$4)), (SUMIFS('Alocação'!$O$3:$O$1002,'Alocação'!$C$3:$C$1002,AB111,'Alocação'!$F$3:$F$1002,AB$9,'Alocação'!$B$3:$B$1002,"&lt;="&amp;$B$6))),"")</f>
        <v/>
      </c>
      <c r="AE111" s="243" t="str">
        <f>iferror(IF(AC111="Ações Americanas", HLOOKUP(AB111,'Histórico'!$A$1:$DD$990,MATCH($B$6,'Histórico'!$A:$A),FALSE)*HLOOKUP("PTAX",'Histórico'!$A$1:$FG$983,MATCH($B$6,'Histórico'!$A:$A),FALSE),IF(AC111="Ações Europeias", HLOOKUP(AB111,'Histórico'!$A$1:$DD$990,MATCH($B$6,'Histórico'!$A:$A),FALSE)*HLOOKUP("EUR/BRL",'Histórico'!$A$1:$FG$983,MATCH($B$6,'Histórico'!$A:$A),FALSE), HLOOKUP(AB111,'Histórico'!$A$1:$DD$990,MATCH($B$6,'Histórico'!$A:$A),FALSE))),"")</f>
        <v/>
      </c>
      <c r="AF111" s="243" t="str">
        <f t="shared" si="21"/>
        <v/>
      </c>
      <c r="AG111" s="53"/>
      <c r="AH111" s="245"/>
      <c r="AI111" s="242" t="str">
        <f>IF(ISTEXT(AH111),VLOOKUP(AH111,'Cadastro dos Ativos'!$A$2:$C$1000,3,0),"")</f>
        <v/>
      </c>
      <c r="AJ111" s="242" t="str">
        <f>IF(AH111 &lt;&gt; "",IF(AI111="Futuros", (SUMIFS('Alocação'!$O$3:$O$1002,'Alocação'!$C$3:$C$1002,AH111,'Alocação'!$F$3:$F$1002,AH$9,'Alocação'!$B$3:$B$1002,"&lt;="&amp;$B$4)), (SUMIFS('Alocação'!$O$3:$O$1002,'Alocação'!$C$3:$C$1002,AH111,'Alocação'!$F$3:$F$1002,AH$9,'Alocação'!$B$3:$B$1002,"&lt;="&amp;$B$6))),"")</f>
        <v/>
      </c>
      <c r="AK111" s="243" t="str">
        <f>iferror(IF(AI111="Ações Americanas", HLOOKUP(AH111,'Histórico'!$A$1:$DD$990,MATCH($B$6,'Histórico'!$A:$A),FALSE)*HLOOKUP("PTAX",'Histórico'!$A$1:$FG$983,MATCH($B$6,'Histórico'!$A:$A),FALSE),IF(AI111="Ações Europeias", HLOOKUP(AH111,'Histórico'!$A$1:$DD$990,MATCH($B$6,'Histórico'!$A:$A),FALSE)*HLOOKUP("EUR/BRL",'Histórico'!$A$1:$FG$983,MATCH($B$6,'Histórico'!$A:$A),FALSE),  HLOOKUP(AH111,'Histórico'!$A$1:$DD$990,MATCH($B$6,'Histórico'!$A:$A),FALSE))),"")</f>
        <v/>
      </c>
      <c r="AL111" s="243" t="str">
        <f t="shared" si="17"/>
        <v/>
      </c>
      <c r="AM111" s="53"/>
      <c r="AN111" s="245"/>
      <c r="AO111" s="242" t="str">
        <f>IF(ISTEXT(AN111),VLOOKUP(AN111,'Cadastro dos Ativos'!$A$2:$C$1000,3,0),"")</f>
        <v/>
      </c>
      <c r="AP111" s="242" t="str">
        <f>IF(AN111 &lt;&gt; "",IF(AO111="Futuros", (SUMIFS('Alocação'!$O$3:$O$1002,'Alocação'!$C$3:$C$1002,AN111,'Alocação'!$F$3:$F$1002,AN$9,'Alocação'!$B$3:$B$1002,"&lt;="&amp;$B$4)), (SUMIFS('Alocação'!$O$3:$O$1002,'Alocação'!$C$3:$C$1002,AN111,'Alocação'!$F$3:$F$1002,AN$9,'Alocação'!$B$3:$B$1002,"&lt;="&amp;$B$6))),"")</f>
        <v/>
      </c>
      <c r="AQ111" s="243" t="str">
        <f>iferror(IF(AO111="Ações Americanas", HLOOKUP(AN111,'Histórico'!$A$1:$DD$990,MATCH($B$6,'Histórico'!$A:$A),FALSE)*HLOOKUP("PTAX",'Histórico'!$A$1:$FG$983,MATCH($B$6,'Histórico'!$A:$A),FALSE),IF(AO111="Ações Europeias", HLOOKUP(AN111,'Histórico'!$A$1:$DD$990,MATCH($B$6,'Histórico'!$A:$A),FALSE)*HLOOKUP("EUR/BRL",'Histórico'!$A$1:$FG$983,MATCH($B$6,'Histórico'!$A:$A),FALSE),  HLOOKUP(AN111,'Histórico'!$A$1:$DD$990,MATCH($B$6,'Histórico'!$A:$A),FALSE))),"")</f>
        <v/>
      </c>
      <c r="AR111" s="243" t="str">
        <f t="shared" si="18"/>
        <v/>
      </c>
      <c r="AS111" s="53"/>
      <c r="AT111" s="245"/>
      <c r="AU111" s="242" t="str">
        <f>IF(ISTEXT(AT111),VLOOKUP(AT111,'Cadastro dos Ativos'!$A$2:$C$1000,3,0),"")</f>
        <v/>
      </c>
      <c r="AV111" s="242" t="str">
        <f>IF(AT111 &lt;&gt; "",IF(AU111="Futuros", (SUMIFS('Alocação'!$O$3:$O$1002,'Alocação'!$C$3:$C$1002,AT111,'Alocação'!$F$3:$F$1002,AT$9,'Alocação'!$B$3:$B$1002,"&lt;="&amp;$B$4)), (SUMIFS('Alocação'!$O$3:$O$1002,'Alocação'!$C$3:$C$1002,AT111,'Alocação'!$F$3:$F$1002,AT$9,'Alocação'!$B$3:$B$1002,"&lt;="&amp;$B$6))),"")</f>
        <v/>
      </c>
      <c r="AW111" s="243" t="str">
        <f>iferror(IF(AU111="Ações Americanas", HLOOKUP(AT111,'Histórico'!$A$1:$DD$990,MATCH($B$6,'Histórico'!$A:$A),FALSE)*HLOOKUP("PTAX",'Histórico'!$A$1:$FG$983,MATCH($B$6,'Histórico'!$A:$A),FALSE),IF(AU111="Ações Europeias", HLOOKUP(AT111,'Histórico'!$A$1:$DD$990,MATCH($B$6,'Histórico'!$A:$A),FALSE)*HLOOKUP("EUR/BRL",'Histórico'!$A$1:$FG$983,MATCH($B$6,'Histórico'!$A:$A),FALSE),  HLOOKUP(AT111,'Histórico'!$A$1:$DD$990,MATCH($B$6,'Histórico'!$A:$A),FALSE))),"")</f>
        <v/>
      </c>
      <c r="AX111" s="243" t="str">
        <f t="shared" si="27"/>
        <v/>
      </c>
      <c r="AY111" s="183"/>
    </row>
    <row r="112" ht="15.75" customHeight="1">
      <c r="A112" s="176"/>
      <c r="B112" s="232">
        <v>45153.0</v>
      </c>
      <c r="C112" s="246">
        <v>1.079136445197412E8</v>
      </c>
      <c r="D112" s="246">
        <v>1.174651106032011E8</v>
      </c>
      <c r="E112" s="247"/>
      <c r="F112" s="246">
        <v>1.111370739756816E8</v>
      </c>
      <c r="G112" s="246">
        <v>1.032440897951644E8</v>
      </c>
      <c r="H112" s="247"/>
      <c r="I112" s="246">
        <v>1.084644507530226E8</v>
      </c>
      <c r="J112" s="246">
        <v>9.218340467447367E7</v>
      </c>
      <c r="K112" s="247"/>
      <c r="L112" s="246">
        <v>1.041025610777397E8</v>
      </c>
      <c r="M112" s="246">
        <v>7.362802681406209E7</v>
      </c>
      <c r="N112" s="240">
        <f t="shared" si="9"/>
        <v>0.004116211857</v>
      </c>
      <c r="O112" s="240">
        <f t="shared" si="10"/>
        <v>-0.000008955834643</v>
      </c>
      <c r="P112" s="240">
        <f t="shared" si="11"/>
        <v>-0.0000474998446</v>
      </c>
      <c r="Q112" s="240">
        <f t="shared" si="12"/>
        <v>-0.00275386309</v>
      </c>
      <c r="R112" s="236">
        <f t="shared" si="13"/>
        <v>105.1276858</v>
      </c>
      <c r="S112" s="177"/>
      <c r="T112" s="233">
        <f t="shared" ref="T112:U112" si="122">IF(AND(C112&lt;&gt;"",F112&lt;&gt;"",I112&lt;&gt;""), SUM(I112,F112,C112,L112),"")</f>
        <v>431617730.3</v>
      </c>
      <c r="U112" s="233">
        <f t="shared" si="122"/>
        <v>386520631.9</v>
      </c>
      <c r="V112" s="233">
        <f t="shared" si="6"/>
        <v>107.9044326</v>
      </c>
      <c r="W112" s="241">
        <f t="shared" si="15"/>
        <v>0.0003447548487</v>
      </c>
      <c r="X112" s="241">
        <f t="shared" si="16"/>
        <v>-0.004244843146</v>
      </c>
      <c r="Y112" s="241">
        <f t="shared" si="25"/>
        <v>0.001797038137</v>
      </c>
      <c r="Z112" s="233">
        <f t="shared" si="7"/>
        <v>105.1276858</v>
      </c>
      <c r="AA112" s="165"/>
      <c r="AB112" s="245"/>
      <c r="AC112" s="242" t="str">
        <f>IF(ISTEXT(AB112),VLOOKUP(AB112,'Cadastro dos Ativos'!$A$2:$C$1000,3,0),"")</f>
        <v/>
      </c>
      <c r="AD112" s="242" t="str">
        <f>IF(AB112 &lt;&gt; "",IF(AC112="Futuros", (SUMIFS('Alocação'!$O$3:$O$1002,'Alocação'!$C$3:$C$1002,AB112,'Alocação'!$F$3:$F$1002,AB$9,'Alocação'!$B$3:$B$1002,"&lt;="&amp;$B$4)), (SUMIFS('Alocação'!$O$3:$O$1002,'Alocação'!$C$3:$C$1002,AB112,'Alocação'!$F$3:$F$1002,AB$9,'Alocação'!$B$3:$B$1002,"&lt;="&amp;$B$6))),"")</f>
        <v/>
      </c>
      <c r="AE112" s="243" t="str">
        <f>iferror(IF(AC112="Ações Americanas", HLOOKUP(AB112,'Histórico'!$A$1:$DD$990,MATCH($B$6,'Histórico'!$A:$A),FALSE)*HLOOKUP("PTAX",'Histórico'!$A$1:$FG$983,MATCH($B$6,'Histórico'!$A:$A),FALSE),IF(AC112="Ações Europeias", HLOOKUP(AB112,'Histórico'!$A$1:$DD$990,MATCH($B$6,'Histórico'!$A:$A),FALSE)*HLOOKUP("EUR/BRL",'Histórico'!$A$1:$FG$983,MATCH($B$6,'Histórico'!$A:$A),FALSE), HLOOKUP(AB112,'Histórico'!$A$1:$DD$990,MATCH($B$6,'Histórico'!$A:$A),FALSE))),"")</f>
        <v/>
      </c>
      <c r="AF112" s="243" t="str">
        <f t="shared" si="21"/>
        <v/>
      </c>
      <c r="AG112" s="53"/>
      <c r="AH112" s="245"/>
      <c r="AI112" s="242" t="str">
        <f>IF(ISTEXT(AH112),VLOOKUP(AH112,'Cadastro dos Ativos'!$A$2:$C$1000,3,0),"")</f>
        <v/>
      </c>
      <c r="AJ112" s="242" t="str">
        <f>IF(AH112 &lt;&gt; "",IF(AI112="Futuros", (SUMIFS('Alocação'!$O$3:$O$1002,'Alocação'!$C$3:$C$1002,AH112,'Alocação'!$F$3:$F$1002,AH$9,'Alocação'!$B$3:$B$1002,"&lt;="&amp;$B$4)), (SUMIFS('Alocação'!$O$3:$O$1002,'Alocação'!$C$3:$C$1002,AH112,'Alocação'!$F$3:$F$1002,AH$9,'Alocação'!$B$3:$B$1002,"&lt;="&amp;$B$6))),"")</f>
        <v/>
      </c>
      <c r="AK112" s="243" t="str">
        <f>iferror(IF(AI112="Ações Americanas", HLOOKUP(AH112,'Histórico'!$A$1:$DD$990,MATCH($B$6,'Histórico'!$A:$A),FALSE)*HLOOKUP("PTAX",'Histórico'!$A$1:$FG$983,MATCH($B$6,'Histórico'!$A:$A),FALSE),IF(AI112="Ações Europeias", HLOOKUP(AH112,'Histórico'!$A$1:$DD$990,MATCH($B$6,'Histórico'!$A:$A),FALSE)*HLOOKUP("EUR/BRL",'Histórico'!$A$1:$FG$983,MATCH($B$6,'Histórico'!$A:$A),FALSE),  HLOOKUP(AH112,'Histórico'!$A$1:$DD$990,MATCH($B$6,'Histórico'!$A:$A),FALSE))),"")</f>
        <v/>
      </c>
      <c r="AL112" s="243" t="str">
        <f t="shared" si="17"/>
        <v/>
      </c>
      <c r="AM112" s="53"/>
      <c r="AN112" s="245"/>
      <c r="AO112" s="242" t="str">
        <f>IF(ISTEXT(AN112),VLOOKUP(AN112,'Cadastro dos Ativos'!$A$2:$C$1000,3,0),"")</f>
        <v/>
      </c>
      <c r="AP112" s="242" t="str">
        <f>IF(AN112 &lt;&gt; "",IF(AO112="Futuros", (SUMIFS('Alocação'!$O$3:$O$1002,'Alocação'!$C$3:$C$1002,AN112,'Alocação'!$F$3:$F$1002,AN$9,'Alocação'!$B$3:$B$1002,"&lt;="&amp;$B$4)), (SUMIFS('Alocação'!$O$3:$O$1002,'Alocação'!$C$3:$C$1002,AN112,'Alocação'!$F$3:$F$1002,AN$9,'Alocação'!$B$3:$B$1002,"&lt;="&amp;$B$6))),"")</f>
        <v/>
      </c>
      <c r="AQ112" s="243" t="str">
        <f>iferror(IF(AO112="Ações Americanas", HLOOKUP(AN112,'Histórico'!$A$1:$DD$990,MATCH($B$6,'Histórico'!$A:$A),FALSE)*HLOOKUP("PTAX",'Histórico'!$A$1:$FG$983,MATCH($B$6,'Histórico'!$A:$A),FALSE),IF(AO112="Ações Europeias", HLOOKUP(AN112,'Histórico'!$A$1:$DD$990,MATCH($B$6,'Histórico'!$A:$A),FALSE)*HLOOKUP("EUR/BRL",'Histórico'!$A$1:$FG$983,MATCH($B$6,'Histórico'!$A:$A),FALSE),  HLOOKUP(AN112,'Histórico'!$A$1:$DD$990,MATCH($B$6,'Histórico'!$A:$A),FALSE))),"")</f>
        <v/>
      </c>
      <c r="AR112" s="243" t="str">
        <f t="shared" si="18"/>
        <v/>
      </c>
      <c r="AS112" s="53"/>
      <c r="AT112" s="245"/>
      <c r="AU112" s="242" t="str">
        <f>IF(ISTEXT(AT112),VLOOKUP(AT112,'Cadastro dos Ativos'!$A$2:$C$1000,3,0),"")</f>
        <v/>
      </c>
      <c r="AV112" s="242" t="str">
        <f>IF(AT112 &lt;&gt; "",IF(AU112="Futuros", (SUMIFS('Alocação'!$O$3:$O$1002,'Alocação'!$C$3:$C$1002,AT112,'Alocação'!$F$3:$F$1002,AT$9,'Alocação'!$B$3:$B$1002,"&lt;="&amp;$B$4)), (SUMIFS('Alocação'!$O$3:$O$1002,'Alocação'!$C$3:$C$1002,AT112,'Alocação'!$F$3:$F$1002,AT$9,'Alocação'!$B$3:$B$1002,"&lt;="&amp;$B$6))),"")</f>
        <v/>
      </c>
      <c r="AW112" s="243" t="str">
        <f>iferror(IF(AU112="Ações Americanas", HLOOKUP(AT112,'Histórico'!$A$1:$DD$990,MATCH($B$6,'Histórico'!$A:$A),FALSE)*HLOOKUP("PTAX",'Histórico'!$A$1:$FG$983,MATCH($B$6,'Histórico'!$A:$A),FALSE),IF(AU112="Ações Europeias", HLOOKUP(AT112,'Histórico'!$A$1:$DD$990,MATCH($B$6,'Histórico'!$A:$A),FALSE)*HLOOKUP("EUR/BRL",'Histórico'!$A$1:$FG$983,MATCH($B$6,'Histórico'!$A:$A),FALSE),  HLOOKUP(AT112,'Histórico'!$A$1:$DD$990,MATCH($B$6,'Histórico'!$A:$A),FALSE))),"")</f>
        <v/>
      </c>
      <c r="AX112" s="243" t="str">
        <f t="shared" si="27"/>
        <v/>
      </c>
      <c r="AY112" s="183"/>
    </row>
    <row r="113" ht="15.75" customHeight="1">
      <c r="A113" s="176"/>
      <c r="B113" s="232">
        <v>45154.0</v>
      </c>
      <c r="C113" s="246">
        <v>1.078930701857904E8</v>
      </c>
      <c r="D113" s="246">
        <v>1.1740203604925E8</v>
      </c>
      <c r="E113" s="247"/>
      <c r="F113" s="246">
        <v>1.111622205807187E8</v>
      </c>
      <c r="G113" s="246">
        <v>1.032542360276133E8</v>
      </c>
      <c r="H113" s="247"/>
      <c r="I113" s="246">
        <v>1.085276739514114E8</v>
      </c>
      <c r="J113" s="246">
        <v>8.651700018680364E7</v>
      </c>
      <c r="K113" s="247"/>
      <c r="L113" s="246">
        <v>1.034795156092392E8</v>
      </c>
      <c r="M113" s="246">
        <v>7.3657981041638E7</v>
      </c>
      <c r="N113" s="240">
        <f t="shared" si="9"/>
        <v>-0.000190655538</v>
      </c>
      <c r="O113" s="240">
        <f t="shared" si="10"/>
        <v>0.0002262665746</v>
      </c>
      <c r="P113" s="240">
        <f t="shared" si="11"/>
        <v>0.0005828932701</v>
      </c>
      <c r="Q113" s="240">
        <f t="shared" si="12"/>
        <v>-0.005984919699</v>
      </c>
      <c r="R113" s="236">
        <f t="shared" si="13"/>
        <v>105.1792372</v>
      </c>
      <c r="S113" s="177"/>
      <c r="T113" s="233">
        <f t="shared" ref="T113:U113" si="123">IF(AND(C113&lt;&gt;"",F113&lt;&gt;"",I113&lt;&gt;""), SUM(I113,F113,C113,L113),"")</f>
        <v>431062480.3</v>
      </c>
      <c r="U113" s="233">
        <f t="shared" si="123"/>
        <v>380831253.3</v>
      </c>
      <c r="V113" s="233">
        <f t="shared" si="6"/>
        <v>107.7656201</v>
      </c>
      <c r="W113" s="241">
        <f t="shared" si="15"/>
        <v>-0.001286439273</v>
      </c>
      <c r="X113" s="241">
        <f t="shared" si="16"/>
        <v>-0.005525821686</v>
      </c>
      <c r="Y113" s="241">
        <f t="shared" si="25"/>
        <v>0.001141208901</v>
      </c>
      <c r="Z113" s="233">
        <f t="shared" si="7"/>
        <v>105.1792372</v>
      </c>
      <c r="AA113" s="165"/>
      <c r="AB113" s="245"/>
      <c r="AC113" s="242" t="str">
        <f>IF(ISTEXT(AB113),VLOOKUP(AB113,'Cadastro dos Ativos'!$A$2:$C$1000,3,0),"")</f>
        <v/>
      </c>
      <c r="AD113" s="242" t="str">
        <f>IF(AB113 &lt;&gt; "",IF(AC113="Futuros", (SUMIFS('Alocação'!$O$3:$O$1002,'Alocação'!$C$3:$C$1002,AB113,'Alocação'!$F$3:$F$1002,AB$9,'Alocação'!$B$3:$B$1002,"&lt;="&amp;$B$4)), (SUMIFS('Alocação'!$O$3:$O$1002,'Alocação'!$C$3:$C$1002,AB113,'Alocação'!$F$3:$F$1002,AB$9,'Alocação'!$B$3:$B$1002,"&lt;="&amp;$B$6))),"")</f>
        <v/>
      </c>
      <c r="AE113" s="243" t="str">
        <f>iferror(IF(AC113="Ações Americanas", HLOOKUP(AB113,'Histórico'!$A$1:$DD$990,MATCH($B$6,'Histórico'!$A:$A),FALSE)*HLOOKUP("PTAX",'Histórico'!$A$1:$FG$983,MATCH($B$6,'Histórico'!$A:$A),FALSE),IF(AC113="Ações Europeias", HLOOKUP(AB113,'Histórico'!$A$1:$DD$990,MATCH($B$6,'Histórico'!$A:$A),FALSE)*HLOOKUP("EUR/BRL",'Histórico'!$A$1:$FG$983,MATCH($B$6,'Histórico'!$A:$A),FALSE), HLOOKUP(AB113,'Histórico'!$A$1:$DD$990,MATCH($B$6,'Histórico'!$A:$A),FALSE))),"")</f>
        <v/>
      </c>
      <c r="AF113" s="243" t="str">
        <f t="shared" si="21"/>
        <v/>
      </c>
      <c r="AG113" s="53"/>
      <c r="AH113" s="245"/>
      <c r="AI113" s="242" t="str">
        <f>IF(ISTEXT(AH113),VLOOKUP(AH113,'Cadastro dos Ativos'!$A$2:$C$1000,3,0),"")</f>
        <v/>
      </c>
      <c r="AJ113" s="242" t="str">
        <f>IF(AH113 &lt;&gt; "",IF(AI113="Futuros", (SUMIFS('Alocação'!$O$3:$O$1002,'Alocação'!$C$3:$C$1002,AH113,'Alocação'!$F$3:$F$1002,AH$9,'Alocação'!$B$3:$B$1002,"&lt;="&amp;$B$4)), (SUMIFS('Alocação'!$O$3:$O$1002,'Alocação'!$C$3:$C$1002,AH113,'Alocação'!$F$3:$F$1002,AH$9,'Alocação'!$B$3:$B$1002,"&lt;="&amp;$B$6))),"")</f>
        <v/>
      </c>
      <c r="AK113" s="243" t="str">
        <f>iferror(IF(AI113="Ações Americanas", HLOOKUP(AH113,'Histórico'!$A$1:$DD$990,MATCH($B$6,'Histórico'!$A:$A),FALSE)*HLOOKUP("PTAX",'Histórico'!$A$1:$FG$983,MATCH($B$6,'Histórico'!$A:$A),FALSE),IF(AI113="Ações Europeias", HLOOKUP(AH113,'Histórico'!$A$1:$DD$990,MATCH($B$6,'Histórico'!$A:$A),FALSE)*HLOOKUP("EUR/BRL",'Histórico'!$A$1:$FG$983,MATCH($B$6,'Histórico'!$A:$A),FALSE),  HLOOKUP(AH113,'Histórico'!$A$1:$DD$990,MATCH($B$6,'Histórico'!$A:$A),FALSE))),"")</f>
        <v/>
      </c>
      <c r="AL113" s="243" t="str">
        <f t="shared" si="17"/>
        <v/>
      </c>
      <c r="AM113" s="53"/>
      <c r="AN113" s="245"/>
      <c r="AO113" s="242" t="str">
        <f>IF(ISTEXT(AN113),VLOOKUP(AN113,'Cadastro dos Ativos'!$A$2:$C$1000,3,0),"")</f>
        <v/>
      </c>
      <c r="AP113" s="242" t="str">
        <f>IF(AN113 &lt;&gt; "",IF(AO113="Futuros", (SUMIFS('Alocação'!$O$3:$O$1002,'Alocação'!$C$3:$C$1002,AN113,'Alocação'!$F$3:$F$1002,AN$9,'Alocação'!$B$3:$B$1002,"&lt;="&amp;$B$4)), (SUMIFS('Alocação'!$O$3:$O$1002,'Alocação'!$C$3:$C$1002,AN113,'Alocação'!$F$3:$F$1002,AN$9,'Alocação'!$B$3:$B$1002,"&lt;="&amp;$B$6))),"")</f>
        <v/>
      </c>
      <c r="AQ113" s="243" t="str">
        <f>iferror(IF(AO113="Ações Americanas", HLOOKUP(AN113,'Histórico'!$A$1:$DD$990,MATCH($B$6,'Histórico'!$A:$A),FALSE)*HLOOKUP("PTAX",'Histórico'!$A$1:$FG$983,MATCH($B$6,'Histórico'!$A:$A),FALSE),IF(AO113="Ações Europeias", HLOOKUP(AN113,'Histórico'!$A$1:$DD$990,MATCH($B$6,'Histórico'!$A:$A),FALSE)*HLOOKUP("EUR/BRL",'Histórico'!$A$1:$FG$983,MATCH($B$6,'Histórico'!$A:$A),FALSE),  HLOOKUP(AN113,'Histórico'!$A$1:$DD$990,MATCH($B$6,'Histórico'!$A:$A),FALSE))),"")</f>
        <v/>
      </c>
      <c r="AR113" s="243" t="str">
        <f t="shared" si="18"/>
        <v/>
      </c>
      <c r="AS113" s="53"/>
      <c r="AT113" s="245"/>
      <c r="AU113" s="242" t="str">
        <f>IF(ISTEXT(AT113),VLOOKUP(AT113,'Cadastro dos Ativos'!$A$2:$C$1000,3,0),"")</f>
        <v/>
      </c>
      <c r="AV113" s="242" t="str">
        <f>IF(AT113 &lt;&gt; "",IF(AU113="Futuros", (SUMIFS('Alocação'!$O$3:$O$1002,'Alocação'!$C$3:$C$1002,AT113,'Alocação'!$F$3:$F$1002,AT$9,'Alocação'!$B$3:$B$1002,"&lt;="&amp;$B$4)), (SUMIFS('Alocação'!$O$3:$O$1002,'Alocação'!$C$3:$C$1002,AT113,'Alocação'!$F$3:$F$1002,AT$9,'Alocação'!$B$3:$B$1002,"&lt;="&amp;$B$6))),"")</f>
        <v/>
      </c>
      <c r="AW113" s="243" t="str">
        <f>iferror(IF(AU113="Ações Americanas", HLOOKUP(AT113,'Histórico'!$A$1:$DD$990,MATCH($B$6,'Histórico'!$A:$A),FALSE)*HLOOKUP("PTAX",'Histórico'!$A$1:$FG$983,MATCH($B$6,'Histórico'!$A:$A),FALSE),IF(AU113="Ações Europeias", HLOOKUP(AT113,'Histórico'!$A$1:$DD$990,MATCH($B$6,'Histórico'!$A:$A),FALSE)*HLOOKUP("EUR/BRL",'Histórico'!$A$1:$FG$983,MATCH($B$6,'Histórico'!$A:$A),FALSE),  HLOOKUP(AT113,'Histórico'!$A$1:$DD$990,MATCH($B$6,'Histórico'!$A:$A),FALSE))),"")</f>
        <v/>
      </c>
      <c r="AX113" s="243" t="str">
        <f t="shared" si="27"/>
        <v/>
      </c>
      <c r="AY113" s="183"/>
    </row>
    <row r="114" ht="15.75" customHeight="1">
      <c r="A114" s="176"/>
      <c r="B114" s="232">
        <v>45155.0</v>
      </c>
      <c r="C114" s="246">
        <v>1.080742414091548E8</v>
      </c>
      <c r="D114" s="246">
        <v>1.175398567810344E8</v>
      </c>
      <c r="E114" s="247"/>
      <c r="F114" s="246">
        <v>1.11155618782308E8</v>
      </c>
      <c r="G114" s="246">
        <v>1.032906339497198E8</v>
      </c>
      <c r="H114" s="247"/>
      <c r="I114" s="246">
        <v>1.084618692168329E8</v>
      </c>
      <c r="J114" s="246">
        <v>8.655301332891455E7</v>
      </c>
      <c r="K114" s="247"/>
      <c r="L114" s="246">
        <v>1.032635716731425E8</v>
      </c>
      <c r="M114" s="246">
        <v>7.368798676960096E7</v>
      </c>
      <c r="N114" s="240">
        <f t="shared" si="9"/>
        <v>0.001679173862</v>
      </c>
      <c r="O114" s="240">
        <f t="shared" si="10"/>
        <v>-0.00005938886769</v>
      </c>
      <c r="P114" s="240">
        <f t="shared" si="11"/>
        <v>-0.0006063405967</v>
      </c>
      <c r="Q114" s="240">
        <f t="shared" si="12"/>
        <v>-0.00208682786</v>
      </c>
      <c r="R114" s="236">
        <f t="shared" si="13"/>
        <v>105.230814</v>
      </c>
      <c r="S114" s="177"/>
      <c r="T114" s="233">
        <f t="shared" ref="T114:U114" si="124">IF(AND(C114&lt;&gt;"",F114&lt;&gt;"",I114&lt;&gt;""), SUM(I114,F114,C114,L114),"")</f>
        <v>430955301.1</v>
      </c>
      <c r="U114" s="233">
        <f t="shared" si="124"/>
        <v>381071490.8</v>
      </c>
      <c r="V114" s="233">
        <f t="shared" si="6"/>
        <v>107.7388253</v>
      </c>
      <c r="W114" s="241">
        <f t="shared" si="15"/>
        <v>-0.0002486396998</v>
      </c>
      <c r="X114" s="241">
        <f t="shared" si="16"/>
        <v>-0.005773087447</v>
      </c>
      <c r="Y114" s="241">
        <f t="shared" si="25"/>
        <v>0.0006056063928</v>
      </c>
      <c r="Z114" s="233">
        <f t="shared" si="7"/>
        <v>105.230814</v>
      </c>
      <c r="AA114" s="165"/>
      <c r="AB114" s="245"/>
      <c r="AC114" s="242" t="str">
        <f>IF(ISTEXT(AB114),VLOOKUP(AB114,'Cadastro dos Ativos'!$A$2:$C$1000,3,0),"")</f>
        <v/>
      </c>
      <c r="AD114" s="242" t="str">
        <f>IF(AB114 &lt;&gt; "",IF(AC114="Futuros", (SUMIFS('Alocação'!$O$3:$O$1002,'Alocação'!$C$3:$C$1002,AB114,'Alocação'!$F$3:$F$1002,AB$9,'Alocação'!$B$3:$B$1002,"&lt;="&amp;$B$4)), (SUMIFS('Alocação'!$O$3:$O$1002,'Alocação'!$C$3:$C$1002,AB114,'Alocação'!$F$3:$F$1002,AB$9,'Alocação'!$B$3:$B$1002,"&lt;="&amp;$B$6))),"")</f>
        <v/>
      </c>
      <c r="AE114" s="243" t="str">
        <f>iferror(IF(AC114="Ações Americanas", HLOOKUP(AB114,'Histórico'!$A$1:$DD$990,MATCH($B$6,'Histórico'!$A:$A),FALSE)*HLOOKUP("PTAX",'Histórico'!$A$1:$FG$983,MATCH($B$6,'Histórico'!$A:$A),FALSE),IF(AC114="Ações Europeias", HLOOKUP(AB114,'Histórico'!$A$1:$DD$990,MATCH($B$6,'Histórico'!$A:$A),FALSE)*HLOOKUP("EUR/BRL",'Histórico'!$A$1:$FG$983,MATCH($B$6,'Histórico'!$A:$A),FALSE), HLOOKUP(AB114,'Histórico'!$A$1:$DD$990,MATCH($B$6,'Histórico'!$A:$A),FALSE))),"")</f>
        <v/>
      </c>
      <c r="AF114" s="243" t="str">
        <f t="shared" si="21"/>
        <v/>
      </c>
      <c r="AG114" s="53"/>
      <c r="AH114" s="245"/>
      <c r="AI114" s="242" t="str">
        <f>IF(ISTEXT(AH114),VLOOKUP(AH114,'Cadastro dos Ativos'!$A$2:$C$1000,3,0),"")</f>
        <v/>
      </c>
      <c r="AJ114" s="242" t="str">
        <f>IF(AH114 &lt;&gt; "",IF(AI114="Futuros", (SUMIFS('Alocação'!$O$3:$O$1002,'Alocação'!$C$3:$C$1002,AH114,'Alocação'!$F$3:$F$1002,AH$9,'Alocação'!$B$3:$B$1002,"&lt;="&amp;$B$4)), (SUMIFS('Alocação'!$O$3:$O$1002,'Alocação'!$C$3:$C$1002,AH114,'Alocação'!$F$3:$F$1002,AH$9,'Alocação'!$B$3:$B$1002,"&lt;="&amp;$B$6))),"")</f>
        <v/>
      </c>
      <c r="AK114" s="243" t="str">
        <f>iferror(IF(AI114="Ações Americanas", HLOOKUP(AH114,'Histórico'!$A$1:$DD$990,MATCH($B$6,'Histórico'!$A:$A),FALSE)*HLOOKUP("PTAX",'Histórico'!$A$1:$FG$983,MATCH($B$6,'Histórico'!$A:$A),FALSE),IF(AI114="Ações Europeias", HLOOKUP(AH114,'Histórico'!$A$1:$DD$990,MATCH($B$6,'Histórico'!$A:$A),FALSE)*HLOOKUP("EUR/BRL",'Histórico'!$A$1:$FG$983,MATCH($B$6,'Histórico'!$A:$A),FALSE),  HLOOKUP(AH114,'Histórico'!$A$1:$DD$990,MATCH($B$6,'Histórico'!$A:$A),FALSE))),"")</f>
        <v/>
      </c>
      <c r="AL114" s="243" t="str">
        <f t="shared" si="17"/>
        <v/>
      </c>
      <c r="AM114" s="53"/>
      <c r="AN114" s="245"/>
      <c r="AO114" s="242" t="str">
        <f>IF(ISTEXT(AN114),VLOOKUP(AN114,'Cadastro dos Ativos'!$A$2:$C$1000,3,0),"")</f>
        <v/>
      </c>
      <c r="AP114" s="242" t="str">
        <f>IF(AN114 &lt;&gt; "",IF(AO114="Futuros", (SUMIFS('Alocação'!$O$3:$O$1002,'Alocação'!$C$3:$C$1002,AN114,'Alocação'!$F$3:$F$1002,AN$9,'Alocação'!$B$3:$B$1002,"&lt;="&amp;$B$4)), (SUMIFS('Alocação'!$O$3:$O$1002,'Alocação'!$C$3:$C$1002,AN114,'Alocação'!$F$3:$F$1002,AN$9,'Alocação'!$B$3:$B$1002,"&lt;="&amp;$B$6))),"")</f>
        <v/>
      </c>
      <c r="AQ114" s="243" t="str">
        <f>iferror(IF(AO114="Ações Americanas", HLOOKUP(AN114,'Histórico'!$A$1:$DD$990,MATCH($B$6,'Histórico'!$A:$A),FALSE)*HLOOKUP("PTAX",'Histórico'!$A$1:$FG$983,MATCH($B$6,'Histórico'!$A:$A),FALSE),IF(AO114="Ações Europeias", HLOOKUP(AN114,'Histórico'!$A$1:$DD$990,MATCH($B$6,'Histórico'!$A:$A),FALSE)*HLOOKUP("EUR/BRL",'Histórico'!$A$1:$FG$983,MATCH($B$6,'Histórico'!$A:$A),FALSE),  HLOOKUP(AN114,'Histórico'!$A$1:$DD$990,MATCH($B$6,'Histórico'!$A:$A),FALSE))),"")</f>
        <v/>
      </c>
      <c r="AR114" s="243" t="str">
        <f t="shared" si="18"/>
        <v/>
      </c>
      <c r="AS114" s="53"/>
      <c r="AT114" s="245"/>
      <c r="AU114" s="242" t="str">
        <f>IF(ISTEXT(AT114),VLOOKUP(AT114,'Cadastro dos Ativos'!$A$2:$C$1000,3,0),"")</f>
        <v/>
      </c>
      <c r="AV114" s="242" t="str">
        <f>IF(AT114 &lt;&gt; "",IF(AU114="Futuros", (SUMIFS('Alocação'!$O$3:$O$1002,'Alocação'!$C$3:$C$1002,AT114,'Alocação'!$F$3:$F$1002,AT$9,'Alocação'!$B$3:$B$1002,"&lt;="&amp;$B$4)), (SUMIFS('Alocação'!$O$3:$O$1002,'Alocação'!$C$3:$C$1002,AT114,'Alocação'!$F$3:$F$1002,AT$9,'Alocação'!$B$3:$B$1002,"&lt;="&amp;$B$6))),"")</f>
        <v/>
      </c>
      <c r="AW114" s="243" t="str">
        <f>iferror(IF(AU114="Ações Americanas", HLOOKUP(AT114,'Histórico'!$A$1:$DD$990,MATCH($B$6,'Histórico'!$A:$A),FALSE)*HLOOKUP("PTAX",'Histórico'!$A$1:$FG$983,MATCH($B$6,'Histórico'!$A:$A),FALSE),IF(AU114="Ações Europeias", HLOOKUP(AT114,'Histórico'!$A$1:$DD$990,MATCH($B$6,'Histórico'!$A:$A),FALSE)*HLOOKUP("EUR/BRL",'Histórico'!$A$1:$FG$983,MATCH($B$6,'Histórico'!$A:$A),FALSE),  HLOOKUP(AT114,'Histórico'!$A$1:$DD$990,MATCH($B$6,'Histórico'!$A:$A),FALSE))),"")</f>
        <v/>
      </c>
      <c r="AX114" s="243" t="str">
        <f t="shared" si="27"/>
        <v/>
      </c>
      <c r="AY114" s="183"/>
    </row>
    <row r="115" ht="15.75" customHeight="1">
      <c r="A115" s="176"/>
      <c r="B115" s="232">
        <v>45156.0</v>
      </c>
      <c r="C115" s="246">
        <v>1.078440199911332E8</v>
      </c>
      <c r="D115" s="246">
        <v>1.173385356417336E8</v>
      </c>
      <c r="E115" s="247"/>
      <c r="F115" s="246">
        <v>1.112202010139561E8</v>
      </c>
      <c r="G115" s="246">
        <v>1.033442167103329E8</v>
      </c>
      <c r="H115" s="247"/>
      <c r="I115" s="246">
        <v>1.084283659399599E8</v>
      </c>
      <c r="J115" s="246">
        <v>8.65890480187667E7</v>
      </c>
      <c r="K115" s="247"/>
      <c r="L115" s="246">
        <v>1.035390042452181E8</v>
      </c>
      <c r="M115" s="246">
        <v>7.371801997020513E7</v>
      </c>
      <c r="N115" s="240">
        <f t="shared" si="9"/>
        <v>-0.002130215443</v>
      </c>
      <c r="O115" s="240">
        <f t="shared" si="10"/>
        <v>0.0005810073513</v>
      </c>
      <c r="P115" s="240">
        <f t="shared" si="11"/>
        <v>-0.0003088945186</v>
      </c>
      <c r="Q115" s="240">
        <f t="shared" si="12"/>
        <v>0.002667277217</v>
      </c>
      <c r="R115" s="236">
        <f t="shared" si="13"/>
        <v>105.282416</v>
      </c>
      <c r="S115" s="177"/>
      <c r="T115" s="233">
        <f t="shared" ref="T115:U115" si="125">IF(AND(C115&lt;&gt;"",F115&lt;&gt;"",I115&lt;&gt;""), SUM(I115,F115,C115,L115),"")</f>
        <v>431031591.2</v>
      </c>
      <c r="U115" s="233">
        <f t="shared" si="125"/>
        <v>380989820.3</v>
      </c>
      <c r="V115" s="233">
        <f t="shared" si="6"/>
        <v>107.7578978</v>
      </c>
      <c r="W115" s="241">
        <f t="shared" si="15"/>
        <v>0.0001770255723</v>
      </c>
      <c r="X115" s="241">
        <f t="shared" si="16"/>
        <v>-0.005597083859</v>
      </c>
      <c r="Y115" s="241">
        <f t="shared" si="25"/>
        <v>0.0006609616596</v>
      </c>
      <c r="Z115" s="233">
        <f t="shared" si="7"/>
        <v>105.282416</v>
      </c>
      <c r="AA115" s="165"/>
      <c r="AB115" s="245"/>
      <c r="AC115" s="242" t="str">
        <f>IF(ISTEXT(AB115),VLOOKUP(AB115,'Cadastro dos Ativos'!$A$2:$C$1000,3,0),"")</f>
        <v/>
      </c>
      <c r="AD115" s="242" t="str">
        <f>IF(AB115 &lt;&gt; "",IF(AC115="Futuros", (SUMIFS('Alocação'!$O$3:$O$1002,'Alocação'!$C$3:$C$1002,AB115,'Alocação'!$F$3:$F$1002,AB$9,'Alocação'!$B$3:$B$1002,"&lt;="&amp;$B$4)), (SUMIFS('Alocação'!$O$3:$O$1002,'Alocação'!$C$3:$C$1002,AB115,'Alocação'!$F$3:$F$1002,AB$9,'Alocação'!$B$3:$B$1002,"&lt;="&amp;$B$6))),"")</f>
        <v/>
      </c>
      <c r="AE115" s="243" t="str">
        <f>iferror(IF(AC115="Ações Americanas", HLOOKUP(AB115,'Histórico'!$A$1:$DD$990,MATCH($B$6,'Histórico'!$A:$A),FALSE)*HLOOKUP("PTAX",'Histórico'!$A$1:$FG$983,MATCH($B$6,'Histórico'!$A:$A),FALSE),IF(AC115="Ações Europeias", HLOOKUP(AB115,'Histórico'!$A$1:$DD$990,MATCH($B$6,'Histórico'!$A:$A),FALSE)*HLOOKUP("EUR/BRL",'Histórico'!$A$1:$FG$983,MATCH($B$6,'Histórico'!$A:$A),FALSE), HLOOKUP(AB115,'Histórico'!$A$1:$DD$990,MATCH($B$6,'Histórico'!$A:$A),FALSE))),"")</f>
        <v/>
      </c>
      <c r="AF115" s="243" t="str">
        <f t="shared" si="21"/>
        <v/>
      </c>
      <c r="AG115" s="53"/>
      <c r="AH115" s="245"/>
      <c r="AI115" s="242" t="str">
        <f>IF(ISTEXT(AH115),VLOOKUP(AH115,'Cadastro dos Ativos'!$A$2:$C$1000,3,0),"")</f>
        <v/>
      </c>
      <c r="AJ115" s="242" t="str">
        <f>IF(AH115 &lt;&gt; "",IF(AI115="Futuros", (SUMIFS('Alocação'!$O$3:$O$1002,'Alocação'!$C$3:$C$1002,AH115,'Alocação'!$F$3:$F$1002,AH$9,'Alocação'!$B$3:$B$1002,"&lt;="&amp;$B$4)), (SUMIFS('Alocação'!$O$3:$O$1002,'Alocação'!$C$3:$C$1002,AH115,'Alocação'!$F$3:$F$1002,AH$9,'Alocação'!$B$3:$B$1002,"&lt;="&amp;$B$6))),"")</f>
        <v/>
      </c>
      <c r="AK115" s="243" t="str">
        <f>iferror(IF(AI115="Ações Americanas", HLOOKUP(AH115,'Histórico'!$A$1:$DD$990,MATCH($B$6,'Histórico'!$A:$A),FALSE)*HLOOKUP("PTAX",'Histórico'!$A$1:$FG$983,MATCH($B$6,'Histórico'!$A:$A),FALSE),IF(AI115="Ações Europeias", HLOOKUP(AH115,'Histórico'!$A$1:$DD$990,MATCH($B$6,'Histórico'!$A:$A),FALSE)*HLOOKUP("EUR/BRL",'Histórico'!$A$1:$FG$983,MATCH($B$6,'Histórico'!$A:$A),FALSE),  HLOOKUP(AH115,'Histórico'!$A$1:$DD$990,MATCH($B$6,'Histórico'!$A:$A),FALSE))),"")</f>
        <v/>
      </c>
      <c r="AL115" s="243" t="str">
        <f t="shared" si="17"/>
        <v/>
      </c>
      <c r="AM115" s="53"/>
      <c r="AN115" s="245"/>
      <c r="AO115" s="242" t="str">
        <f>IF(ISTEXT(AN115),VLOOKUP(AN115,'Cadastro dos Ativos'!$A$2:$C$1000,3,0),"")</f>
        <v/>
      </c>
      <c r="AP115" s="242" t="str">
        <f>IF(AN115 &lt;&gt; "",IF(AO115="Futuros", (SUMIFS('Alocação'!$O$3:$O$1002,'Alocação'!$C$3:$C$1002,AN115,'Alocação'!$F$3:$F$1002,AN$9,'Alocação'!$B$3:$B$1002,"&lt;="&amp;$B$4)), (SUMIFS('Alocação'!$O$3:$O$1002,'Alocação'!$C$3:$C$1002,AN115,'Alocação'!$F$3:$F$1002,AN$9,'Alocação'!$B$3:$B$1002,"&lt;="&amp;$B$6))),"")</f>
        <v/>
      </c>
      <c r="AQ115" s="243" t="str">
        <f>iferror(IF(AO115="Ações Americanas", HLOOKUP(AN115,'Histórico'!$A$1:$DD$990,MATCH($B$6,'Histórico'!$A:$A),FALSE)*HLOOKUP("PTAX",'Histórico'!$A$1:$FG$983,MATCH($B$6,'Histórico'!$A:$A),FALSE),IF(AO115="Ações Europeias", HLOOKUP(AN115,'Histórico'!$A$1:$DD$990,MATCH($B$6,'Histórico'!$A:$A),FALSE)*HLOOKUP("EUR/BRL",'Histórico'!$A$1:$FG$983,MATCH($B$6,'Histórico'!$A:$A),FALSE),  HLOOKUP(AN115,'Histórico'!$A$1:$DD$990,MATCH($B$6,'Histórico'!$A:$A),FALSE))),"")</f>
        <v/>
      </c>
      <c r="AR115" s="243" t="str">
        <f t="shared" si="18"/>
        <v/>
      </c>
      <c r="AS115" s="53"/>
      <c r="AT115" s="245"/>
      <c r="AU115" s="242" t="str">
        <f>IF(ISTEXT(AT115),VLOOKUP(AT115,'Cadastro dos Ativos'!$A$2:$C$1000,3,0),"")</f>
        <v/>
      </c>
      <c r="AV115" s="242" t="str">
        <f>IF(AT115 &lt;&gt; "",IF(AU115="Futuros", (SUMIFS('Alocação'!$O$3:$O$1002,'Alocação'!$C$3:$C$1002,AT115,'Alocação'!$F$3:$F$1002,AT$9,'Alocação'!$B$3:$B$1002,"&lt;="&amp;$B$4)), (SUMIFS('Alocação'!$O$3:$O$1002,'Alocação'!$C$3:$C$1002,AT115,'Alocação'!$F$3:$F$1002,AT$9,'Alocação'!$B$3:$B$1002,"&lt;="&amp;$B$6))),"")</f>
        <v/>
      </c>
      <c r="AW115" s="243" t="str">
        <f>iferror(IF(AU115="Ações Americanas", HLOOKUP(AT115,'Histórico'!$A$1:$DD$990,MATCH($B$6,'Histórico'!$A:$A),FALSE)*HLOOKUP("PTAX",'Histórico'!$A$1:$FG$983,MATCH($B$6,'Histórico'!$A:$A),FALSE),IF(AU115="Ações Europeias", HLOOKUP(AT115,'Histórico'!$A$1:$DD$990,MATCH($B$6,'Histórico'!$A:$A),FALSE)*HLOOKUP("EUR/BRL",'Histórico'!$A$1:$FG$983,MATCH($B$6,'Histórico'!$A:$A),FALSE),  HLOOKUP(AT115,'Histórico'!$A$1:$DD$990,MATCH($B$6,'Histórico'!$A:$A),FALSE))),"")</f>
        <v/>
      </c>
      <c r="AX115" s="243" t="str">
        <f t="shared" si="27"/>
        <v/>
      </c>
      <c r="AY115" s="183"/>
    </row>
    <row r="116" ht="15.75" customHeight="1">
      <c r="A116" s="176"/>
      <c r="B116" s="232">
        <v>45159.0</v>
      </c>
      <c r="C116" s="246">
        <v>1.080687023650629E8</v>
      </c>
      <c r="D116" s="246">
        <v>1.174858681328823E8</v>
      </c>
      <c r="E116" s="247"/>
      <c r="F116" s="246">
        <v>1.112457186743669E8</v>
      </c>
      <c r="G116" s="246">
        <v>1.034117347305775E8</v>
      </c>
      <c r="H116" s="247"/>
      <c r="I116" s="246">
        <v>1.082629124151293E8</v>
      </c>
      <c r="J116" s="246">
        <v>8.662510235844195E7</v>
      </c>
      <c r="K116" s="247"/>
      <c r="L116" s="246">
        <v>1.03859736068936E8</v>
      </c>
      <c r="M116" s="246">
        <v>7.374805162465821E7</v>
      </c>
      <c r="N116" s="240">
        <f t="shared" si="9"/>
        <v>0.002083401323</v>
      </c>
      <c r="O116" s="240">
        <f t="shared" si="10"/>
        <v>0.0002294336836</v>
      </c>
      <c r="P116" s="240">
        <f t="shared" si="11"/>
        <v>-0.001525924728</v>
      </c>
      <c r="Q116" s="240">
        <f t="shared" si="12"/>
        <v>0.003097690827</v>
      </c>
      <c r="R116" s="236">
        <f t="shared" si="13"/>
        <v>105.3340434</v>
      </c>
      <c r="S116" s="177"/>
      <c r="T116" s="233">
        <f t="shared" ref="T116:U116" si="126">IF(AND(C116&lt;&gt;"",F116&lt;&gt;"",I116&lt;&gt;""), SUM(I116,F116,C116,L116),"")</f>
        <v>431437069.5</v>
      </c>
      <c r="U116" s="233">
        <f t="shared" si="126"/>
        <v>381270756.8</v>
      </c>
      <c r="V116" s="233">
        <f t="shared" si="6"/>
        <v>107.8592674</v>
      </c>
      <c r="W116" s="241">
        <f t="shared" si="15"/>
        <v>0.0009407160438</v>
      </c>
      <c r="X116" s="241">
        <f t="shared" si="16"/>
        <v>-0.004661633081</v>
      </c>
      <c r="Y116" s="241">
        <f t="shared" si="25"/>
        <v>0.0008292820226</v>
      </c>
      <c r="Z116" s="233">
        <f t="shared" si="7"/>
        <v>105.3340434</v>
      </c>
      <c r="AA116" s="165"/>
      <c r="AB116" s="245"/>
      <c r="AC116" s="242" t="str">
        <f>IF(ISTEXT(AB116),VLOOKUP(AB116,'Cadastro dos Ativos'!$A$2:$C$1000,3,0),"")</f>
        <v/>
      </c>
      <c r="AD116" s="242" t="str">
        <f>IF(AB116 &lt;&gt; "",IF(AC116="Futuros", (SUMIFS('Alocação'!$O$3:$O$1002,'Alocação'!$C$3:$C$1002,AB116,'Alocação'!$F$3:$F$1002,AB$9,'Alocação'!$B$3:$B$1002,"&lt;="&amp;$B$4)), (SUMIFS('Alocação'!$O$3:$O$1002,'Alocação'!$C$3:$C$1002,AB116,'Alocação'!$F$3:$F$1002,AB$9,'Alocação'!$B$3:$B$1002,"&lt;="&amp;$B$6))),"")</f>
        <v/>
      </c>
      <c r="AE116" s="243" t="str">
        <f>iferror(IF(AC116="Ações Americanas", HLOOKUP(AB116,'Histórico'!$A$1:$DD$990,MATCH($B$6,'Histórico'!$A:$A),FALSE)*HLOOKUP("PTAX",'Histórico'!$A$1:$FG$983,MATCH($B$6,'Histórico'!$A:$A),FALSE),IF(AC116="Ações Europeias", HLOOKUP(AB116,'Histórico'!$A$1:$DD$990,MATCH($B$6,'Histórico'!$A:$A),FALSE)*HLOOKUP("EUR/BRL",'Histórico'!$A$1:$FG$983,MATCH($B$6,'Histórico'!$A:$A),FALSE), HLOOKUP(AB116,'Histórico'!$A$1:$DD$990,MATCH($B$6,'Histórico'!$A:$A),FALSE))),"")</f>
        <v/>
      </c>
      <c r="AF116" s="243" t="str">
        <f t="shared" si="21"/>
        <v/>
      </c>
      <c r="AG116" s="53"/>
      <c r="AH116" s="245"/>
      <c r="AI116" s="242" t="str">
        <f>IF(ISTEXT(AH116),VLOOKUP(AH116,'Cadastro dos Ativos'!$A$2:$C$1000,3,0),"")</f>
        <v/>
      </c>
      <c r="AJ116" s="242" t="str">
        <f>IF(AH116 &lt;&gt; "",IF(AI116="Futuros", (SUMIFS('Alocação'!$O$3:$O$1002,'Alocação'!$C$3:$C$1002,AH116,'Alocação'!$F$3:$F$1002,AH$9,'Alocação'!$B$3:$B$1002,"&lt;="&amp;$B$4)), (SUMIFS('Alocação'!$O$3:$O$1002,'Alocação'!$C$3:$C$1002,AH116,'Alocação'!$F$3:$F$1002,AH$9,'Alocação'!$B$3:$B$1002,"&lt;="&amp;$B$6))),"")</f>
        <v/>
      </c>
      <c r="AK116" s="243" t="str">
        <f>iferror(IF(AI116="Ações Americanas", HLOOKUP(AH116,'Histórico'!$A$1:$DD$990,MATCH($B$6,'Histórico'!$A:$A),FALSE)*HLOOKUP("PTAX",'Histórico'!$A$1:$FG$983,MATCH($B$6,'Histórico'!$A:$A),FALSE),IF(AI116="Ações Europeias", HLOOKUP(AH116,'Histórico'!$A$1:$DD$990,MATCH($B$6,'Histórico'!$A:$A),FALSE)*HLOOKUP("EUR/BRL",'Histórico'!$A$1:$FG$983,MATCH($B$6,'Histórico'!$A:$A),FALSE),  HLOOKUP(AH116,'Histórico'!$A$1:$DD$990,MATCH($B$6,'Histórico'!$A:$A),FALSE))),"")</f>
        <v/>
      </c>
      <c r="AL116" s="243" t="str">
        <f t="shared" si="17"/>
        <v/>
      </c>
      <c r="AM116" s="53"/>
      <c r="AN116" s="245"/>
      <c r="AO116" s="242" t="str">
        <f>IF(ISTEXT(AN116),VLOOKUP(AN116,'Cadastro dos Ativos'!$A$2:$C$1000,3,0),"")</f>
        <v/>
      </c>
      <c r="AP116" s="242" t="str">
        <f>IF(AN116 &lt;&gt; "",IF(AO116="Futuros", (SUMIFS('Alocação'!$O$3:$O$1002,'Alocação'!$C$3:$C$1002,AN116,'Alocação'!$F$3:$F$1002,AN$9,'Alocação'!$B$3:$B$1002,"&lt;="&amp;$B$4)), (SUMIFS('Alocação'!$O$3:$O$1002,'Alocação'!$C$3:$C$1002,AN116,'Alocação'!$F$3:$F$1002,AN$9,'Alocação'!$B$3:$B$1002,"&lt;="&amp;$B$6))),"")</f>
        <v/>
      </c>
      <c r="AQ116" s="243" t="str">
        <f>iferror(IF(AO116="Ações Americanas", HLOOKUP(AN116,'Histórico'!$A$1:$DD$990,MATCH($B$6,'Histórico'!$A:$A),FALSE)*HLOOKUP("PTAX",'Histórico'!$A$1:$FG$983,MATCH($B$6,'Histórico'!$A:$A),FALSE),IF(AO116="Ações Europeias", HLOOKUP(AN116,'Histórico'!$A$1:$DD$990,MATCH($B$6,'Histórico'!$A:$A),FALSE)*HLOOKUP("EUR/BRL",'Histórico'!$A$1:$FG$983,MATCH($B$6,'Histórico'!$A:$A),FALSE),  HLOOKUP(AN116,'Histórico'!$A$1:$DD$990,MATCH($B$6,'Histórico'!$A:$A),FALSE))),"")</f>
        <v/>
      </c>
      <c r="AR116" s="243" t="str">
        <f t="shared" si="18"/>
        <v/>
      </c>
      <c r="AS116" s="53"/>
      <c r="AT116" s="245"/>
      <c r="AU116" s="242" t="str">
        <f>IF(ISTEXT(AT116),VLOOKUP(AT116,'Cadastro dos Ativos'!$A$2:$C$1000,3,0),"")</f>
        <v/>
      </c>
      <c r="AV116" s="242" t="str">
        <f>IF(AT116 &lt;&gt; "",IF(AU116="Futuros", (SUMIFS('Alocação'!$O$3:$O$1002,'Alocação'!$C$3:$C$1002,AT116,'Alocação'!$F$3:$F$1002,AT$9,'Alocação'!$B$3:$B$1002,"&lt;="&amp;$B$4)), (SUMIFS('Alocação'!$O$3:$O$1002,'Alocação'!$C$3:$C$1002,AT116,'Alocação'!$F$3:$F$1002,AT$9,'Alocação'!$B$3:$B$1002,"&lt;="&amp;$B$6))),"")</f>
        <v/>
      </c>
      <c r="AW116" s="243" t="str">
        <f>iferror(IF(AU116="Ações Americanas", HLOOKUP(AT116,'Histórico'!$A$1:$DD$990,MATCH($B$6,'Histórico'!$A:$A),FALSE)*HLOOKUP("PTAX",'Histórico'!$A$1:$FG$983,MATCH($B$6,'Histórico'!$A:$A),FALSE),IF(AU116="Ações Europeias", HLOOKUP(AT116,'Histórico'!$A$1:$DD$990,MATCH($B$6,'Histórico'!$A:$A),FALSE)*HLOOKUP("EUR/BRL",'Histórico'!$A$1:$FG$983,MATCH($B$6,'Histórico'!$A:$A),FALSE),  HLOOKUP(AT116,'Histórico'!$A$1:$DD$990,MATCH($B$6,'Histórico'!$A:$A),FALSE))),"")</f>
        <v/>
      </c>
      <c r="AX116" s="243" t="str">
        <f t="shared" si="27"/>
        <v/>
      </c>
      <c r="AY116" s="183"/>
    </row>
    <row r="117" ht="15.75" customHeight="1">
      <c r="A117" s="176"/>
      <c r="B117" s="232">
        <v>45160.0</v>
      </c>
      <c r="C117" s="246">
        <v>1.074415757751549E8</v>
      </c>
      <c r="D117" s="246">
        <v>1.169964420964345E8</v>
      </c>
      <c r="E117" s="247"/>
      <c r="F117" s="246">
        <v>1.113405870673015E8</v>
      </c>
      <c r="G117" s="246">
        <v>1.034026033519599E8</v>
      </c>
      <c r="H117" s="247"/>
      <c r="I117" s="246">
        <v>1.083089124293564E8</v>
      </c>
      <c r="J117" s="246">
        <v>8.666118415366384E7</v>
      </c>
      <c r="K117" s="247"/>
      <c r="L117" s="246">
        <v>1.039868131983495E8</v>
      </c>
      <c r="M117" s="246">
        <v>7.377807905576186E7</v>
      </c>
      <c r="N117" s="240">
        <f t="shared" si="9"/>
        <v>-0.005803036181</v>
      </c>
      <c r="O117" s="240">
        <f t="shared" si="10"/>
        <v>0.0008527824177</v>
      </c>
      <c r="P117" s="240">
        <f t="shared" si="11"/>
        <v>0.0004248917122</v>
      </c>
      <c r="Q117" s="240">
        <f t="shared" si="12"/>
        <v>0.001223545661</v>
      </c>
      <c r="R117" s="236">
        <f t="shared" si="13"/>
        <v>105.385696</v>
      </c>
      <c r="S117" s="177"/>
      <c r="T117" s="233">
        <f t="shared" ref="T117:U117" si="127">IF(AND(C117&lt;&gt;"",F117&lt;&gt;"",I117&lt;&gt;""), SUM(I117,F117,C117,L117),"")</f>
        <v>431077888.5</v>
      </c>
      <c r="U117" s="233">
        <f t="shared" si="127"/>
        <v>380838308.7</v>
      </c>
      <c r="V117" s="233">
        <f t="shared" si="6"/>
        <v>107.7694721</v>
      </c>
      <c r="W117" s="241">
        <f t="shared" si="15"/>
        <v>-0.0008325224667</v>
      </c>
      <c r="X117" s="241">
        <f t="shared" si="16"/>
        <v>-0.005490274634</v>
      </c>
      <c r="Y117" s="241">
        <f t="shared" si="25"/>
        <v>0.0008680000249</v>
      </c>
      <c r="Z117" s="233">
        <f t="shared" si="7"/>
        <v>105.385696</v>
      </c>
      <c r="AA117" s="165"/>
      <c r="AB117" s="245"/>
      <c r="AC117" s="242" t="str">
        <f>IF(ISTEXT(AB117),VLOOKUP(AB117,'Cadastro dos Ativos'!$A$2:$C$1000,3,0),"")</f>
        <v/>
      </c>
      <c r="AD117" s="242" t="str">
        <f>IF(AB117 &lt;&gt; "",IF(AC117="Futuros", (SUMIFS('Alocação'!$O$3:$O$1002,'Alocação'!$C$3:$C$1002,AB117,'Alocação'!$F$3:$F$1002,AB$9,'Alocação'!$B$3:$B$1002,"&lt;="&amp;$B$4)), (SUMIFS('Alocação'!$O$3:$O$1002,'Alocação'!$C$3:$C$1002,AB117,'Alocação'!$F$3:$F$1002,AB$9,'Alocação'!$B$3:$B$1002,"&lt;="&amp;$B$6))),"")</f>
        <v/>
      </c>
      <c r="AE117" s="243" t="str">
        <f>iferror(IF(AC117="Ações Americanas", HLOOKUP(AB117,'Histórico'!$A$1:$DD$990,MATCH($B$6,'Histórico'!$A:$A),FALSE)*HLOOKUP("PTAX",'Histórico'!$A$1:$FG$983,MATCH($B$6,'Histórico'!$A:$A),FALSE),IF(AC117="Ações Europeias", HLOOKUP(AB117,'Histórico'!$A$1:$DD$990,MATCH($B$6,'Histórico'!$A:$A),FALSE)*HLOOKUP("EUR/BRL",'Histórico'!$A$1:$FG$983,MATCH($B$6,'Histórico'!$A:$A),FALSE), HLOOKUP(AB117,'Histórico'!$A$1:$DD$990,MATCH($B$6,'Histórico'!$A:$A),FALSE))),"")</f>
        <v/>
      </c>
      <c r="AF117" s="243" t="str">
        <f t="shared" si="21"/>
        <v/>
      </c>
      <c r="AG117" s="53"/>
      <c r="AH117" s="245"/>
      <c r="AI117" s="242" t="str">
        <f>IF(ISTEXT(AH117),VLOOKUP(AH117,'Cadastro dos Ativos'!$A$2:$C$1000,3,0),"")</f>
        <v/>
      </c>
      <c r="AJ117" s="242" t="str">
        <f>IF(AH117 &lt;&gt; "",IF(AI117="Futuros", (SUMIFS('Alocação'!$O$3:$O$1002,'Alocação'!$C$3:$C$1002,AH117,'Alocação'!$F$3:$F$1002,AH$9,'Alocação'!$B$3:$B$1002,"&lt;="&amp;$B$4)), (SUMIFS('Alocação'!$O$3:$O$1002,'Alocação'!$C$3:$C$1002,AH117,'Alocação'!$F$3:$F$1002,AH$9,'Alocação'!$B$3:$B$1002,"&lt;="&amp;$B$6))),"")</f>
        <v/>
      </c>
      <c r="AK117" s="243" t="str">
        <f>iferror(IF(AI117="Ações Americanas", HLOOKUP(AH117,'Histórico'!$A$1:$DD$990,MATCH($B$6,'Histórico'!$A:$A),FALSE)*HLOOKUP("PTAX",'Histórico'!$A$1:$FG$983,MATCH($B$6,'Histórico'!$A:$A),FALSE),IF(AI117="Ações Europeias", HLOOKUP(AH117,'Histórico'!$A$1:$DD$990,MATCH($B$6,'Histórico'!$A:$A),FALSE)*HLOOKUP("EUR/BRL",'Histórico'!$A$1:$FG$983,MATCH($B$6,'Histórico'!$A:$A),FALSE),  HLOOKUP(AH117,'Histórico'!$A$1:$DD$990,MATCH($B$6,'Histórico'!$A:$A),FALSE))),"")</f>
        <v/>
      </c>
      <c r="AL117" s="243" t="str">
        <f t="shared" si="17"/>
        <v/>
      </c>
      <c r="AM117" s="53"/>
      <c r="AN117" s="245"/>
      <c r="AO117" s="242" t="str">
        <f>IF(ISTEXT(AN117),VLOOKUP(AN117,'Cadastro dos Ativos'!$A$2:$C$1000,3,0),"")</f>
        <v/>
      </c>
      <c r="AP117" s="242" t="str">
        <f>IF(AN117 &lt;&gt; "",IF(AO117="Futuros", (SUMIFS('Alocação'!$O$3:$O$1002,'Alocação'!$C$3:$C$1002,AN117,'Alocação'!$F$3:$F$1002,AN$9,'Alocação'!$B$3:$B$1002,"&lt;="&amp;$B$4)), (SUMIFS('Alocação'!$O$3:$O$1002,'Alocação'!$C$3:$C$1002,AN117,'Alocação'!$F$3:$F$1002,AN$9,'Alocação'!$B$3:$B$1002,"&lt;="&amp;$B$6))),"")</f>
        <v/>
      </c>
      <c r="AQ117" s="243" t="str">
        <f>iferror(IF(AO117="Ações Americanas", HLOOKUP(AN117,'Histórico'!$A$1:$DD$990,MATCH($B$6,'Histórico'!$A:$A),FALSE)*HLOOKUP("PTAX",'Histórico'!$A$1:$FG$983,MATCH($B$6,'Histórico'!$A:$A),FALSE),IF(AO117="Ações Europeias", HLOOKUP(AN117,'Histórico'!$A$1:$DD$990,MATCH($B$6,'Histórico'!$A:$A),FALSE)*HLOOKUP("EUR/BRL",'Histórico'!$A$1:$FG$983,MATCH($B$6,'Histórico'!$A:$A),FALSE),  HLOOKUP(AN117,'Histórico'!$A$1:$DD$990,MATCH($B$6,'Histórico'!$A:$A),FALSE))),"")</f>
        <v/>
      </c>
      <c r="AR117" s="243" t="str">
        <f t="shared" si="18"/>
        <v/>
      </c>
      <c r="AS117" s="53"/>
      <c r="AT117" s="245"/>
      <c r="AU117" s="242" t="str">
        <f>IF(ISTEXT(AT117),VLOOKUP(AT117,'Cadastro dos Ativos'!$A$2:$C$1000,3,0),"")</f>
        <v/>
      </c>
      <c r="AV117" s="242" t="str">
        <f>IF(AT117 &lt;&gt; "",IF(AU117="Futuros", (SUMIFS('Alocação'!$O$3:$O$1002,'Alocação'!$C$3:$C$1002,AT117,'Alocação'!$F$3:$F$1002,AT$9,'Alocação'!$B$3:$B$1002,"&lt;="&amp;$B$4)), (SUMIFS('Alocação'!$O$3:$O$1002,'Alocação'!$C$3:$C$1002,AT117,'Alocação'!$F$3:$F$1002,AT$9,'Alocação'!$B$3:$B$1002,"&lt;="&amp;$B$6))),"")</f>
        <v/>
      </c>
      <c r="AW117" s="243" t="str">
        <f>iferror(IF(AU117="Ações Americanas", HLOOKUP(AT117,'Histórico'!$A$1:$DD$990,MATCH($B$6,'Histórico'!$A:$A),FALSE)*HLOOKUP("PTAX",'Histórico'!$A$1:$FG$983,MATCH($B$6,'Histórico'!$A:$A),FALSE),IF(AU117="Ações Europeias", HLOOKUP(AT117,'Histórico'!$A$1:$DD$990,MATCH($B$6,'Histórico'!$A:$A),FALSE)*HLOOKUP("EUR/BRL",'Histórico'!$A$1:$FG$983,MATCH($B$6,'Histórico'!$A:$A),FALSE),  HLOOKUP(AT117,'Histórico'!$A$1:$DD$990,MATCH($B$6,'Histórico'!$A:$A),FALSE))),"")</f>
        <v/>
      </c>
      <c r="AX117" s="243" t="str">
        <f t="shared" si="27"/>
        <v/>
      </c>
      <c r="AY117" s="183"/>
    </row>
    <row r="118" ht="15.75" customHeight="1">
      <c r="A118" s="176"/>
      <c r="B118" s="232">
        <v>45161.0</v>
      </c>
      <c r="C118" s="246">
        <v>1.065148279036006E8</v>
      </c>
      <c r="D118" s="246">
        <v>1.162303443630008E8</v>
      </c>
      <c r="E118" s="247"/>
      <c r="F118" s="246">
        <v>1.114726629209444E8</v>
      </c>
      <c r="G118" s="246">
        <v>1.034546790904276E8</v>
      </c>
      <c r="H118" s="247"/>
      <c r="I118" s="246">
        <v>1.081715930346215E8</v>
      </c>
      <c r="J118" s="246">
        <v>8.669728092447193E7</v>
      </c>
      <c r="K118" s="247"/>
      <c r="L118" s="246">
        <v>1.04323847501342E8</v>
      </c>
      <c r="M118" s="246">
        <v>7.38081137032501E7</v>
      </c>
      <c r="N118" s="240">
        <f t="shared" si="9"/>
        <v>-0.008625598283</v>
      </c>
      <c r="O118" s="240">
        <f t="shared" si="10"/>
        <v>0.001186232776</v>
      </c>
      <c r="P118" s="240">
        <f t="shared" si="11"/>
        <v>-0.001267849447</v>
      </c>
      <c r="Q118" s="240">
        <f t="shared" si="12"/>
        <v>0.003241125414</v>
      </c>
      <c r="R118" s="236">
        <f t="shared" si="13"/>
        <v>105.437374</v>
      </c>
      <c r="S118" s="177"/>
      <c r="T118" s="233">
        <f t="shared" ref="T118:U118" si="128">IF(AND(C118&lt;&gt;"",F118&lt;&gt;"",I118&lt;&gt;""), SUM(I118,F118,C118,L118),"")</f>
        <v>430482931.4</v>
      </c>
      <c r="U118" s="233">
        <f t="shared" si="128"/>
        <v>380190418.1</v>
      </c>
      <c r="V118" s="233">
        <f t="shared" si="6"/>
        <v>107.6207328</v>
      </c>
      <c r="W118" s="241">
        <f t="shared" si="15"/>
        <v>-0.00138016151</v>
      </c>
      <c r="X118" s="241">
        <f t="shared" si="16"/>
        <v>-0.006862858678</v>
      </c>
      <c r="Y118" s="241">
        <f t="shared" si="25"/>
        <v>0.0008965215182</v>
      </c>
      <c r="Z118" s="233">
        <f t="shared" si="7"/>
        <v>105.437374</v>
      </c>
      <c r="AA118" s="165"/>
      <c r="AB118" s="245"/>
      <c r="AC118" s="242" t="str">
        <f>IF(ISTEXT(AB118),VLOOKUP(AB118,'Cadastro dos Ativos'!$A$2:$C$1000,3,0),"")</f>
        <v/>
      </c>
      <c r="AD118" s="242" t="str">
        <f>IF(AB118 &lt;&gt; "",IF(AC118="Futuros", (SUMIFS('Alocação'!$O$3:$O$1002,'Alocação'!$C$3:$C$1002,AB118,'Alocação'!$F$3:$F$1002,AB$9,'Alocação'!$B$3:$B$1002,"&lt;="&amp;$B$4)), (SUMIFS('Alocação'!$O$3:$O$1002,'Alocação'!$C$3:$C$1002,AB118,'Alocação'!$F$3:$F$1002,AB$9,'Alocação'!$B$3:$B$1002,"&lt;="&amp;$B$6))),"")</f>
        <v/>
      </c>
      <c r="AE118" s="243" t="str">
        <f>iferror(IF(AC118="Ações Americanas", HLOOKUP(AB118,'Histórico'!$A$1:$DD$990,MATCH($B$6,'Histórico'!$A:$A),FALSE)*HLOOKUP("PTAX",'Histórico'!$A$1:$FG$983,MATCH($B$6,'Histórico'!$A:$A),FALSE),IF(AC118="Ações Europeias", HLOOKUP(AB118,'Histórico'!$A$1:$DD$990,MATCH($B$6,'Histórico'!$A:$A),FALSE)*HLOOKUP("EUR/BRL",'Histórico'!$A$1:$FG$983,MATCH($B$6,'Histórico'!$A:$A),FALSE), HLOOKUP(AB118,'Histórico'!$A$1:$DD$990,MATCH($B$6,'Histórico'!$A:$A),FALSE))),"")</f>
        <v/>
      </c>
      <c r="AF118" s="243" t="str">
        <f t="shared" si="21"/>
        <v/>
      </c>
      <c r="AG118" s="53"/>
      <c r="AH118" s="245"/>
      <c r="AI118" s="242" t="str">
        <f>IF(ISTEXT(AH118),VLOOKUP(AH118,'Cadastro dos Ativos'!$A$2:$C$1000,3,0),"")</f>
        <v/>
      </c>
      <c r="AJ118" s="242" t="str">
        <f>IF(AH118 &lt;&gt; "",IF(AI118="Futuros", (SUMIFS('Alocação'!$O$3:$O$1002,'Alocação'!$C$3:$C$1002,AH118,'Alocação'!$F$3:$F$1002,AH$9,'Alocação'!$B$3:$B$1002,"&lt;="&amp;$B$4)), (SUMIFS('Alocação'!$O$3:$O$1002,'Alocação'!$C$3:$C$1002,AH118,'Alocação'!$F$3:$F$1002,AH$9,'Alocação'!$B$3:$B$1002,"&lt;="&amp;$B$6))),"")</f>
        <v/>
      </c>
      <c r="AK118" s="243" t="str">
        <f>iferror(IF(AI118="Ações Americanas", HLOOKUP(AH118,'Histórico'!$A$1:$DD$990,MATCH($B$6,'Histórico'!$A:$A),FALSE)*HLOOKUP("PTAX",'Histórico'!$A$1:$FG$983,MATCH($B$6,'Histórico'!$A:$A),FALSE),IF(AI118="Ações Europeias", HLOOKUP(AH118,'Histórico'!$A$1:$DD$990,MATCH($B$6,'Histórico'!$A:$A),FALSE)*HLOOKUP("EUR/BRL",'Histórico'!$A$1:$FG$983,MATCH($B$6,'Histórico'!$A:$A),FALSE),  HLOOKUP(AH118,'Histórico'!$A$1:$DD$990,MATCH($B$6,'Histórico'!$A:$A),FALSE))),"")</f>
        <v/>
      </c>
      <c r="AL118" s="243" t="str">
        <f t="shared" si="17"/>
        <v/>
      </c>
      <c r="AM118" s="53"/>
      <c r="AN118" s="245"/>
      <c r="AO118" s="242" t="str">
        <f>IF(ISTEXT(AN118),VLOOKUP(AN118,'Cadastro dos Ativos'!$A$2:$C$1000,3,0),"")</f>
        <v/>
      </c>
      <c r="AP118" s="242" t="str">
        <f>IF(AN118 &lt;&gt; "",IF(AO118="Futuros", (SUMIFS('Alocação'!$O$3:$O$1002,'Alocação'!$C$3:$C$1002,AN118,'Alocação'!$F$3:$F$1002,AN$9,'Alocação'!$B$3:$B$1002,"&lt;="&amp;$B$4)), (SUMIFS('Alocação'!$O$3:$O$1002,'Alocação'!$C$3:$C$1002,AN118,'Alocação'!$F$3:$F$1002,AN$9,'Alocação'!$B$3:$B$1002,"&lt;="&amp;$B$6))),"")</f>
        <v/>
      </c>
      <c r="AQ118" s="243" t="str">
        <f>iferror(IF(AO118="Ações Americanas", HLOOKUP(AN118,'Histórico'!$A$1:$DD$990,MATCH($B$6,'Histórico'!$A:$A),FALSE)*HLOOKUP("PTAX",'Histórico'!$A$1:$FG$983,MATCH($B$6,'Histórico'!$A:$A),FALSE),IF(AO118="Ações Europeias", HLOOKUP(AN118,'Histórico'!$A$1:$DD$990,MATCH($B$6,'Histórico'!$A:$A),FALSE)*HLOOKUP("EUR/BRL",'Histórico'!$A$1:$FG$983,MATCH($B$6,'Histórico'!$A:$A),FALSE),  HLOOKUP(AN118,'Histórico'!$A$1:$DD$990,MATCH($B$6,'Histórico'!$A:$A),FALSE))),"")</f>
        <v/>
      </c>
      <c r="AR118" s="243" t="str">
        <f t="shared" si="18"/>
        <v/>
      </c>
      <c r="AS118" s="53"/>
      <c r="AT118" s="245"/>
      <c r="AU118" s="242" t="str">
        <f>IF(ISTEXT(AT118),VLOOKUP(AT118,'Cadastro dos Ativos'!$A$2:$C$1000,3,0),"")</f>
        <v/>
      </c>
      <c r="AV118" s="242" t="str">
        <f>IF(AT118 &lt;&gt; "",IF(AU118="Futuros", (SUMIFS('Alocação'!$O$3:$O$1002,'Alocação'!$C$3:$C$1002,AT118,'Alocação'!$F$3:$F$1002,AT$9,'Alocação'!$B$3:$B$1002,"&lt;="&amp;$B$4)), (SUMIFS('Alocação'!$O$3:$O$1002,'Alocação'!$C$3:$C$1002,AT118,'Alocação'!$F$3:$F$1002,AT$9,'Alocação'!$B$3:$B$1002,"&lt;="&amp;$B$6))),"")</f>
        <v/>
      </c>
      <c r="AW118" s="243" t="str">
        <f>iferror(IF(AU118="Ações Americanas", HLOOKUP(AT118,'Histórico'!$A$1:$DD$990,MATCH($B$6,'Histórico'!$A:$A),FALSE)*HLOOKUP("PTAX",'Histórico'!$A$1:$FG$983,MATCH($B$6,'Histórico'!$A:$A),FALSE),IF(AU118="Ações Europeias", HLOOKUP(AT118,'Histórico'!$A$1:$DD$990,MATCH($B$6,'Histórico'!$A:$A),FALSE)*HLOOKUP("EUR/BRL",'Histórico'!$A$1:$FG$983,MATCH($B$6,'Histórico'!$A:$A),FALSE),  HLOOKUP(AT118,'Histórico'!$A$1:$DD$990,MATCH($B$6,'Histórico'!$A:$A),FALSE))),"")</f>
        <v/>
      </c>
      <c r="AX118" s="243" t="str">
        <f t="shared" si="27"/>
        <v/>
      </c>
      <c r="AY118" s="183"/>
    </row>
    <row r="119" ht="15.75" customHeight="1">
      <c r="A119" s="176"/>
      <c r="B119" s="232">
        <v>45162.0</v>
      </c>
      <c r="C119" s="246">
        <v>1.067748438643678E8</v>
      </c>
      <c r="D119" s="246">
        <v>1.164053594637673E8</v>
      </c>
      <c r="E119" s="247"/>
      <c r="F119" s="246">
        <v>1.114099893879768E8</v>
      </c>
      <c r="G119" s="246">
        <v>1.034440043617661E8</v>
      </c>
      <c r="H119" s="247"/>
      <c r="I119" s="246">
        <v>1.07724354702541E8</v>
      </c>
      <c r="J119" s="246">
        <v>8.673340350936961E7</v>
      </c>
      <c r="K119" s="247"/>
      <c r="L119" s="246">
        <v>1.042177272824353E8</v>
      </c>
      <c r="M119" s="246">
        <v>7.383814316564839E7</v>
      </c>
      <c r="N119" s="240">
        <f t="shared" si="9"/>
        <v>0.002441124545</v>
      </c>
      <c r="O119" s="240">
        <f t="shared" si="10"/>
        <v>-0.0005622323117</v>
      </c>
      <c r="P119" s="240">
        <f t="shared" si="11"/>
        <v>-0.004134526631</v>
      </c>
      <c r="Q119" s="240">
        <f t="shared" si="12"/>
        <v>-0.001017219183</v>
      </c>
      <c r="R119" s="236">
        <f t="shared" si="13"/>
        <v>105.4890773</v>
      </c>
      <c r="S119" s="177"/>
      <c r="T119" s="233">
        <f t="shared" ref="T119:U119" si="129">IF(AND(C119&lt;&gt;"",F119&lt;&gt;"",I119&lt;&gt;""), SUM(I119,F119,C119,L119),"")</f>
        <v>430126915.2</v>
      </c>
      <c r="U119" s="233">
        <f t="shared" si="129"/>
        <v>380420910.5</v>
      </c>
      <c r="V119" s="233">
        <f t="shared" si="6"/>
        <v>107.5317288</v>
      </c>
      <c r="W119" s="241">
        <f t="shared" si="15"/>
        <v>-0.0008270156544</v>
      </c>
      <c r="X119" s="241">
        <f t="shared" si="16"/>
        <v>-0.007684198641</v>
      </c>
      <c r="Y119" s="241">
        <f t="shared" si="25"/>
        <v>0.0009299723854</v>
      </c>
      <c r="Z119" s="233">
        <f t="shared" si="7"/>
        <v>105.4890773</v>
      </c>
      <c r="AA119" s="165"/>
      <c r="AB119" s="245"/>
      <c r="AC119" s="242" t="str">
        <f>IF(ISTEXT(AB119),VLOOKUP(AB119,'Cadastro dos Ativos'!$A$2:$C$1000,3,0),"")</f>
        <v/>
      </c>
      <c r="AD119" s="242" t="str">
        <f>IF(AB119 &lt;&gt; "",IF(AC119="Futuros", (SUMIFS('Alocação'!$O$3:$O$1002,'Alocação'!$C$3:$C$1002,AB119,'Alocação'!$F$3:$F$1002,AB$9,'Alocação'!$B$3:$B$1002,"&lt;="&amp;$B$4)), (SUMIFS('Alocação'!$O$3:$O$1002,'Alocação'!$C$3:$C$1002,AB119,'Alocação'!$F$3:$F$1002,AB$9,'Alocação'!$B$3:$B$1002,"&lt;="&amp;$B$6))),"")</f>
        <v/>
      </c>
      <c r="AE119" s="243" t="str">
        <f>iferror(IF(AC119="Ações Americanas", HLOOKUP(AB119,'Histórico'!$A$1:$DD$990,MATCH($B$6,'Histórico'!$A:$A),FALSE)*HLOOKUP("PTAX",'Histórico'!$A$1:$FG$983,MATCH($B$6,'Histórico'!$A:$A),FALSE),IF(AC119="Ações Europeias", HLOOKUP(AB119,'Histórico'!$A$1:$DD$990,MATCH($B$6,'Histórico'!$A:$A),FALSE)*HLOOKUP("EUR/BRL",'Histórico'!$A$1:$FG$983,MATCH($B$6,'Histórico'!$A:$A),FALSE), HLOOKUP(AB119,'Histórico'!$A$1:$DD$990,MATCH($B$6,'Histórico'!$A:$A),FALSE))),"")</f>
        <v/>
      </c>
      <c r="AF119" s="243" t="str">
        <f t="shared" si="21"/>
        <v/>
      </c>
      <c r="AG119" s="53"/>
      <c r="AH119" s="245"/>
      <c r="AI119" s="242" t="str">
        <f>IF(ISTEXT(AH119),VLOOKUP(AH119,'Cadastro dos Ativos'!$A$2:$C$1000,3,0),"")</f>
        <v/>
      </c>
      <c r="AJ119" s="242" t="str">
        <f>IF(AH119 &lt;&gt; "",IF(AI119="Futuros", (SUMIFS('Alocação'!$O$3:$O$1002,'Alocação'!$C$3:$C$1002,AH119,'Alocação'!$F$3:$F$1002,AH$9,'Alocação'!$B$3:$B$1002,"&lt;="&amp;$B$4)), (SUMIFS('Alocação'!$O$3:$O$1002,'Alocação'!$C$3:$C$1002,AH119,'Alocação'!$F$3:$F$1002,AH$9,'Alocação'!$B$3:$B$1002,"&lt;="&amp;$B$6))),"")</f>
        <v/>
      </c>
      <c r="AK119" s="243" t="str">
        <f>iferror(IF(AI119="Ações Americanas", HLOOKUP(AH119,'Histórico'!$A$1:$DD$990,MATCH($B$6,'Histórico'!$A:$A),FALSE)*HLOOKUP("PTAX",'Histórico'!$A$1:$FG$983,MATCH($B$6,'Histórico'!$A:$A),FALSE),IF(AI119="Ações Europeias", HLOOKUP(AH119,'Histórico'!$A$1:$DD$990,MATCH($B$6,'Histórico'!$A:$A),FALSE)*HLOOKUP("EUR/BRL",'Histórico'!$A$1:$FG$983,MATCH($B$6,'Histórico'!$A:$A),FALSE),  HLOOKUP(AH119,'Histórico'!$A$1:$DD$990,MATCH($B$6,'Histórico'!$A:$A),FALSE))),"")</f>
        <v/>
      </c>
      <c r="AL119" s="243" t="str">
        <f t="shared" si="17"/>
        <v/>
      </c>
      <c r="AM119" s="53"/>
      <c r="AN119" s="245"/>
      <c r="AO119" s="242" t="str">
        <f>IF(ISTEXT(AN119),VLOOKUP(AN119,'Cadastro dos Ativos'!$A$2:$C$1000,3,0),"")</f>
        <v/>
      </c>
      <c r="AP119" s="242" t="str">
        <f>IF(AN119 &lt;&gt; "",IF(AO119="Futuros", (SUMIFS('Alocação'!$O$3:$O$1002,'Alocação'!$C$3:$C$1002,AN119,'Alocação'!$F$3:$F$1002,AN$9,'Alocação'!$B$3:$B$1002,"&lt;="&amp;$B$4)), (SUMIFS('Alocação'!$O$3:$O$1002,'Alocação'!$C$3:$C$1002,AN119,'Alocação'!$F$3:$F$1002,AN$9,'Alocação'!$B$3:$B$1002,"&lt;="&amp;$B$6))),"")</f>
        <v/>
      </c>
      <c r="AQ119" s="243" t="str">
        <f>iferror(IF(AO119="Ações Americanas", HLOOKUP(AN119,'Histórico'!$A$1:$DD$990,MATCH($B$6,'Histórico'!$A:$A),FALSE)*HLOOKUP("PTAX",'Histórico'!$A$1:$FG$983,MATCH($B$6,'Histórico'!$A:$A),FALSE),IF(AO119="Ações Europeias", HLOOKUP(AN119,'Histórico'!$A$1:$DD$990,MATCH($B$6,'Histórico'!$A:$A),FALSE)*HLOOKUP("EUR/BRL",'Histórico'!$A$1:$FG$983,MATCH($B$6,'Histórico'!$A:$A),FALSE),  HLOOKUP(AN119,'Histórico'!$A$1:$DD$990,MATCH($B$6,'Histórico'!$A:$A),FALSE))),"")</f>
        <v/>
      </c>
      <c r="AR119" s="243" t="str">
        <f t="shared" si="18"/>
        <v/>
      </c>
      <c r="AS119" s="53"/>
      <c r="AT119" s="245"/>
      <c r="AU119" s="242" t="str">
        <f>IF(ISTEXT(AT119),VLOOKUP(AT119,'Cadastro dos Ativos'!$A$2:$C$1000,3,0),"")</f>
        <v/>
      </c>
      <c r="AV119" s="242" t="str">
        <f>IF(AT119 &lt;&gt; "",IF(AU119="Futuros", (SUMIFS('Alocação'!$O$3:$O$1002,'Alocação'!$C$3:$C$1002,AT119,'Alocação'!$F$3:$F$1002,AT$9,'Alocação'!$B$3:$B$1002,"&lt;="&amp;$B$4)), (SUMIFS('Alocação'!$O$3:$O$1002,'Alocação'!$C$3:$C$1002,AT119,'Alocação'!$F$3:$F$1002,AT$9,'Alocação'!$B$3:$B$1002,"&lt;="&amp;$B$6))),"")</f>
        <v/>
      </c>
      <c r="AW119" s="243" t="str">
        <f>iferror(IF(AU119="Ações Americanas", HLOOKUP(AT119,'Histórico'!$A$1:$DD$990,MATCH($B$6,'Histórico'!$A:$A),FALSE)*HLOOKUP("PTAX",'Histórico'!$A$1:$FG$983,MATCH($B$6,'Histórico'!$A:$A),FALSE),IF(AU119="Ações Europeias", HLOOKUP(AT119,'Histórico'!$A$1:$DD$990,MATCH($B$6,'Histórico'!$A:$A),FALSE)*HLOOKUP("EUR/BRL",'Histórico'!$A$1:$FG$983,MATCH($B$6,'Histórico'!$A:$A),FALSE),  HLOOKUP(AT119,'Histórico'!$A$1:$DD$990,MATCH($B$6,'Histórico'!$A:$A),FALSE))),"")</f>
        <v/>
      </c>
      <c r="AX119" s="243" t="str">
        <f t="shared" si="27"/>
        <v/>
      </c>
      <c r="AY119" s="183"/>
    </row>
    <row r="120" ht="15.75" customHeight="1">
      <c r="A120" s="176"/>
      <c r="B120" s="232">
        <v>45163.0</v>
      </c>
      <c r="C120" s="246">
        <v>1.068047136643259E8</v>
      </c>
      <c r="D120" s="246">
        <v>1.163374787740251E8</v>
      </c>
      <c r="E120" s="247"/>
      <c r="F120" s="246">
        <v>1.114100887078895E8</v>
      </c>
      <c r="G120" s="246">
        <v>1.034861039015121E8</v>
      </c>
      <c r="H120" s="247"/>
      <c r="I120" s="246">
        <v>1.079545020602437E8</v>
      </c>
      <c r="J120" s="246">
        <v>8.676957023212357E7</v>
      </c>
      <c r="K120" s="247"/>
      <c r="L120" s="246">
        <v>1.037341281979963E8</v>
      </c>
      <c r="M120" s="246">
        <v>7.386819362355244E7</v>
      </c>
      <c r="N120" s="240">
        <f t="shared" si="9"/>
        <v>0.0002797456674</v>
      </c>
      <c r="O120" s="240">
        <f t="shared" si="10"/>
        <v>0.0000008914812151</v>
      </c>
      <c r="P120" s="240">
        <f t="shared" si="11"/>
        <v>0.002136446845</v>
      </c>
      <c r="Q120" s="240">
        <f t="shared" si="12"/>
        <v>-0.004640276631</v>
      </c>
      <c r="R120" s="236">
        <f t="shared" si="13"/>
        <v>105.540806</v>
      </c>
      <c r="S120" s="177"/>
      <c r="T120" s="233">
        <f t="shared" ref="T120:U120" si="130">IF(AND(C120&lt;&gt;"",F120&lt;&gt;"",I120&lt;&gt;""), SUM(I120,F120,C120,L120),"")</f>
        <v>429903432.6</v>
      </c>
      <c r="U120" s="233">
        <f t="shared" si="130"/>
        <v>380461346.5</v>
      </c>
      <c r="V120" s="233">
        <f t="shared" si="6"/>
        <v>107.4758582</v>
      </c>
      <c r="W120" s="241">
        <f t="shared" si="15"/>
        <v>-0.0005195736397</v>
      </c>
      <c r="X120" s="241">
        <f t="shared" si="16"/>
        <v>-0.008199779774</v>
      </c>
      <c r="Y120" s="241">
        <f t="shared" si="25"/>
        <v>0.0008754183852</v>
      </c>
      <c r="Z120" s="233">
        <f t="shared" si="7"/>
        <v>105.540806</v>
      </c>
      <c r="AA120" s="165"/>
      <c r="AB120" s="245"/>
      <c r="AC120" s="242" t="str">
        <f>IF(ISTEXT(AB120),VLOOKUP(AB120,'Cadastro dos Ativos'!$A$2:$C$1000,3,0),"")</f>
        <v/>
      </c>
      <c r="AD120" s="242" t="str">
        <f>IF(AB120 &lt;&gt; "",IF(AC120="Futuros", (SUMIFS('Alocação'!$O$3:$O$1002,'Alocação'!$C$3:$C$1002,AB120,'Alocação'!$F$3:$F$1002,AB$9,'Alocação'!$B$3:$B$1002,"&lt;="&amp;$B$4)), (SUMIFS('Alocação'!$O$3:$O$1002,'Alocação'!$C$3:$C$1002,AB120,'Alocação'!$F$3:$F$1002,AB$9,'Alocação'!$B$3:$B$1002,"&lt;="&amp;$B$6))),"")</f>
        <v/>
      </c>
      <c r="AE120" s="243" t="str">
        <f>iferror(IF(AC120="Ações Americanas", HLOOKUP(AB120,'Histórico'!$A$1:$DD$990,MATCH($B$6,'Histórico'!$A:$A),FALSE)*HLOOKUP("PTAX",'Histórico'!$A$1:$FG$983,MATCH($B$6,'Histórico'!$A:$A),FALSE),IF(AC120="Ações Europeias", HLOOKUP(AB120,'Histórico'!$A$1:$DD$990,MATCH($B$6,'Histórico'!$A:$A),FALSE)*HLOOKUP("EUR/BRL",'Histórico'!$A$1:$FG$983,MATCH($B$6,'Histórico'!$A:$A),FALSE), HLOOKUP(AB120,'Histórico'!$A$1:$DD$990,MATCH($B$6,'Histórico'!$A:$A),FALSE))),"")</f>
        <v/>
      </c>
      <c r="AF120" s="243" t="str">
        <f t="shared" si="21"/>
        <v/>
      </c>
      <c r="AG120" s="53"/>
      <c r="AH120" s="245"/>
      <c r="AI120" s="242" t="str">
        <f>IF(ISTEXT(AH120),VLOOKUP(AH120,'Cadastro dos Ativos'!$A$2:$C$1000,3,0),"")</f>
        <v/>
      </c>
      <c r="AJ120" s="242" t="str">
        <f>IF(AH120 &lt;&gt; "",IF(AI120="Futuros", (SUMIFS('Alocação'!$O$3:$O$1002,'Alocação'!$C$3:$C$1002,AH120,'Alocação'!$F$3:$F$1002,AH$9,'Alocação'!$B$3:$B$1002,"&lt;="&amp;$B$4)), (SUMIFS('Alocação'!$O$3:$O$1002,'Alocação'!$C$3:$C$1002,AH120,'Alocação'!$F$3:$F$1002,AH$9,'Alocação'!$B$3:$B$1002,"&lt;="&amp;$B$6))),"")</f>
        <v/>
      </c>
      <c r="AK120" s="243" t="str">
        <f>iferror(IF(AI120="Ações Americanas", HLOOKUP(AH120,'Histórico'!$A$1:$DD$990,MATCH($B$6,'Histórico'!$A:$A),FALSE)*HLOOKUP("PTAX",'Histórico'!$A$1:$FG$983,MATCH($B$6,'Histórico'!$A:$A),FALSE),IF(AI120="Ações Europeias", HLOOKUP(AH120,'Histórico'!$A$1:$DD$990,MATCH($B$6,'Histórico'!$A:$A),FALSE)*HLOOKUP("EUR/BRL",'Histórico'!$A$1:$FG$983,MATCH($B$6,'Histórico'!$A:$A),FALSE),  HLOOKUP(AH120,'Histórico'!$A$1:$DD$990,MATCH($B$6,'Histórico'!$A:$A),FALSE))),"")</f>
        <v/>
      </c>
      <c r="AL120" s="243" t="str">
        <f t="shared" si="17"/>
        <v/>
      </c>
      <c r="AM120" s="53"/>
      <c r="AN120" s="245"/>
      <c r="AO120" s="242" t="str">
        <f>IF(ISTEXT(AN120),VLOOKUP(AN120,'Cadastro dos Ativos'!$A$2:$C$1000,3,0),"")</f>
        <v/>
      </c>
      <c r="AP120" s="242" t="str">
        <f>IF(AN120 &lt;&gt; "",IF(AO120="Futuros", (SUMIFS('Alocação'!$O$3:$O$1002,'Alocação'!$C$3:$C$1002,AN120,'Alocação'!$F$3:$F$1002,AN$9,'Alocação'!$B$3:$B$1002,"&lt;="&amp;$B$4)), (SUMIFS('Alocação'!$O$3:$O$1002,'Alocação'!$C$3:$C$1002,AN120,'Alocação'!$F$3:$F$1002,AN$9,'Alocação'!$B$3:$B$1002,"&lt;="&amp;$B$6))),"")</f>
        <v/>
      </c>
      <c r="AQ120" s="243" t="str">
        <f>iferror(IF(AO120="Ações Americanas", HLOOKUP(AN120,'Histórico'!$A$1:$DD$990,MATCH($B$6,'Histórico'!$A:$A),FALSE)*HLOOKUP("PTAX",'Histórico'!$A$1:$FG$983,MATCH($B$6,'Histórico'!$A:$A),FALSE),IF(AO120="Ações Europeias", HLOOKUP(AN120,'Histórico'!$A$1:$DD$990,MATCH($B$6,'Histórico'!$A:$A),FALSE)*HLOOKUP("EUR/BRL",'Histórico'!$A$1:$FG$983,MATCH($B$6,'Histórico'!$A:$A),FALSE),  HLOOKUP(AN120,'Histórico'!$A$1:$DD$990,MATCH($B$6,'Histórico'!$A:$A),FALSE))),"")</f>
        <v/>
      </c>
      <c r="AR120" s="243" t="str">
        <f t="shared" si="18"/>
        <v/>
      </c>
      <c r="AS120" s="53"/>
      <c r="AT120" s="245"/>
      <c r="AU120" s="242" t="str">
        <f>IF(ISTEXT(AT120),VLOOKUP(AT120,'Cadastro dos Ativos'!$A$2:$C$1000,3,0),"")</f>
        <v/>
      </c>
      <c r="AV120" s="242" t="str">
        <f>IF(AT120 &lt;&gt; "",IF(AU120="Futuros", (SUMIFS('Alocação'!$O$3:$O$1002,'Alocação'!$C$3:$C$1002,AT120,'Alocação'!$F$3:$F$1002,AT$9,'Alocação'!$B$3:$B$1002,"&lt;="&amp;$B$4)), (SUMIFS('Alocação'!$O$3:$O$1002,'Alocação'!$C$3:$C$1002,AT120,'Alocação'!$F$3:$F$1002,AT$9,'Alocação'!$B$3:$B$1002,"&lt;="&amp;$B$6))),"")</f>
        <v/>
      </c>
      <c r="AW120" s="243" t="str">
        <f>iferror(IF(AU120="Ações Americanas", HLOOKUP(AT120,'Histórico'!$A$1:$DD$990,MATCH($B$6,'Histórico'!$A:$A),FALSE)*HLOOKUP("PTAX",'Histórico'!$A$1:$FG$983,MATCH($B$6,'Histórico'!$A:$A),FALSE),IF(AU120="Ações Europeias", HLOOKUP(AT120,'Histórico'!$A$1:$DD$990,MATCH($B$6,'Histórico'!$A:$A),FALSE)*HLOOKUP("EUR/BRL",'Histórico'!$A$1:$FG$983,MATCH($B$6,'Histórico'!$A:$A),FALSE),  HLOOKUP(AT120,'Histórico'!$A$1:$DD$990,MATCH($B$6,'Histórico'!$A:$A),FALSE))),"")</f>
        <v/>
      </c>
      <c r="AX120" s="243" t="str">
        <f t="shared" si="27"/>
        <v/>
      </c>
      <c r="AY120" s="183"/>
    </row>
    <row r="121" ht="15.75" customHeight="1">
      <c r="A121" s="176"/>
      <c r="B121" s="232">
        <v>45166.0</v>
      </c>
      <c r="C121" s="246">
        <v>1.068923294128157E8</v>
      </c>
      <c r="D121" s="246">
        <v>1.165398442828156E8</v>
      </c>
      <c r="E121" s="247"/>
      <c r="F121" s="246">
        <v>1.116574401181886E8</v>
      </c>
      <c r="G121" s="246">
        <v>1.036614550797412E8</v>
      </c>
      <c r="H121" s="247"/>
      <c r="I121" s="246">
        <v>1.085320924071206E8</v>
      </c>
      <c r="J121" s="246">
        <v>6.98190869189518E7</v>
      </c>
      <c r="K121" s="247"/>
      <c r="L121" s="246">
        <v>1.036560718402669E8</v>
      </c>
      <c r="M121" s="246">
        <v>7.389828739004587E7</v>
      </c>
      <c r="N121" s="240">
        <f t="shared" si="9"/>
        <v>0.000820335971</v>
      </c>
      <c r="O121" s="240">
        <f t="shared" si="10"/>
        <v>0.002220188613</v>
      </c>
      <c r="P121" s="240">
        <f t="shared" si="11"/>
        <v>0.005350312732</v>
      </c>
      <c r="Q121" s="240">
        <f t="shared" si="12"/>
        <v>-0.000752465549</v>
      </c>
      <c r="R121" s="236">
        <f t="shared" si="13"/>
        <v>105.59256</v>
      </c>
      <c r="S121" s="177"/>
      <c r="T121" s="233">
        <f t="shared" ref="T121:U121" si="131">IF(AND(C121&lt;&gt;"",F121&lt;&gt;"",I121&lt;&gt;""), SUM(I121,F121,C121,L121),"")</f>
        <v>430737933.8</v>
      </c>
      <c r="U121" s="233">
        <f t="shared" si="131"/>
        <v>363918673.7</v>
      </c>
      <c r="V121" s="233">
        <f t="shared" si="6"/>
        <v>107.6844834</v>
      </c>
      <c r="W121" s="241">
        <f t="shared" si="15"/>
        <v>0.001941136275</v>
      </c>
      <c r="X121" s="241">
        <f t="shared" si="16"/>
        <v>-0.006274560389</v>
      </c>
      <c r="Y121" s="241">
        <f t="shared" si="25"/>
        <v>0.001303474941</v>
      </c>
      <c r="Z121" s="233">
        <f t="shared" si="7"/>
        <v>105.59256</v>
      </c>
      <c r="AA121" s="165"/>
      <c r="AB121" s="245"/>
      <c r="AC121" s="242" t="str">
        <f>IF(ISTEXT(AB121),VLOOKUP(AB121,'Cadastro dos Ativos'!$A$2:$C$1000,3,0),"")</f>
        <v/>
      </c>
      <c r="AD121" s="242" t="str">
        <f>IF(AB121 &lt;&gt; "",IF(AC121="Futuros", (SUMIFS('Alocação'!$O$3:$O$1002,'Alocação'!$C$3:$C$1002,AB121,'Alocação'!$F$3:$F$1002,AB$9,'Alocação'!$B$3:$B$1002,"&lt;="&amp;$B$4)), (SUMIFS('Alocação'!$O$3:$O$1002,'Alocação'!$C$3:$C$1002,AB121,'Alocação'!$F$3:$F$1002,AB$9,'Alocação'!$B$3:$B$1002,"&lt;="&amp;$B$6))),"")</f>
        <v/>
      </c>
      <c r="AE121" s="243" t="str">
        <f>iferror(IF(AC121="Ações Americanas", HLOOKUP(AB121,'Histórico'!$A$1:$DD$990,MATCH($B$6,'Histórico'!$A:$A),FALSE)*HLOOKUP("PTAX",'Histórico'!$A$1:$FG$983,MATCH($B$6,'Histórico'!$A:$A),FALSE),IF(AC121="Ações Europeias", HLOOKUP(AB121,'Histórico'!$A$1:$DD$990,MATCH($B$6,'Histórico'!$A:$A),FALSE)*HLOOKUP("EUR/BRL",'Histórico'!$A$1:$FG$983,MATCH($B$6,'Histórico'!$A:$A),FALSE), HLOOKUP(AB121,'Histórico'!$A$1:$DD$990,MATCH($B$6,'Histórico'!$A:$A),FALSE))),"")</f>
        <v/>
      </c>
      <c r="AF121" s="243" t="str">
        <f t="shared" si="21"/>
        <v/>
      </c>
      <c r="AG121" s="53"/>
      <c r="AH121" s="245"/>
      <c r="AI121" s="242" t="str">
        <f>IF(ISTEXT(AH121),VLOOKUP(AH121,'Cadastro dos Ativos'!$A$2:$C$1000,3,0),"")</f>
        <v/>
      </c>
      <c r="AJ121" s="242" t="str">
        <f>IF(AH121 &lt;&gt; "",IF(AI121="Futuros", (SUMIFS('Alocação'!$O$3:$O$1002,'Alocação'!$C$3:$C$1002,AH121,'Alocação'!$F$3:$F$1002,AH$9,'Alocação'!$B$3:$B$1002,"&lt;="&amp;$B$4)), (SUMIFS('Alocação'!$O$3:$O$1002,'Alocação'!$C$3:$C$1002,AH121,'Alocação'!$F$3:$F$1002,AH$9,'Alocação'!$B$3:$B$1002,"&lt;="&amp;$B$6))),"")</f>
        <v/>
      </c>
      <c r="AK121" s="243" t="str">
        <f>iferror(IF(AI121="Ações Americanas", HLOOKUP(AH121,'Histórico'!$A$1:$DD$990,MATCH($B$6,'Histórico'!$A:$A),FALSE)*HLOOKUP("PTAX",'Histórico'!$A$1:$FG$983,MATCH($B$6,'Histórico'!$A:$A),FALSE),IF(AI121="Ações Europeias", HLOOKUP(AH121,'Histórico'!$A$1:$DD$990,MATCH($B$6,'Histórico'!$A:$A),FALSE)*HLOOKUP("EUR/BRL",'Histórico'!$A$1:$FG$983,MATCH($B$6,'Histórico'!$A:$A),FALSE),  HLOOKUP(AH121,'Histórico'!$A$1:$DD$990,MATCH($B$6,'Histórico'!$A:$A),FALSE))),"")</f>
        <v/>
      </c>
      <c r="AL121" s="243" t="str">
        <f t="shared" si="17"/>
        <v/>
      </c>
      <c r="AM121" s="53"/>
      <c r="AN121" s="245"/>
      <c r="AO121" s="242" t="str">
        <f>IF(ISTEXT(AN121),VLOOKUP(AN121,'Cadastro dos Ativos'!$A$2:$C$1000,3,0),"")</f>
        <v/>
      </c>
      <c r="AP121" s="242" t="str">
        <f>IF(AN121 &lt;&gt; "",IF(AO121="Futuros", (SUMIFS('Alocação'!$O$3:$O$1002,'Alocação'!$C$3:$C$1002,AN121,'Alocação'!$F$3:$F$1002,AN$9,'Alocação'!$B$3:$B$1002,"&lt;="&amp;$B$4)), (SUMIFS('Alocação'!$O$3:$O$1002,'Alocação'!$C$3:$C$1002,AN121,'Alocação'!$F$3:$F$1002,AN$9,'Alocação'!$B$3:$B$1002,"&lt;="&amp;$B$6))),"")</f>
        <v/>
      </c>
      <c r="AQ121" s="243" t="str">
        <f>iferror(IF(AO121="Ações Americanas", HLOOKUP(AN121,'Histórico'!$A$1:$DD$990,MATCH($B$6,'Histórico'!$A:$A),FALSE)*HLOOKUP("PTAX",'Histórico'!$A$1:$FG$983,MATCH($B$6,'Histórico'!$A:$A),FALSE),IF(AO121="Ações Europeias", HLOOKUP(AN121,'Histórico'!$A$1:$DD$990,MATCH($B$6,'Histórico'!$A:$A),FALSE)*HLOOKUP("EUR/BRL",'Histórico'!$A$1:$FG$983,MATCH($B$6,'Histórico'!$A:$A),FALSE),  HLOOKUP(AN121,'Histórico'!$A$1:$DD$990,MATCH($B$6,'Histórico'!$A:$A),FALSE))),"")</f>
        <v/>
      </c>
      <c r="AR121" s="243" t="str">
        <f t="shared" si="18"/>
        <v/>
      </c>
      <c r="AS121" s="53"/>
      <c r="AT121" s="245"/>
      <c r="AU121" s="242" t="str">
        <f>IF(ISTEXT(AT121),VLOOKUP(AT121,'Cadastro dos Ativos'!$A$2:$C$1000,3,0),"")</f>
        <v/>
      </c>
      <c r="AV121" s="242" t="str">
        <f>IF(AT121 &lt;&gt; "",IF(AU121="Futuros", (SUMIFS('Alocação'!$O$3:$O$1002,'Alocação'!$C$3:$C$1002,AT121,'Alocação'!$F$3:$F$1002,AT$9,'Alocação'!$B$3:$B$1002,"&lt;="&amp;$B$4)), (SUMIFS('Alocação'!$O$3:$O$1002,'Alocação'!$C$3:$C$1002,AT121,'Alocação'!$F$3:$F$1002,AT$9,'Alocação'!$B$3:$B$1002,"&lt;="&amp;$B$6))),"")</f>
        <v/>
      </c>
      <c r="AW121" s="243" t="str">
        <f>iferror(IF(AU121="Ações Americanas", HLOOKUP(AT121,'Histórico'!$A$1:$DD$990,MATCH($B$6,'Histórico'!$A:$A),FALSE)*HLOOKUP("PTAX",'Histórico'!$A$1:$FG$983,MATCH($B$6,'Histórico'!$A:$A),FALSE),IF(AU121="Ações Europeias", HLOOKUP(AT121,'Histórico'!$A$1:$DD$990,MATCH($B$6,'Histórico'!$A:$A),FALSE)*HLOOKUP("EUR/BRL",'Histórico'!$A$1:$FG$983,MATCH($B$6,'Histórico'!$A:$A),FALSE),  HLOOKUP(AT121,'Histórico'!$A$1:$DD$990,MATCH($B$6,'Histórico'!$A:$A),FALSE))),"")</f>
        <v/>
      </c>
      <c r="AX121" s="243" t="str">
        <f t="shared" si="27"/>
        <v/>
      </c>
      <c r="AY121" s="183"/>
    </row>
    <row r="122" ht="15.75" customHeight="1">
      <c r="A122" s="176"/>
      <c r="B122" s="232">
        <v>45167.0</v>
      </c>
      <c r="C122" s="246">
        <v>1.070930648554725E8</v>
      </c>
      <c r="D122" s="246">
        <v>1.168357800989319E8</v>
      </c>
      <c r="E122" s="247"/>
      <c r="F122" s="246">
        <v>1.120549903205304E8</v>
      </c>
      <c r="G122" s="246">
        <v>1.039740053305304E8</v>
      </c>
      <c r="H122" s="247"/>
      <c r="I122" s="246">
        <v>1.077413604117039E8</v>
      </c>
      <c r="J122" s="246">
        <v>6.984416257427555E7</v>
      </c>
      <c r="K122" s="247"/>
      <c r="L122" s="246">
        <v>1.03659985389962E8</v>
      </c>
      <c r="M122" s="246">
        <v>7.392840052546558E7</v>
      </c>
      <c r="N122" s="240">
        <f t="shared" si="9"/>
        <v>0.001877921865</v>
      </c>
      <c r="O122" s="240">
        <f t="shared" si="10"/>
        <v>0.00356044525</v>
      </c>
      <c r="P122" s="240">
        <f t="shared" si="11"/>
        <v>-0.00728569751</v>
      </c>
      <c r="Q122" s="240">
        <f t="shared" si="12"/>
        <v>0.00003775514184</v>
      </c>
      <c r="R122" s="236">
        <f t="shared" si="13"/>
        <v>105.6443395</v>
      </c>
      <c r="S122" s="177"/>
      <c r="T122" s="233">
        <f t="shared" ref="T122:U122" si="132">IF(AND(C122&lt;&gt;"",F122&lt;&gt;"",I122&lt;&gt;""), SUM(I122,F122,C122,L122),"")</f>
        <v>430549401</v>
      </c>
      <c r="U122" s="233">
        <f t="shared" si="132"/>
        <v>364582348.5</v>
      </c>
      <c r="V122" s="233">
        <f t="shared" si="6"/>
        <v>107.6373502</v>
      </c>
      <c r="W122" s="241">
        <f t="shared" si="15"/>
        <v>-0.0004376972306</v>
      </c>
      <c r="X122" s="241">
        <f t="shared" si="16"/>
        <v>-0.006709511262</v>
      </c>
      <c r="Y122" s="241">
        <f t="shared" si="25"/>
        <v>0.001276621325</v>
      </c>
      <c r="Z122" s="233">
        <f t="shared" si="7"/>
        <v>105.6443395</v>
      </c>
      <c r="AA122" s="165"/>
      <c r="AB122" s="245"/>
      <c r="AC122" s="242" t="str">
        <f>IF(ISTEXT(AB122),VLOOKUP(AB122,'Cadastro dos Ativos'!$A$2:$C$1000,3,0),"")</f>
        <v/>
      </c>
      <c r="AD122" s="242" t="str">
        <f>IF(AB122 &lt;&gt; "",IF(AC122="Futuros", (SUMIFS('Alocação'!$O$3:$O$1002,'Alocação'!$C$3:$C$1002,AB122,'Alocação'!$F$3:$F$1002,AB$9,'Alocação'!$B$3:$B$1002,"&lt;="&amp;$B$4)), (SUMIFS('Alocação'!$O$3:$O$1002,'Alocação'!$C$3:$C$1002,AB122,'Alocação'!$F$3:$F$1002,AB$9,'Alocação'!$B$3:$B$1002,"&lt;="&amp;$B$6))),"")</f>
        <v/>
      </c>
      <c r="AE122" s="243" t="str">
        <f>iferror(IF(AC122="Ações Americanas", HLOOKUP(AB122,'Histórico'!$A$1:$DD$990,MATCH($B$6,'Histórico'!$A:$A),FALSE)*HLOOKUP("PTAX",'Histórico'!$A$1:$FG$983,MATCH($B$6,'Histórico'!$A:$A),FALSE),IF(AC122="Ações Europeias", HLOOKUP(AB122,'Histórico'!$A$1:$DD$990,MATCH($B$6,'Histórico'!$A:$A),FALSE)*HLOOKUP("EUR/BRL",'Histórico'!$A$1:$FG$983,MATCH($B$6,'Histórico'!$A:$A),FALSE), HLOOKUP(AB122,'Histórico'!$A$1:$DD$990,MATCH($B$6,'Histórico'!$A:$A),FALSE))),"")</f>
        <v/>
      </c>
      <c r="AF122" s="243" t="str">
        <f t="shared" si="21"/>
        <v/>
      </c>
      <c r="AG122" s="53"/>
      <c r="AH122" s="245"/>
      <c r="AI122" s="242" t="str">
        <f>IF(ISTEXT(AH122),VLOOKUP(AH122,'Cadastro dos Ativos'!$A$2:$C$1000,3,0),"")</f>
        <v/>
      </c>
      <c r="AJ122" s="242" t="str">
        <f>IF(AH122 &lt;&gt; "",IF(AI122="Futuros", (SUMIFS('Alocação'!$O$3:$O$1002,'Alocação'!$C$3:$C$1002,AH122,'Alocação'!$F$3:$F$1002,AH$9,'Alocação'!$B$3:$B$1002,"&lt;="&amp;$B$4)), (SUMIFS('Alocação'!$O$3:$O$1002,'Alocação'!$C$3:$C$1002,AH122,'Alocação'!$F$3:$F$1002,AH$9,'Alocação'!$B$3:$B$1002,"&lt;="&amp;$B$6))),"")</f>
        <v/>
      </c>
      <c r="AK122" s="243" t="str">
        <f>iferror(IF(AI122="Ações Americanas", HLOOKUP(AH122,'Histórico'!$A$1:$DD$990,MATCH($B$6,'Histórico'!$A:$A),FALSE)*HLOOKUP("PTAX",'Histórico'!$A$1:$FG$983,MATCH($B$6,'Histórico'!$A:$A),FALSE),IF(AI122="Ações Europeias", HLOOKUP(AH122,'Histórico'!$A$1:$DD$990,MATCH($B$6,'Histórico'!$A:$A),FALSE)*HLOOKUP("EUR/BRL",'Histórico'!$A$1:$FG$983,MATCH($B$6,'Histórico'!$A:$A),FALSE),  HLOOKUP(AH122,'Histórico'!$A$1:$DD$990,MATCH($B$6,'Histórico'!$A:$A),FALSE))),"")</f>
        <v/>
      </c>
      <c r="AL122" s="243" t="str">
        <f t="shared" si="17"/>
        <v/>
      </c>
      <c r="AM122" s="53"/>
      <c r="AN122" s="245"/>
      <c r="AO122" s="242" t="str">
        <f>IF(ISTEXT(AN122),VLOOKUP(AN122,'Cadastro dos Ativos'!$A$2:$C$1000,3,0),"")</f>
        <v/>
      </c>
      <c r="AP122" s="242" t="str">
        <f>IF(AN122 &lt;&gt; "",IF(AO122="Futuros", (SUMIFS('Alocação'!$O$3:$O$1002,'Alocação'!$C$3:$C$1002,AN122,'Alocação'!$F$3:$F$1002,AN$9,'Alocação'!$B$3:$B$1002,"&lt;="&amp;$B$4)), (SUMIFS('Alocação'!$O$3:$O$1002,'Alocação'!$C$3:$C$1002,AN122,'Alocação'!$F$3:$F$1002,AN$9,'Alocação'!$B$3:$B$1002,"&lt;="&amp;$B$6))),"")</f>
        <v/>
      </c>
      <c r="AQ122" s="243" t="str">
        <f>iferror(IF(AO122="Ações Americanas", HLOOKUP(AN122,'Histórico'!$A$1:$DD$990,MATCH($B$6,'Histórico'!$A:$A),FALSE)*HLOOKUP("PTAX",'Histórico'!$A$1:$FG$983,MATCH($B$6,'Histórico'!$A:$A),FALSE),IF(AO122="Ações Europeias", HLOOKUP(AN122,'Histórico'!$A$1:$DD$990,MATCH($B$6,'Histórico'!$A:$A),FALSE)*HLOOKUP("EUR/BRL",'Histórico'!$A$1:$FG$983,MATCH($B$6,'Histórico'!$A:$A),FALSE),  HLOOKUP(AN122,'Histórico'!$A$1:$DD$990,MATCH($B$6,'Histórico'!$A:$A),FALSE))),"")</f>
        <v/>
      </c>
      <c r="AR122" s="243" t="str">
        <f t="shared" si="18"/>
        <v/>
      </c>
      <c r="AS122" s="53"/>
      <c r="AT122" s="245"/>
      <c r="AU122" s="242" t="str">
        <f>IF(ISTEXT(AT122),VLOOKUP(AT122,'Cadastro dos Ativos'!$A$2:$C$1000,3,0),"")</f>
        <v/>
      </c>
      <c r="AV122" s="242" t="str">
        <f>IF(AT122 &lt;&gt; "",IF(AU122="Futuros", (SUMIFS('Alocação'!$O$3:$O$1002,'Alocação'!$C$3:$C$1002,AT122,'Alocação'!$F$3:$F$1002,AT$9,'Alocação'!$B$3:$B$1002,"&lt;="&amp;$B$4)), (SUMIFS('Alocação'!$O$3:$O$1002,'Alocação'!$C$3:$C$1002,AT122,'Alocação'!$F$3:$F$1002,AT$9,'Alocação'!$B$3:$B$1002,"&lt;="&amp;$B$6))),"")</f>
        <v/>
      </c>
      <c r="AW122" s="243" t="str">
        <f>iferror(IF(AU122="Ações Americanas", HLOOKUP(AT122,'Histórico'!$A$1:$DD$990,MATCH($B$6,'Histórico'!$A:$A),FALSE)*HLOOKUP("PTAX",'Histórico'!$A$1:$FG$983,MATCH($B$6,'Histórico'!$A:$A),FALSE),IF(AU122="Ações Europeias", HLOOKUP(AT122,'Histórico'!$A$1:$DD$990,MATCH($B$6,'Histórico'!$A:$A),FALSE)*HLOOKUP("EUR/BRL",'Histórico'!$A$1:$FG$983,MATCH($B$6,'Histórico'!$A:$A),FALSE),  HLOOKUP(AT122,'Histórico'!$A$1:$DD$990,MATCH($B$6,'Histórico'!$A:$A),FALSE))),"")</f>
        <v/>
      </c>
      <c r="AX122" s="243" t="str">
        <f t="shared" si="27"/>
        <v/>
      </c>
      <c r="AY122" s="183"/>
    </row>
    <row r="123" ht="15.75" customHeight="1">
      <c r="A123" s="176"/>
      <c r="B123" s="232">
        <v>45168.0</v>
      </c>
      <c r="C123" s="246">
        <v>1.07267229003234E8</v>
      </c>
      <c r="D123" s="246">
        <v>1.169487441729337E8</v>
      </c>
      <c r="E123" s="247"/>
      <c r="F123" s="246">
        <v>1.121705559010179E8</v>
      </c>
      <c r="G123" s="246">
        <v>1.041125707579124E8</v>
      </c>
      <c r="H123" s="247"/>
      <c r="I123" s="246">
        <v>1.074280983424991E8</v>
      </c>
      <c r="J123" s="246">
        <v>6.981270633519466E7</v>
      </c>
      <c r="K123" s="247"/>
      <c r="L123" s="246">
        <v>1.029988129914422E8</v>
      </c>
      <c r="M123" s="246">
        <v>7.395852819623713E7</v>
      </c>
      <c r="N123" s="240">
        <f t="shared" si="9"/>
        <v>0.001626287827</v>
      </c>
      <c r="O123" s="240">
        <f t="shared" si="10"/>
        <v>0.001031329173</v>
      </c>
      <c r="P123" s="240">
        <f t="shared" si="11"/>
        <v>-0.002907537718</v>
      </c>
      <c r="Q123" s="240">
        <f t="shared" si="12"/>
        <v>-0.006378279874</v>
      </c>
      <c r="R123" s="236">
        <f t="shared" si="13"/>
        <v>105.6961443</v>
      </c>
      <c r="S123" s="177"/>
      <c r="T123" s="233">
        <f t="shared" ref="T123:U123" si="133">IF(AND(C123&lt;&gt;"",F123&lt;&gt;"",I123&lt;&gt;""), SUM(I123,F123,C123,L123),"")</f>
        <v>429864696.2</v>
      </c>
      <c r="U123" s="233">
        <f t="shared" si="133"/>
        <v>364832549.5</v>
      </c>
      <c r="V123" s="233">
        <f t="shared" si="6"/>
        <v>107.4661741</v>
      </c>
      <c r="W123" s="241">
        <f t="shared" si="15"/>
        <v>-0.001590304708</v>
      </c>
      <c r="X123" s="241">
        <f t="shared" si="16"/>
        <v>-0.008289145802</v>
      </c>
      <c r="Y123" s="241">
        <f t="shared" si="25"/>
        <v>0.00132585925</v>
      </c>
      <c r="Z123" s="233">
        <f t="shared" si="7"/>
        <v>105.6961443</v>
      </c>
      <c r="AA123" s="165"/>
      <c r="AB123" s="245"/>
      <c r="AC123" s="242" t="str">
        <f>IF(ISTEXT(AB123),VLOOKUP(AB123,'Cadastro dos Ativos'!$A$2:$C$1000,3,0),"")</f>
        <v/>
      </c>
      <c r="AD123" s="242" t="str">
        <f>IF(AB123 &lt;&gt; "",IF(AC123="Futuros", (SUMIFS('Alocação'!$O$3:$O$1002,'Alocação'!$C$3:$C$1002,AB123,'Alocação'!$F$3:$F$1002,AB$9,'Alocação'!$B$3:$B$1002,"&lt;="&amp;$B$4)), (SUMIFS('Alocação'!$O$3:$O$1002,'Alocação'!$C$3:$C$1002,AB123,'Alocação'!$F$3:$F$1002,AB$9,'Alocação'!$B$3:$B$1002,"&lt;="&amp;$B$6))),"")</f>
        <v/>
      </c>
      <c r="AE123" s="243" t="str">
        <f>iferror(IF(AC123="Ações Americanas", HLOOKUP(AB123,'Histórico'!$A$1:$DD$990,MATCH($B$6,'Histórico'!$A:$A),FALSE)*HLOOKUP("PTAX",'Histórico'!$A$1:$FG$983,MATCH($B$6,'Histórico'!$A:$A),FALSE),IF(AC123="Ações Europeias", HLOOKUP(AB123,'Histórico'!$A$1:$DD$990,MATCH($B$6,'Histórico'!$A:$A),FALSE)*HLOOKUP("EUR/BRL",'Histórico'!$A$1:$FG$983,MATCH($B$6,'Histórico'!$A:$A),FALSE), HLOOKUP(AB123,'Histórico'!$A$1:$DD$990,MATCH($B$6,'Histórico'!$A:$A),FALSE))),"")</f>
        <v/>
      </c>
      <c r="AF123" s="243" t="str">
        <f t="shared" si="21"/>
        <v/>
      </c>
      <c r="AG123" s="53"/>
      <c r="AH123" s="245"/>
      <c r="AI123" s="242" t="str">
        <f>IF(ISTEXT(AH123),VLOOKUP(AH123,'Cadastro dos Ativos'!$A$2:$C$1000,3,0),"")</f>
        <v/>
      </c>
      <c r="AJ123" s="242" t="str">
        <f>IF(AH123 &lt;&gt; "",IF(AI123="Futuros", (SUMIFS('Alocação'!$O$3:$O$1002,'Alocação'!$C$3:$C$1002,AH123,'Alocação'!$F$3:$F$1002,AH$9,'Alocação'!$B$3:$B$1002,"&lt;="&amp;$B$4)), (SUMIFS('Alocação'!$O$3:$O$1002,'Alocação'!$C$3:$C$1002,AH123,'Alocação'!$F$3:$F$1002,AH$9,'Alocação'!$B$3:$B$1002,"&lt;="&amp;$B$6))),"")</f>
        <v/>
      </c>
      <c r="AK123" s="243" t="str">
        <f>iferror(IF(AI123="Ações Americanas", HLOOKUP(AH123,'Histórico'!$A$1:$DD$990,MATCH($B$6,'Histórico'!$A:$A),FALSE)*HLOOKUP("PTAX",'Histórico'!$A$1:$FG$983,MATCH($B$6,'Histórico'!$A:$A),FALSE),IF(AI123="Ações Europeias", HLOOKUP(AH123,'Histórico'!$A$1:$DD$990,MATCH($B$6,'Histórico'!$A:$A),FALSE)*HLOOKUP("EUR/BRL",'Histórico'!$A$1:$FG$983,MATCH($B$6,'Histórico'!$A:$A),FALSE),  HLOOKUP(AH123,'Histórico'!$A$1:$DD$990,MATCH($B$6,'Histórico'!$A:$A),FALSE))),"")</f>
        <v/>
      </c>
      <c r="AL123" s="243" t="str">
        <f t="shared" si="17"/>
        <v/>
      </c>
      <c r="AM123" s="53"/>
      <c r="AN123" s="245"/>
      <c r="AO123" s="242" t="str">
        <f>IF(ISTEXT(AN123),VLOOKUP(AN123,'Cadastro dos Ativos'!$A$2:$C$1000,3,0),"")</f>
        <v/>
      </c>
      <c r="AP123" s="242" t="str">
        <f>IF(AN123 &lt;&gt; "",IF(AO123="Futuros", (SUMIFS('Alocação'!$O$3:$O$1002,'Alocação'!$C$3:$C$1002,AN123,'Alocação'!$F$3:$F$1002,AN$9,'Alocação'!$B$3:$B$1002,"&lt;="&amp;$B$4)), (SUMIFS('Alocação'!$O$3:$O$1002,'Alocação'!$C$3:$C$1002,AN123,'Alocação'!$F$3:$F$1002,AN$9,'Alocação'!$B$3:$B$1002,"&lt;="&amp;$B$6))),"")</f>
        <v/>
      </c>
      <c r="AQ123" s="243" t="str">
        <f>iferror(IF(AO123="Ações Americanas", HLOOKUP(AN123,'Histórico'!$A$1:$DD$990,MATCH($B$6,'Histórico'!$A:$A),FALSE)*HLOOKUP("PTAX",'Histórico'!$A$1:$FG$983,MATCH($B$6,'Histórico'!$A:$A),FALSE),IF(AO123="Ações Europeias", HLOOKUP(AN123,'Histórico'!$A$1:$DD$990,MATCH($B$6,'Histórico'!$A:$A),FALSE)*HLOOKUP("EUR/BRL",'Histórico'!$A$1:$FG$983,MATCH($B$6,'Histórico'!$A:$A),FALSE),  HLOOKUP(AN123,'Histórico'!$A$1:$DD$990,MATCH($B$6,'Histórico'!$A:$A),FALSE))),"")</f>
        <v/>
      </c>
      <c r="AR123" s="243" t="str">
        <f t="shared" si="18"/>
        <v/>
      </c>
      <c r="AS123" s="53"/>
      <c r="AT123" s="245"/>
      <c r="AU123" s="242" t="str">
        <f>IF(ISTEXT(AT123),VLOOKUP(AT123,'Cadastro dos Ativos'!$A$2:$C$1000,3,0),"")</f>
        <v/>
      </c>
      <c r="AV123" s="242" t="str">
        <f>IF(AT123 &lt;&gt; "",IF(AU123="Futuros", (SUMIFS('Alocação'!$O$3:$O$1002,'Alocação'!$C$3:$C$1002,AT123,'Alocação'!$F$3:$F$1002,AT$9,'Alocação'!$B$3:$B$1002,"&lt;="&amp;$B$4)), (SUMIFS('Alocação'!$O$3:$O$1002,'Alocação'!$C$3:$C$1002,AT123,'Alocação'!$F$3:$F$1002,AT$9,'Alocação'!$B$3:$B$1002,"&lt;="&amp;$B$6))),"")</f>
        <v/>
      </c>
      <c r="AW123" s="243" t="str">
        <f>iferror(IF(AU123="Ações Americanas", HLOOKUP(AT123,'Histórico'!$A$1:$DD$990,MATCH($B$6,'Histórico'!$A:$A),FALSE)*HLOOKUP("PTAX",'Histórico'!$A$1:$FG$983,MATCH($B$6,'Histórico'!$A:$A),FALSE),IF(AU123="Ações Europeias", HLOOKUP(AT123,'Histórico'!$A$1:$DD$990,MATCH($B$6,'Histórico'!$A:$A),FALSE)*HLOOKUP("EUR/BRL",'Histórico'!$A$1:$FG$983,MATCH($B$6,'Histórico'!$A:$A),FALSE),  HLOOKUP(AT123,'Histórico'!$A$1:$DD$990,MATCH($B$6,'Histórico'!$A:$A),FALSE))),"")</f>
        <v/>
      </c>
      <c r="AX123" s="243" t="str">
        <f t="shared" si="27"/>
        <v/>
      </c>
      <c r="AY123" s="183"/>
    </row>
    <row r="124" ht="15.75" customHeight="1">
      <c r="A124" s="176"/>
      <c r="B124" s="232">
        <v>45169.0</v>
      </c>
      <c r="C124" s="246">
        <v>1.080745590684136E8</v>
      </c>
      <c r="D124" s="246">
        <v>1.176209233508938E8</v>
      </c>
      <c r="E124" s="247"/>
      <c r="F124" s="246">
        <v>1.124674321681875E8</v>
      </c>
      <c r="G124" s="246">
        <v>1.045274465055993E8</v>
      </c>
      <c r="H124" s="247"/>
      <c r="I124" s="246">
        <v>1.076293645189255E8</v>
      </c>
      <c r="J124" s="246">
        <v>6.973506995955011E7</v>
      </c>
      <c r="K124" s="247"/>
      <c r="L124" s="246">
        <v>1.027595953120146E8</v>
      </c>
      <c r="M124" s="246">
        <v>7.39887097051211E7</v>
      </c>
      <c r="N124" s="240">
        <f t="shared" si="9"/>
        <v>0.007526343998</v>
      </c>
      <c r="O124" s="240">
        <f t="shared" si="10"/>
        <v>0.002646650583</v>
      </c>
      <c r="P124" s="240">
        <f t="shared" si="11"/>
        <v>0.001873496595</v>
      </c>
      <c r="Q124" s="240">
        <f t="shared" si="12"/>
        <v>-0.002322528508</v>
      </c>
      <c r="R124" s="236">
        <f t="shared" si="13"/>
        <v>105.7479745</v>
      </c>
      <c r="S124" s="177"/>
      <c r="T124" s="233">
        <f t="shared" ref="T124:U124" si="134">IF(AND(C124&lt;&gt;"",F124&lt;&gt;"",I124&lt;&gt;""), SUM(I124,F124,C124,L124),"")</f>
        <v>430930951.1</v>
      </c>
      <c r="U124" s="233">
        <f t="shared" si="134"/>
        <v>365872149.5</v>
      </c>
      <c r="V124" s="233">
        <f t="shared" si="6"/>
        <v>107.7327378</v>
      </c>
      <c r="W124" s="241">
        <f t="shared" si="15"/>
        <v>0.00248044289</v>
      </c>
      <c r="X124" s="241">
        <f t="shared" si="16"/>
        <v>-0.005829263665</v>
      </c>
      <c r="Y124" s="241">
        <f t="shared" si="25"/>
        <v>0.001747057081</v>
      </c>
      <c r="Z124" s="233">
        <f t="shared" si="7"/>
        <v>105.7479745</v>
      </c>
      <c r="AA124" s="165"/>
      <c r="AB124" s="245"/>
      <c r="AC124" s="242" t="str">
        <f>IF(ISTEXT(AB124),VLOOKUP(AB124,'Cadastro dos Ativos'!$A$2:$C$1000,3,0),"")</f>
        <v/>
      </c>
      <c r="AD124" s="242" t="str">
        <f>IF(AB124 &lt;&gt; "",IF(AC124="Futuros", (SUMIFS('Alocação'!$O$3:$O$1002,'Alocação'!$C$3:$C$1002,AB124,'Alocação'!$F$3:$F$1002,AB$9,'Alocação'!$B$3:$B$1002,"&lt;="&amp;$B$4)), (SUMIFS('Alocação'!$O$3:$O$1002,'Alocação'!$C$3:$C$1002,AB124,'Alocação'!$F$3:$F$1002,AB$9,'Alocação'!$B$3:$B$1002,"&lt;="&amp;$B$6))),"")</f>
        <v/>
      </c>
      <c r="AE124" s="243" t="str">
        <f>iferror(IF(AC124="Ações Americanas", HLOOKUP(AB124,'Histórico'!$A$1:$DD$990,MATCH($B$6,'Histórico'!$A:$A),FALSE)*HLOOKUP("PTAX",'Histórico'!$A$1:$FG$983,MATCH($B$6,'Histórico'!$A:$A),FALSE),IF(AC124="Ações Europeias", HLOOKUP(AB124,'Histórico'!$A$1:$DD$990,MATCH($B$6,'Histórico'!$A:$A),FALSE)*HLOOKUP("EUR/BRL",'Histórico'!$A$1:$FG$983,MATCH($B$6,'Histórico'!$A:$A),FALSE), HLOOKUP(AB124,'Histórico'!$A$1:$DD$990,MATCH($B$6,'Histórico'!$A:$A),FALSE))),"")</f>
        <v/>
      </c>
      <c r="AF124" s="243" t="str">
        <f t="shared" si="21"/>
        <v/>
      </c>
      <c r="AG124" s="53"/>
      <c r="AH124" s="245"/>
      <c r="AI124" s="242" t="str">
        <f>IF(ISTEXT(AH124),VLOOKUP(AH124,'Cadastro dos Ativos'!$A$2:$C$1000,3,0),"")</f>
        <v/>
      </c>
      <c r="AJ124" s="242" t="str">
        <f>IF(AH124 &lt;&gt; "",IF(AI124="Futuros", (SUMIFS('Alocação'!$O$3:$O$1002,'Alocação'!$C$3:$C$1002,AH124,'Alocação'!$F$3:$F$1002,AH$9,'Alocação'!$B$3:$B$1002,"&lt;="&amp;$B$4)), (SUMIFS('Alocação'!$O$3:$O$1002,'Alocação'!$C$3:$C$1002,AH124,'Alocação'!$F$3:$F$1002,AH$9,'Alocação'!$B$3:$B$1002,"&lt;="&amp;$B$6))),"")</f>
        <v/>
      </c>
      <c r="AK124" s="243" t="str">
        <f>iferror(IF(AI124="Ações Americanas", HLOOKUP(AH124,'Histórico'!$A$1:$DD$990,MATCH($B$6,'Histórico'!$A:$A),FALSE)*HLOOKUP("PTAX",'Histórico'!$A$1:$FG$983,MATCH($B$6,'Histórico'!$A:$A),FALSE),IF(AI124="Ações Europeias", HLOOKUP(AH124,'Histórico'!$A$1:$DD$990,MATCH($B$6,'Histórico'!$A:$A),FALSE)*HLOOKUP("EUR/BRL",'Histórico'!$A$1:$FG$983,MATCH($B$6,'Histórico'!$A:$A),FALSE),  HLOOKUP(AH124,'Histórico'!$A$1:$DD$990,MATCH($B$6,'Histórico'!$A:$A),FALSE))),"")</f>
        <v/>
      </c>
      <c r="AL124" s="243" t="str">
        <f t="shared" si="17"/>
        <v/>
      </c>
      <c r="AM124" s="53"/>
      <c r="AN124" s="245"/>
      <c r="AO124" s="242" t="str">
        <f>IF(ISTEXT(AN124),VLOOKUP(AN124,'Cadastro dos Ativos'!$A$2:$C$1000,3,0),"")</f>
        <v/>
      </c>
      <c r="AP124" s="242" t="str">
        <f>IF(AN124 &lt;&gt; "",IF(AO124="Futuros", (SUMIFS('Alocação'!$O$3:$O$1002,'Alocação'!$C$3:$C$1002,AN124,'Alocação'!$F$3:$F$1002,AN$9,'Alocação'!$B$3:$B$1002,"&lt;="&amp;$B$4)), (SUMIFS('Alocação'!$O$3:$O$1002,'Alocação'!$C$3:$C$1002,AN124,'Alocação'!$F$3:$F$1002,AN$9,'Alocação'!$B$3:$B$1002,"&lt;="&amp;$B$6))),"")</f>
        <v/>
      </c>
      <c r="AQ124" s="243" t="str">
        <f>iferror(IF(AO124="Ações Americanas", HLOOKUP(AN124,'Histórico'!$A$1:$DD$990,MATCH($B$6,'Histórico'!$A:$A),FALSE)*HLOOKUP("PTAX",'Histórico'!$A$1:$FG$983,MATCH($B$6,'Histórico'!$A:$A),FALSE),IF(AO124="Ações Europeias", HLOOKUP(AN124,'Histórico'!$A$1:$DD$990,MATCH($B$6,'Histórico'!$A:$A),FALSE)*HLOOKUP("EUR/BRL",'Histórico'!$A$1:$FG$983,MATCH($B$6,'Histórico'!$A:$A),FALSE),  HLOOKUP(AN124,'Histórico'!$A$1:$DD$990,MATCH($B$6,'Histórico'!$A:$A),FALSE))),"")</f>
        <v/>
      </c>
      <c r="AR124" s="243" t="str">
        <f t="shared" si="18"/>
        <v/>
      </c>
      <c r="AS124" s="53"/>
      <c r="AT124" s="245"/>
      <c r="AU124" s="242" t="str">
        <f>IF(ISTEXT(AT124),VLOOKUP(AT124,'Cadastro dos Ativos'!$A$2:$C$1000,3,0),"")</f>
        <v/>
      </c>
      <c r="AV124" s="242" t="str">
        <f>IF(AT124 &lt;&gt; "",IF(AU124="Futuros", (SUMIFS('Alocação'!$O$3:$O$1002,'Alocação'!$C$3:$C$1002,AT124,'Alocação'!$F$3:$F$1002,AT$9,'Alocação'!$B$3:$B$1002,"&lt;="&amp;$B$4)), (SUMIFS('Alocação'!$O$3:$O$1002,'Alocação'!$C$3:$C$1002,AT124,'Alocação'!$F$3:$F$1002,AT$9,'Alocação'!$B$3:$B$1002,"&lt;="&amp;$B$6))),"")</f>
        <v/>
      </c>
      <c r="AW124" s="243" t="str">
        <f>iferror(IF(AU124="Ações Americanas", HLOOKUP(AT124,'Histórico'!$A$1:$DD$990,MATCH($B$6,'Histórico'!$A:$A),FALSE)*HLOOKUP("PTAX",'Histórico'!$A$1:$FG$983,MATCH($B$6,'Histórico'!$A:$A),FALSE),IF(AU124="Ações Europeias", HLOOKUP(AT124,'Histórico'!$A$1:$DD$990,MATCH($B$6,'Histórico'!$A:$A),FALSE)*HLOOKUP("EUR/BRL",'Histórico'!$A$1:$FG$983,MATCH($B$6,'Histórico'!$A:$A),FALSE),  HLOOKUP(AT124,'Histórico'!$A$1:$DD$990,MATCH($B$6,'Histórico'!$A:$A),FALSE))),"")</f>
        <v/>
      </c>
      <c r="AX124" s="243" t="str">
        <f t="shared" si="27"/>
        <v/>
      </c>
      <c r="AY124" s="183"/>
    </row>
    <row r="125" ht="15.75" customHeight="1">
      <c r="A125" s="176"/>
      <c r="B125" s="232">
        <v>45170.0</v>
      </c>
      <c r="C125" s="246">
        <v>1.0797795050603873E8</v>
      </c>
      <c r="D125" s="246">
        <v>1.1767221569543844E8</v>
      </c>
      <c r="E125" s="247"/>
      <c r="F125" s="246">
        <v>1.1243387186954586E8</v>
      </c>
      <c r="G125" s="246">
        <v>1.0436488655540554E8</v>
      </c>
      <c r="H125" s="247"/>
      <c r="I125" s="246">
        <v>1.081810630169854E8</v>
      </c>
      <c r="J125" s="246">
        <v>7.466161133183765E7</v>
      </c>
      <c r="K125" s="247"/>
      <c r="L125" s="246">
        <v>1.0369950540333313E8</v>
      </c>
      <c r="M125" s="246">
        <v>7.401892014793915E7</v>
      </c>
      <c r="N125" s="240">
        <f t="shared" si="9"/>
        <v>-0.0008939066068</v>
      </c>
      <c r="O125" s="240">
        <f t="shared" si="10"/>
        <v>-0.0002984001501</v>
      </c>
      <c r="P125" s="240">
        <f t="shared" si="11"/>
        <v>0.005125910578</v>
      </c>
      <c r="Q125" s="240">
        <f t="shared" si="12"/>
        <v>0.009146689304</v>
      </c>
      <c r="R125" s="236">
        <f t="shared" si="13"/>
        <v>105.7998301</v>
      </c>
      <c r="S125" s="177"/>
      <c r="T125" s="233">
        <f t="shared" ref="T125:U125" si="135">IF(AND(C125&lt;&gt;"",F125&lt;&gt;"",I125&lt;&gt;""), SUM(I125,F125,C125,L125),"")</f>
        <v>432292390.8</v>
      </c>
      <c r="U125" s="233">
        <f t="shared" si="135"/>
        <v>370717633.7</v>
      </c>
      <c r="V125" s="233">
        <f t="shared" si="6"/>
        <v>108.0730977</v>
      </c>
      <c r="W125" s="241">
        <f t="shared" si="15"/>
        <v>0.003159299013</v>
      </c>
      <c r="X125" s="241">
        <f t="shared" si="16"/>
        <v>-0.002688381039</v>
      </c>
      <c r="Y125" s="241">
        <f t="shared" si="25"/>
        <v>0.002028271323</v>
      </c>
      <c r="Z125" s="233">
        <f t="shared" si="7"/>
        <v>105.7998301</v>
      </c>
      <c r="AA125" s="165"/>
      <c r="AB125" s="245"/>
      <c r="AC125" s="242" t="str">
        <f>IF(ISTEXT(AB125),VLOOKUP(AB125,'Cadastro dos Ativos'!$A$2:$C$1000,3,0),"")</f>
        <v/>
      </c>
      <c r="AD125" s="242" t="str">
        <f>IF(AB125 &lt;&gt; "",IF(AC125="Futuros", (SUMIFS('Alocação'!$O$3:$O$1002,'Alocação'!$C$3:$C$1002,AB125,'Alocação'!$F$3:$F$1002,AB$9,'Alocação'!$B$3:$B$1002,"&lt;="&amp;$B$4)), (SUMIFS('Alocação'!$O$3:$O$1002,'Alocação'!$C$3:$C$1002,AB125,'Alocação'!$F$3:$F$1002,AB$9,'Alocação'!$B$3:$B$1002,"&lt;="&amp;$B$6))),"")</f>
        <v/>
      </c>
      <c r="AE125" s="243" t="str">
        <f>iferror(IF(AC125="Ações Americanas", HLOOKUP(AB125,'Histórico'!$A$1:$DD$990,MATCH($B$6,'Histórico'!$A:$A),FALSE)*HLOOKUP("PTAX",'Histórico'!$A$1:$FG$983,MATCH($B$6,'Histórico'!$A:$A),FALSE),IF(AC125="Ações Europeias", HLOOKUP(AB125,'Histórico'!$A$1:$DD$990,MATCH($B$6,'Histórico'!$A:$A),FALSE)*HLOOKUP("EUR/BRL",'Histórico'!$A$1:$FG$983,MATCH($B$6,'Histórico'!$A:$A),FALSE), HLOOKUP(AB125,'Histórico'!$A$1:$DD$990,MATCH($B$6,'Histórico'!$A:$A),FALSE))),"")</f>
        <v/>
      </c>
      <c r="AF125" s="243" t="str">
        <f t="shared" si="21"/>
        <v/>
      </c>
      <c r="AG125" s="53"/>
      <c r="AH125" s="245"/>
      <c r="AI125" s="242" t="str">
        <f>IF(ISTEXT(AH125),VLOOKUP(AH125,'Cadastro dos Ativos'!$A$2:$C$1000,3,0),"")</f>
        <v/>
      </c>
      <c r="AJ125" s="242" t="str">
        <f>IF(AH125 &lt;&gt; "",IF(AI125="Futuros", (SUMIFS('Alocação'!$O$3:$O$1002,'Alocação'!$C$3:$C$1002,AH125,'Alocação'!$F$3:$F$1002,AH$9,'Alocação'!$B$3:$B$1002,"&lt;="&amp;$B$4)), (SUMIFS('Alocação'!$O$3:$O$1002,'Alocação'!$C$3:$C$1002,AH125,'Alocação'!$F$3:$F$1002,AH$9,'Alocação'!$B$3:$B$1002,"&lt;="&amp;$B$6))),"")</f>
        <v/>
      </c>
      <c r="AK125" s="243" t="str">
        <f>iferror(IF(AI125="Ações Americanas", HLOOKUP(AH125,'Histórico'!$A$1:$DD$990,MATCH($B$6,'Histórico'!$A:$A),FALSE)*HLOOKUP("PTAX",'Histórico'!$A$1:$FG$983,MATCH($B$6,'Histórico'!$A:$A),FALSE),IF(AI125="Ações Europeias", HLOOKUP(AH125,'Histórico'!$A$1:$DD$990,MATCH($B$6,'Histórico'!$A:$A),FALSE)*HLOOKUP("EUR/BRL",'Histórico'!$A$1:$FG$983,MATCH($B$6,'Histórico'!$A:$A),FALSE),  HLOOKUP(AH125,'Histórico'!$A$1:$DD$990,MATCH($B$6,'Histórico'!$A:$A),FALSE))),"")</f>
        <v/>
      </c>
      <c r="AL125" s="243" t="str">
        <f t="shared" si="17"/>
        <v/>
      </c>
      <c r="AM125" s="53"/>
      <c r="AN125" s="245"/>
      <c r="AO125" s="242" t="str">
        <f>IF(ISTEXT(AN125),VLOOKUP(AN125,'Cadastro dos Ativos'!$A$2:$C$1000,3,0),"")</f>
        <v/>
      </c>
      <c r="AP125" s="242" t="str">
        <f>IF(AN125 &lt;&gt; "",IF(AO125="Futuros", (SUMIFS('Alocação'!$O$3:$O$1002,'Alocação'!$C$3:$C$1002,AN125,'Alocação'!$F$3:$F$1002,AN$9,'Alocação'!$B$3:$B$1002,"&lt;="&amp;$B$4)), (SUMIFS('Alocação'!$O$3:$O$1002,'Alocação'!$C$3:$C$1002,AN125,'Alocação'!$F$3:$F$1002,AN$9,'Alocação'!$B$3:$B$1002,"&lt;="&amp;$B$6))),"")</f>
        <v/>
      </c>
      <c r="AQ125" s="243" t="str">
        <f>iferror(IF(AO125="Ações Americanas", HLOOKUP(AN125,'Histórico'!$A$1:$DD$990,MATCH($B$6,'Histórico'!$A:$A),FALSE)*HLOOKUP("PTAX",'Histórico'!$A$1:$FG$983,MATCH($B$6,'Histórico'!$A:$A),FALSE),IF(AO125="Ações Europeias", HLOOKUP(AN125,'Histórico'!$A$1:$DD$990,MATCH($B$6,'Histórico'!$A:$A),FALSE)*HLOOKUP("EUR/BRL",'Histórico'!$A$1:$FG$983,MATCH($B$6,'Histórico'!$A:$A),FALSE),  HLOOKUP(AN125,'Histórico'!$A$1:$DD$990,MATCH($B$6,'Histórico'!$A:$A),FALSE))),"")</f>
        <v/>
      </c>
      <c r="AR125" s="243" t="str">
        <f t="shared" si="18"/>
        <v/>
      </c>
      <c r="AS125" s="53"/>
      <c r="AT125" s="245"/>
      <c r="AU125" s="242" t="str">
        <f>IF(ISTEXT(AT125),VLOOKUP(AT125,'Cadastro dos Ativos'!$A$2:$C$1000,3,0),"")</f>
        <v/>
      </c>
      <c r="AV125" s="242" t="str">
        <f>IF(AT125 &lt;&gt; "",IF(AU125="Futuros", (SUMIFS('Alocação'!$O$3:$O$1002,'Alocação'!$C$3:$C$1002,AT125,'Alocação'!$F$3:$F$1002,AT$9,'Alocação'!$B$3:$B$1002,"&lt;="&amp;$B$4)), (SUMIFS('Alocação'!$O$3:$O$1002,'Alocação'!$C$3:$C$1002,AT125,'Alocação'!$F$3:$F$1002,AT$9,'Alocação'!$B$3:$B$1002,"&lt;="&amp;$B$6))),"")</f>
        <v/>
      </c>
      <c r="AW125" s="243" t="str">
        <f>iferror(IF(AU125="Ações Americanas", HLOOKUP(AT125,'Histórico'!$A$1:$DD$990,MATCH($B$6,'Histórico'!$A:$A),FALSE)*HLOOKUP("PTAX",'Histórico'!$A$1:$FG$983,MATCH($B$6,'Histórico'!$A:$A),FALSE),IF(AU125="Ações Europeias", HLOOKUP(AT125,'Histórico'!$A$1:$DD$990,MATCH($B$6,'Histórico'!$A:$A),FALSE)*HLOOKUP("EUR/BRL",'Histórico'!$A$1:$FG$983,MATCH($B$6,'Histórico'!$A:$A),FALSE),  HLOOKUP(AT125,'Histórico'!$A$1:$DD$990,MATCH($B$6,'Histórico'!$A:$A),FALSE))),"")</f>
        <v/>
      </c>
      <c r="AX125" s="243" t="str">
        <f t="shared" si="27"/>
        <v/>
      </c>
      <c r="AY125" s="183"/>
    </row>
    <row r="126" ht="15.75" customHeight="1">
      <c r="A126" s="176"/>
      <c r="B126" s="232">
        <v>45173.0</v>
      </c>
      <c r="C126" s="233"/>
      <c r="D126" s="233"/>
      <c r="E126" s="234"/>
      <c r="F126" s="233"/>
      <c r="G126" s="233"/>
      <c r="H126" s="234"/>
      <c r="I126" s="233"/>
      <c r="J126" s="233"/>
      <c r="K126" s="234"/>
      <c r="L126" s="233"/>
      <c r="M126" s="233"/>
      <c r="N126" s="240" t="str">
        <f t="shared" si="9"/>
        <v/>
      </c>
      <c r="O126" s="240" t="str">
        <f t="shared" si="10"/>
        <v/>
      </c>
      <c r="P126" s="240" t="str">
        <f t="shared" si="11"/>
        <v/>
      </c>
      <c r="Q126" s="240" t="str">
        <f t="shared" si="12"/>
        <v/>
      </c>
      <c r="R126" s="236" t="str">
        <f t="shared" si="13"/>
        <v/>
      </c>
      <c r="S126" s="177"/>
      <c r="T126" s="233" t="str">
        <f t="shared" ref="T126:U126" si="136">IF(AND(C126&lt;&gt;"",F126&lt;&gt;"",I126&lt;&gt;""), SUM(I126,F126,C126,L126),"")</f>
        <v/>
      </c>
      <c r="U126" s="233" t="str">
        <f t="shared" si="136"/>
        <v/>
      </c>
      <c r="V126" s="233" t="str">
        <f t="shared" si="6"/>
        <v/>
      </c>
      <c r="W126" s="241" t="str">
        <f t="shared" si="15"/>
        <v/>
      </c>
      <c r="X126" s="241" t="str">
        <f t="shared" si="16"/>
        <v/>
      </c>
      <c r="Y126" s="241" t="str">
        <f t="shared" si="25"/>
        <v/>
      </c>
      <c r="Z126" s="233" t="str">
        <f t="shared" si="7"/>
        <v/>
      </c>
      <c r="AA126" s="165"/>
      <c r="AB126" s="245"/>
      <c r="AC126" s="242" t="str">
        <f>IF(ISTEXT(AB126),VLOOKUP(AB126,'Cadastro dos Ativos'!$A$2:$C$1000,3,0),"")</f>
        <v/>
      </c>
      <c r="AD126" s="242" t="str">
        <f>IF(AB126 &lt;&gt; "",IF(AC126="Futuros", (SUMIFS('Alocação'!$O$3:$O$1002,'Alocação'!$C$3:$C$1002,AB126,'Alocação'!$F$3:$F$1002,AB$9,'Alocação'!$B$3:$B$1002,"&lt;="&amp;$B$4)), (SUMIFS('Alocação'!$O$3:$O$1002,'Alocação'!$C$3:$C$1002,AB126,'Alocação'!$F$3:$F$1002,AB$9,'Alocação'!$B$3:$B$1002,"&lt;="&amp;$B$6))),"")</f>
        <v/>
      </c>
      <c r="AE126" s="243" t="str">
        <f>iferror(IF(AC126="Ações Americanas", HLOOKUP(AB126,'Histórico'!$A$1:$DD$990,MATCH($B$6,'Histórico'!$A:$A),FALSE)*HLOOKUP("PTAX",'Histórico'!$A$1:$FG$983,MATCH($B$6,'Histórico'!$A:$A),FALSE),IF(AC126="Ações Europeias", HLOOKUP(AB126,'Histórico'!$A$1:$DD$990,MATCH($B$6,'Histórico'!$A:$A),FALSE)*HLOOKUP("EUR/BRL",'Histórico'!$A$1:$FG$983,MATCH($B$6,'Histórico'!$A:$A),FALSE), HLOOKUP(AB126,'Histórico'!$A$1:$DD$990,MATCH($B$6,'Histórico'!$A:$A),FALSE))),"")</f>
        <v/>
      </c>
      <c r="AF126" s="243" t="str">
        <f t="shared" si="21"/>
        <v/>
      </c>
      <c r="AG126" s="53"/>
      <c r="AH126" s="245"/>
      <c r="AI126" s="242" t="str">
        <f>IF(ISTEXT(AH126),VLOOKUP(AH126,'Cadastro dos Ativos'!$A$2:$C$1000,3,0),"")</f>
        <v/>
      </c>
      <c r="AJ126" s="242" t="str">
        <f>IF(AH126 &lt;&gt; "",IF(AI126="Futuros", (SUMIFS('Alocação'!$O$3:$O$1002,'Alocação'!$C$3:$C$1002,AH126,'Alocação'!$F$3:$F$1002,AH$9,'Alocação'!$B$3:$B$1002,"&lt;="&amp;$B$4)), (SUMIFS('Alocação'!$O$3:$O$1002,'Alocação'!$C$3:$C$1002,AH126,'Alocação'!$F$3:$F$1002,AH$9,'Alocação'!$B$3:$B$1002,"&lt;="&amp;$B$6))),"")</f>
        <v/>
      </c>
      <c r="AK126" s="243" t="str">
        <f>iferror(IF(AI126="Ações Americanas", HLOOKUP(AH126,'Histórico'!$A$1:$DD$990,MATCH($B$6,'Histórico'!$A:$A),FALSE)*HLOOKUP("PTAX",'Histórico'!$A$1:$FG$983,MATCH($B$6,'Histórico'!$A:$A),FALSE),IF(AI126="Ações Europeias", HLOOKUP(AH126,'Histórico'!$A$1:$DD$990,MATCH($B$6,'Histórico'!$A:$A),FALSE)*HLOOKUP("EUR/BRL",'Histórico'!$A$1:$FG$983,MATCH($B$6,'Histórico'!$A:$A),FALSE),  HLOOKUP(AH126,'Histórico'!$A$1:$DD$990,MATCH($B$6,'Histórico'!$A:$A),FALSE))),"")</f>
        <v/>
      </c>
      <c r="AL126" s="243" t="str">
        <f t="shared" si="17"/>
        <v/>
      </c>
      <c r="AM126" s="53"/>
      <c r="AN126" s="245"/>
      <c r="AO126" s="242" t="str">
        <f>IF(ISTEXT(AN126),VLOOKUP(AN126,'Cadastro dos Ativos'!$A$2:$C$1000,3,0),"")</f>
        <v/>
      </c>
      <c r="AP126" s="242" t="str">
        <f>IF(AN126 &lt;&gt; "",IF(AO126="Futuros", (SUMIFS('Alocação'!$O$3:$O$1002,'Alocação'!$C$3:$C$1002,AN126,'Alocação'!$F$3:$F$1002,AN$9,'Alocação'!$B$3:$B$1002,"&lt;="&amp;$B$4)), (SUMIFS('Alocação'!$O$3:$O$1002,'Alocação'!$C$3:$C$1002,AN126,'Alocação'!$F$3:$F$1002,AN$9,'Alocação'!$B$3:$B$1002,"&lt;="&amp;$B$6))),"")</f>
        <v/>
      </c>
      <c r="AQ126" s="243" t="str">
        <f>iferror(IF(AO126="Ações Americanas", HLOOKUP(AN126,'Histórico'!$A$1:$DD$990,MATCH($B$6,'Histórico'!$A:$A),FALSE)*HLOOKUP("PTAX",'Histórico'!$A$1:$FG$983,MATCH($B$6,'Histórico'!$A:$A),FALSE),IF(AO126="Ações Europeias", HLOOKUP(AN126,'Histórico'!$A$1:$DD$990,MATCH($B$6,'Histórico'!$A:$A),FALSE)*HLOOKUP("EUR/BRL",'Histórico'!$A$1:$FG$983,MATCH($B$6,'Histórico'!$A:$A),FALSE),  HLOOKUP(AN126,'Histórico'!$A$1:$DD$990,MATCH($B$6,'Histórico'!$A:$A),FALSE))),"")</f>
        <v/>
      </c>
      <c r="AR126" s="243" t="str">
        <f t="shared" si="18"/>
        <v/>
      </c>
      <c r="AS126" s="53"/>
      <c r="AT126" s="245"/>
      <c r="AU126" s="242" t="str">
        <f>IF(ISTEXT(AT126),VLOOKUP(AT126,'Cadastro dos Ativos'!$A$2:$C$1000,3,0),"")</f>
        <v/>
      </c>
      <c r="AV126" s="242" t="str">
        <f>IF(AT126 &lt;&gt; "",IF(AU126="Futuros", (SUMIFS('Alocação'!$O$3:$O$1002,'Alocação'!$C$3:$C$1002,AT126,'Alocação'!$F$3:$F$1002,AT$9,'Alocação'!$B$3:$B$1002,"&lt;="&amp;$B$4)), (SUMIFS('Alocação'!$O$3:$O$1002,'Alocação'!$C$3:$C$1002,AT126,'Alocação'!$F$3:$F$1002,AT$9,'Alocação'!$B$3:$B$1002,"&lt;="&amp;$B$6))),"")</f>
        <v/>
      </c>
      <c r="AW126" s="243" t="str">
        <f>iferror(IF(AU126="Ações Americanas", HLOOKUP(AT126,'Histórico'!$A$1:$DD$990,MATCH($B$6,'Histórico'!$A:$A),FALSE)*HLOOKUP("PTAX",'Histórico'!$A$1:$FG$983,MATCH($B$6,'Histórico'!$A:$A),FALSE),IF(AU126="Ações Europeias", HLOOKUP(AT126,'Histórico'!$A$1:$DD$990,MATCH($B$6,'Histórico'!$A:$A),FALSE)*HLOOKUP("EUR/BRL",'Histórico'!$A$1:$FG$983,MATCH($B$6,'Histórico'!$A:$A),FALSE),  HLOOKUP(AT126,'Histórico'!$A$1:$DD$990,MATCH($B$6,'Histórico'!$A:$A),FALSE))),"")</f>
        <v/>
      </c>
      <c r="AX126" s="243" t="str">
        <f t="shared" si="27"/>
        <v/>
      </c>
      <c r="AY126" s="183"/>
    </row>
    <row r="127" ht="15.75" customHeight="1">
      <c r="A127" s="176"/>
      <c r="B127" s="232">
        <v>45174.0</v>
      </c>
      <c r="C127" s="233"/>
      <c r="D127" s="233"/>
      <c r="E127" s="234"/>
      <c r="F127" s="233"/>
      <c r="G127" s="233"/>
      <c r="H127" s="234"/>
      <c r="I127" s="233"/>
      <c r="J127" s="233"/>
      <c r="K127" s="234"/>
      <c r="L127" s="233"/>
      <c r="M127" s="233"/>
      <c r="N127" s="240" t="str">
        <f t="shared" si="9"/>
        <v/>
      </c>
      <c r="O127" s="240" t="str">
        <f t="shared" si="10"/>
        <v/>
      </c>
      <c r="P127" s="240" t="str">
        <f t="shared" si="11"/>
        <v/>
      </c>
      <c r="Q127" s="240" t="str">
        <f t="shared" si="12"/>
        <v/>
      </c>
      <c r="R127" s="236" t="str">
        <f t="shared" si="13"/>
        <v/>
      </c>
      <c r="S127" s="177"/>
      <c r="T127" s="233" t="str">
        <f t="shared" ref="T127:U127" si="137">IF(AND(C127&lt;&gt;"",F127&lt;&gt;"",I127&lt;&gt;""), SUM(I127,F127,C127,L127),"")</f>
        <v/>
      </c>
      <c r="U127" s="233" t="str">
        <f t="shared" si="137"/>
        <v/>
      </c>
      <c r="V127" s="233" t="str">
        <f t="shared" si="6"/>
        <v/>
      </c>
      <c r="W127" s="241" t="str">
        <f t="shared" si="15"/>
        <v/>
      </c>
      <c r="X127" s="241" t="str">
        <f t="shared" si="16"/>
        <v/>
      </c>
      <c r="Y127" s="241" t="str">
        <f t="shared" si="25"/>
        <v/>
      </c>
      <c r="Z127" s="233" t="str">
        <f t="shared" si="7"/>
        <v/>
      </c>
      <c r="AA127" s="165"/>
      <c r="AB127" s="245"/>
      <c r="AC127" s="242" t="str">
        <f>IF(ISTEXT(AB127),VLOOKUP(AB127,'Cadastro dos Ativos'!$A$2:$C$1000,3,0),"")</f>
        <v/>
      </c>
      <c r="AD127" s="242" t="str">
        <f>IF(AB127 &lt;&gt; "",IF(AC127="Futuros", (SUMIFS('Alocação'!$O$3:$O$1002,'Alocação'!$C$3:$C$1002,AB127,'Alocação'!$F$3:$F$1002,AB$9,'Alocação'!$B$3:$B$1002,"&lt;="&amp;$B$4)), (SUMIFS('Alocação'!$O$3:$O$1002,'Alocação'!$C$3:$C$1002,AB127,'Alocação'!$F$3:$F$1002,AB$9,'Alocação'!$B$3:$B$1002,"&lt;="&amp;$B$6))),"")</f>
        <v/>
      </c>
      <c r="AE127" s="243" t="str">
        <f>iferror(IF(AC127="Ações Americanas", HLOOKUP(AB127,'Histórico'!$A$1:$DD$990,MATCH($B$6,'Histórico'!$A:$A),FALSE)*HLOOKUP("PTAX",'Histórico'!$A$1:$FG$983,MATCH($B$6,'Histórico'!$A:$A),FALSE),IF(AC127="Ações Europeias", HLOOKUP(AB127,'Histórico'!$A$1:$DD$990,MATCH($B$6,'Histórico'!$A:$A),FALSE)*HLOOKUP("EUR/BRL",'Histórico'!$A$1:$FG$983,MATCH($B$6,'Histórico'!$A:$A),FALSE), HLOOKUP(AB127,'Histórico'!$A$1:$DD$990,MATCH($B$6,'Histórico'!$A:$A),FALSE))),"")</f>
        <v/>
      </c>
      <c r="AF127" s="243" t="str">
        <f t="shared" si="21"/>
        <v/>
      </c>
      <c r="AG127" s="53"/>
      <c r="AH127" s="245"/>
      <c r="AI127" s="242" t="str">
        <f>IF(ISTEXT(AH127),VLOOKUP(AH127,'Cadastro dos Ativos'!$A$2:$C$1000,3,0),"")</f>
        <v/>
      </c>
      <c r="AJ127" s="242" t="str">
        <f>IF(AH127 &lt;&gt; "",IF(AI127="Futuros", (SUMIFS('Alocação'!$O$3:$O$1002,'Alocação'!$C$3:$C$1002,AH127,'Alocação'!$F$3:$F$1002,AH$9,'Alocação'!$B$3:$B$1002,"&lt;="&amp;$B$4)), (SUMIFS('Alocação'!$O$3:$O$1002,'Alocação'!$C$3:$C$1002,AH127,'Alocação'!$F$3:$F$1002,AH$9,'Alocação'!$B$3:$B$1002,"&lt;="&amp;$B$6))),"")</f>
        <v/>
      </c>
      <c r="AK127" s="243" t="str">
        <f>iferror(IF(AI127="Ações Americanas", HLOOKUP(AH127,'Histórico'!$A$1:$DD$990,MATCH($B$6,'Histórico'!$A:$A),FALSE)*HLOOKUP("PTAX",'Histórico'!$A$1:$FG$983,MATCH($B$6,'Histórico'!$A:$A),FALSE),IF(AI127="Ações Europeias", HLOOKUP(AH127,'Histórico'!$A$1:$DD$990,MATCH($B$6,'Histórico'!$A:$A),FALSE)*HLOOKUP("EUR/BRL",'Histórico'!$A$1:$FG$983,MATCH($B$6,'Histórico'!$A:$A),FALSE),  HLOOKUP(AH127,'Histórico'!$A$1:$DD$990,MATCH($B$6,'Histórico'!$A:$A),FALSE))),"")</f>
        <v/>
      </c>
      <c r="AL127" s="243" t="str">
        <f t="shared" si="17"/>
        <v/>
      </c>
      <c r="AM127" s="53"/>
      <c r="AN127" s="245"/>
      <c r="AO127" s="242" t="str">
        <f>IF(ISTEXT(AN127),VLOOKUP(AN127,'Cadastro dos Ativos'!$A$2:$C$1000,3,0),"")</f>
        <v/>
      </c>
      <c r="AP127" s="242" t="str">
        <f>IF(AN127 &lt;&gt; "",IF(AO127="Futuros", (SUMIFS('Alocação'!$O$3:$O$1002,'Alocação'!$C$3:$C$1002,AN127,'Alocação'!$F$3:$F$1002,AN$9,'Alocação'!$B$3:$B$1002,"&lt;="&amp;$B$4)), (SUMIFS('Alocação'!$O$3:$O$1002,'Alocação'!$C$3:$C$1002,AN127,'Alocação'!$F$3:$F$1002,AN$9,'Alocação'!$B$3:$B$1002,"&lt;="&amp;$B$6))),"")</f>
        <v/>
      </c>
      <c r="AQ127" s="243" t="str">
        <f>iferror(IF(AO127="Ações Americanas", HLOOKUP(AN127,'Histórico'!$A$1:$DD$990,MATCH($B$6,'Histórico'!$A:$A),FALSE)*HLOOKUP("PTAX",'Histórico'!$A$1:$FG$983,MATCH($B$6,'Histórico'!$A:$A),FALSE),IF(AO127="Ações Europeias", HLOOKUP(AN127,'Histórico'!$A$1:$DD$990,MATCH($B$6,'Histórico'!$A:$A),FALSE)*HLOOKUP("EUR/BRL",'Histórico'!$A$1:$FG$983,MATCH($B$6,'Histórico'!$A:$A),FALSE),  HLOOKUP(AN127,'Histórico'!$A$1:$DD$990,MATCH($B$6,'Histórico'!$A:$A),FALSE))),"")</f>
        <v/>
      </c>
      <c r="AR127" s="243" t="str">
        <f t="shared" si="18"/>
        <v/>
      </c>
      <c r="AS127" s="53"/>
      <c r="AT127" s="245"/>
      <c r="AU127" s="242" t="str">
        <f>IF(ISTEXT(AT127),VLOOKUP(AT127,'Cadastro dos Ativos'!$A$2:$C$1000,3,0),"")</f>
        <v/>
      </c>
      <c r="AV127" s="242" t="str">
        <f>IF(AT127 &lt;&gt; "",IF(AU127="Futuros", (SUMIFS('Alocação'!$O$3:$O$1002,'Alocação'!$C$3:$C$1002,AT127,'Alocação'!$F$3:$F$1002,AT$9,'Alocação'!$B$3:$B$1002,"&lt;="&amp;$B$4)), (SUMIFS('Alocação'!$O$3:$O$1002,'Alocação'!$C$3:$C$1002,AT127,'Alocação'!$F$3:$F$1002,AT$9,'Alocação'!$B$3:$B$1002,"&lt;="&amp;$B$6))),"")</f>
        <v/>
      </c>
      <c r="AW127" s="243" t="str">
        <f>iferror(IF(AU127="Ações Americanas", HLOOKUP(AT127,'Histórico'!$A$1:$DD$990,MATCH($B$6,'Histórico'!$A:$A),FALSE)*HLOOKUP("PTAX",'Histórico'!$A$1:$FG$983,MATCH($B$6,'Histórico'!$A:$A),FALSE),IF(AU127="Ações Europeias", HLOOKUP(AT127,'Histórico'!$A$1:$DD$990,MATCH($B$6,'Histórico'!$A:$A),FALSE)*HLOOKUP("EUR/BRL",'Histórico'!$A$1:$FG$983,MATCH($B$6,'Histórico'!$A:$A),FALSE),  HLOOKUP(AT127,'Histórico'!$A$1:$DD$990,MATCH($B$6,'Histórico'!$A:$A),FALSE))),"")</f>
        <v/>
      </c>
      <c r="AX127" s="243" t="str">
        <f t="shared" si="27"/>
        <v/>
      </c>
      <c r="AY127" s="183"/>
    </row>
    <row r="128" ht="15.75" customHeight="1">
      <c r="A128" s="176"/>
      <c r="B128" s="232">
        <v>45175.0</v>
      </c>
      <c r="C128" s="233"/>
      <c r="D128" s="233"/>
      <c r="E128" s="234"/>
      <c r="F128" s="233"/>
      <c r="G128" s="233"/>
      <c r="H128" s="234"/>
      <c r="I128" s="233"/>
      <c r="J128" s="233"/>
      <c r="K128" s="234"/>
      <c r="L128" s="233"/>
      <c r="M128" s="233"/>
      <c r="N128" s="240" t="str">
        <f t="shared" si="9"/>
        <v/>
      </c>
      <c r="O128" s="240" t="str">
        <f t="shared" si="10"/>
        <v/>
      </c>
      <c r="P128" s="240" t="str">
        <f t="shared" si="11"/>
        <v/>
      </c>
      <c r="Q128" s="240" t="str">
        <f t="shared" si="12"/>
        <v/>
      </c>
      <c r="R128" s="236" t="str">
        <f t="shared" si="13"/>
        <v/>
      </c>
      <c r="S128" s="177"/>
      <c r="T128" s="233" t="str">
        <f t="shared" ref="T128:U128" si="138">IF(AND(C128&lt;&gt;"",F128&lt;&gt;"",I128&lt;&gt;""), SUM(I128,F128,C128,L128),"")</f>
        <v/>
      </c>
      <c r="U128" s="233" t="str">
        <f t="shared" si="138"/>
        <v/>
      </c>
      <c r="V128" s="233" t="str">
        <f t="shared" si="6"/>
        <v/>
      </c>
      <c r="W128" s="241" t="str">
        <f t="shared" si="15"/>
        <v/>
      </c>
      <c r="X128" s="241" t="str">
        <f t="shared" si="16"/>
        <v/>
      </c>
      <c r="Y128" s="241" t="str">
        <f t="shared" si="25"/>
        <v/>
      </c>
      <c r="Z128" s="233" t="str">
        <f t="shared" si="7"/>
        <v/>
      </c>
      <c r="AA128" s="165"/>
      <c r="AB128" s="245"/>
      <c r="AC128" s="242" t="str">
        <f>IF(ISTEXT(AB128),VLOOKUP(AB128,'Cadastro dos Ativos'!$A$2:$C$1000,3,0),"")</f>
        <v/>
      </c>
      <c r="AD128" s="242" t="str">
        <f>IF(AB128 &lt;&gt; "",IF(AC128="Futuros", (SUMIFS('Alocação'!$O$3:$O$1002,'Alocação'!$C$3:$C$1002,AB128,'Alocação'!$F$3:$F$1002,AB$9,'Alocação'!$B$3:$B$1002,"&lt;="&amp;$B$4)), (SUMIFS('Alocação'!$O$3:$O$1002,'Alocação'!$C$3:$C$1002,AB128,'Alocação'!$F$3:$F$1002,AB$9,'Alocação'!$B$3:$B$1002,"&lt;="&amp;$B$6))),"")</f>
        <v/>
      </c>
      <c r="AE128" s="243" t="str">
        <f>iferror(IF(AC128="Ações Americanas", HLOOKUP(AB128,'Histórico'!$A$1:$DD$990,MATCH($B$6,'Histórico'!$A:$A),FALSE)*HLOOKUP("PTAX",'Histórico'!$A$1:$FG$983,MATCH($B$6,'Histórico'!$A:$A),FALSE),IF(AC128="Ações Europeias", HLOOKUP(AB128,'Histórico'!$A$1:$DD$990,MATCH($B$6,'Histórico'!$A:$A),FALSE)*HLOOKUP("EUR/BRL",'Histórico'!$A$1:$FG$983,MATCH($B$6,'Histórico'!$A:$A),FALSE), HLOOKUP(AB128,'Histórico'!$A$1:$DD$990,MATCH($B$6,'Histórico'!$A:$A),FALSE))),"")</f>
        <v/>
      </c>
      <c r="AF128" s="243" t="str">
        <f t="shared" si="21"/>
        <v/>
      </c>
      <c r="AG128" s="53"/>
      <c r="AH128" s="245"/>
      <c r="AI128" s="242" t="str">
        <f>IF(ISTEXT(AH128),VLOOKUP(AH128,'Cadastro dos Ativos'!$A$2:$C$1000,3,0),"")</f>
        <v/>
      </c>
      <c r="AJ128" s="242" t="str">
        <f>IF(AH128 &lt;&gt; "",IF(AI128="Futuros", (SUMIFS('Alocação'!$O$3:$O$1002,'Alocação'!$C$3:$C$1002,AH128,'Alocação'!$F$3:$F$1002,AH$9,'Alocação'!$B$3:$B$1002,"&lt;="&amp;$B$4)), (SUMIFS('Alocação'!$O$3:$O$1002,'Alocação'!$C$3:$C$1002,AH128,'Alocação'!$F$3:$F$1002,AH$9,'Alocação'!$B$3:$B$1002,"&lt;="&amp;$B$6))),"")</f>
        <v/>
      </c>
      <c r="AK128" s="243" t="str">
        <f>iferror(IF(AI128="Ações Americanas", HLOOKUP(AH128,'Histórico'!$A$1:$DD$990,MATCH($B$6,'Histórico'!$A:$A),FALSE)*HLOOKUP("PTAX",'Histórico'!$A$1:$FG$983,MATCH($B$6,'Histórico'!$A:$A),FALSE),IF(AI128="Ações Europeias", HLOOKUP(AH128,'Histórico'!$A$1:$DD$990,MATCH($B$6,'Histórico'!$A:$A),FALSE)*HLOOKUP("EUR/BRL",'Histórico'!$A$1:$FG$983,MATCH($B$6,'Histórico'!$A:$A),FALSE),  HLOOKUP(AH128,'Histórico'!$A$1:$DD$990,MATCH($B$6,'Histórico'!$A:$A),FALSE))),"")</f>
        <v/>
      </c>
      <c r="AL128" s="243" t="str">
        <f t="shared" si="17"/>
        <v/>
      </c>
      <c r="AM128" s="53"/>
      <c r="AN128" s="245"/>
      <c r="AO128" s="242" t="str">
        <f>IF(ISTEXT(AN128),VLOOKUP(AN128,'Cadastro dos Ativos'!$A$2:$C$1000,3,0),"")</f>
        <v/>
      </c>
      <c r="AP128" s="242" t="str">
        <f>IF(AN128 &lt;&gt; "",IF(AO128="Futuros", (SUMIFS('Alocação'!$O$3:$O$1002,'Alocação'!$C$3:$C$1002,AN128,'Alocação'!$F$3:$F$1002,AN$9,'Alocação'!$B$3:$B$1002,"&lt;="&amp;$B$4)), (SUMIFS('Alocação'!$O$3:$O$1002,'Alocação'!$C$3:$C$1002,AN128,'Alocação'!$F$3:$F$1002,AN$9,'Alocação'!$B$3:$B$1002,"&lt;="&amp;$B$6))),"")</f>
        <v/>
      </c>
      <c r="AQ128" s="243" t="str">
        <f>iferror(IF(AO128="Ações Americanas", HLOOKUP(AN128,'Histórico'!$A$1:$DD$990,MATCH($B$6,'Histórico'!$A:$A),FALSE)*HLOOKUP("PTAX",'Histórico'!$A$1:$FG$983,MATCH($B$6,'Histórico'!$A:$A),FALSE),IF(AO128="Ações Europeias", HLOOKUP(AN128,'Histórico'!$A$1:$DD$990,MATCH($B$6,'Histórico'!$A:$A),FALSE)*HLOOKUP("EUR/BRL",'Histórico'!$A$1:$FG$983,MATCH($B$6,'Histórico'!$A:$A),FALSE),  HLOOKUP(AN128,'Histórico'!$A$1:$DD$990,MATCH($B$6,'Histórico'!$A:$A),FALSE))),"")</f>
        <v/>
      </c>
      <c r="AR128" s="243" t="str">
        <f t="shared" si="18"/>
        <v/>
      </c>
      <c r="AS128" s="53"/>
      <c r="AT128" s="245"/>
      <c r="AU128" s="242" t="str">
        <f>IF(ISTEXT(AT128),VLOOKUP(AT128,'Cadastro dos Ativos'!$A$2:$C$1000,3,0),"")</f>
        <v/>
      </c>
      <c r="AV128" s="242" t="str">
        <f>IF(AT128 &lt;&gt; "",IF(AU128="Futuros", (SUMIFS('Alocação'!$O$3:$O$1002,'Alocação'!$C$3:$C$1002,AT128,'Alocação'!$F$3:$F$1002,AT$9,'Alocação'!$B$3:$B$1002,"&lt;="&amp;$B$4)), (SUMIFS('Alocação'!$O$3:$O$1002,'Alocação'!$C$3:$C$1002,AT128,'Alocação'!$F$3:$F$1002,AT$9,'Alocação'!$B$3:$B$1002,"&lt;="&amp;$B$6))),"")</f>
        <v/>
      </c>
      <c r="AW128" s="243" t="str">
        <f>iferror(IF(AU128="Ações Americanas", HLOOKUP(AT128,'Histórico'!$A$1:$DD$990,MATCH($B$6,'Histórico'!$A:$A),FALSE)*HLOOKUP("PTAX",'Histórico'!$A$1:$FG$983,MATCH($B$6,'Histórico'!$A:$A),FALSE),IF(AU128="Ações Europeias", HLOOKUP(AT128,'Histórico'!$A$1:$DD$990,MATCH($B$6,'Histórico'!$A:$A),FALSE)*HLOOKUP("EUR/BRL",'Histórico'!$A$1:$FG$983,MATCH($B$6,'Histórico'!$A:$A),FALSE),  HLOOKUP(AT128,'Histórico'!$A$1:$DD$990,MATCH($B$6,'Histórico'!$A:$A),FALSE))),"")</f>
        <v/>
      </c>
      <c r="AX128" s="243" t="str">
        <f t="shared" si="27"/>
        <v/>
      </c>
      <c r="AY128" s="183"/>
    </row>
    <row r="129" ht="15.75" customHeight="1">
      <c r="A129" s="176"/>
      <c r="B129" s="232">
        <v>45177.0</v>
      </c>
      <c r="C129" s="233"/>
      <c r="D129" s="233"/>
      <c r="E129" s="234"/>
      <c r="F129" s="233"/>
      <c r="G129" s="233"/>
      <c r="H129" s="234"/>
      <c r="I129" s="233"/>
      <c r="J129" s="233"/>
      <c r="K129" s="234"/>
      <c r="L129" s="233"/>
      <c r="M129" s="233"/>
      <c r="N129" s="240" t="str">
        <f t="shared" si="9"/>
        <v/>
      </c>
      <c r="O129" s="240" t="str">
        <f t="shared" si="10"/>
        <v/>
      </c>
      <c r="P129" s="240" t="str">
        <f t="shared" si="11"/>
        <v/>
      </c>
      <c r="Q129" s="240" t="str">
        <f t="shared" si="12"/>
        <v/>
      </c>
      <c r="R129" s="236" t="str">
        <f t="shared" si="13"/>
        <v/>
      </c>
      <c r="S129" s="177"/>
      <c r="T129" s="233" t="str">
        <f t="shared" ref="T129:U129" si="139">IF(AND(C129&lt;&gt;"",F129&lt;&gt;"",I129&lt;&gt;""), SUM(I129,F129,C129,L129),"")</f>
        <v/>
      </c>
      <c r="U129" s="233" t="str">
        <f t="shared" si="139"/>
        <v/>
      </c>
      <c r="V129" s="233" t="str">
        <f t="shared" si="6"/>
        <v/>
      </c>
      <c r="W129" s="241" t="str">
        <f t="shared" si="15"/>
        <v/>
      </c>
      <c r="X129" s="241" t="str">
        <f t="shared" si="16"/>
        <v/>
      </c>
      <c r="Y129" s="241" t="str">
        <f t="shared" si="25"/>
        <v/>
      </c>
      <c r="Z129" s="233" t="str">
        <f t="shared" si="7"/>
        <v/>
      </c>
      <c r="AA129" s="165"/>
      <c r="AB129" s="245"/>
      <c r="AC129" s="242" t="str">
        <f>IF(ISTEXT(AB129),VLOOKUP(AB129,'Cadastro dos Ativos'!$A$2:$C$1000,3,0),"")</f>
        <v/>
      </c>
      <c r="AD129" s="242" t="str">
        <f>IF(AB129 &lt;&gt; "",IF(AC129="Futuros", (SUMIFS('Alocação'!$O$3:$O$1002,'Alocação'!$C$3:$C$1002,AB129,'Alocação'!$F$3:$F$1002,AB$9,'Alocação'!$B$3:$B$1002,"&lt;="&amp;$B$4)), (SUMIFS('Alocação'!$O$3:$O$1002,'Alocação'!$C$3:$C$1002,AB129,'Alocação'!$F$3:$F$1002,AB$9,'Alocação'!$B$3:$B$1002,"&lt;="&amp;$B$6))),"")</f>
        <v/>
      </c>
      <c r="AE129" s="243" t="str">
        <f>iferror(IF(AC129="Ações Americanas", HLOOKUP(AB129,'Histórico'!$A$1:$DD$990,MATCH($B$6,'Histórico'!$A:$A),FALSE)*HLOOKUP("PTAX",'Histórico'!$A$1:$FG$983,MATCH($B$6,'Histórico'!$A:$A),FALSE),IF(AC129="Ações Europeias", HLOOKUP(AB129,'Histórico'!$A$1:$DD$990,MATCH($B$6,'Histórico'!$A:$A),FALSE)*HLOOKUP("EUR/BRL",'Histórico'!$A$1:$FG$983,MATCH($B$6,'Histórico'!$A:$A),FALSE), HLOOKUP(AB129,'Histórico'!$A$1:$DD$990,MATCH($B$6,'Histórico'!$A:$A),FALSE))),"")</f>
        <v/>
      </c>
      <c r="AF129" s="243" t="str">
        <f t="shared" si="21"/>
        <v/>
      </c>
      <c r="AG129" s="53"/>
      <c r="AH129" s="245"/>
      <c r="AI129" s="242" t="str">
        <f>IF(ISTEXT(AH129),VLOOKUP(AH129,'Cadastro dos Ativos'!$A$2:$C$1000,3,0),"")</f>
        <v/>
      </c>
      <c r="AJ129" s="242" t="str">
        <f>IF(AH129 &lt;&gt; "",IF(AI129="Futuros", (SUMIFS('Alocação'!$O$3:$O$1002,'Alocação'!$C$3:$C$1002,AH129,'Alocação'!$F$3:$F$1002,AH$9,'Alocação'!$B$3:$B$1002,"&lt;="&amp;$B$4)), (SUMIFS('Alocação'!$O$3:$O$1002,'Alocação'!$C$3:$C$1002,AH129,'Alocação'!$F$3:$F$1002,AH$9,'Alocação'!$B$3:$B$1002,"&lt;="&amp;$B$6))),"")</f>
        <v/>
      </c>
      <c r="AK129" s="243" t="str">
        <f>iferror(IF(AI129="Ações Americanas", HLOOKUP(AH129,'Histórico'!$A$1:$DD$990,MATCH($B$6,'Histórico'!$A:$A),FALSE)*HLOOKUP("PTAX",'Histórico'!$A$1:$FG$983,MATCH($B$6,'Histórico'!$A:$A),FALSE),IF(AI129="Ações Europeias", HLOOKUP(AH129,'Histórico'!$A$1:$DD$990,MATCH($B$6,'Histórico'!$A:$A),FALSE)*HLOOKUP("EUR/BRL",'Histórico'!$A$1:$FG$983,MATCH($B$6,'Histórico'!$A:$A),FALSE),  HLOOKUP(AH129,'Histórico'!$A$1:$DD$990,MATCH($B$6,'Histórico'!$A:$A),FALSE))),"")</f>
        <v/>
      </c>
      <c r="AL129" s="243" t="str">
        <f t="shared" si="17"/>
        <v/>
      </c>
      <c r="AM129" s="53"/>
      <c r="AN129" s="245"/>
      <c r="AO129" s="242" t="str">
        <f>IF(ISTEXT(AN129),VLOOKUP(AN129,'Cadastro dos Ativos'!$A$2:$C$1000,3,0),"")</f>
        <v/>
      </c>
      <c r="AP129" s="242" t="str">
        <f>IF(AN129 &lt;&gt; "",IF(AO129="Futuros", (SUMIFS('Alocação'!$O$3:$O$1002,'Alocação'!$C$3:$C$1002,AN129,'Alocação'!$F$3:$F$1002,AN$9,'Alocação'!$B$3:$B$1002,"&lt;="&amp;$B$4)), (SUMIFS('Alocação'!$O$3:$O$1002,'Alocação'!$C$3:$C$1002,AN129,'Alocação'!$F$3:$F$1002,AN$9,'Alocação'!$B$3:$B$1002,"&lt;="&amp;$B$6))),"")</f>
        <v/>
      </c>
      <c r="AQ129" s="243" t="str">
        <f>iferror(IF(AO129="Ações Americanas", HLOOKUP(AN129,'Histórico'!$A$1:$DD$990,MATCH($B$6,'Histórico'!$A:$A),FALSE)*HLOOKUP("PTAX",'Histórico'!$A$1:$FG$983,MATCH($B$6,'Histórico'!$A:$A),FALSE),IF(AO129="Ações Europeias", HLOOKUP(AN129,'Histórico'!$A$1:$DD$990,MATCH($B$6,'Histórico'!$A:$A),FALSE)*HLOOKUP("EUR/BRL",'Histórico'!$A$1:$FG$983,MATCH($B$6,'Histórico'!$A:$A),FALSE),  HLOOKUP(AN129,'Histórico'!$A$1:$DD$990,MATCH($B$6,'Histórico'!$A:$A),FALSE))),"")</f>
        <v/>
      </c>
      <c r="AR129" s="243" t="str">
        <f t="shared" si="18"/>
        <v/>
      </c>
      <c r="AS129" s="53"/>
      <c r="AT129" s="245"/>
      <c r="AU129" s="242" t="str">
        <f>IF(ISTEXT(AT129),VLOOKUP(AT129,'Cadastro dos Ativos'!$A$2:$C$1000,3,0),"")</f>
        <v/>
      </c>
      <c r="AV129" s="242" t="str">
        <f>IF(AT129 &lt;&gt; "",IF(AU129="Futuros", (SUMIFS('Alocação'!$O$3:$O$1002,'Alocação'!$C$3:$C$1002,AT129,'Alocação'!$F$3:$F$1002,AT$9,'Alocação'!$B$3:$B$1002,"&lt;="&amp;$B$4)), (SUMIFS('Alocação'!$O$3:$O$1002,'Alocação'!$C$3:$C$1002,AT129,'Alocação'!$F$3:$F$1002,AT$9,'Alocação'!$B$3:$B$1002,"&lt;="&amp;$B$6))),"")</f>
        <v/>
      </c>
      <c r="AW129" s="243" t="str">
        <f>iferror(IF(AU129="Ações Americanas", HLOOKUP(AT129,'Histórico'!$A$1:$DD$990,MATCH($B$6,'Histórico'!$A:$A),FALSE)*HLOOKUP("PTAX",'Histórico'!$A$1:$FG$983,MATCH($B$6,'Histórico'!$A:$A),FALSE),IF(AU129="Ações Europeias", HLOOKUP(AT129,'Histórico'!$A$1:$DD$990,MATCH($B$6,'Histórico'!$A:$A),FALSE)*HLOOKUP("EUR/BRL",'Histórico'!$A$1:$FG$983,MATCH($B$6,'Histórico'!$A:$A),FALSE),  HLOOKUP(AT129,'Histórico'!$A$1:$DD$990,MATCH($B$6,'Histórico'!$A:$A),FALSE))),"")</f>
        <v/>
      </c>
      <c r="AX129" s="243" t="str">
        <f t="shared" si="27"/>
        <v/>
      </c>
      <c r="AY129" s="183"/>
    </row>
    <row r="130" ht="15.75" customHeight="1">
      <c r="A130" s="176"/>
      <c r="B130" s="232">
        <v>45180.0</v>
      </c>
      <c r="C130" s="233"/>
      <c r="D130" s="233"/>
      <c r="E130" s="234"/>
      <c r="F130" s="233"/>
      <c r="G130" s="233"/>
      <c r="H130" s="234"/>
      <c r="I130" s="233"/>
      <c r="J130" s="233"/>
      <c r="K130" s="234"/>
      <c r="L130" s="233"/>
      <c r="M130" s="233"/>
      <c r="N130" s="240" t="str">
        <f t="shared" si="9"/>
        <v/>
      </c>
      <c r="O130" s="240" t="str">
        <f t="shared" si="10"/>
        <v/>
      </c>
      <c r="P130" s="240" t="str">
        <f t="shared" si="11"/>
        <v/>
      </c>
      <c r="Q130" s="240" t="str">
        <f t="shared" si="12"/>
        <v/>
      </c>
      <c r="R130" s="236" t="str">
        <f t="shared" si="13"/>
        <v/>
      </c>
      <c r="S130" s="177"/>
      <c r="T130" s="233" t="str">
        <f t="shared" ref="T130:U130" si="140">IF(AND(C130&lt;&gt;"",F130&lt;&gt;"",I130&lt;&gt;""), SUM(I130,F130,C130,L130),"")</f>
        <v/>
      </c>
      <c r="U130" s="233" t="str">
        <f t="shared" si="140"/>
        <v/>
      </c>
      <c r="V130" s="233" t="str">
        <f t="shared" si="6"/>
        <v/>
      </c>
      <c r="W130" s="241" t="str">
        <f t="shared" si="15"/>
        <v/>
      </c>
      <c r="X130" s="241" t="str">
        <f t="shared" si="16"/>
        <v/>
      </c>
      <c r="Y130" s="241" t="str">
        <f t="shared" si="25"/>
        <v/>
      </c>
      <c r="Z130" s="233" t="str">
        <f t="shared" si="7"/>
        <v/>
      </c>
      <c r="AA130" s="165"/>
      <c r="AB130" s="245"/>
      <c r="AC130" s="242" t="str">
        <f>IF(ISTEXT(AB130),VLOOKUP(AB130,'Cadastro dos Ativos'!$A$2:$C$1000,3,0),"")</f>
        <v/>
      </c>
      <c r="AD130" s="242" t="str">
        <f>IF(AB130 &lt;&gt; "",IF(AC130="Futuros", (SUMIFS('Alocação'!$O$3:$O$1002,'Alocação'!$C$3:$C$1002,AB130,'Alocação'!$F$3:$F$1002,AB$9,'Alocação'!$B$3:$B$1002,"&lt;="&amp;$B$4)), (SUMIFS('Alocação'!$O$3:$O$1002,'Alocação'!$C$3:$C$1002,AB130,'Alocação'!$F$3:$F$1002,AB$9,'Alocação'!$B$3:$B$1002,"&lt;="&amp;$B$6))),"")</f>
        <v/>
      </c>
      <c r="AE130" s="243" t="str">
        <f>iferror(IF(AC130="Ações Americanas", HLOOKUP(AB130,'Histórico'!$A$1:$DD$990,MATCH($B$6,'Histórico'!$A:$A),FALSE)*HLOOKUP("PTAX",'Histórico'!$A$1:$FG$983,MATCH($B$6,'Histórico'!$A:$A),FALSE),IF(AC130="Ações Europeias", HLOOKUP(AB130,'Histórico'!$A$1:$DD$990,MATCH($B$6,'Histórico'!$A:$A),FALSE)*HLOOKUP("EUR/BRL",'Histórico'!$A$1:$FG$983,MATCH($B$6,'Histórico'!$A:$A),FALSE), HLOOKUP(AB130,'Histórico'!$A$1:$DD$990,MATCH($B$6,'Histórico'!$A:$A),FALSE))),"")</f>
        <v/>
      </c>
      <c r="AF130" s="243" t="str">
        <f t="shared" si="21"/>
        <v/>
      </c>
      <c r="AG130" s="53"/>
      <c r="AH130" s="245"/>
      <c r="AI130" s="242" t="str">
        <f>IF(ISTEXT(AH130),VLOOKUP(AH130,'Cadastro dos Ativos'!$A$2:$C$1000,3,0),"")</f>
        <v/>
      </c>
      <c r="AJ130" s="242" t="str">
        <f>IF(AH130 &lt;&gt; "",IF(AI130="Futuros", (SUMIFS('Alocação'!$O$3:$O$1002,'Alocação'!$C$3:$C$1002,AH130,'Alocação'!$F$3:$F$1002,AH$9,'Alocação'!$B$3:$B$1002,"&lt;="&amp;$B$4)), (SUMIFS('Alocação'!$O$3:$O$1002,'Alocação'!$C$3:$C$1002,AH130,'Alocação'!$F$3:$F$1002,AH$9,'Alocação'!$B$3:$B$1002,"&lt;="&amp;$B$6))),"")</f>
        <v/>
      </c>
      <c r="AK130" s="243" t="str">
        <f>iferror(IF(AI130="Ações Americanas", HLOOKUP(AH130,'Histórico'!$A$1:$DD$990,MATCH($B$6,'Histórico'!$A:$A),FALSE)*HLOOKUP("PTAX",'Histórico'!$A$1:$FG$983,MATCH($B$6,'Histórico'!$A:$A),FALSE),IF(AI130="Ações Europeias", HLOOKUP(AH130,'Histórico'!$A$1:$DD$990,MATCH($B$6,'Histórico'!$A:$A),FALSE)*HLOOKUP("EUR/BRL",'Histórico'!$A$1:$FG$983,MATCH($B$6,'Histórico'!$A:$A),FALSE),  HLOOKUP(AH130,'Histórico'!$A$1:$DD$990,MATCH($B$6,'Histórico'!$A:$A),FALSE))),"")</f>
        <v/>
      </c>
      <c r="AL130" s="243" t="str">
        <f t="shared" si="17"/>
        <v/>
      </c>
      <c r="AM130" s="53"/>
      <c r="AN130" s="245"/>
      <c r="AO130" s="242" t="str">
        <f>IF(ISTEXT(AN130),VLOOKUP(AN130,'Cadastro dos Ativos'!$A$2:$C$1000,3,0),"")</f>
        <v/>
      </c>
      <c r="AP130" s="242" t="str">
        <f>IF(AN130 &lt;&gt; "",IF(AO130="Futuros", (SUMIFS('Alocação'!$O$3:$O$1002,'Alocação'!$C$3:$C$1002,AN130,'Alocação'!$F$3:$F$1002,AN$9,'Alocação'!$B$3:$B$1002,"&lt;="&amp;$B$4)), (SUMIFS('Alocação'!$O$3:$O$1002,'Alocação'!$C$3:$C$1002,AN130,'Alocação'!$F$3:$F$1002,AN$9,'Alocação'!$B$3:$B$1002,"&lt;="&amp;$B$6))),"")</f>
        <v/>
      </c>
      <c r="AQ130" s="243" t="str">
        <f>iferror(IF(AO130="Ações Americanas", HLOOKUP(AN130,'Histórico'!$A$1:$DD$990,MATCH($B$6,'Histórico'!$A:$A),FALSE)*HLOOKUP("PTAX",'Histórico'!$A$1:$FG$983,MATCH($B$6,'Histórico'!$A:$A),FALSE),IF(AO130="Ações Europeias", HLOOKUP(AN130,'Histórico'!$A$1:$DD$990,MATCH($B$6,'Histórico'!$A:$A),FALSE)*HLOOKUP("EUR/BRL",'Histórico'!$A$1:$FG$983,MATCH($B$6,'Histórico'!$A:$A),FALSE),  HLOOKUP(AN130,'Histórico'!$A$1:$DD$990,MATCH($B$6,'Histórico'!$A:$A),FALSE))),"")</f>
        <v/>
      </c>
      <c r="AR130" s="243" t="str">
        <f t="shared" si="18"/>
        <v/>
      </c>
      <c r="AS130" s="53"/>
      <c r="AT130" s="245"/>
      <c r="AU130" s="242" t="str">
        <f>IF(ISTEXT(AT130),VLOOKUP(AT130,'Cadastro dos Ativos'!$A$2:$C$1000,3,0),"")</f>
        <v/>
      </c>
      <c r="AV130" s="242" t="str">
        <f>IF(AT130 &lt;&gt; "",IF(AU130="Futuros", (SUMIFS('Alocação'!$O$3:$O$1002,'Alocação'!$C$3:$C$1002,AT130,'Alocação'!$F$3:$F$1002,AT$9,'Alocação'!$B$3:$B$1002,"&lt;="&amp;$B$4)), (SUMIFS('Alocação'!$O$3:$O$1002,'Alocação'!$C$3:$C$1002,AT130,'Alocação'!$F$3:$F$1002,AT$9,'Alocação'!$B$3:$B$1002,"&lt;="&amp;$B$6))),"")</f>
        <v/>
      </c>
      <c r="AW130" s="243" t="str">
        <f>iferror(IF(AU130="Ações Americanas", HLOOKUP(AT130,'Histórico'!$A$1:$DD$990,MATCH($B$6,'Histórico'!$A:$A),FALSE)*HLOOKUP("PTAX",'Histórico'!$A$1:$FG$983,MATCH($B$6,'Histórico'!$A:$A),FALSE),IF(AU130="Ações Europeias", HLOOKUP(AT130,'Histórico'!$A$1:$DD$990,MATCH($B$6,'Histórico'!$A:$A),FALSE)*HLOOKUP("EUR/BRL",'Histórico'!$A$1:$FG$983,MATCH($B$6,'Histórico'!$A:$A),FALSE),  HLOOKUP(AT130,'Histórico'!$A$1:$DD$990,MATCH($B$6,'Histórico'!$A:$A),FALSE))),"")</f>
        <v/>
      </c>
      <c r="AX130" s="243" t="str">
        <f t="shared" si="27"/>
        <v/>
      </c>
      <c r="AY130" s="183"/>
    </row>
    <row r="131" ht="15.75" customHeight="1">
      <c r="A131" s="176"/>
      <c r="B131" s="232">
        <v>45181.0</v>
      </c>
      <c r="C131" s="233"/>
      <c r="D131" s="233"/>
      <c r="E131" s="234"/>
      <c r="F131" s="233"/>
      <c r="G131" s="233"/>
      <c r="H131" s="234"/>
      <c r="I131" s="233"/>
      <c r="J131" s="233"/>
      <c r="K131" s="234"/>
      <c r="L131" s="233"/>
      <c r="M131" s="233"/>
      <c r="N131" s="240" t="str">
        <f t="shared" si="9"/>
        <v/>
      </c>
      <c r="O131" s="240" t="str">
        <f t="shared" si="10"/>
        <v/>
      </c>
      <c r="P131" s="240" t="str">
        <f t="shared" si="11"/>
        <v/>
      </c>
      <c r="Q131" s="240" t="str">
        <f t="shared" si="12"/>
        <v/>
      </c>
      <c r="R131" s="236" t="str">
        <f t="shared" si="13"/>
        <v/>
      </c>
      <c r="S131" s="177"/>
      <c r="T131" s="233" t="str">
        <f t="shared" ref="T131:U131" si="141">IF(AND(C131&lt;&gt;"",F131&lt;&gt;"",I131&lt;&gt;""), SUM(I131,F131,C131,L131),"")</f>
        <v/>
      </c>
      <c r="U131" s="233" t="str">
        <f t="shared" si="141"/>
        <v/>
      </c>
      <c r="V131" s="233" t="str">
        <f t="shared" si="6"/>
        <v/>
      </c>
      <c r="W131" s="241" t="str">
        <f t="shared" si="15"/>
        <v/>
      </c>
      <c r="X131" s="241" t="str">
        <f t="shared" si="16"/>
        <v/>
      </c>
      <c r="Y131" s="241" t="str">
        <f t="shared" si="25"/>
        <v/>
      </c>
      <c r="Z131" s="233" t="str">
        <f t="shared" si="7"/>
        <v/>
      </c>
      <c r="AA131" s="165"/>
      <c r="AB131" s="245"/>
      <c r="AC131" s="242" t="str">
        <f>IF(ISTEXT(AB131),VLOOKUP(AB131,'Cadastro dos Ativos'!$A$2:$C$1000,3,0),"")</f>
        <v/>
      </c>
      <c r="AD131" s="242" t="str">
        <f>IF(AB131 &lt;&gt; "",IF(AC131="Futuros", (SUMIFS('Alocação'!$O$3:$O$1002,'Alocação'!$C$3:$C$1002,AB131,'Alocação'!$F$3:$F$1002,AB$9,'Alocação'!$B$3:$B$1002,"&lt;="&amp;$B$4)), (SUMIFS('Alocação'!$O$3:$O$1002,'Alocação'!$C$3:$C$1002,AB131,'Alocação'!$F$3:$F$1002,AB$9,'Alocação'!$B$3:$B$1002,"&lt;="&amp;$B$6))),"")</f>
        <v/>
      </c>
      <c r="AE131" s="243" t="str">
        <f>iferror(IF(AC131="Ações Americanas", HLOOKUP(AB131,'Histórico'!$A$1:$DD$990,MATCH($B$6,'Histórico'!$A:$A),FALSE)*HLOOKUP("PTAX",'Histórico'!$A$1:$FG$983,MATCH($B$6,'Histórico'!$A:$A),FALSE),IF(AC131="Ações Europeias", HLOOKUP(AB131,'Histórico'!$A$1:$DD$990,MATCH($B$6,'Histórico'!$A:$A),FALSE)*HLOOKUP("EUR/BRL",'Histórico'!$A$1:$FG$983,MATCH($B$6,'Histórico'!$A:$A),FALSE), HLOOKUP(AB131,'Histórico'!$A$1:$DD$990,MATCH($B$6,'Histórico'!$A:$A),FALSE))),"")</f>
        <v/>
      </c>
      <c r="AF131" s="243" t="str">
        <f t="shared" si="21"/>
        <v/>
      </c>
      <c r="AG131" s="53"/>
      <c r="AH131" s="245"/>
      <c r="AI131" s="242" t="str">
        <f>IF(ISTEXT(AH131),VLOOKUP(AH131,'Cadastro dos Ativos'!$A$2:$C$1000,3,0),"")</f>
        <v/>
      </c>
      <c r="AJ131" s="242" t="str">
        <f>IF(AH131 &lt;&gt; "",IF(AI131="Futuros", (SUMIFS('Alocação'!$O$3:$O$1002,'Alocação'!$C$3:$C$1002,AH131,'Alocação'!$F$3:$F$1002,AH$9,'Alocação'!$B$3:$B$1002,"&lt;="&amp;$B$4)), (SUMIFS('Alocação'!$O$3:$O$1002,'Alocação'!$C$3:$C$1002,AH131,'Alocação'!$F$3:$F$1002,AH$9,'Alocação'!$B$3:$B$1002,"&lt;="&amp;$B$6))),"")</f>
        <v/>
      </c>
      <c r="AK131" s="243" t="str">
        <f>iferror(IF(AI131="Ações Americanas", HLOOKUP(AH131,'Histórico'!$A$1:$DD$990,MATCH($B$6,'Histórico'!$A:$A),FALSE)*HLOOKUP("PTAX",'Histórico'!$A$1:$FG$983,MATCH($B$6,'Histórico'!$A:$A),FALSE),IF(AI131="Ações Europeias", HLOOKUP(AH131,'Histórico'!$A$1:$DD$990,MATCH($B$6,'Histórico'!$A:$A),FALSE)*HLOOKUP("EUR/BRL",'Histórico'!$A$1:$FG$983,MATCH($B$6,'Histórico'!$A:$A),FALSE),  HLOOKUP(AH131,'Histórico'!$A$1:$DD$990,MATCH($B$6,'Histórico'!$A:$A),FALSE))),"")</f>
        <v/>
      </c>
      <c r="AL131" s="243" t="str">
        <f t="shared" si="17"/>
        <v/>
      </c>
      <c r="AM131" s="53"/>
      <c r="AN131" s="245"/>
      <c r="AO131" s="242" t="str">
        <f>IF(ISTEXT(AN131),VLOOKUP(AN131,'Cadastro dos Ativos'!$A$2:$C$1000,3,0),"")</f>
        <v/>
      </c>
      <c r="AP131" s="242" t="str">
        <f>IF(AN131 &lt;&gt; "",IF(AO131="Futuros", (SUMIFS('Alocação'!$O$3:$O$1002,'Alocação'!$C$3:$C$1002,AN131,'Alocação'!$F$3:$F$1002,AN$9,'Alocação'!$B$3:$B$1002,"&lt;="&amp;$B$4)), (SUMIFS('Alocação'!$O$3:$O$1002,'Alocação'!$C$3:$C$1002,AN131,'Alocação'!$F$3:$F$1002,AN$9,'Alocação'!$B$3:$B$1002,"&lt;="&amp;$B$6))),"")</f>
        <v/>
      </c>
      <c r="AQ131" s="243" t="str">
        <f>iferror(IF(AO131="Ações Americanas", HLOOKUP(AN131,'Histórico'!$A$1:$DD$990,MATCH($B$6,'Histórico'!$A:$A),FALSE)*HLOOKUP("PTAX",'Histórico'!$A$1:$FG$983,MATCH($B$6,'Histórico'!$A:$A),FALSE),IF(AO131="Ações Europeias", HLOOKUP(AN131,'Histórico'!$A$1:$DD$990,MATCH($B$6,'Histórico'!$A:$A),FALSE)*HLOOKUP("EUR/BRL",'Histórico'!$A$1:$FG$983,MATCH($B$6,'Histórico'!$A:$A),FALSE),  HLOOKUP(AN131,'Histórico'!$A$1:$DD$990,MATCH($B$6,'Histórico'!$A:$A),FALSE))),"")</f>
        <v/>
      </c>
      <c r="AR131" s="243" t="str">
        <f t="shared" si="18"/>
        <v/>
      </c>
      <c r="AS131" s="53"/>
      <c r="AT131" s="245"/>
      <c r="AU131" s="242" t="str">
        <f>IF(ISTEXT(AT131),VLOOKUP(AT131,'Cadastro dos Ativos'!$A$2:$C$1000,3,0),"")</f>
        <v/>
      </c>
      <c r="AV131" s="242" t="str">
        <f>IF(AT131 &lt;&gt; "",IF(AU131="Futuros", (SUMIFS('Alocação'!$O$3:$O$1002,'Alocação'!$C$3:$C$1002,AT131,'Alocação'!$F$3:$F$1002,AT$9,'Alocação'!$B$3:$B$1002,"&lt;="&amp;$B$4)), (SUMIFS('Alocação'!$O$3:$O$1002,'Alocação'!$C$3:$C$1002,AT131,'Alocação'!$F$3:$F$1002,AT$9,'Alocação'!$B$3:$B$1002,"&lt;="&amp;$B$6))),"")</f>
        <v/>
      </c>
      <c r="AW131" s="243" t="str">
        <f>iferror(IF(AU131="Ações Americanas", HLOOKUP(AT131,'Histórico'!$A$1:$DD$990,MATCH($B$6,'Histórico'!$A:$A),FALSE)*HLOOKUP("PTAX",'Histórico'!$A$1:$FG$983,MATCH($B$6,'Histórico'!$A:$A),FALSE),IF(AU131="Ações Europeias", HLOOKUP(AT131,'Histórico'!$A$1:$DD$990,MATCH($B$6,'Histórico'!$A:$A),FALSE)*HLOOKUP("EUR/BRL",'Histórico'!$A$1:$FG$983,MATCH($B$6,'Histórico'!$A:$A),FALSE),  HLOOKUP(AT131,'Histórico'!$A$1:$DD$990,MATCH($B$6,'Histórico'!$A:$A),FALSE))),"")</f>
        <v/>
      </c>
      <c r="AX131" s="243" t="str">
        <f t="shared" si="27"/>
        <v/>
      </c>
      <c r="AY131" s="183"/>
    </row>
    <row r="132" ht="15.75" customHeight="1">
      <c r="A132" s="176"/>
      <c r="B132" s="232">
        <v>45182.0</v>
      </c>
      <c r="C132" s="233"/>
      <c r="D132" s="233"/>
      <c r="E132" s="234"/>
      <c r="F132" s="233"/>
      <c r="G132" s="233"/>
      <c r="H132" s="234"/>
      <c r="I132" s="233"/>
      <c r="J132" s="233"/>
      <c r="K132" s="234"/>
      <c r="L132" s="233"/>
      <c r="M132" s="233"/>
      <c r="N132" s="240" t="str">
        <f t="shared" si="9"/>
        <v/>
      </c>
      <c r="O132" s="240" t="str">
        <f t="shared" si="10"/>
        <v/>
      </c>
      <c r="P132" s="240" t="str">
        <f t="shared" si="11"/>
        <v/>
      </c>
      <c r="Q132" s="240" t="str">
        <f t="shared" si="12"/>
        <v/>
      </c>
      <c r="R132" s="236" t="str">
        <f t="shared" si="13"/>
        <v/>
      </c>
      <c r="S132" s="177"/>
      <c r="T132" s="233" t="str">
        <f t="shared" ref="T132:U132" si="142">IF(AND(C132&lt;&gt;"",F132&lt;&gt;"",I132&lt;&gt;""), SUM(I132,F132,C132,L132),"")</f>
        <v/>
      </c>
      <c r="U132" s="233" t="str">
        <f t="shared" si="142"/>
        <v/>
      </c>
      <c r="V132" s="233" t="str">
        <f t="shared" si="6"/>
        <v/>
      </c>
      <c r="W132" s="241" t="str">
        <f t="shared" si="15"/>
        <v/>
      </c>
      <c r="X132" s="241" t="str">
        <f t="shared" si="16"/>
        <v/>
      </c>
      <c r="Y132" s="241" t="str">
        <f t="shared" si="25"/>
        <v/>
      </c>
      <c r="Z132" s="233" t="str">
        <f t="shared" si="7"/>
        <v/>
      </c>
      <c r="AA132" s="165"/>
      <c r="AB132" s="245"/>
      <c r="AC132" s="242" t="str">
        <f>IF(ISTEXT(AB132),VLOOKUP(AB132,'Cadastro dos Ativos'!$A$2:$C$1000,3,0),"")</f>
        <v/>
      </c>
      <c r="AD132" s="242" t="str">
        <f>IF(AB132 &lt;&gt; "",IF(AC132="Futuros", (SUMIFS('Alocação'!$O$3:$O$1002,'Alocação'!$C$3:$C$1002,AB132,'Alocação'!$F$3:$F$1002,AB$9,'Alocação'!$B$3:$B$1002,"&lt;="&amp;$B$4)), (SUMIFS('Alocação'!$O$3:$O$1002,'Alocação'!$C$3:$C$1002,AB132,'Alocação'!$F$3:$F$1002,AB$9,'Alocação'!$B$3:$B$1002,"&lt;="&amp;$B$6))),"")</f>
        <v/>
      </c>
      <c r="AE132" s="243" t="str">
        <f>iferror(IF(AC132="Ações Americanas", HLOOKUP(AB132,'Histórico'!$A$1:$DD$990,MATCH($B$6,'Histórico'!$A:$A),FALSE)*HLOOKUP("PTAX",'Histórico'!$A$1:$FG$983,MATCH($B$6,'Histórico'!$A:$A),FALSE),IF(AC132="Ações Europeias", HLOOKUP(AB132,'Histórico'!$A$1:$DD$990,MATCH($B$6,'Histórico'!$A:$A),FALSE)*HLOOKUP("EUR/BRL",'Histórico'!$A$1:$FG$983,MATCH($B$6,'Histórico'!$A:$A),FALSE), HLOOKUP(AB132,'Histórico'!$A$1:$DD$990,MATCH($B$6,'Histórico'!$A:$A),FALSE))),"")</f>
        <v/>
      </c>
      <c r="AF132" s="243" t="str">
        <f t="shared" si="21"/>
        <v/>
      </c>
      <c r="AG132" s="53"/>
      <c r="AH132" s="245"/>
      <c r="AI132" s="242" t="str">
        <f>IF(ISTEXT(AH132),VLOOKUP(AH132,'Cadastro dos Ativos'!$A$2:$C$1000,3,0),"")</f>
        <v/>
      </c>
      <c r="AJ132" s="242" t="str">
        <f>IF(AH132 &lt;&gt; "",IF(AI132="Futuros", (SUMIFS('Alocação'!$O$3:$O$1002,'Alocação'!$C$3:$C$1002,AH132,'Alocação'!$F$3:$F$1002,AH$9,'Alocação'!$B$3:$B$1002,"&lt;="&amp;$B$4)), (SUMIFS('Alocação'!$O$3:$O$1002,'Alocação'!$C$3:$C$1002,AH132,'Alocação'!$F$3:$F$1002,AH$9,'Alocação'!$B$3:$B$1002,"&lt;="&amp;$B$6))),"")</f>
        <v/>
      </c>
      <c r="AK132" s="243" t="str">
        <f>iferror(IF(AI132="Ações Americanas", HLOOKUP(AH132,'Histórico'!$A$1:$DD$990,MATCH($B$6,'Histórico'!$A:$A),FALSE)*HLOOKUP("PTAX",'Histórico'!$A$1:$FG$983,MATCH($B$6,'Histórico'!$A:$A),FALSE),IF(AI132="Ações Europeias", HLOOKUP(AH132,'Histórico'!$A$1:$DD$990,MATCH($B$6,'Histórico'!$A:$A),FALSE)*HLOOKUP("EUR/BRL",'Histórico'!$A$1:$FG$983,MATCH($B$6,'Histórico'!$A:$A),FALSE),  HLOOKUP(AH132,'Histórico'!$A$1:$DD$990,MATCH($B$6,'Histórico'!$A:$A),FALSE))),"")</f>
        <v/>
      </c>
      <c r="AL132" s="243" t="str">
        <f t="shared" si="17"/>
        <v/>
      </c>
      <c r="AM132" s="53"/>
      <c r="AN132" s="245"/>
      <c r="AO132" s="242" t="str">
        <f>IF(ISTEXT(AN132),VLOOKUP(AN132,'Cadastro dos Ativos'!$A$2:$C$1000,3,0),"")</f>
        <v/>
      </c>
      <c r="AP132" s="242" t="str">
        <f>IF(AN132 &lt;&gt; "",IF(AO132="Futuros", (SUMIFS('Alocação'!$O$3:$O$1002,'Alocação'!$C$3:$C$1002,AN132,'Alocação'!$F$3:$F$1002,AN$9,'Alocação'!$B$3:$B$1002,"&lt;="&amp;$B$4)), (SUMIFS('Alocação'!$O$3:$O$1002,'Alocação'!$C$3:$C$1002,AN132,'Alocação'!$F$3:$F$1002,AN$9,'Alocação'!$B$3:$B$1002,"&lt;="&amp;$B$6))),"")</f>
        <v/>
      </c>
      <c r="AQ132" s="243" t="str">
        <f>iferror(IF(AO132="Ações Americanas", HLOOKUP(AN132,'Histórico'!$A$1:$DD$990,MATCH($B$6,'Histórico'!$A:$A),FALSE)*HLOOKUP("PTAX",'Histórico'!$A$1:$FG$983,MATCH($B$6,'Histórico'!$A:$A),FALSE),IF(AO132="Ações Europeias", HLOOKUP(AN132,'Histórico'!$A$1:$DD$990,MATCH($B$6,'Histórico'!$A:$A),FALSE)*HLOOKUP("EUR/BRL",'Histórico'!$A$1:$FG$983,MATCH($B$6,'Histórico'!$A:$A),FALSE),  HLOOKUP(AN132,'Histórico'!$A$1:$DD$990,MATCH($B$6,'Histórico'!$A:$A),FALSE))),"")</f>
        <v/>
      </c>
      <c r="AR132" s="243" t="str">
        <f t="shared" si="18"/>
        <v/>
      </c>
      <c r="AS132" s="53"/>
      <c r="AT132" s="245"/>
      <c r="AU132" s="242" t="str">
        <f>IF(ISTEXT(AT132),VLOOKUP(AT132,'Cadastro dos Ativos'!$A$2:$C$1000,3,0),"")</f>
        <v/>
      </c>
      <c r="AV132" s="242" t="str">
        <f>IF(AT132 &lt;&gt; "",IF(AU132="Futuros", (SUMIFS('Alocação'!$O$3:$O$1002,'Alocação'!$C$3:$C$1002,AT132,'Alocação'!$F$3:$F$1002,AT$9,'Alocação'!$B$3:$B$1002,"&lt;="&amp;$B$4)), (SUMIFS('Alocação'!$O$3:$O$1002,'Alocação'!$C$3:$C$1002,AT132,'Alocação'!$F$3:$F$1002,AT$9,'Alocação'!$B$3:$B$1002,"&lt;="&amp;$B$6))),"")</f>
        <v/>
      </c>
      <c r="AW132" s="243" t="str">
        <f>iferror(IF(AU132="Ações Americanas", HLOOKUP(AT132,'Histórico'!$A$1:$DD$990,MATCH($B$6,'Histórico'!$A:$A),FALSE)*HLOOKUP("PTAX",'Histórico'!$A$1:$FG$983,MATCH($B$6,'Histórico'!$A:$A),FALSE),IF(AU132="Ações Europeias", HLOOKUP(AT132,'Histórico'!$A$1:$DD$990,MATCH($B$6,'Histórico'!$A:$A),FALSE)*HLOOKUP("EUR/BRL",'Histórico'!$A$1:$FG$983,MATCH($B$6,'Histórico'!$A:$A),FALSE),  HLOOKUP(AT132,'Histórico'!$A$1:$DD$990,MATCH($B$6,'Histórico'!$A:$A),FALSE))),"")</f>
        <v/>
      </c>
      <c r="AX132" s="243" t="str">
        <f t="shared" si="27"/>
        <v/>
      </c>
      <c r="AY132" s="183"/>
    </row>
    <row r="133" ht="15.75" customHeight="1">
      <c r="A133" s="176"/>
      <c r="B133" s="232">
        <v>45183.0</v>
      </c>
      <c r="C133" s="233"/>
      <c r="D133" s="233"/>
      <c r="E133" s="234"/>
      <c r="F133" s="233"/>
      <c r="G133" s="233"/>
      <c r="H133" s="234"/>
      <c r="I133" s="233"/>
      <c r="J133" s="233"/>
      <c r="K133" s="234"/>
      <c r="L133" s="233"/>
      <c r="M133" s="233"/>
      <c r="N133" s="240" t="str">
        <f t="shared" si="9"/>
        <v/>
      </c>
      <c r="O133" s="240" t="str">
        <f t="shared" si="10"/>
        <v/>
      </c>
      <c r="P133" s="240" t="str">
        <f t="shared" si="11"/>
        <v/>
      </c>
      <c r="Q133" s="240" t="str">
        <f t="shared" si="12"/>
        <v/>
      </c>
      <c r="R133" s="236" t="str">
        <f t="shared" si="13"/>
        <v/>
      </c>
      <c r="S133" s="177"/>
      <c r="T133" s="233" t="str">
        <f t="shared" ref="T133:U133" si="143">IF(AND(C133&lt;&gt;"",F133&lt;&gt;"",I133&lt;&gt;""), SUM(I133,F133,C133,L133),"")</f>
        <v/>
      </c>
      <c r="U133" s="233" t="str">
        <f t="shared" si="143"/>
        <v/>
      </c>
      <c r="V133" s="233" t="str">
        <f t="shared" si="6"/>
        <v/>
      </c>
      <c r="W133" s="241" t="str">
        <f t="shared" si="15"/>
        <v/>
      </c>
      <c r="X133" s="241" t="str">
        <f t="shared" si="16"/>
        <v/>
      </c>
      <c r="Y133" s="241" t="str">
        <f t="shared" si="25"/>
        <v/>
      </c>
      <c r="Z133" s="233" t="str">
        <f t="shared" si="7"/>
        <v/>
      </c>
      <c r="AA133" s="165"/>
      <c r="AB133" s="245"/>
      <c r="AC133" s="242" t="str">
        <f>IF(ISTEXT(AB133),VLOOKUP(AB133,'Cadastro dos Ativos'!$A$2:$C$1000,3,0),"")</f>
        <v/>
      </c>
      <c r="AD133" s="242" t="str">
        <f>IF(AB133 &lt;&gt; "",IF(AC133="Futuros", (SUMIFS('Alocação'!$O$3:$O$1002,'Alocação'!$C$3:$C$1002,AB133,'Alocação'!$F$3:$F$1002,AB$9,'Alocação'!$B$3:$B$1002,"&lt;="&amp;$B$4)), (SUMIFS('Alocação'!$O$3:$O$1002,'Alocação'!$C$3:$C$1002,AB133,'Alocação'!$F$3:$F$1002,AB$9,'Alocação'!$B$3:$B$1002,"&lt;="&amp;$B$6))),"")</f>
        <v/>
      </c>
      <c r="AE133" s="243" t="str">
        <f>iferror(IF(AC133="Ações Americanas", HLOOKUP(AB133,'Histórico'!$A$1:$DD$990,MATCH($B$6,'Histórico'!$A:$A),FALSE)*HLOOKUP("PTAX",'Histórico'!$A$1:$FG$983,MATCH($B$6,'Histórico'!$A:$A),FALSE),IF(AC133="Ações Europeias", HLOOKUP(AB133,'Histórico'!$A$1:$DD$990,MATCH($B$6,'Histórico'!$A:$A),FALSE)*HLOOKUP("EUR/BRL",'Histórico'!$A$1:$FG$983,MATCH($B$6,'Histórico'!$A:$A),FALSE), HLOOKUP(AB133,'Histórico'!$A$1:$DD$990,MATCH($B$6,'Histórico'!$A:$A),FALSE))),"")</f>
        <v/>
      </c>
      <c r="AF133" s="243" t="str">
        <f t="shared" si="21"/>
        <v/>
      </c>
      <c r="AG133" s="53"/>
      <c r="AH133" s="245"/>
      <c r="AI133" s="242" t="str">
        <f>IF(ISTEXT(AH133),VLOOKUP(AH133,'Cadastro dos Ativos'!$A$2:$C$1000,3,0),"")</f>
        <v/>
      </c>
      <c r="AJ133" s="242" t="str">
        <f>IF(AH133 &lt;&gt; "",IF(AI133="Futuros", (SUMIFS('Alocação'!$O$3:$O$1002,'Alocação'!$C$3:$C$1002,AH133,'Alocação'!$F$3:$F$1002,AH$9,'Alocação'!$B$3:$B$1002,"&lt;="&amp;$B$4)), (SUMIFS('Alocação'!$O$3:$O$1002,'Alocação'!$C$3:$C$1002,AH133,'Alocação'!$F$3:$F$1002,AH$9,'Alocação'!$B$3:$B$1002,"&lt;="&amp;$B$6))),"")</f>
        <v/>
      </c>
      <c r="AK133" s="243" t="str">
        <f>iferror(IF(AI133="Ações Americanas", HLOOKUP(AH133,'Histórico'!$A$1:$DD$990,MATCH($B$6,'Histórico'!$A:$A),FALSE)*HLOOKUP("PTAX",'Histórico'!$A$1:$FG$983,MATCH($B$6,'Histórico'!$A:$A),FALSE),IF(AI133="Ações Europeias", HLOOKUP(AH133,'Histórico'!$A$1:$DD$990,MATCH($B$6,'Histórico'!$A:$A),FALSE)*HLOOKUP("EUR/BRL",'Histórico'!$A$1:$FG$983,MATCH($B$6,'Histórico'!$A:$A),FALSE),  HLOOKUP(AH133,'Histórico'!$A$1:$DD$990,MATCH($B$6,'Histórico'!$A:$A),FALSE))),"")</f>
        <v/>
      </c>
      <c r="AL133" s="243" t="str">
        <f t="shared" si="17"/>
        <v/>
      </c>
      <c r="AM133" s="53"/>
      <c r="AN133" s="245"/>
      <c r="AO133" s="242" t="str">
        <f>IF(ISTEXT(AN133),VLOOKUP(AN133,'Cadastro dos Ativos'!$A$2:$C$1000,3,0),"")</f>
        <v/>
      </c>
      <c r="AP133" s="242" t="str">
        <f>IF(AN133 &lt;&gt; "",IF(AO133="Futuros", (SUMIFS('Alocação'!$O$3:$O$1002,'Alocação'!$C$3:$C$1002,AN133,'Alocação'!$F$3:$F$1002,AN$9,'Alocação'!$B$3:$B$1002,"&lt;="&amp;$B$4)), (SUMIFS('Alocação'!$O$3:$O$1002,'Alocação'!$C$3:$C$1002,AN133,'Alocação'!$F$3:$F$1002,AN$9,'Alocação'!$B$3:$B$1002,"&lt;="&amp;$B$6))),"")</f>
        <v/>
      </c>
      <c r="AQ133" s="243" t="str">
        <f>iferror(IF(AO133="Ações Americanas", HLOOKUP(AN133,'Histórico'!$A$1:$DD$990,MATCH($B$6,'Histórico'!$A:$A),FALSE)*HLOOKUP("PTAX",'Histórico'!$A$1:$FG$983,MATCH($B$6,'Histórico'!$A:$A),FALSE),IF(AO133="Ações Europeias", HLOOKUP(AN133,'Histórico'!$A$1:$DD$990,MATCH($B$6,'Histórico'!$A:$A),FALSE)*HLOOKUP("EUR/BRL",'Histórico'!$A$1:$FG$983,MATCH($B$6,'Histórico'!$A:$A),FALSE),  HLOOKUP(AN133,'Histórico'!$A$1:$DD$990,MATCH($B$6,'Histórico'!$A:$A),FALSE))),"")</f>
        <v/>
      </c>
      <c r="AR133" s="243" t="str">
        <f t="shared" si="18"/>
        <v/>
      </c>
      <c r="AS133" s="53"/>
      <c r="AT133" s="245"/>
      <c r="AU133" s="242" t="str">
        <f>IF(ISTEXT(AT133),VLOOKUP(AT133,'Cadastro dos Ativos'!$A$2:$C$1000,3,0),"")</f>
        <v/>
      </c>
      <c r="AV133" s="242" t="str">
        <f>IF(AT133 &lt;&gt; "",IF(AU133="Futuros", (SUMIFS('Alocação'!$O$3:$O$1002,'Alocação'!$C$3:$C$1002,AT133,'Alocação'!$F$3:$F$1002,AT$9,'Alocação'!$B$3:$B$1002,"&lt;="&amp;$B$4)), (SUMIFS('Alocação'!$O$3:$O$1002,'Alocação'!$C$3:$C$1002,AT133,'Alocação'!$F$3:$F$1002,AT$9,'Alocação'!$B$3:$B$1002,"&lt;="&amp;$B$6))),"")</f>
        <v/>
      </c>
      <c r="AW133" s="243" t="str">
        <f>iferror(IF(AU133="Ações Americanas", HLOOKUP(AT133,'Histórico'!$A$1:$DD$990,MATCH($B$6,'Histórico'!$A:$A),FALSE)*HLOOKUP("PTAX",'Histórico'!$A$1:$FG$983,MATCH($B$6,'Histórico'!$A:$A),FALSE),IF(AU133="Ações Europeias", HLOOKUP(AT133,'Histórico'!$A$1:$DD$990,MATCH($B$6,'Histórico'!$A:$A),FALSE)*HLOOKUP("EUR/BRL",'Histórico'!$A$1:$FG$983,MATCH($B$6,'Histórico'!$A:$A),FALSE),  HLOOKUP(AT133,'Histórico'!$A$1:$DD$990,MATCH($B$6,'Histórico'!$A:$A),FALSE))),"")</f>
        <v/>
      </c>
      <c r="AX133" s="243" t="str">
        <f t="shared" si="27"/>
        <v/>
      </c>
      <c r="AY133" s="183"/>
    </row>
    <row r="134" ht="15.75" customHeight="1">
      <c r="A134" s="176"/>
      <c r="B134" s="232">
        <v>45184.0</v>
      </c>
      <c r="C134" s="233"/>
      <c r="D134" s="233"/>
      <c r="E134" s="234"/>
      <c r="F134" s="233"/>
      <c r="G134" s="233"/>
      <c r="H134" s="234"/>
      <c r="I134" s="233"/>
      <c r="J134" s="233"/>
      <c r="K134" s="234"/>
      <c r="L134" s="233"/>
      <c r="M134" s="233"/>
      <c r="N134" s="240" t="str">
        <f t="shared" si="9"/>
        <v/>
      </c>
      <c r="O134" s="240" t="str">
        <f t="shared" si="10"/>
        <v/>
      </c>
      <c r="P134" s="240" t="str">
        <f t="shared" si="11"/>
        <v/>
      </c>
      <c r="Q134" s="240" t="str">
        <f t="shared" si="12"/>
        <v/>
      </c>
      <c r="R134" s="236" t="str">
        <f t="shared" si="13"/>
        <v/>
      </c>
      <c r="S134" s="177"/>
      <c r="T134" s="233" t="str">
        <f t="shared" ref="T134:U134" si="144">IF(AND(C134&lt;&gt;"",F134&lt;&gt;"",I134&lt;&gt;""), SUM(I134,F134,C134,L134),"")</f>
        <v/>
      </c>
      <c r="U134" s="233" t="str">
        <f t="shared" si="144"/>
        <v/>
      </c>
      <c r="V134" s="233" t="str">
        <f t="shared" si="6"/>
        <v/>
      </c>
      <c r="W134" s="241" t="str">
        <f t="shared" si="15"/>
        <v/>
      </c>
      <c r="X134" s="241" t="str">
        <f t="shared" si="16"/>
        <v/>
      </c>
      <c r="Y134" s="241" t="str">
        <f t="shared" si="25"/>
        <v/>
      </c>
      <c r="Z134" s="233" t="str">
        <f t="shared" si="7"/>
        <v/>
      </c>
      <c r="AA134" s="165"/>
      <c r="AB134" s="245"/>
      <c r="AC134" s="242" t="str">
        <f>IF(ISTEXT(AB134),VLOOKUP(AB134,'Cadastro dos Ativos'!$A$2:$C$1000,3,0),"")</f>
        <v/>
      </c>
      <c r="AD134" s="242" t="str">
        <f>IF(AB134 &lt;&gt; "",IF(AC134="Futuros", (SUMIFS('Alocação'!$O$3:$O$1002,'Alocação'!$C$3:$C$1002,AB134,'Alocação'!$F$3:$F$1002,AB$9,'Alocação'!$B$3:$B$1002,"&lt;="&amp;$B$4)), (SUMIFS('Alocação'!$O$3:$O$1002,'Alocação'!$C$3:$C$1002,AB134,'Alocação'!$F$3:$F$1002,AB$9,'Alocação'!$B$3:$B$1002,"&lt;="&amp;$B$6))),"")</f>
        <v/>
      </c>
      <c r="AE134" s="243" t="str">
        <f>iferror(IF(AC134="Ações Americanas", HLOOKUP(AB134,'Histórico'!$A$1:$DD$990,MATCH($B$6,'Histórico'!$A:$A),FALSE)*HLOOKUP("PTAX",'Histórico'!$A$1:$FG$983,MATCH($B$6,'Histórico'!$A:$A),FALSE),IF(AC134="Ações Europeias", HLOOKUP(AB134,'Histórico'!$A$1:$DD$990,MATCH($B$6,'Histórico'!$A:$A),FALSE)*HLOOKUP("EUR/BRL",'Histórico'!$A$1:$FG$983,MATCH($B$6,'Histórico'!$A:$A),FALSE), HLOOKUP(AB134,'Histórico'!$A$1:$DD$990,MATCH($B$6,'Histórico'!$A:$A),FALSE))),"")</f>
        <v/>
      </c>
      <c r="AF134" s="243" t="str">
        <f t="shared" si="21"/>
        <v/>
      </c>
      <c r="AG134" s="53"/>
      <c r="AH134" s="245"/>
      <c r="AI134" s="242" t="str">
        <f>IF(ISTEXT(AH134),VLOOKUP(AH134,'Cadastro dos Ativos'!$A$2:$C$1000,3,0),"")</f>
        <v/>
      </c>
      <c r="AJ134" s="242" t="str">
        <f>IF(AH134 &lt;&gt; "",IF(AI134="Futuros", (SUMIFS('Alocação'!$O$3:$O$1002,'Alocação'!$C$3:$C$1002,AH134,'Alocação'!$F$3:$F$1002,AH$9,'Alocação'!$B$3:$B$1002,"&lt;="&amp;$B$4)), (SUMIFS('Alocação'!$O$3:$O$1002,'Alocação'!$C$3:$C$1002,AH134,'Alocação'!$F$3:$F$1002,AH$9,'Alocação'!$B$3:$B$1002,"&lt;="&amp;$B$6))),"")</f>
        <v/>
      </c>
      <c r="AK134" s="243" t="str">
        <f>iferror(IF(AI134="Ações Americanas", HLOOKUP(AH134,'Histórico'!$A$1:$DD$990,MATCH($B$6,'Histórico'!$A:$A),FALSE)*HLOOKUP("PTAX",'Histórico'!$A$1:$FG$983,MATCH($B$6,'Histórico'!$A:$A),FALSE),IF(AI134="Ações Europeias", HLOOKUP(AH134,'Histórico'!$A$1:$DD$990,MATCH($B$6,'Histórico'!$A:$A),FALSE)*HLOOKUP("EUR/BRL",'Histórico'!$A$1:$FG$983,MATCH($B$6,'Histórico'!$A:$A),FALSE),  HLOOKUP(AH134,'Histórico'!$A$1:$DD$990,MATCH($B$6,'Histórico'!$A:$A),FALSE))),"")</f>
        <v/>
      </c>
      <c r="AL134" s="243" t="str">
        <f t="shared" si="17"/>
        <v/>
      </c>
      <c r="AM134" s="53"/>
      <c r="AN134" s="245"/>
      <c r="AO134" s="242" t="str">
        <f>IF(ISTEXT(AN134),VLOOKUP(AN134,'Cadastro dos Ativos'!$A$2:$C$1000,3,0),"")</f>
        <v/>
      </c>
      <c r="AP134" s="242" t="str">
        <f>IF(AN134 &lt;&gt; "",IF(AO134="Futuros", (SUMIFS('Alocação'!$O$3:$O$1002,'Alocação'!$C$3:$C$1002,AN134,'Alocação'!$F$3:$F$1002,AN$9,'Alocação'!$B$3:$B$1002,"&lt;="&amp;$B$4)), (SUMIFS('Alocação'!$O$3:$O$1002,'Alocação'!$C$3:$C$1002,AN134,'Alocação'!$F$3:$F$1002,AN$9,'Alocação'!$B$3:$B$1002,"&lt;="&amp;$B$6))),"")</f>
        <v/>
      </c>
      <c r="AQ134" s="243" t="str">
        <f>iferror(IF(AO134="Ações Americanas", HLOOKUP(AN134,'Histórico'!$A$1:$DD$990,MATCH($B$6,'Histórico'!$A:$A),FALSE)*HLOOKUP("PTAX",'Histórico'!$A$1:$FG$983,MATCH($B$6,'Histórico'!$A:$A),FALSE),IF(AO134="Ações Europeias", HLOOKUP(AN134,'Histórico'!$A$1:$DD$990,MATCH($B$6,'Histórico'!$A:$A),FALSE)*HLOOKUP("EUR/BRL",'Histórico'!$A$1:$FG$983,MATCH($B$6,'Histórico'!$A:$A),FALSE),  HLOOKUP(AN134,'Histórico'!$A$1:$DD$990,MATCH($B$6,'Histórico'!$A:$A),FALSE))),"")</f>
        <v/>
      </c>
      <c r="AR134" s="243" t="str">
        <f t="shared" si="18"/>
        <v/>
      </c>
      <c r="AS134" s="53"/>
      <c r="AT134" s="245"/>
      <c r="AU134" s="242" t="str">
        <f>IF(ISTEXT(AT134),VLOOKUP(AT134,'Cadastro dos Ativos'!$A$2:$C$1000,3,0),"")</f>
        <v/>
      </c>
      <c r="AV134" s="242" t="str">
        <f>IF(AT134 &lt;&gt; "",IF(AU134="Futuros", (SUMIFS('Alocação'!$O$3:$O$1002,'Alocação'!$C$3:$C$1002,AT134,'Alocação'!$F$3:$F$1002,AT$9,'Alocação'!$B$3:$B$1002,"&lt;="&amp;$B$4)), (SUMIFS('Alocação'!$O$3:$O$1002,'Alocação'!$C$3:$C$1002,AT134,'Alocação'!$F$3:$F$1002,AT$9,'Alocação'!$B$3:$B$1002,"&lt;="&amp;$B$6))),"")</f>
        <v/>
      </c>
      <c r="AW134" s="243" t="str">
        <f>iferror(IF(AU134="Ações Americanas", HLOOKUP(AT134,'Histórico'!$A$1:$DD$990,MATCH($B$6,'Histórico'!$A:$A),FALSE)*HLOOKUP("PTAX",'Histórico'!$A$1:$FG$983,MATCH($B$6,'Histórico'!$A:$A),FALSE),IF(AU134="Ações Europeias", HLOOKUP(AT134,'Histórico'!$A$1:$DD$990,MATCH($B$6,'Histórico'!$A:$A),FALSE)*HLOOKUP("EUR/BRL",'Histórico'!$A$1:$FG$983,MATCH($B$6,'Histórico'!$A:$A),FALSE),  HLOOKUP(AT134,'Histórico'!$A$1:$DD$990,MATCH($B$6,'Histórico'!$A:$A),FALSE))),"")</f>
        <v/>
      </c>
      <c r="AX134" s="243" t="str">
        <f t="shared" si="27"/>
        <v/>
      </c>
      <c r="AY134" s="183"/>
    </row>
    <row r="135" ht="15.75" customHeight="1">
      <c r="A135" s="176"/>
      <c r="B135" s="232">
        <v>45187.0</v>
      </c>
      <c r="C135" s="233"/>
      <c r="D135" s="233"/>
      <c r="E135" s="234"/>
      <c r="F135" s="233"/>
      <c r="G135" s="233"/>
      <c r="H135" s="234"/>
      <c r="I135" s="233"/>
      <c r="J135" s="233"/>
      <c r="K135" s="234"/>
      <c r="L135" s="233"/>
      <c r="M135" s="233"/>
      <c r="N135" s="240" t="str">
        <f t="shared" si="9"/>
        <v/>
      </c>
      <c r="O135" s="240" t="str">
        <f t="shared" si="10"/>
        <v/>
      </c>
      <c r="P135" s="240" t="str">
        <f t="shared" si="11"/>
        <v/>
      </c>
      <c r="Q135" s="240" t="str">
        <f t="shared" si="12"/>
        <v/>
      </c>
      <c r="R135" s="236" t="str">
        <f t="shared" si="13"/>
        <v/>
      </c>
      <c r="S135" s="177"/>
      <c r="T135" s="233" t="str">
        <f t="shared" ref="T135:U135" si="145">IF(AND(C135&lt;&gt;"",F135&lt;&gt;"",I135&lt;&gt;""), SUM(I135,F135,C135,L135),"")</f>
        <v/>
      </c>
      <c r="U135" s="233" t="str">
        <f t="shared" si="145"/>
        <v/>
      </c>
      <c r="V135" s="233" t="str">
        <f t="shared" si="6"/>
        <v/>
      </c>
      <c r="W135" s="241" t="str">
        <f t="shared" si="15"/>
        <v/>
      </c>
      <c r="X135" s="241" t="str">
        <f t="shared" si="16"/>
        <v/>
      </c>
      <c r="Y135" s="241" t="str">
        <f t="shared" si="25"/>
        <v/>
      </c>
      <c r="Z135" s="233" t="str">
        <f t="shared" si="7"/>
        <v/>
      </c>
      <c r="AA135" s="165"/>
      <c r="AB135" s="245"/>
      <c r="AC135" s="242" t="str">
        <f>IF(ISTEXT(AB135),VLOOKUP(AB135,'Cadastro dos Ativos'!$A$2:$C$1000,3,0),"")</f>
        <v/>
      </c>
      <c r="AD135" s="242" t="str">
        <f>IF(AB135 &lt;&gt; "",IF(AC135="Futuros", (SUMIFS('Alocação'!$O$3:$O$1002,'Alocação'!$C$3:$C$1002,AB135,'Alocação'!$F$3:$F$1002,AB$9,'Alocação'!$B$3:$B$1002,"&lt;="&amp;$B$4)), (SUMIFS('Alocação'!$O$3:$O$1002,'Alocação'!$C$3:$C$1002,AB135,'Alocação'!$F$3:$F$1002,AB$9,'Alocação'!$B$3:$B$1002,"&lt;="&amp;$B$6))),"")</f>
        <v/>
      </c>
      <c r="AE135" s="243" t="str">
        <f>iferror(IF(AC135="Ações Americanas", HLOOKUP(AB135,'Histórico'!$A$1:$DD$990,MATCH($B$6,'Histórico'!$A:$A),FALSE)*HLOOKUP("PTAX",'Histórico'!$A$1:$FG$983,MATCH($B$6,'Histórico'!$A:$A),FALSE),IF(AC135="Ações Europeias", HLOOKUP(AB135,'Histórico'!$A$1:$DD$990,MATCH($B$6,'Histórico'!$A:$A),FALSE)*HLOOKUP("EUR/BRL",'Histórico'!$A$1:$FG$983,MATCH($B$6,'Histórico'!$A:$A),FALSE), HLOOKUP(AB135,'Histórico'!$A$1:$DD$990,MATCH($B$6,'Histórico'!$A:$A),FALSE))),"")</f>
        <v/>
      </c>
      <c r="AF135" s="243" t="str">
        <f t="shared" si="21"/>
        <v/>
      </c>
      <c r="AG135" s="53"/>
      <c r="AH135" s="245"/>
      <c r="AI135" s="242" t="str">
        <f>IF(ISTEXT(AH135),VLOOKUP(AH135,'Cadastro dos Ativos'!$A$2:$C$1000,3,0),"")</f>
        <v/>
      </c>
      <c r="AJ135" s="242" t="str">
        <f>IF(AH135 &lt;&gt; "",IF(AI135="Futuros", (SUMIFS('Alocação'!$O$3:$O$1002,'Alocação'!$C$3:$C$1002,AH135,'Alocação'!$F$3:$F$1002,AH$9,'Alocação'!$B$3:$B$1002,"&lt;="&amp;$B$4)), (SUMIFS('Alocação'!$O$3:$O$1002,'Alocação'!$C$3:$C$1002,AH135,'Alocação'!$F$3:$F$1002,AH$9,'Alocação'!$B$3:$B$1002,"&lt;="&amp;$B$6))),"")</f>
        <v/>
      </c>
      <c r="AK135" s="243" t="str">
        <f>iferror(IF(AI135="Ações Americanas", HLOOKUP(AH135,'Histórico'!$A$1:$DD$990,MATCH($B$6,'Histórico'!$A:$A),FALSE)*HLOOKUP("PTAX",'Histórico'!$A$1:$FG$983,MATCH($B$6,'Histórico'!$A:$A),FALSE),IF(AI135="Ações Europeias", HLOOKUP(AH135,'Histórico'!$A$1:$DD$990,MATCH($B$6,'Histórico'!$A:$A),FALSE)*HLOOKUP("EUR/BRL",'Histórico'!$A$1:$FG$983,MATCH($B$6,'Histórico'!$A:$A),FALSE),  HLOOKUP(AH135,'Histórico'!$A$1:$DD$990,MATCH($B$6,'Histórico'!$A:$A),FALSE))),"")</f>
        <v/>
      </c>
      <c r="AL135" s="243" t="str">
        <f t="shared" si="17"/>
        <v/>
      </c>
      <c r="AM135" s="53"/>
      <c r="AN135" s="245"/>
      <c r="AO135" s="242" t="str">
        <f>IF(ISTEXT(AN135),VLOOKUP(AN135,'Cadastro dos Ativos'!$A$2:$C$1000,3,0),"")</f>
        <v/>
      </c>
      <c r="AP135" s="242" t="str">
        <f>IF(AN135 &lt;&gt; "",IF(AO135="Futuros", (SUMIFS('Alocação'!$O$3:$O$1002,'Alocação'!$C$3:$C$1002,AN135,'Alocação'!$F$3:$F$1002,AN$9,'Alocação'!$B$3:$B$1002,"&lt;="&amp;$B$4)), (SUMIFS('Alocação'!$O$3:$O$1002,'Alocação'!$C$3:$C$1002,AN135,'Alocação'!$F$3:$F$1002,AN$9,'Alocação'!$B$3:$B$1002,"&lt;="&amp;$B$6))),"")</f>
        <v/>
      </c>
      <c r="AQ135" s="243" t="str">
        <f>iferror(IF(AO135="Ações Americanas", HLOOKUP(AN135,'Histórico'!$A$1:$DD$990,MATCH($B$6,'Histórico'!$A:$A),FALSE)*HLOOKUP("PTAX",'Histórico'!$A$1:$FG$983,MATCH($B$6,'Histórico'!$A:$A),FALSE),IF(AO135="Ações Europeias", HLOOKUP(AN135,'Histórico'!$A$1:$DD$990,MATCH($B$6,'Histórico'!$A:$A),FALSE)*HLOOKUP("EUR/BRL",'Histórico'!$A$1:$FG$983,MATCH($B$6,'Histórico'!$A:$A),FALSE),  HLOOKUP(AN135,'Histórico'!$A$1:$DD$990,MATCH($B$6,'Histórico'!$A:$A),FALSE))),"")</f>
        <v/>
      </c>
      <c r="AR135" s="243" t="str">
        <f t="shared" si="18"/>
        <v/>
      </c>
      <c r="AS135" s="53"/>
      <c r="AT135" s="245"/>
      <c r="AU135" s="242" t="str">
        <f>IF(ISTEXT(AT135),VLOOKUP(AT135,'Cadastro dos Ativos'!$A$2:$C$1000,3,0),"")</f>
        <v/>
      </c>
      <c r="AV135" s="242" t="str">
        <f>IF(AT135 &lt;&gt; "",IF(AU135="Futuros", (SUMIFS('Alocação'!$O$3:$O$1002,'Alocação'!$C$3:$C$1002,AT135,'Alocação'!$F$3:$F$1002,AT$9,'Alocação'!$B$3:$B$1002,"&lt;="&amp;$B$4)), (SUMIFS('Alocação'!$O$3:$O$1002,'Alocação'!$C$3:$C$1002,AT135,'Alocação'!$F$3:$F$1002,AT$9,'Alocação'!$B$3:$B$1002,"&lt;="&amp;$B$6))),"")</f>
        <v/>
      </c>
      <c r="AW135" s="243" t="str">
        <f>iferror(IF(AU135="Ações Americanas", HLOOKUP(AT135,'Histórico'!$A$1:$DD$990,MATCH($B$6,'Histórico'!$A:$A),FALSE)*HLOOKUP("PTAX",'Histórico'!$A$1:$FG$983,MATCH($B$6,'Histórico'!$A:$A),FALSE),IF(AU135="Ações Europeias", HLOOKUP(AT135,'Histórico'!$A$1:$DD$990,MATCH($B$6,'Histórico'!$A:$A),FALSE)*HLOOKUP("EUR/BRL",'Histórico'!$A$1:$FG$983,MATCH($B$6,'Histórico'!$A:$A),FALSE),  HLOOKUP(AT135,'Histórico'!$A$1:$DD$990,MATCH($B$6,'Histórico'!$A:$A),FALSE))),"")</f>
        <v/>
      </c>
      <c r="AX135" s="243" t="str">
        <f t="shared" si="27"/>
        <v/>
      </c>
      <c r="AY135" s="183"/>
    </row>
    <row r="136" ht="15.75" customHeight="1">
      <c r="A136" s="176"/>
      <c r="B136" s="232">
        <v>45188.0</v>
      </c>
      <c r="C136" s="233"/>
      <c r="D136" s="233"/>
      <c r="E136" s="234"/>
      <c r="F136" s="233"/>
      <c r="G136" s="233"/>
      <c r="H136" s="234"/>
      <c r="I136" s="233"/>
      <c r="J136" s="233"/>
      <c r="K136" s="234"/>
      <c r="L136" s="233"/>
      <c r="M136" s="233"/>
      <c r="N136" s="240" t="str">
        <f t="shared" si="9"/>
        <v/>
      </c>
      <c r="O136" s="240" t="str">
        <f t="shared" si="10"/>
        <v/>
      </c>
      <c r="P136" s="240" t="str">
        <f t="shared" si="11"/>
        <v/>
      </c>
      <c r="Q136" s="240" t="str">
        <f t="shared" si="12"/>
        <v/>
      </c>
      <c r="R136" s="236" t="str">
        <f t="shared" si="13"/>
        <v/>
      </c>
      <c r="S136" s="177"/>
      <c r="T136" s="233" t="str">
        <f t="shared" ref="T136:U136" si="146">IF(AND(C136&lt;&gt;"",F136&lt;&gt;"",I136&lt;&gt;""), SUM(I136,F136,C136,L136),"")</f>
        <v/>
      </c>
      <c r="U136" s="233" t="str">
        <f t="shared" si="146"/>
        <v/>
      </c>
      <c r="V136" s="233" t="str">
        <f t="shared" si="6"/>
        <v/>
      </c>
      <c r="W136" s="241" t="str">
        <f t="shared" si="15"/>
        <v/>
      </c>
      <c r="X136" s="241" t="str">
        <f t="shared" si="16"/>
        <v/>
      </c>
      <c r="Y136" s="241" t="str">
        <f t="shared" si="25"/>
        <v/>
      </c>
      <c r="Z136" s="233" t="str">
        <f t="shared" si="7"/>
        <v/>
      </c>
      <c r="AA136" s="165"/>
      <c r="AB136" s="245"/>
      <c r="AC136" s="242" t="str">
        <f>IF(ISTEXT(AB136),VLOOKUP(AB136,'Cadastro dos Ativos'!$A$2:$C$1000,3,0),"")</f>
        <v/>
      </c>
      <c r="AD136" s="242" t="str">
        <f>IF(AB136 &lt;&gt; "",IF(AC136="Futuros", (SUMIFS('Alocação'!$O$3:$O$1002,'Alocação'!$C$3:$C$1002,AB136,'Alocação'!$F$3:$F$1002,AB$9,'Alocação'!$B$3:$B$1002,"&lt;="&amp;$B$4)), (SUMIFS('Alocação'!$O$3:$O$1002,'Alocação'!$C$3:$C$1002,AB136,'Alocação'!$F$3:$F$1002,AB$9,'Alocação'!$B$3:$B$1002,"&lt;="&amp;$B$6))),"")</f>
        <v/>
      </c>
      <c r="AE136" s="243" t="str">
        <f>iferror(IF(AC136="Ações Americanas", HLOOKUP(AB136,'Histórico'!$A$1:$DD$990,MATCH($B$6,'Histórico'!$A:$A),FALSE)*HLOOKUP("PTAX",'Histórico'!$A$1:$FG$983,MATCH($B$6,'Histórico'!$A:$A),FALSE),IF(AC136="Ações Europeias", HLOOKUP(AB136,'Histórico'!$A$1:$DD$990,MATCH($B$6,'Histórico'!$A:$A),FALSE)*HLOOKUP("EUR/BRL",'Histórico'!$A$1:$FG$983,MATCH($B$6,'Histórico'!$A:$A),FALSE), HLOOKUP(AB136,'Histórico'!$A$1:$DD$990,MATCH($B$6,'Histórico'!$A:$A),FALSE))),"")</f>
        <v/>
      </c>
      <c r="AF136" s="243" t="str">
        <f t="shared" si="21"/>
        <v/>
      </c>
      <c r="AG136" s="53"/>
      <c r="AH136" s="245"/>
      <c r="AI136" s="242" t="str">
        <f>IF(ISTEXT(AH136),VLOOKUP(AH136,'Cadastro dos Ativos'!$A$2:$C$1000,3,0),"")</f>
        <v/>
      </c>
      <c r="AJ136" s="242" t="str">
        <f>IF(AH136 &lt;&gt; "",IF(AI136="Futuros", (SUMIFS('Alocação'!$O$3:$O$1002,'Alocação'!$C$3:$C$1002,AH136,'Alocação'!$F$3:$F$1002,AH$9,'Alocação'!$B$3:$B$1002,"&lt;="&amp;$B$4)), (SUMIFS('Alocação'!$O$3:$O$1002,'Alocação'!$C$3:$C$1002,AH136,'Alocação'!$F$3:$F$1002,AH$9,'Alocação'!$B$3:$B$1002,"&lt;="&amp;$B$6))),"")</f>
        <v/>
      </c>
      <c r="AK136" s="243" t="str">
        <f>iferror(IF(AI136="Ações Americanas", HLOOKUP(AH136,'Histórico'!$A$1:$DD$990,MATCH($B$6,'Histórico'!$A:$A),FALSE)*HLOOKUP("PTAX",'Histórico'!$A$1:$FG$983,MATCH($B$6,'Histórico'!$A:$A),FALSE),IF(AI136="Ações Europeias", HLOOKUP(AH136,'Histórico'!$A$1:$DD$990,MATCH($B$6,'Histórico'!$A:$A),FALSE)*HLOOKUP("EUR/BRL",'Histórico'!$A$1:$FG$983,MATCH($B$6,'Histórico'!$A:$A),FALSE),  HLOOKUP(AH136,'Histórico'!$A$1:$DD$990,MATCH($B$6,'Histórico'!$A:$A),FALSE))),"")</f>
        <v/>
      </c>
      <c r="AL136" s="243" t="str">
        <f t="shared" si="17"/>
        <v/>
      </c>
      <c r="AM136" s="53"/>
      <c r="AN136" s="245"/>
      <c r="AO136" s="242" t="str">
        <f>IF(ISTEXT(AN136),VLOOKUP(AN136,'Cadastro dos Ativos'!$A$2:$C$1000,3,0),"")</f>
        <v/>
      </c>
      <c r="AP136" s="242" t="str">
        <f>IF(AN136 &lt;&gt; "",IF(AO136="Futuros", (SUMIFS('Alocação'!$O$3:$O$1002,'Alocação'!$C$3:$C$1002,AN136,'Alocação'!$F$3:$F$1002,AN$9,'Alocação'!$B$3:$B$1002,"&lt;="&amp;$B$4)), (SUMIFS('Alocação'!$O$3:$O$1002,'Alocação'!$C$3:$C$1002,AN136,'Alocação'!$F$3:$F$1002,AN$9,'Alocação'!$B$3:$B$1002,"&lt;="&amp;$B$6))),"")</f>
        <v/>
      </c>
      <c r="AQ136" s="243" t="str">
        <f>iferror(IF(AO136="Ações Americanas", HLOOKUP(AN136,'Histórico'!$A$1:$DD$990,MATCH($B$6,'Histórico'!$A:$A),FALSE)*HLOOKUP("PTAX",'Histórico'!$A$1:$FG$983,MATCH($B$6,'Histórico'!$A:$A),FALSE),IF(AO136="Ações Europeias", HLOOKUP(AN136,'Histórico'!$A$1:$DD$990,MATCH($B$6,'Histórico'!$A:$A),FALSE)*HLOOKUP("EUR/BRL",'Histórico'!$A$1:$FG$983,MATCH($B$6,'Histórico'!$A:$A),FALSE),  HLOOKUP(AN136,'Histórico'!$A$1:$DD$990,MATCH($B$6,'Histórico'!$A:$A),FALSE))),"")</f>
        <v/>
      </c>
      <c r="AR136" s="243" t="str">
        <f t="shared" si="18"/>
        <v/>
      </c>
      <c r="AS136" s="53"/>
      <c r="AT136" s="245"/>
      <c r="AU136" s="242" t="str">
        <f>IF(ISTEXT(AT136),VLOOKUP(AT136,'Cadastro dos Ativos'!$A$2:$C$1000,3,0),"")</f>
        <v/>
      </c>
      <c r="AV136" s="242" t="str">
        <f>IF(AT136 &lt;&gt; "",IF(AU136="Futuros", (SUMIFS('Alocação'!$O$3:$O$1002,'Alocação'!$C$3:$C$1002,AT136,'Alocação'!$F$3:$F$1002,AT$9,'Alocação'!$B$3:$B$1002,"&lt;="&amp;$B$4)), (SUMIFS('Alocação'!$O$3:$O$1002,'Alocação'!$C$3:$C$1002,AT136,'Alocação'!$F$3:$F$1002,AT$9,'Alocação'!$B$3:$B$1002,"&lt;="&amp;$B$6))),"")</f>
        <v/>
      </c>
      <c r="AW136" s="243" t="str">
        <f>iferror(IF(AU136="Ações Americanas", HLOOKUP(AT136,'Histórico'!$A$1:$DD$990,MATCH($B$6,'Histórico'!$A:$A),FALSE)*HLOOKUP("PTAX",'Histórico'!$A$1:$FG$983,MATCH($B$6,'Histórico'!$A:$A),FALSE),IF(AU136="Ações Europeias", HLOOKUP(AT136,'Histórico'!$A$1:$DD$990,MATCH($B$6,'Histórico'!$A:$A),FALSE)*HLOOKUP("EUR/BRL",'Histórico'!$A$1:$FG$983,MATCH($B$6,'Histórico'!$A:$A),FALSE),  HLOOKUP(AT136,'Histórico'!$A$1:$DD$990,MATCH($B$6,'Histórico'!$A:$A),FALSE))),"")</f>
        <v/>
      </c>
      <c r="AX136" s="243" t="str">
        <f t="shared" si="27"/>
        <v/>
      </c>
      <c r="AY136" s="183"/>
    </row>
    <row r="137" ht="15.75" customHeight="1">
      <c r="A137" s="176"/>
      <c r="B137" s="232">
        <v>45189.0</v>
      </c>
      <c r="C137" s="233"/>
      <c r="D137" s="233"/>
      <c r="E137" s="234"/>
      <c r="F137" s="233"/>
      <c r="G137" s="233"/>
      <c r="H137" s="234"/>
      <c r="I137" s="233"/>
      <c r="J137" s="233"/>
      <c r="K137" s="234"/>
      <c r="L137" s="233"/>
      <c r="M137" s="233"/>
      <c r="N137" s="240" t="str">
        <f t="shared" si="9"/>
        <v/>
      </c>
      <c r="O137" s="240" t="str">
        <f t="shared" si="10"/>
        <v/>
      </c>
      <c r="P137" s="240" t="str">
        <f t="shared" si="11"/>
        <v/>
      </c>
      <c r="Q137" s="240" t="str">
        <f t="shared" si="12"/>
        <v/>
      </c>
      <c r="R137" s="236" t="str">
        <f t="shared" si="13"/>
        <v/>
      </c>
      <c r="S137" s="177"/>
      <c r="T137" s="233" t="str">
        <f t="shared" ref="T137:U137" si="147">IF(AND(C137&lt;&gt;"",F137&lt;&gt;"",I137&lt;&gt;""), SUM(I137,F137,C137,L137),"")</f>
        <v/>
      </c>
      <c r="U137" s="233" t="str">
        <f t="shared" si="147"/>
        <v/>
      </c>
      <c r="V137" s="233" t="str">
        <f t="shared" si="6"/>
        <v/>
      </c>
      <c r="W137" s="241" t="str">
        <f t="shared" si="15"/>
        <v/>
      </c>
      <c r="X137" s="241" t="str">
        <f t="shared" si="16"/>
        <v/>
      </c>
      <c r="Y137" s="241" t="str">
        <f t="shared" si="25"/>
        <v/>
      </c>
      <c r="Z137" s="233" t="str">
        <f t="shared" si="7"/>
        <v/>
      </c>
      <c r="AA137" s="165"/>
      <c r="AB137" s="245"/>
      <c r="AC137" s="242" t="str">
        <f>IF(ISTEXT(AB137),VLOOKUP(AB137,'Cadastro dos Ativos'!$A$2:$C$1000,3,0),"")</f>
        <v/>
      </c>
      <c r="AD137" s="242" t="str">
        <f>IF(AB137 &lt;&gt; "",IF(AC137="Futuros", (SUMIFS('Alocação'!$O$3:$O$1002,'Alocação'!$C$3:$C$1002,AB137,'Alocação'!$F$3:$F$1002,AB$9,'Alocação'!$B$3:$B$1002,"&lt;="&amp;$B$4)), (SUMIFS('Alocação'!$O$3:$O$1002,'Alocação'!$C$3:$C$1002,AB137,'Alocação'!$F$3:$F$1002,AB$9,'Alocação'!$B$3:$B$1002,"&lt;="&amp;$B$6))),"")</f>
        <v/>
      </c>
      <c r="AE137" s="243" t="str">
        <f>iferror(IF(AC137="Ações Americanas", HLOOKUP(AB137,'Histórico'!$A$1:$DD$990,MATCH($B$6,'Histórico'!$A:$A),FALSE)*HLOOKUP("PTAX",'Histórico'!$A$1:$FG$983,MATCH($B$6,'Histórico'!$A:$A),FALSE),IF(AC137="Ações Europeias", HLOOKUP(AB137,'Histórico'!$A$1:$DD$990,MATCH($B$6,'Histórico'!$A:$A),FALSE)*HLOOKUP("EUR/BRL",'Histórico'!$A$1:$FG$983,MATCH($B$6,'Histórico'!$A:$A),FALSE), HLOOKUP(AB137,'Histórico'!$A$1:$DD$990,MATCH($B$6,'Histórico'!$A:$A),FALSE))),"")</f>
        <v/>
      </c>
      <c r="AF137" s="243" t="str">
        <f t="shared" si="21"/>
        <v/>
      </c>
      <c r="AG137" s="53"/>
      <c r="AH137" s="245"/>
      <c r="AI137" s="242" t="str">
        <f>IF(ISTEXT(AH137),VLOOKUP(AH137,'Cadastro dos Ativos'!$A$2:$C$1000,3,0),"")</f>
        <v/>
      </c>
      <c r="AJ137" s="242" t="str">
        <f>IF(AH137 &lt;&gt; "",IF(AI137="Futuros", (SUMIFS('Alocação'!$O$3:$O$1002,'Alocação'!$C$3:$C$1002,AH137,'Alocação'!$F$3:$F$1002,AH$9,'Alocação'!$B$3:$B$1002,"&lt;="&amp;$B$4)), (SUMIFS('Alocação'!$O$3:$O$1002,'Alocação'!$C$3:$C$1002,AH137,'Alocação'!$F$3:$F$1002,AH$9,'Alocação'!$B$3:$B$1002,"&lt;="&amp;$B$6))),"")</f>
        <v/>
      </c>
      <c r="AK137" s="243" t="str">
        <f>iferror(IF(AI137="Ações Americanas", HLOOKUP(AH137,'Histórico'!$A$1:$DD$990,MATCH($B$6,'Histórico'!$A:$A),FALSE)*HLOOKUP("PTAX",'Histórico'!$A$1:$FG$983,MATCH($B$6,'Histórico'!$A:$A),FALSE),IF(AI137="Ações Europeias", HLOOKUP(AH137,'Histórico'!$A$1:$DD$990,MATCH($B$6,'Histórico'!$A:$A),FALSE)*HLOOKUP("EUR/BRL",'Histórico'!$A$1:$FG$983,MATCH($B$6,'Histórico'!$A:$A),FALSE),  HLOOKUP(AH137,'Histórico'!$A$1:$DD$990,MATCH($B$6,'Histórico'!$A:$A),FALSE))),"")</f>
        <v/>
      </c>
      <c r="AL137" s="243" t="str">
        <f t="shared" si="17"/>
        <v/>
      </c>
      <c r="AM137" s="53"/>
      <c r="AN137" s="245"/>
      <c r="AO137" s="242" t="str">
        <f>IF(ISTEXT(AN137),VLOOKUP(AN137,'Cadastro dos Ativos'!$A$2:$C$1000,3,0),"")</f>
        <v/>
      </c>
      <c r="AP137" s="242" t="str">
        <f>IF(AN137 &lt;&gt; "",IF(AO137="Futuros", (SUMIFS('Alocação'!$O$3:$O$1002,'Alocação'!$C$3:$C$1002,AN137,'Alocação'!$F$3:$F$1002,AN$9,'Alocação'!$B$3:$B$1002,"&lt;="&amp;$B$4)), (SUMIFS('Alocação'!$O$3:$O$1002,'Alocação'!$C$3:$C$1002,AN137,'Alocação'!$F$3:$F$1002,AN$9,'Alocação'!$B$3:$B$1002,"&lt;="&amp;$B$6))),"")</f>
        <v/>
      </c>
      <c r="AQ137" s="243" t="str">
        <f>iferror(IF(AO137="Ações Americanas", HLOOKUP(AN137,'Histórico'!$A$1:$DD$990,MATCH($B$6,'Histórico'!$A:$A),FALSE)*HLOOKUP("PTAX",'Histórico'!$A$1:$FG$983,MATCH($B$6,'Histórico'!$A:$A),FALSE),IF(AO137="Ações Europeias", HLOOKUP(AN137,'Histórico'!$A$1:$DD$990,MATCH($B$6,'Histórico'!$A:$A),FALSE)*HLOOKUP("EUR/BRL",'Histórico'!$A$1:$FG$983,MATCH($B$6,'Histórico'!$A:$A),FALSE),  HLOOKUP(AN137,'Histórico'!$A$1:$DD$990,MATCH($B$6,'Histórico'!$A:$A),FALSE))),"")</f>
        <v/>
      </c>
      <c r="AR137" s="243" t="str">
        <f t="shared" si="18"/>
        <v/>
      </c>
      <c r="AS137" s="53"/>
      <c r="AT137" s="245"/>
      <c r="AU137" s="242" t="str">
        <f>IF(ISTEXT(AT137),VLOOKUP(AT137,'Cadastro dos Ativos'!$A$2:$C$1000,3,0),"")</f>
        <v/>
      </c>
      <c r="AV137" s="242" t="str">
        <f>IF(AT137 &lt;&gt; "",IF(AU137="Futuros", (SUMIFS('Alocação'!$O$3:$O$1002,'Alocação'!$C$3:$C$1002,AT137,'Alocação'!$F$3:$F$1002,AT$9,'Alocação'!$B$3:$B$1002,"&lt;="&amp;$B$4)), (SUMIFS('Alocação'!$O$3:$O$1002,'Alocação'!$C$3:$C$1002,AT137,'Alocação'!$F$3:$F$1002,AT$9,'Alocação'!$B$3:$B$1002,"&lt;="&amp;$B$6))),"")</f>
        <v/>
      </c>
      <c r="AW137" s="243" t="str">
        <f>iferror(IF(AU137="Ações Americanas", HLOOKUP(AT137,'Histórico'!$A$1:$DD$990,MATCH($B$6,'Histórico'!$A:$A),FALSE)*HLOOKUP("PTAX",'Histórico'!$A$1:$FG$983,MATCH($B$6,'Histórico'!$A:$A),FALSE),IF(AU137="Ações Europeias", HLOOKUP(AT137,'Histórico'!$A$1:$DD$990,MATCH($B$6,'Histórico'!$A:$A),FALSE)*HLOOKUP("EUR/BRL",'Histórico'!$A$1:$FG$983,MATCH($B$6,'Histórico'!$A:$A),FALSE),  HLOOKUP(AT137,'Histórico'!$A$1:$DD$990,MATCH($B$6,'Histórico'!$A:$A),FALSE))),"")</f>
        <v/>
      </c>
      <c r="AX137" s="243" t="str">
        <f t="shared" si="27"/>
        <v/>
      </c>
      <c r="AY137" s="183"/>
    </row>
    <row r="138" ht="15.75" customHeight="1">
      <c r="A138" s="176"/>
      <c r="B138" s="232">
        <v>45190.0</v>
      </c>
      <c r="C138" s="233"/>
      <c r="D138" s="233"/>
      <c r="E138" s="234"/>
      <c r="F138" s="233"/>
      <c r="G138" s="233"/>
      <c r="H138" s="234"/>
      <c r="I138" s="233"/>
      <c r="J138" s="233"/>
      <c r="K138" s="234"/>
      <c r="L138" s="233"/>
      <c r="M138" s="233"/>
      <c r="N138" s="240" t="str">
        <f t="shared" si="9"/>
        <v/>
      </c>
      <c r="O138" s="240" t="str">
        <f t="shared" si="10"/>
        <v/>
      </c>
      <c r="P138" s="240" t="str">
        <f t="shared" si="11"/>
        <v/>
      </c>
      <c r="Q138" s="240" t="str">
        <f t="shared" si="12"/>
        <v/>
      </c>
      <c r="R138" s="236" t="str">
        <f t="shared" si="13"/>
        <v/>
      </c>
      <c r="S138" s="177"/>
      <c r="T138" s="233" t="str">
        <f t="shared" ref="T138:U138" si="148">IF(AND(C138&lt;&gt;"",F138&lt;&gt;"",I138&lt;&gt;""), SUM(I138,F138,C138,L138),"")</f>
        <v/>
      </c>
      <c r="U138" s="233" t="str">
        <f t="shared" si="148"/>
        <v/>
      </c>
      <c r="V138" s="233" t="str">
        <f t="shared" si="6"/>
        <v/>
      </c>
      <c r="W138" s="241" t="str">
        <f t="shared" si="15"/>
        <v/>
      </c>
      <c r="X138" s="241" t="str">
        <f t="shared" si="16"/>
        <v/>
      </c>
      <c r="Y138" s="241" t="str">
        <f t="shared" si="25"/>
        <v/>
      </c>
      <c r="Z138" s="233" t="str">
        <f t="shared" si="7"/>
        <v/>
      </c>
      <c r="AA138" s="165"/>
      <c r="AB138" s="245"/>
      <c r="AC138" s="242" t="str">
        <f>IF(ISTEXT(AB138),VLOOKUP(AB138,'Cadastro dos Ativos'!$A$2:$C$1000,3,0),"")</f>
        <v/>
      </c>
      <c r="AD138" s="242" t="str">
        <f>IF(AB138 &lt;&gt; "",IF(AC138="Futuros", (SUMIFS('Alocação'!$O$3:$O$1002,'Alocação'!$C$3:$C$1002,AB138,'Alocação'!$F$3:$F$1002,AB$9,'Alocação'!$B$3:$B$1002,"&lt;="&amp;$B$4)), (SUMIFS('Alocação'!$O$3:$O$1002,'Alocação'!$C$3:$C$1002,AB138,'Alocação'!$F$3:$F$1002,AB$9,'Alocação'!$B$3:$B$1002,"&lt;="&amp;$B$6))),"")</f>
        <v/>
      </c>
      <c r="AE138" s="243" t="str">
        <f>iferror(IF(AC138="Ações Americanas", HLOOKUP(AB138,'Histórico'!$A$1:$DD$990,MATCH($B$6,'Histórico'!$A:$A),FALSE)*HLOOKUP("PTAX",'Histórico'!$A$1:$FG$983,MATCH($B$6,'Histórico'!$A:$A),FALSE),IF(AC138="Ações Europeias", HLOOKUP(AB138,'Histórico'!$A$1:$DD$990,MATCH($B$6,'Histórico'!$A:$A),FALSE)*HLOOKUP("EUR/BRL",'Histórico'!$A$1:$FG$983,MATCH($B$6,'Histórico'!$A:$A),FALSE), HLOOKUP(AB138,'Histórico'!$A$1:$DD$990,MATCH($B$6,'Histórico'!$A:$A),FALSE))),"")</f>
        <v/>
      </c>
      <c r="AF138" s="243" t="str">
        <f t="shared" si="21"/>
        <v/>
      </c>
      <c r="AG138" s="53"/>
      <c r="AH138" s="245"/>
      <c r="AI138" s="242" t="str">
        <f>IF(ISTEXT(AH138),VLOOKUP(AH138,'Cadastro dos Ativos'!$A$2:$C$1000,3,0),"")</f>
        <v/>
      </c>
      <c r="AJ138" s="242" t="str">
        <f>IF(AH138 &lt;&gt; "",IF(AI138="Futuros", (SUMIFS('Alocação'!$O$3:$O$1002,'Alocação'!$C$3:$C$1002,AH138,'Alocação'!$F$3:$F$1002,AH$9,'Alocação'!$B$3:$B$1002,"&lt;="&amp;$B$4)), (SUMIFS('Alocação'!$O$3:$O$1002,'Alocação'!$C$3:$C$1002,AH138,'Alocação'!$F$3:$F$1002,AH$9,'Alocação'!$B$3:$B$1002,"&lt;="&amp;$B$6))),"")</f>
        <v/>
      </c>
      <c r="AK138" s="243" t="str">
        <f>iferror(IF(AI138="Ações Americanas", HLOOKUP(AH138,'Histórico'!$A$1:$DD$990,MATCH($B$6,'Histórico'!$A:$A),FALSE)*HLOOKUP("PTAX",'Histórico'!$A$1:$FG$983,MATCH($B$6,'Histórico'!$A:$A),FALSE),IF(AI138="Ações Europeias", HLOOKUP(AH138,'Histórico'!$A$1:$DD$990,MATCH($B$6,'Histórico'!$A:$A),FALSE)*HLOOKUP("EUR/BRL",'Histórico'!$A$1:$FG$983,MATCH($B$6,'Histórico'!$A:$A),FALSE),  HLOOKUP(AH138,'Histórico'!$A$1:$DD$990,MATCH($B$6,'Histórico'!$A:$A),FALSE))),"")</f>
        <v/>
      </c>
      <c r="AL138" s="243" t="str">
        <f t="shared" si="17"/>
        <v/>
      </c>
      <c r="AM138" s="53"/>
      <c r="AN138" s="245"/>
      <c r="AO138" s="242" t="str">
        <f>IF(ISTEXT(AN138),VLOOKUP(AN138,'Cadastro dos Ativos'!$A$2:$C$1000,3,0),"")</f>
        <v/>
      </c>
      <c r="AP138" s="242" t="str">
        <f>IF(AN138 &lt;&gt; "",IF(AO138="Futuros", (SUMIFS('Alocação'!$O$3:$O$1002,'Alocação'!$C$3:$C$1002,AN138,'Alocação'!$F$3:$F$1002,AN$9,'Alocação'!$B$3:$B$1002,"&lt;="&amp;$B$4)), (SUMIFS('Alocação'!$O$3:$O$1002,'Alocação'!$C$3:$C$1002,AN138,'Alocação'!$F$3:$F$1002,AN$9,'Alocação'!$B$3:$B$1002,"&lt;="&amp;$B$6))),"")</f>
        <v/>
      </c>
      <c r="AQ138" s="243" t="str">
        <f>iferror(IF(AO138="Ações Americanas", HLOOKUP(AN138,'Histórico'!$A$1:$DD$990,MATCH($B$6,'Histórico'!$A:$A),FALSE)*HLOOKUP("PTAX",'Histórico'!$A$1:$FG$983,MATCH($B$6,'Histórico'!$A:$A),FALSE),IF(AO138="Ações Europeias", HLOOKUP(AN138,'Histórico'!$A$1:$DD$990,MATCH($B$6,'Histórico'!$A:$A),FALSE)*HLOOKUP("EUR/BRL",'Histórico'!$A$1:$FG$983,MATCH($B$6,'Histórico'!$A:$A),FALSE),  HLOOKUP(AN138,'Histórico'!$A$1:$DD$990,MATCH($B$6,'Histórico'!$A:$A),FALSE))),"")</f>
        <v/>
      </c>
      <c r="AR138" s="243" t="str">
        <f t="shared" si="18"/>
        <v/>
      </c>
      <c r="AS138" s="53"/>
      <c r="AT138" s="245"/>
      <c r="AU138" s="242" t="str">
        <f>IF(ISTEXT(AT138),VLOOKUP(AT138,'Cadastro dos Ativos'!$A$2:$C$1000,3,0),"")</f>
        <v/>
      </c>
      <c r="AV138" s="242" t="str">
        <f>IF(AT138 &lt;&gt; "",IF(AU138="Futuros", (SUMIFS('Alocação'!$O$3:$O$1002,'Alocação'!$C$3:$C$1002,AT138,'Alocação'!$F$3:$F$1002,AT$9,'Alocação'!$B$3:$B$1002,"&lt;="&amp;$B$4)), (SUMIFS('Alocação'!$O$3:$O$1002,'Alocação'!$C$3:$C$1002,AT138,'Alocação'!$F$3:$F$1002,AT$9,'Alocação'!$B$3:$B$1002,"&lt;="&amp;$B$6))),"")</f>
        <v/>
      </c>
      <c r="AW138" s="243" t="str">
        <f>iferror(IF(AU138="Ações Americanas", HLOOKUP(AT138,'Histórico'!$A$1:$DD$990,MATCH($B$6,'Histórico'!$A:$A),FALSE)*HLOOKUP("PTAX",'Histórico'!$A$1:$FG$983,MATCH($B$6,'Histórico'!$A:$A),FALSE),IF(AU138="Ações Europeias", HLOOKUP(AT138,'Histórico'!$A$1:$DD$990,MATCH($B$6,'Histórico'!$A:$A),FALSE)*HLOOKUP("EUR/BRL",'Histórico'!$A$1:$FG$983,MATCH($B$6,'Histórico'!$A:$A),FALSE),  HLOOKUP(AT138,'Histórico'!$A$1:$DD$990,MATCH($B$6,'Histórico'!$A:$A),FALSE))),"")</f>
        <v/>
      </c>
      <c r="AX138" s="243" t="str">
        <f t="shared" si="27"/>
        <v/>
      </c>
      <c r="AY138" s="183"/>
    </row>
    <row r="139" ht="15.75" customHeight="1">
      <c r="A139" s="176"/>
      <c r="B139" s="232">
        <v>45191.0</v>
      </c>
      <c r="C139" s="233"/>
      <c r="D139" s="233"/>
      <c r="E139" s="234"/>
      <c r="F139" s="233"/>
      <c r="G139" s="233"/>
      <c r="H139" s="234"/>
      <c r="I139" s="233"/>
      <c r="J139" s="233"/>
      <c r="K139" s="234"/>
      <c r="L139" s="233"/>
      <c r="M139" s="233"/>
      <c r="N139" s="240" t="str">
        <f t="shared" si="9"/>
        <v/>
      </c>
      <c r="O139" s="240" t="str">
        <f t="shared" si="10"/>
        <v/>
      </c>
      <c r="P139" s="240" t="str">
        <f t="shared" si="11"/>
        <v/>
      </c>
      <c r="Q139" s="240" t="str">
        <f t="shared" si="12"/>
        <v/>
      </c>
      <c r="R139" s="236" t="str">
        <f t="shared" si="13"/>
        <v/>
      </c>
      <c r="S139" s="177"/>
      <c r="T139" s="233" t="str">
        <f t="shared" ref="T139:U139" si="149">IF(AND(C139&lt;&gt;"",F139&lt;&gt;"",I139&lt;&gt;""), SUM(I139,F139,C139,L139),"")</f>
        <v/>
      </c>
      <c r="U139" s="233" t="str">
        <f t="shared" si="149"/>
        <v/>
      </c>
      <c r="V139" s="233" t="str">
        <f t="shared" si="6"/>
        <v/>
      </c>
      <c r="W139" s="241" t="str">
        <f t="shared" si="15"/>
        <v/>
      </c>
      <c r="X139" s="241" t="str">
        <f t="shared" si="16"/>
        <v/>
      </c>
      <c r="Y139" s="241" t="str">
        <f t="shared" si="25"/>
        <v/>
      </c>
      <c r="Z139" s="233" t="str">
        <f t="shared" si="7"/>
        <v/>
      </c>
      <c r="AA139" s="165"/>
      <c r="AB139" s="245"/>
      <c r="AC139" s="242" t="str">
        <f>IF(ISTEXT(AB139),VLOOKUP(AB139,'Cadastro dos Ativos'!$A$2:$C$1000,3,0),"")</f>
        <v/>
      </c>
      <c r="AD139" s="242" t="str">
        <f>IF(AB139 &lt;&gt; "",IF(AC139="Futuros", (SUMIFS('Alocação'!$O$3:$O$1002,'Alocação'!$C$3:$C$1002,AB139,'Alocação'!$F$3:$F$1002,AB$9,'Alocação'!$B$3:$B$1002,"&lt;="&amp;$B$4)), (SUMIFS('Alocação'!$O$3:$O$1002,'Alocação'!$C$3:$C$1002,AB139,'Alocação'!$F$3:$F$1002,AB$9,'Alocação'!$B$3:$B$1002,"&lt;="&amp;$B$6))),"")</f>
        <v/>
      </c>
      <c r="AE139" s="243" t="str">
        <f>iferror(IF(AC139="Ações Americanas", HLOOKUP(AB139,'Histórico'!$A$1:$DD$990,MATCH($B$6,'Histórico'!$A:$A),FALSE)*HLOOKUP("PTAX",'Histórico'!$A$1:$FG$983,MATCH($B$6,'Histórico'!$A:$A),FALSE),IF(AC139="Ações Europeias", HLOOKUP(AB139,'Histórico'!$A$1:$DD$990,MATCH($B$6,'Histórico'!$A:$A),FALSE)*HLOOKUP("EUR/BRL",'Histórico'!$A$1:$FG$983,MATCH($B$6,'Histórico'!$A:$A),FALSE), HLOOKUP(AB139,'Histórico'!$A$1:$DD$990,MATCH($B$6,'Histórico'!$A:$A),FALSE))),"")</f>
        <v/>
      </c>
      <c r="AF139" s="243" t="str">
        <f t="shared" si="21"/>
        <v/>
      </c>
      <c r="AG139" s="53"/>
      <c r="AH139" s="245"/>
      <c r="AI139" s="242" t="str">
        <f>IF(ISTEXT(AH139),VLOOKUP(AH139,'Cadastro dos Ativos'!$A$2:$C$1000,3,0),"")</f>
        <v/>
      </c>
      <c r="AJ139" s="242" t="str">
        <f>IF(AH139 &lt;&gt; "",IF(AI139="Futuros", (SUMIFS('Alocação'!$O$3:$O$1002,'Alocação'!$C$3:$C$1002,AH139,'Alocação'!$F$3:$F$1002,AH$9,'Alocação'!$B$3:$B$1002,"&lt;="&amp;$B$4)), (SUMIFS('Alocação'!$O$3:$O$1002,'Alocação'!$C$3:$C$1002,AH139,'Alocação'!$F$3:$F$1002,AH$9,'Alocação'!$B$3:$B$1002,"&lt;="&amp;$B$6))),"")</f>
        <v/>
      </c>
      <c r="AK139" s="243" t="str">
        <f>iferror(IF(AI139="Ações Americanas", HLOOKUP(AH139,'Histórico'!$A$1:$DD$990,MATCH($B$6,'Histórico'!$A:$A),FALSE)*HLOOKUP("PTAX",'Histórico'!$A$1:$FG$983,MATCH($B$6,'Histórico'!$A:$A),FALSE),IF(AI139="Ações Europeias", HLOOKUP(AH139,'Histórico'!$A$1:$DD$990,MATCH($B$6,'Histórico'!$A:$A),FALSE)*HLOOKUP("EUR/BRL",'Histórico'!$A$1:$FG$983,MATCH($B$6,'Histórico'!$A:$A),FALSE),  HLOOKUP(AH139,'Histórico'!$A$1:$DD$990,MATCH($B$6,'Histórico'!$A:$A),FALSE))),"")</f>
        <v/>
      </c>
      <c r="AL139" s="243" t="str">
        <f t="shared" si="17"/>
        <v/>
      </c>
      <c r="AM139" s="53"/>
      <c r="AN139" s="245"/>
      <c r="AO139" s="242" t="str">
        <f>IF(ISTEXT(AN139),VLOOKUP(AN139,'Cadastro dos Ativos'!$A$2:$C$1000,3,0),"")</f>
        <v/>
      </c>
      <c r="AP139" s="242" t="str">
        <f>IF(AN139 &lt;&gt; "",IF(AO139="Futuros", (SUMIFS('Alocação'!$O$3:$O$1002,'Alocação'!$C$3:$C$1002,AN139,'Alocação'!$F$3:$F$1002,AN$9,'Alocação'!$B$3:$B$1002,"&lt;="&amp;$B$4)), (SUMIFS('Alocação'!$O$3:$O$1002,'Alocação'!$C$3:$C$1002,AN139,'Alocação'!$F$3:$F$1002,AN$9,'Alocação'!$B$3:$B$1002,"&lt;="&amp;$B$6))),"")</f>
        <v/>
      </c>
      <c r="AQ139" s="243" t="str">
        <f>iferror(IF(AO139="Ações Americanas", HLOOKUP(AN139,'Histórico'!$A$1:$DD$990,MATCH($B$6,'Histórico'!$A:$A),FALSE)*HLOOKUP("PTAX",'Histórico'!$A$1:$FG$983,MATCH($B$6,'Histórico'!$A:$A),FALSE),IF(AO139="Ações Europeias", HLOOKUP(AN139,'Histórico'!$A$1:$DD$990,MATCH($B$6,'Histórico'!$A:$A),FALSE)*HLOOKUP("EUR/BRL",'Histórico'!$A$1:$FG$983,MATCH($B$6,'Histórico'!$A:$A),FALSE),  HLOOKUP(AN139,'Histórico'!$A$1:$DD$990,MATCH($B$6,'Histórico'!$A:$A),FALSE))),"")</f>
        <v/>
      </c>
      <c r="AR139" s="243" t="str">
        <f t="shared" si="18"/>
        <v/>
      </c>
      <c r="AS139" s="53"/>
      <c r="AT139" s="245"/>
      <c r="AU139" s="242" t="str">
        <f>IF(ISTEXT(AT139),VLOOKUP(AT139,'Cadastro dos Ativos'!$A$2:$C$1000,3,0),"")</f>
        <v/>
      </c>
      <c r="AV139" s="242" t="str">
        <f>IF(AT139 &lt;&gt; "",IF(AU139="Futuros", (SUMIFS('Alocação'!$O$3:$O$1002,'Alocação'!$C$3:$C$1002,AT139,'Alocação'!$F$3:$F$1002,AT$9,'Alocação'!$B$3:$B$1002,"&lt;="&amp;$B$4)), (SUMIFS('Alocação'!$O$3:$O$1002,'Alocação'!$C$3:$C$1002,AT139,'Alocação'!$F$3:$F$1002,AT$9,'Alocação'!$B$3:$B$1002,"&lt;="&amp;$B$6))),"")</f>
        <v/>
      </c>
      <c r="AW139" s="243" t="str">
        <f>iferror(IF(AU139="Ações Americanas", HLOOKUP(AT139,'Histórico'!$A$1:$DD$990,MATCH($B$6,'Histórico'!$A:$A),FALSE)*HLOOKUP("PTAX",'Histórico'!$A$1:$FG$983,MATCH($B$6,'Histórico'!$A:$A),FALSE),IF(AU139="Ações Europeias", HLOOKUP(AT139,'Histórico'!$A$1:$DD$990,MATCH($B$6,'Histórico'!$A:$A),FALSE)*HLOOKUP("EUR/BRL",'Histórico'!$A$1:$FG$983,MATCH($B$6,'Histórico'!$A:$A),FALSE),  HLOOKUP(AT139,'Histórico'!$A$1:$DD$990,MATCH($B$6,'Histórico'!$A:$A),FALSE))),"")</f>
        <v/>
      </c>
      <c r="AX139" s="243" t="str">
        <f t="shared" si="27"/>
        <v/>
      </c>
      <c r="AY139" s="183"/>
    </row>
    <row r="140" ht="15.75" customHeight="1">
      <c r="A140" s="176"/>
      <c r="B140" s="232">
        <v>45194.0</v>
      </c>
      <c r="C140" s="233"/>
      <c r="D140" s="233"/>
      <c r="E140" s="234"/>
      <c r="F140" s="233"/>
      <c r="G140" s="233"/>
      <c r="H140" s="234"/>
      <c r="I140" s="233"/>
      <c r="J140" s="233"/>
      <c r="K140" s="234"/>
      <c r="L140" s="233"/>
      <c r="M140" s="233"/>
      <c r="N140" s="240" t="str">
        <f t="shared" si="9"/>
        <v/>
      </c>
      <c r="O140" s="240" t="str">
        <f t="shared" si="10"/>
        <v/>
      </c>
      <c r="P140" s="240" t="str">
        <f t="shared" si="11"/>
        <v/>
      </c>
      <c r="Q140" s="240" t="str">
        <f t="shared" si="12"/>
        <v/>
      </c>
      <c r="R140" s="236" t="str">
        <f t="shared" si="13"/>
        <v/>
      </c>
      <c r="S140" s="177"/>
      <c r="T140" s="233" t="str">
        <f t="shared" ref="T140:U140" si="150">IF(AND(C140&lt;&gt;"",F140&lt;&gt;"",I140&lt;&gt;""), SUM(I140,F140,C140,L140),"")</f>
        <v/>
      </c>
      <c r="U140" s="233" t="str">
        <f t="shared" si="150"/>
        <v/>
      </c>
      <c r="V140" s="233" t="str">
        <f t="shared" si="6"/>
        <v/>
      </c>
      <c r="W140" s="241" t="str">
        <f t="shared" si="15"/>
        <v/>
      </c>
      <c r="X140" s="241" t="str">
        <f t="shared" si="16"/>
        <v/>
      </c>
      <c r="Y140" s="241" t="str">
        <f t="shared" si="25"/>
        <v/>
      </c>
      <c r="Z140" s="233" t="str">
        <f t="shared" si="7"/>
        <v/>
      </c>
      <c r="AA140" s="165"/>
      <c r="AB140" s="245"/>
      <c r="AC140" s="242" t="str">
        <f>IF(ISTEXT(AB140),VLOOKUP(AB140,'Cadastro dos Ativos'!$A$2:$C$1000,3,0),"")</f>
        <v/>
      </c>
      <c r="AD140" s="242" t="str">
        <f>IF(AB140 &lt;&gt; "",IF(AC140="Futuros", (SUMIFS('Alocação'!$O$3:$O$1002,'Alocação'!$C$3:$C$1002,AB140,'Alocação'!$F$3:$F$1002,AB$9,'Alocação'!$B$3:$B$1002,"&lt;="&amp;$B$4)), (SUMIFS('Alocação'!$O$3:$O$1002,'Alocação'!$C$3:$C$1002,AB140,'Alocação'!$F$3:$F$1002,AB$9,'Alocação'!$B$3:$B$1002,"&lt;="&amp;$B$6))),"")</f>
        <v/>
      </c>
      <c r="AE140" s="243" t="str">
        <f>iferror(IF(AC140="Ações Americanas", HLOOKUP(AB140,'Histórico'!$A$1:$DD$990,MATCH($B$6,'Histórico'!$A:$A),FALSE)*HLOOKUP("PTAX",'Histórico'!$A$1:$FG$983,MATCH($B$6,'Histórico'!$A:$A),FALSE),IF(AC140="Ações Europeias", HLOOKUP(AB140,'Histórico'!$A$1:$DD$990,MATCH($B$6,'Histórico'!$A:$A),FALSE)*HLOOKUP("EUR/BRL",'Histórico'!$A$1:$FG$983,MATCH($B$6,'Histórico'!$A:$A),FALSE), HLOOKUP(AB140,'Histórico'!$A$1:$DD$990,MATCH($B$6,'Histórico'!$A:$A),FALSE))),"")</f>
        <v/>
      </c>
      <c r="AF140" s="243" t="str">
        <f t="shared" si="21"/>
        <v/>
      </c>
      <c r="AG140" s="53"/>
      <c r="AH140" s="245"/>
      <c r="AI140" s="242" t="str">
        <f>IF(ISTEXT(AH140),VLOOKUP(AH140,'Cadastro dos Ativos'!$A$2:$C$1000,3,0),"")</f>
        <v/>
      </c>
      <c r="AJ140" s="242" t="str">
        <f>IF(AH140 &lt;&gt; "",IF(AI140="Futuros", (SUMIFS('Alocação'!$O$3:$O$1002,'Alocação'!$C$3:$C$1002,AH140,'Alocação'!$F$3:$F$1002,AH$9,'Alocação'!$B$3:$B$1002,"&lt;="&amp;$B$4)), (SUMIFS('Alocação'!$O$3:$O$1002,'Alocação'!$C$3:$C$1002,AH140,'Alocação'!$F$3:$F$1002,AH$9,'Alocação'!$B$3:$B$1002,"&lt;="&amp;$B$6))),"")</f>
        <v/>
      </c>
      <c r="AK140" s="243" t="str">
        <f>iferror(IF(AI140="Ações Americanas", HLOOKUP(AH140,'Histórico'!$A$1:$DD$990,MATCH($B$6,'Histórico'!$A:$A),FALSE)*HLOOKUP("PTAX",'Histórico'!$A$1:$FG$983,MATCH($B$6,'Histórico'!$A:$A),FALSE),IF(AI140="Ações Europeias", HLOOKUP(AH140,'Histórico'!$A$1:$DD$990,MATCH($B$6,'Histórico'!$A:$A),FALSE)*HLOOKUP("EUR/BRL",'Histórico'!$A$1:$FG$983,MATCH($B$6,'Histórico'!$A:$A),FALSE),  HLOOKUP(AH140,'Histórico'!$A$1:$DD$990,MATCH($B$6,'Histórico'!$A:$A),FALSE))),"")</f>
        <v/>
      </c>
      <c r="AL140" s="243" t="str">
        <f t="shared" si="17"/>
        <v/>
      </c>
      <c r="AM140" s="53"/>
      <c r="AN140" s="245"/>
      <c r="AO140" s="242" t="str">
        <f>IF(ISTEXT(AN140),VLOOKUP(AN140,'Cadastro dos Ativos'!$A$2:$C$1000,3,0),"")</f>
        <v/>
      </c>
      <c r="AP140" s="242" t="str">
        <f>IF(AN140 &lt;&gt; "",IF(AO140="Futuros", (SUMIFS('Alocação'!$O$3:$O$1002,'Alocação'!$C$3:$C$1002,AN140,'Alocação'!$F$3:$F$1002,AN$9,'Alocação'!$B$3:$B$1002,"&lt;="&amp;$B$4)), (SUMIFS('Alocação'!$O$3:$O$1002,'Alocação'!$C$3:$C$1002,AN140,'Alocação'!$F$3:$F$1002,AN$9,'Alocação'!$B$3:$B$1002,"&lt;="&amp;$B$6))),"")</f>
        <v/>
      </c>
      <c r="AQ140" s="243" t="str">
        <f>iferror(IF(AO140="Ações Americanas", HLOOKUP(AN140,'Histórico'!$A$1:$DD$990,MATCH($B$6,'Histórico'!$A:$A),FALSE)*HLOOKUP("PTAX",'Histórico'!$A$1:$FG$983,MATCH($B$6,'Histórico'!$A:$A),FALSE),IF(AO140="Ações Europeias", HLOOKUP(AN140,'Histórico'!$A$1:$DD$990,MATCH($B$6,'Histórico'!$A:$A),FALSE)*HLOOKUP("EUR/BRL",'Histórico'!$A$1:$FG$983,MATCH($B$6,'Histórico'!$A:$A),FALSE),  HLOOKUP(AN140,'Histórico'!$A$1:$DD$990,MATCH($B$6,'Histórico'!$A:$A),FALSE))),"")</f>
        <v/>
      </c>
      <c r="AR140" s="243" t="str">
        <f t="shared" si="18"/>
        <v/>
      </c>
      <c r="AS140" s="53"/>
      <c r="AT140" s="245"/>
      <c r="AU140" s="242" t="str">
        <f>IF(ISTEXT(AT140),VLOOKUP(AT140,'Cadastro dos Ativos'!$A$2:$C$1000,3,0),"")</f>
        <v/>
      </c>
      <c r="AV140" s="242" t="str">
        <f>IF(AT140 &lt;&gt; "",IF(AU140="Futuros", (SUMIFS('Alocação'!$O$3:$O$1002,'Alocação'!$C$3:$C$1002,AT140,'Alocação'!$F$3:$F$1002,AT$9,'Alocação'!$B$3:$B$1002,"&lt;="&amp;$B$4)), (SUMIFS('Alocação'!$O$3:$O$1002,'Alocação'!$C$3:$C$1002,AT140,'Alocação'!$F$3:$F$1002,AT$9,'Alocação'!$B$3:$B$1002,"&lt;="&amp;$B$6))),"")</f>
        <v/>
      </c>
      <c r="AW140" s="243" t="str">
        <f>iferror(IF(AU140="Ações Americanas", HLOOKUP(AT140,'Histórico'!$A$1:$DD$990,MATCH($B$6,'Histórico'!$A:$A),FALSE)*HLOOKUP("PTAX",'Histórico'!$A$1:$FG$983,MATCH($B$6,'Histórico'!$A:$A),FALSE),IF(AU140="Ações Europeias", HLOOKUP(AT140,'Histórico'!$A$1:$DD$990,MATCH($B$6,'Histórico'!$A:$A),FALSE)*HLOOKUP("EUR/BRL",'Histórico'!$A$1:$FG$983,MATCH($B$6,'Histórico'!$A:$A),FALSE),  HLOOKUP(AT140,'Histórico'!$A$1:$DD$990,MATCH($B$6,'Histórico'!$A:$A),FALSE))),"")</f>
        <v/>
      </c>
      <c r="AX140" s="243" t="str">
        <f t="shared" si="27"/>
        <v/>
      </c>
      <c r="AY140" s="183"/>
    </row>
    <row r="141" ht="15.75" customHeight="1">
      <c r="A141" s="176"/>
      <c r="B141" s="232">
        <v>45195.0</v>
      </c>
      <c r="C141" s="233"/>
      <c r="D141" s="233"/>
      <c r="E141" s="234"/>
      <c r="F141" s="233"/>
      <c r="G141" s="233"/>
      <c r="H141" s="234"/>
      <c r="I141" s="233"/>
      <c r="J141" s="233"/>
      <c r="K141" s="234"/>
      <c r="L141" s="233"/>
      <c r="M141" s="233"/>
      <c r="N141" s="240" t="str">
        <f t="shared" si="9"/>
        <v/>
      </c>
      <c r="O141" s="240" t="str">
        <f t="shared" si="10"/>
        <v/>
      </c>
      <c r="P141" s="240" t="str">
        <f t="shared" si="11"/>
        <v/>
      </c>
      <c r="Q141" s="240" t="str">
        <f t="shared" si="12"/>
        <v/>
      </c>
      <c r="R141" s="236" t="str">
        <f t="shared" si="13"/>
        <v/>
      </c>
      <c r="S141" s="177"/>
      <c r="T141" s="233" t="str">
        <f t="shared" ref="T141:U141" si="151">IF(AND(C141&lt;&gt;"",F141&lt;&gt;"",I141&lt;&gt;""), SUM(I141,F141,C141,L141),"")</f>
        <v/>
      </c>
      <c r="U141" s="233" t="str">
        <f t="shared" si="151"/>
        <v/>
      </c>
      <c r="V141" s="233" t="str">
        <f t="shared" si="6"/>
        <v/>
      </c>
      <c r="W141" s="241" t="str">
        <f t="shared" si="15"/>
        <v/>
      </c>
      <c r="X141" s="241" t="str">
        <f t="shared" si="16"/>
        <v/>
      </c>
      <c r="Y141" s="241" t="str">
        <f t="shared" si="25"/>
        <v/>
      </c>
      <c r="Z141" s="233" t="str">
        <f t="shared" si="7"/>
        <v/>
      </c>
      <c r="AA141" s="165"/>
      <c r="AB141" s="245"/>
      <c r="AC141" s="242" t="str">
        <f>IF(ISTEXT(AB141),VLOOKUP(AB141,'Cadastro dos Ativos'!$A$2:$C$1000,3,0),"")</f>
        <v/>
      </c>
      <c r="AD141" s="242" t="str">
        <f>IF(AB141 &lt;&gt; "",IF(AC141="Futuros", (SUMIFS('Alocação'!$O$3:$O$1002,'Alocação'!$C$3:$C$1002,AB141,'Alocação'!$F$3:$F$1002,AB$9,'Alocação'!$B$3:$B$1002,"&lt;="&amp;$B$4)), (SUMIFS('Alocação'!$O$3:$O$1002,'Alocação'!$C$3:$C$1002,AB141,'Alocação'!$F$3:$F$1002,AB$9,'Alocação'!$B$3:$B$1002,"&lt;="&amp;$B$6))),"")</f>
        <v/>
      </c>
      <c r="AE141" s="243" t="str">
        <f>iferror(IF(AC141="Ações Americanas", HLOOKUP(AB141,'Histórico'!$A$1:$DD$990,MATCH($B$6,'Histórico'!$A:$A),FALSE)*HLOOKUP("PTAX",'Histórico'!$A$1:$FG$983,MATCH($B$6,'Histórico'!$A:$A),FALSE),IF(AC141="Ações Europeias", HLOOKUP(AB141,'Histórico'!$A$1:$DD$990,MATCH($B$6,'Histórico'!$A:$A),FALSE)*HLOOKUP("EUR/BRL",'Histórico'!$A$1:$FG$983,MATCH($B$6,'Histórico'!$A:$A),FALSE), HLOOKUP(AB141,'Histórico'!$A$1:$DD$990,MATCH($B$6,'Histórico'!$A:$A),FALSE))),"")</f>
        <v/>
      </c>
      <c r="AF141" s="243" t="str">
        <f t="shared" si="21"/>
        <v/>
      </c>
      <c r="AG141" s="53"/>
      <c r="AH141" s="245"/>
      <c r="AI141" s="242" t="str">
        <f>IF(ISTEXT(AH141),VLOOKUP(AH141,'Cadastro dos Ativos'!$A$2:$C$1000,3,0),"")</f>
        <v/>
      </c>
      <c r="AJ141" s="242" t="str">
        <f>IF(AH141 &lt;&gt; "",IF(AI141="Futuros", (SUMIFS('Alocação'!$O$3:$O$1002,'Alocação'!$C$3:$C$1002,AH141,'Alocação'!$F$3:$F$1002,AH$9,'Alocação'!$B$3:$B$1002,"&lt;="&amp;$B$4)), (SUMIFS('Alocação'!$O$3:$O$1002,'Alocação'!$C$3:$C$1002,AH141,'Alocação'!$F$3:$F$1002,AH$9,'Alocação'!$B$3:$B$1002,"&lt;="&amp;$B$6))),"")</f>
        <v/>
      </c>
      <c r="AK141" s="243" t="str">
        <f>iferror(IF(AI141="Ações Americanas", HLOOKUP(AH141,'Histórico'!$A$1:$DD$990,MATCH($B$6,'Histórico'!$A:$A),FALSE)*HLOOKUP("PTAX",'Histórico'!$A$1:$FG$983,MATCH($B$6,'Histórico'!$A:$A),FALSE),IF(AI141="Ações Europeias", HLOOKUP(AH141,'Histórico'!$A$1:$DD$990,MATCH($B$6,'Histórico'!$A:$A),FALSE)*HLOOKUP("EUR/BRL",'Histórico'!$A$1:$FG$983,MATCH($B$6,'Histórico'!$A:$A),FALSE),  HLOOKUP(AH141,'Histórico'!$A$1:$DD$990,MATCH($B$6,'Histórico'!$A:$A),FALSE))),"")</f>
        <v/>
      </c>
      <c r="AL141" s="243" t="str">
        <f t="shared" si="17"/>
        <v/>
      </c>
      <c r="AM141" s="53"/>
      <c r="AN141" s="245"/>
      <c r="AO141" s="242" t="str">
        <f>IF(ISTEXT(AN141),VLOOKUP(AN141,'Cadastro dos Ativos'!$A$2:$C$1000,3,0),"")</f>
        <v/>
      </c>
      <c r="AP141" s="242" t="str">
        <f>IF(AN141 &lt;&gt; "",IF(AO141="Futuros", (SUMIFS('Alocação'!$O$3:$O$1002,'Alocação'!$C$3:$C$1002,AN141,'Alocação'!$F$3:$F$1002,AN$9,'Alocação'!$B$3:$B$1002,"&lt;="&amp;$B$4)), (SUMIFS('Alocação'!$O$3:$O$1002,'Alocação'!$C$3:$C$1002,AN141,'Alocação'!$F$3:$F$1002,AN$9,'Alocação'!$B$3:$B$1002,"&lt;="&amp;$B$6))),"")</f>
        <v/>
      </c>
      <c r="AQ141" s="243" t="str">
        <f>iferror(IF(AO141="Ações Americanas", HLOOKUP(AN141,'Histórico'!$A$1:$DD$990,MATCH($B$6,'Histórico'!$A:$A),FALSE)*HLOOKUP("PTAX",'Histórico'!$A$1:$FG$983,MATCH($B$6,'Histórico'!$A:$A),FALSE),IF(AO141="Ações Europeias", HLOOKUP(AN141,'Histórico'!$A$1:$DD$990,MATCH($B$6,'Histórico'!$A:$A),FALSE)*HLOOKUP("EUR/BRL",'Histórico'!$A$1:$FG$983,MATCH($B$6,'Histórico'!$A:$A),FALSE),  HLOOKUP(AN141,'Histórico'!$A$1:$DD$990,MATCH($B$6,'Histórico'!$A:$A),FALSE))),"")</f>
        <v/>
      </c>
      <c r="AR141" s="243" t="str">
        <f t="shared" si="18"/>
        <v/>
      </c>
      <c r="AS141" s="53"/>
      <c r="AT141" s="245"/>
      <c r="AU141" s="242" t="str">
        <f>IF(ISTEXT(AT141),VLOOKUP(AT141,'Cadastro dos Ativos'!$A$2:$C$1000,3,0),"")</f>
        <v/>
      </c>
      <c r="AV141" s="242" t="str">
        <f>IF(AT141 &lt;&gt; "",IF(AU141="Futuros", (SUMIFS('Alocação'!$O$3:$O$1002,'Alocação'!$C$3:$C$1002,AT141,'Alocação'!$F$3:$F$1002,AT$9,'Alocação'!$B$3:$B$1002,"&lt;="&amp;$B$4)), (SUMIFS('Alocação'!$O$3:$O$1002,'Alocação'!$C$3:$C$1002,AT141,'Alocação'!$F$3:$F$1002,AT$9,'Alocação'!$B$3:$B$1002,"&lt;="&amp;$B$6))),"")</f>
        <v/>
      </c>
      <c r="AW141" s="243" t="str">
        <f>iferror(IF(AU141="Ações Americanas", HLOOKUP(AT141,'Histórico'!$A$1:$DD$990,MATCH($B$6,'Histórico'!$A:$A),FALSE)*HLOOKUP("PTAX",'Histórico'!$A$1:$FG$983,MATCH($B$6,'Histórico'!$A:$A),FALSE),IF(AU141="Ações Europeias", HLOOKUP(AT141,'Histórico'!$A$1:$DD$990,MATCH($B$6,'Histórico'!$A:$A),FALSE)*HLOOKUP("EUR/BRL",'Histórico'!$A$1:$FG$983,MATCH($B$6,'Histórico'!$A:$A),FALSE),  HLOOKUP(AT141,'Histórico'!$A$1:$DD$990,MATCH($B$6,'Histórico'!$A:$A),FALSE))),"")</f>
        <v/>
      </c>
      <c r="AX141" s="243" t="str">
        <f t="shared" si="27"/>
        <v/>
      </c>
      <c r="AY141" s="183"/>
    </row>
    <row r="142" ht="15.75" customHeight="1">
      <c r="A142" s="176"/>
      <c r="B142" s="232">
        <v>45196.0</v>
      </c>
      <c r="C142" s="233"/>
      <c r="D142" s="233"/>
      <c r="E142" s="234"/>
      <c r="F142" s="233"/>
      <c r="G142" s="233"/>
      <c r="H142" s="234"/>
      <c r="I142" s="233"/>
      <c r="J142" s="233"/>
      <c r="K142" s="234"/>
      <c r="L142" s="233"/>
      <c r="M142" s="233"/>
      <c r="N142" s="240" t="str">
        <f t="shared" si="9"/>
        <v/>
      </c>
      <c r="O142" s="240" t="str">
        <f t="shared" si="10"/>
        <v/>
      </c>
      <c r="P142" s="240" t="str">
        <f t="shared" si="11"/>
        <v/>
      </c>
      <c r="Q142" s="240" t="str">
        <f t="shared" si="12"/>
        <v/>
      </c>
      <c r="R142" s="236" t="str">
        <f t="shared" si="13"/>
        <v/>
      </c>
      <c r="S142" s="177"/>
      <c r="T142" s="233" t="str">
        <f t="shared" ref="T142:U142" si="152">IF(AND(C142&lt;&gt;"",F142&lt;&gt;"",I142&lt;&gt;""), SUM(I142,F142,C142,L142),"")</f>
        <v/>
      </c>
      <c r="U142" s="233" t="str">
        <f t="shared" si="152"/>
        <v/>
      </c>
      <c r="V142" s="233" t="str">
        <f t="shared" si="6"/>
        <v/>
      </c>
      <c r="W142" s="241" t="str">
        <f t="shared" si="15"/>
        <v/>
      </c>
      <c r="X142" s="241" t="str">
        <f t="shared" si="16"/>
        <v/>
      </c>
      <c r="Y142" s="241" t="str">
        <f t="shared" si="25"/>
        <v/>
      </c>
      <c r="Z142" s="233" t="str">
        <f t="shared" si="7"/>
        <v/>
      </c>
      <c r="AA142" s="165"/>
      <c r="AB142" s="245"/>
      <c r="AC142" s="242" t="str">
        <f>IF(ISTEXT(AB142),VLOOKUP(AB142,'Cadastro dos Ativos'!$A$2:$C$1000,3,0),"")</f>
        <v/>
      </c>
      <c r="AD142" s="242" t="str">
        <f>IF(AB142 &lt;&gt; "",IF(AC142="Futuros", (SUMIFS('Alocação'!$O$3:$O$1002,'Alocação'!$C$3:$C$1002,AB142,'Alocação'!$F$3:$F$1002,AB$9,'Alocação'!$B$3:$B$1002,"&lt;="&amp;$B$4)), (SUMIFS('Alocação'!$O$3:$O$1002,'Alocação'!$C$3:$C$1002,AB142,'Alocação'!$F$3:$F$1002,AB$9,'Alocação'!$B$3:$B$1002,"&lt;="&amp;$B$6))),"")</f>
        <v/>
      </c>
      <c r="AE142" s="243" t="str">
        <f>iferror(IF(AC142="Ações Americanas", HLOOKUP(AB142,'Histórico'!$A$1:$DD$990,MATCH($B$6,'Histórico'!$A:$A),FALSE)*HLOOKUP("PTAX",'Histórico'!$A$1:$FG$983,MATCH($B$6,'Histórico'!$A:$A),FALSE),IF(AC142="Ações Europeias", HLOOKUP(AB142,'Histórico'!$A$1:$DD$990,MATCH($B$6,'Histórico'!$A:$A),FALSE)*HLOOKUP("EUR/BRL",'Histórico'!$A$1:$FG$983,MATCH($B$6,'Histórico'!$A:$A),FALSE), HLOOKUP(AB142,'Histórico'!$A$1:$DD$990,MATCH($B$6,'Histórico'!$A:$A),FALSE))),"")</f>
        <v/>
      </c>
      <c r="AF142" s="243" t="str">
        <f t="shared" si="21"/>
        <v/>
      </c>
      <c r="AG142" s="53"/>
      <c r="AH142" s="245"/>
      <c r="AI142" s="242" t="str">
        <f>IF(ISTEXT(AH142),VLOOKUP(AH142,'Cadastro dos Ativos'!$A$2:$C$1000,3,0),"")</f>
        <v/>
      </c>
      <c r="AJ142" s="242" t="str">
        <f>IF(AH142 &lt;&gt; "",IF(AI142="Futuros", (SUMIFS('Alocação'!$O$3:$O$1002,'Alocação'!$C$3:$C$1002,AH142,'Alocação'!$F$3:$F$1002,AH$9,'Alocação'!$B$3:$B$1002,"&lt;="&amp;$B$4)), (SUMIFS('Alocação'!$O$3:$O$1002,'Alocação'!$C$3:$C$1002,AH142,'Alocação'!$F$3:$F$1002,AH$9,'Alocação'!$B$3:$B$1002,"&lt;="&amp;$B$6))),"")</f>
        <v/>
      </c>
      <c r="AK142" s="243" t="str">
        <f>iferror(IF(AI142="Ações Americanas", HLOOKUP(AH142,'Histórico'!$A$1:$DD$990,MATCH($B$6,'Histórico'!$A:$A),FALSE)*HLOOKUP("PTAX",'Histórico'!$A$1:$FG$983,MATCH($B$6,'Histórico'!$A:$A),FALSE),IF(AI142="Ações Europeias", HLOOKUP(AH142,'Histórico'!$A$1:$DD$990,MATCH($B$6,'Histórico'!$A:$A),FALSE)*HLOOKUP("EUR/BRL",'Histórico'!$A$1:$FG$983,MATCH($B$6,'Histórico'!$A:$A),FALSE),  HLOOKUP(AH142,'Histórico'!$A$1:$DD$990,MATCH($B$6,'Histórico'!$A:$A),FALSE))),"")</f>
        <v/>
      </c>
      <c r="AL142" s="243" t="str">
        <f t="shared" si="17"/>
        <v/>
      </c>
      <c r="AM142" s="53"/>
      <c r="AN142" s="245"/>
      <c r="AO142" s="242" t="str">
        <f>IF(ISTEXT(AN142),VLOOKUP(AN142,'Cadastro dos Ativos'!$A$2:$C$1000,3,0),"")</f>
        <v/>
      </c>
      <c r="AP142" s="242" t="str">
        <f>IF(AN142 &lt;&gt; "",IF(AO142="Futuros", (SUMIFS('Alocação'!$O$3:$O$1002,'Alocação'!$C$3:$C$1002,AN142,'Alocação'!$F$3:$F$1002,AN$9,'Alocação'!$B$3:$B$1002,"&lt;="&amp;$B$4)), (SUMIFS('Alocação'!$O$3:$O$1002,'Alocação'!$C$3:$C$1002,AN142,'Alocação'!$F$3:$F$1002,AN$9,'Alocação'!$B$3:$B$1002,"&lt;="&amp;$B$6))),"")</f>
        <v/>
      </c>
      <c r="AQ142" s="243" t="str">
        <f>iferror(IF(AO142="Ações Americanas", HLOOKUP(AN142,'Histórico'!$A$1:$DD$990,MATCH($B$6,'Histórico'!$A:$A),FALSE)*HLOOKUP("PTAX",'Histórico'!$A$1:$FG$983,MATCH($B$6,'Histórico'!$A:$A),FALSE),IF(AO142="Ações Europeias", HLOOKUP(AN142,'Histórico'!$A$1:$DD$990,MATCH($B$6,'Histórico'!$A:$A),FALSE)*HLOOKUP("EUR/BRL",'Histórico'!$A$1:$FG$983,MATCH($B$6,'Histórico'!$A:$A),FALSE),  HLOOKUP(AN142,'Histórico'!$A$1:$DD$990,MATCH($B$6,'Histórico'!$A:$A),FALSE))),"")</f>
        <v/>
      </c>
      <c r="AR142" s="243" t="str">
        <f t="shared" si="18"/>
        <v/>
      </c>
      <c r="AS142" s="53"/>
      <c r="AT142" s="245"/>
      <c r="AU142" s="242" t="str">
        <f>IF(ISTEXT(AT142),VLOOKUP(AT142,'Cadastro dos Ativos'!$A$2:$C$1000,3,0),"")</f>
        <v/>
      </c>
      <c r="AV142" s="242" t="str">
        <f>IF(AT142 &lt;&gt; "",IF(AU142="Futuros", (SUMIFS('Alocação'!$O$3:$O$1002,'Alocação'!$C$3:$C$1002,AT142,'Alocação'!$F$3:$F$1002,AT$9,'Alocação'!$B$3:$B$1002,"&lt;="&amp;$B$4)), (SUMIFS('Alocação'!$O$3:$O$1002,'Alocação'!$C$3:$C$1002,AT142,'Alocação'!$F$3:$F$1002,AT$9,'Alocação'!$B$3:$B$1002,"&lt;="&amp;$B$6))),"")</f>
        <v/>
      </c>
      <c r="AW142" s="243" t="str">
        <f>iferror(IF(AU142="Ações Americanas", HLOOKUP(AT142,'Histórico'!$A$1:$DD$990,MATCH($B$6,'Histórico'!$A:$A),FALSE)*HLOOKUP("PTAX",'Histórico'!$A$1:$FG$983,MATCH($B$6,'Histórico'!$A:$A),FALSE),IF(AU142="Ações Europeias", HLOOKUP(AT142,'Histórico'!$A$1:$DD$990,MATCH($B$6,'Histórico'!$A:$A),FALSE)*HLOOKUP("EUR/BRL",'Histórico'!$A$1:$FG$983,MATCH($B$6,'Histórico'!$A:$A),FALSE),  HLOOKUP(AT142,'Histórico'!$A$1:$DD$990,MATCH($B$6,'Histórico'!$A:$A),FALSE))),"")</f>
        <v/>
      </c>
      <c r="AX142" s="243" t="str">
        <f t="shared" si="27"/>
        <v/>
      </c>
      <c r="AY142" s="183"/>
    </row>
    <row r="143" ht="15.75" customHeight="1">
      <c r="A143" s="176"/>
      <c r="B143" s="232">
        <v>45197.0</v>
      </c>
      <c r="C143" s="233"/>
      <c r="D143" s="233"/>
      <c r="E143" s="234"/>
      <c r="F143" s="233"/>
      <c r="G143" s="233"/>
      <c r="H143" s="234"/>
      <c r="I143" s="233"/>
      <c r="J143" s="233"/>
      <c r="K143" s="234"/>
      <c r="L143" s="233"/>
      <c r="M143" s="233"/>
      <c r="N143" s="240" t="str">
        <f t="shared" si="9"/>
        <v/>
      </c>
      <c r="O143" s="240" t="str">
        <f t="shared" si="10"/>
        <v/>
      </c>
      <c r="P143" s="240" t="str">
        <f t="shared" si="11"/>
        <v/>
      </c>
      <c r="Q143" s="240" t="str">
        <f t="shared" si="12"/>
        <v/>
      </c>
      <c r="R143" s="236" t="str">
        <f t="shared" si="13"/>
        <v/>
      </c>
      <c r="S143" s="177"/>
      <c r="T143" s="233" t="str">
        <f t="shared" ref="T143:U143" si="153">IF(AND(C143&lt;&gt;"",F143&lt;&gt;"",I143&lt;&gt;""), SUM(I143,F143,C143,L143),"")</f>
        <v/>
      </c>
      <c r="U143" s="233" t="str">
        <f t="shared" si="153"/>
        <v/>
      </c>
      <c r="V143" s="233" t="str">
        <f t="shared" si="6"/>
        <v/>
      </c>
      <c r="W143" s="241" t="str">
        <f t="shared" si="15"/>
        <v/>
      </c>
      <c r="X143" s="241" t="str">
        <f t="shared" si="16"/>
        <v/>
      </c>
      <c r="Y143" s="241" t="str">
        <f t="shared" si="25"/>
        <v/>
      </c>
      <c r="Z143" s="233" t="str">
        <f t="shared" si="7"/>
        <v/>
      </c>
      <c r="AA143" s="165"/>
      <c r="AB143" s="245"/>
      <c r="AC143" s="242" t="str">
        <f>IF(ISTEXT(AB143),VLOOKUP(AB143,'Cadastro dos Ativos'!$A$2:$C$1000,3,0),"")</f>
        <v/>
      </c>
      <c r="AD143" s="242" t="str">
        <f>IF(AB143 &lt;&gt; "",IF(AC143="Futuros", (SUMIFS('Alocação'!$O$3:$O$1002,'Alocação'!$C$3:$C$1002,AB143,'Alocação'!$F$3:$F$1002,AB$9,'Alocação'!$B$3:$B$1002,"&lt;="&amp;$B$4)), (SUMIFS('Alocação'!$O$3:$O$1002,'Alocação'!$C$3:$C$1002,AB143,'Alocação'!$F$3:$F$1002,AB$9,'Alocação'!$B$3:$B$1002,"&lt;="&amp;$B$6))),"")</f>
        <v/>
      </c>
      <c r="AE143" s="243" t="str">
        <f>iferror(IF(AC143="Ações Americanas", HLOOKUP(AB143,'Histórico'!$A$1:$DD$990,MATCH($B$6,'Histórico'!$A:$A),FALSE)*HLOOKUP("PTAX",'Histórico'!$A$1:$FG$983,MATCH($B$6,'Histórico'!$A:$A),FALSE),IF(AC143="Ações Europeias", HLOOKUP(AB143,'Histórico'!$A$1:$DD$990,MATCH($B$6,'Histórico'!$A:$A),FALSE)*HLOOKUP("EUR/BRL",'Histórico'!$A$1:$FG$983,MATCH($B$6,'Histórico'!$A:$A),FALSE), HLOOKUP(AB143,'Histórico'!$A$1:$DD$990,MATCH($B$6,'Histórico'!$A:$A),FALSE))),"")</f>
        <v/>
      </c>
      <c r="AF143" s="243" t="str">
        <f t="shared" si="21"/>
        <v/>
      </c>
      <c r="AG143" s="53"/>
      <c r="AH143" s="245"/>
      <c r="AI143" s="242" t="str">
        <f>IF(ISTEXT(AH143),VLOOKUP(AH143,'Cadastro dos Ativos'!$A$2:$C$1000,3,0),"")</f>
        <v/>
      </c>
      <c r="AJ143" s="242" t="str">
        <f>IF(AH143 &lt;&gt; "",IF(AI143="Futuros", (SUMIFS('Alocação'!$O$3:$O$1002,'Alocação'!$C$3:$C$1002,AH143,'Alocação'!$F$3:$F$1002,AH$9,'Alocação'!$B$3:$B$1002,"&lt;="&amp;$B$4)), (SUMIFS('Alocação'!$O$3:$O$1002,'Alocação'!$C$3:$C$1002,AH143,'Alocação'!$F$3:$F$1002,AH$9,'Alocação'!$B$3:$B$1002,"&lt;="&amp;$B$6))),"")</f>
        <v/>
      </c>
      <c r="AK143" s="243" t="str">
        <f>iferror(IF(AI143="Ações Americanas", HLOOKUP(AH143,'Histórico'!$A$1:$DD$990,MATCH($B$6,'Histórico'!$A:$A),FALSE)*HLOOKUP("PTAX",'Histórico'!$A$1:$FG$983,MATCH($B$6,'Histórico'!$A:$A),FALSE),IF(AI143="Ações Europeias", HLOOKUP(AH143,'Histórico'!$A$1:$DD$990,MATCH($B$6,'Histórico'!$A:$A),FALSE)*HLOOKUP("EUR/BRL",'Histórico'!$A$1:$FG$983,MATCH($B$6,'Histórico'!$A:$A),FALSE),  HLOOKUP(AH143,'Histórico'!$A$1:$DD$990,MATCH($B$6,'Histórico'!$A:$A),FALSE))),"")</f>
        <v/>
      </c>
      <c r="AL143" s="243" t="str">
        <f t="shared" si="17"/>
        <v/>
      </c>
      <c r="AM143" s="53"/>
      <c r="AN143" s="245"/>
      <c r="AO143" s="242" t="str">
        <f>IF(ISTEXT(AN143),VLOOKUP(AN143,'Cadastro dos Ativos'!$A$2:$C$1000,3,0),"")</f>
        <v/>
      </c>
      <c r="AP143" s="242" t="str">
        <f>IF(AN143 &lt;&gt; "",IF(AO143="Futuros", (SUMIFS('Alocação'!$O$3:$O$1002,'Alocação'!$C$3:$C$1002,AN143,'Alocação'!$F$3:$F$1002,AN$9,'Alocação'!$B$3:$B$1002,"&lt;="&amp;$B$4)), (SUMIFS('Alocação'!$O$3:$O$1002,'Alocação'!$C$3:$C$1002,AN143,'Alocação'!$F$3:$F$1002,AN$9,'Alocação'!$B$3:$B$1002,"&lt;="&amp;$B$6))),"")</f>
        <v/>
      </c>
      <c r="AQ143" s="243" t="str">
        <f>iferror(IF(AO143="Ações Americanas", HLOOKUP(AN143,'Histórico'!$A$1:$DD$990,MATCH($B$6,'Histórico'!$A:$A),FALSE)*HLOOKUP("PTAX",'Histórico'!$A$1:$FG$983,MATCH($B$6,'Histórico'!$A:$A),FALSE),IF(AO143="Ações Europeias", HLOOKUP(AN143,'Histórico'!$A$1:$DD$990,MATCH($B$6,'Histórico'!$A:$A),FALSE)*HLOOKUP("EUR/BRL",'Histórico'!$A$1:$FG$983,MATCH($B$6,'Histórico'!$A:$A),FALSE),  HLOOKUP(AN143,'Histórico'!$A$1:$DD$990,MATCH($B$6,'Histórico'!$A:$A),FALSE))),"")</f>
        <v/>
      </c>
      <c r="AR143" s="243" t="str">
        <f t="shared" si="18"/>
        <v/>
      </c>
      <c r="AS143" s="53"/>
      <c r="AT143" s="245"/>
      <c r="AU143" s="242" t="str">
        <f>IF(ISTEXT(AT143),VLOOKUP(AT143,'Cadastro dos Ativos'!$A$2:$C$1000,3,0),"")</f>
        <v/>
      </c>
      <c r="AV143" s="242" t="str">
        <f>IF(AT143 &lt;&gt; "",IF(AU143="Futuros", (SUMIFS('Alocação'!$O$3:$O$1002,'Alocação'!$C$3:$C$1002,AT143,'Alocação'!$F$3:$F$1002,AT$9,'Alocação'!$B$3:$B$1002,"&lt;="&amp;$B$4)), (SUMIFS('Alocação'!$O$3:$O$1002,'Alocação'!$C$3:$C$1002,AT143,'Alocação'!$F$3:$F$1002,AT$9,'Alocação'!$B$3:$B$1002,"&lt;="&amp;$B$6))),"")</f>
        <v/>
      </c>
      <c r="AW143" s="243" t="str">
        <f>iferror(IF(AU143="Ações Americanas", HLOOKUP(AT143,'Histórico'!$A$1:$DD$990,MATCH($B$6,'Histórico'!$A:$A),FALSE)*HLOOKUP("PTAX",'Histórico'!$A$1:$FG$983,MATCH($B$6,'Histórico'!$A:$A),FALSE),IF(AU143="Ações Europeias", HLOOKUP(AT143,'Histórico'!$A$1:$DD$990,MATCH($B$6,'Histórico'!$A:$A),FALSE)*HLOOKUP("EUR/BRL",'Histórico'!$A$1:$FG$983,MATCH($B$6,'Histórico'!$A:$A),FALSE),  HLOOKUP(AT143,'Histórico'!$A$1:$DD$990,MATCH($B$6,'Histórico'!$A:$A),FALSE))),"")</f>
        <v/>
      </c>
      <c r="AX143" s="243" t="str">
        <f t="shared" si="27"/>
        <v/>
      </c>
      <c r="AY143" s="183"/>
    </row>
    <row r="144" ht="15.75" customHeight="1">
      <c r="A144" s="176"/>
      <c r="B144" s="232">
        <v>45198.0</v>
      </c>
      <c r="C144" s="233"/>
      <c r="D144" s="233"/>
      <c r="E144" s="234"/>
      <c r="F144" s="233"/>
      <c r="G144" s="233"/>
      <c r="H144" s="234"/>
      <c r="I144" s="233"/>
      <c r="J144" s="233"/>
      <c r="K144" s="234"/>
      <c r="L144" s="233"/>
      <c r="M144" s="233"/>
      <c r="N144" s="240" t="str">
        <f t="shared" si="9"/>
        <v/>
      </c>
      <c r="O144" s="240" t="str">
        <f t="shared" si="10"/>
        <v/>
      </c>
      <c r="P144" s="240" t="str">
        <f t="shared" si="11"/>
        <v/>
      </c>
      <c r="Q144" s="240" t="str">
        <f t="shared" si="12"/>
        <v/>
      </c>
      <c r="R144" s="236" t="str">
        <f t="shared" si="13"/>
        <v/>
      </c>
      <c r="S144" s="177"/>
      <c r="T144" s="233" t="str">
        <f t="shared" ref="T144:U144" si="154">IF(AND(C144&lt;&gt;"",F144&lt;&gt;"",I144&lt;&gt;""), SUM(I144,F144,C144,L144),"")</f>
        <v/>
      </c>
      <c r="U144" s="233" t="str">
        <f t="shared" si="154"/>
        <v/>
      </c>
      <c r="V144" s="233" t="str">
        <f t="shared" si="6"/>
        <v/>
      </c>
      <c r="W144" s="241" t="str">
        <f t="shared" si="15"/>
        <v/>
      </c>
      <c r="X144" s="241" t="str">
        <f t="shared" si="16"/>
        <v/>
      </c>
      <c r="Y144" s="241" t="str">
        <f t="shared" si="25"/>
        <v/>
      </c>
      <c r="Z144" s="233" t="str">
        <f t="shared" si="7"/>
        <v/>
      </c>
      <c r="AA144" s="165"/>
      <c r="AB144" s="245"/>
      <c r="AC144" s="242" t="str">
        <f>IF(ISTEXT(AB144),VLOOKUP(AB144,'Cadastro dos Ativos'!$A$2:$C$1000,3,0),"")</f>
        <v/>
      </c>
      <c r="AD144" s="242" t="str">
        <f>IF(AB144 &lt;&gt; "",IF(AC144="Futuros", (SUMIFS('Alocação'!$O$3:$O$1002,'Alocação'!$C$3:$C$1002,AB144,'Alocação'!$F$3:$F$1002,AB$9,'Alocação'!$B$3:$B$1002,"&lt;="&amp;$B$4)), (SUMIFS('Alocação'!$O$3:$O$1002,'Alocação'!$C$3:$C$1002,AB144,'Alocação'!$F$3:$F$1002,AB$9,'Alocação'!$B$3:$B$1002,"&lt;="&amp;$B$6))),"")</f>
        <v/>
      </c>
      <c r="AE144" s="243" t="str">
        <f>iferror(IF(AC144="Ações Americanas", HLOOKUP(AB144,'Histórico'!$A$1:$DD$990,MATCH($B$6,'Histórico'!$A:$A),FALSE)*HLOOKUP("PTAX",'Histórico'!$A$1:$FG$983,MATCH($B$6,'Histórico'!$A:$A),FALSE),IF(AC144="Ações Europeias", HLOOKUP(AB144,'Histórico'!$A$1:$DD$990,MATCH($B$6,'Histórico'!$A:$A),FALSE)*HLOOKUP("EUR/BRL",'Histórico'!$A$1:$FG$983,MATCH($B$6,'Histórico'!$A:$A),FALSE), HLOOKUP(AB144,'Histórico'!$A$1:$DD$990,MATCH($B$6,'Histórico'!$A:$A),FALSE))),"")</f>
        <v/>
      </c>
      <c r="AF144" s="243" t="str">
        <f t="shared" si="21"/>
        <v/>
      </c>
      <c r="AG144" s="53"/>
      <c r="AH144" s="245"/>
      <c r="AI144" s="242" t="str">
        <f>IF(ISTEXT(AH144),VLOOKUP(AH144,'Cadastro dos Ativos'!$A$2:$C$1000,3,0),"")</f>
        <v/>
      </c>
      <c r="AJ144" s="242" t="str">
        <f>IF(AH144 &lt;&gt; "",IF(AI144="Futuros", (SUMIFS('Alocação'!$O$3:$O$1002,'Alocação'!$C$3:$C$1002,AH144,'Alocação'!$F$3:$F$1002,AH$9,'Alocação'!$B$3:$B$1002,"&lt;="&amp;$B$4)), (SUMIFS('Alocação'!$O$3:$O$1002,'Alocação'!$C$3:$C$1002,AH144,'Alocação'!$F$3:$F$1002,AH$9,'Alocação'!$B$3:$B$1002,"&lt;="&amp;$B$6))),"")</f>
        <v/>
      </c>
      <c r="AK144" s="243" t="str">
        <f>iferror(IF(AI144="Ações Americanas", HLOOKUP(AH144,'Histórico'!$A$1:$DD$990,MATCH($B$6,'Histórico'!$A:$A),FALSE)*HLOOKUP("PTAX",'Histórico'!$A$1:$FG$983,MATCH($B$6,'Histórico'!$A:$A),FALSE),IF(AI144="Ações Europeias", HLOOKUP(AH144,'Histórico'!$A$1:$DD$990,MATCH($B$6,'Histórico'!$A:$A),FALSE)*HLOOKUP("EUR/BRL",'Histórico'!$A$1:$FG$983,MATCH($B$6,'Histórico'!$A:$A),FALSE),  HLOOKUP(AH144,'Histórico'!$A$1:$DD$990,MATCH($B$6,'Histórico'!$A:$A),FALSE))),"")</f>
        <v/>
      </c>
      <c r="AL144" s="243" t="str">
        <f t="shared" si="17"/>
        <v/>
      </c>
      <c r="AM144" s="53"/>
      <c r="AN144" s="245"/>
      <c r="AO144" s="242" t="str">
        <f>IF(ISTEXT(AN144),VLOOKUP(AN144,'Cadastro dos Ativos'!$A$2:$C$1000,3,0),"")</f>
        <v/>
      </c>
      <c r="AP144" s="242" t="str">
        <f>IF(AN144 &lt;&gt; "",IF(AO144="Futuros", (SUMIFS('Alocação'!$O$3:$O$1002,'Alocação'!$C$3:$C$1002,AN144,'Alocação'!$F$3:$F$1002,AN$9,'Alocação'!$B$3:$B$1002,"&lt;="&amp;$B$4)), (SUMIFS('Alocação'!$O$3:$O$1002,'Alocação'!$C$3:$C$1002,AN144,'Alocação'!$F$3:$F$1002,AN$9,'Alocação'!$B$3:$B$1002,"&lt;="&amp;$B$6))),"")</f>
        <v/>
      </c>
      <c r="AQ144" s="243" t="str">
        <f>iferror(IF(AO144="Ações Americanas", HLOOKUP(AN144,'Histórico'!$A$1:$DD$990,MATCH($B$6,'Histórico'!$A:$A),FALSE)*HLOOKUP("PTAX",'Histórico'!$A$1:$FG$983,MATCH($B$6,'Histórico'!$A:$A),FALSE),IF(AO144="Ações Europeias", HLOOKUP(AN144,'Histórico'!$A$1:$DD$990,MATCH($B$6,'Histórico'!$A:$A),FALSE)*HLOOKUP("EUR/BRL",'Histórico'!$A$1:$FG$983,MATCH($B$6,'Histórico'!$A:$A),FALSE),  HLOOKUP(AN144,'Histórico'!$A$1:$DD$990,MATCH($B$6,'Histórico'!$A:$A),FALSE))),"")</f>
        <v/>
      </c>
      <c r="AR144" s="243" t="str">
        <f t="shared" si="18"/>
        <v/>
      </c>
      <c r="AS144" s="53"/>
      <c r="AT144" s="245"/>
      <c r="AU144" s="242" t="str">
        <f>IF(ISTEXT(AT144),VLOOKUP(AT144,'Cadastro dos Ativos'!$A$2:$C$1000,3,0),"")</f>
        <v/>
      </c>
      <c r="AV144" s="242" t="str">
        <f>IF(AT144 &lt;&gt; "",IF(AU144="Futuros", (SUMIFS('Alocação'!$O$3:$O$1002,'Alocação'!$C$3:$C$1002,AT144,'Alocação'!$F$3:$F$1002,AT$9,'Alocação'!$B$3:$B$1002,"&lt;="&amp;$B$4)), (SUMIFS('Alocação'!$O$3:$O$1002,'Alocação'!$C$3:$C$1002,AT144,'Alocação'!$F$3:$F$1002,AT$9,'Alocação'!$B$3:$B$1002,"&lt;="&amp;$B$6))),"")</f>
        <v/>
      </c>
      <c r="AW144" s="243" t="str">
        <f>iferror(IF(AU144="Ações Americanas", HLOOKUP(AT144,'Histórico'!$A$1:$DD$990,MATCH($B$6,'Histórico'!$A:$A),FALSE)*HLOOKUP("PTAX",'Histórico'!$A$1:$FG$983,MATCH($B$6,'Histórico'!$A:$A),FALSE),IF(AU144="Ações Europeias", HLOOKUP(AT144,'Histórico'!$A$1:$DD$990,MATCH($B$6,'Histórico'!$A:$A),FALSE)*HLOOKUP("EUR/BRL",'Histórico'!$A$1:$FG$983,MATCH($B$6,'Histórico'!$A:$A),FALSE),  HLOOKUP(AT144,'Histórico'!$A$1:$DD$990,MATCH($B$6,'Histórico'!$A:$A),FALSE))),"")</f>
        <v/>
      </c>
      <c r="AX144" s="243" t="str">
        <f t="shared" si="27"/>
        <v/>
      </c>
      <c r="AY144" s="183"/>
    </row>
    <row r="145" ht="15.75" customHeight="1">
      <c r="A145" s="176"/>
      <c r="B145" s="232">
        <v>45201.0</v>
      </c>
      <c r="C145" s="233"/>
      <c r="D145" s="233"/>
      <c r="E145" s="234"/>
      <c r="F145" s="233"/>
      <c r="G145" s="233"/>
      <c r="H145" s="234"/>
      <c r="I145" s="233"/>
      <c r="J145" s="233"/>
      <c r="K145" s="234"/>
      <c r="L145" s="233"/>
      <c r="M145" s="233"/>
      <c r="N145" s="240" t="str">
        <f t="shared" si="9"/>
        <v/>
      </c>
      <c r="O145" s="240" t="str">
        <f t="shared" si="10"/>
        <v/>
      </c>
      <c r="P145" s="240" t="str">
        <f t="shared" si="11"/>
        <v/>
      </c>
      <c r="Q145" s="240" t="str">
        <f t="shared" si="12"/>
        <v/>
      </c>
      <c r="R145" s="236" t="str">
        <f t="shared" si="13"/>
        <v/>
      </c>
      <c r="S145" s="177"/>
      <c r="T145" s="233" t="str">
        <f t="shared" ref="T145:U145" si="155">IF(AND(C145&lt;&gt;"",F145&lt;&gt;"",I145&lt;&gt;""), SUM(I145,F145,C145,L145),"")</f>
        <v/>
      </c>
      <c r="U145" s="233" t="str">
        <f t="shared" si="155"/>
        <v/>
      </c>
      <c r="V145" s="233" t="str">
        <f t="shared" si="6"/>
        <v/>
      </c>
      <c r="W145" s="241" t="str">
        <f t="shared" si="15"/>
        <v/>
      </c>
      <c r="X145" s="241" t="str">
        <f t="shared" si="16"/>
        <v/>
      </c>
      <c r="Y145" s="241" t="str">
        <f t="shared" si="25"/>
        <v/>
      </c>
      <c r="Z145" s="233" t="str">
        <f t="shared" si="7"/>
        <v/>
      </c>
      <c r="AA145" s="165"/>
      <c r="AB145" s="245"/>
      <c r="AC145" s="242" t="str">
        <f>IF(ISTEXT(AB145),VLOOKUP(AB145,'Cadastro dos Ativos'!$A$2:$C$1000,3,0),"")</f>
        <v/>
      </c>
      <c r="AD145" s="242" t="str">
        <f>IF(AB145 &lt;&gt; "",IF(AC145="Futuros", (SUMIFS('Alocação'!$O$3:$O$1002,'Alocação'!$C$3:$C$1002,AB145,'Alocação'!$F$3:$F$1002,AB$9,'Alocação'!$B$3:$B$1002,"&lt;="&amp;$B$4)), (SUMIFS('Alocação'!$O$3:$O$1002,'Alocação'!$C$3:$C$1002,AB145,'Alocação'!$F$3:$F$1002,AB$9,'Alocação'!$B$3:$B$1002,"&lt;="&amp;$B$6))),"")</f>
        <v/>
      </c>
      <c r="AE145" s="243" t="str">
        <f>iferror(IF(AC145="Ações Americanas", HLOOKUP(AB145,'Histórico'!$A$1:$DD$990,MATCH($B$6,'Histórico'!$A:$A),FALSE)*HLOOKUP("PTAX",'Histórico'!$A$1:$FG$983,MATCH($B$6,'Histórico'!$A:$A),FALSE),IF(AC145="Ações Europeias", HLOOKUP(AB145,'Histórico'!$A$1:$DD$990,MATCH($B$6,'Histórico'!$A:$A),FALSE)*HLOOKUP("EUR/BRL",'Histórico'!$A$1:$FG$983,MATCH($B$6,'Histórico'!$A:$A),FALSE), HLOOKUP(AB145,'Histórico'!$A$1:$DD$990,MATCH($B$6,'Histórico'!$A:$A),FALSE))),"")</f>
        <v/>
      </c>
      <c r="AF145" s="243" t="str">
        <f t="shared" si="21"/>
        <v/>
      </c>
      <c r="AG145" s="53"/>
      <c r="AH145" s="245"/>
      <c r="AI145" s="242" t="str">
        <f>IF(ISTEXT(AH145),VLOOKUP(AH145,'Cadastro dos Ativos'!$A$2:$C$1000,3,0),"")</f>
        <v/>
      </c>
      <c r="AJ145" s="242" t="str">
        <f>IF(AH145 &lt;&gt; "",IF(AI145="Futuros", (SUMIFS('Alocação'!$O$3:$O$1002,'Alocação'!$C$3:$C$1002,AH145,'Alocação'!$F$3:$F$1002,AH$9,'Alocação'!$B$3:$B$1002,"&lt;="&amp;$B$4)), (SUMIFS('Alocação'!$O$3:$O$1002,'Alocação'!$C$3:$C$1002,AH145,'Alocação'!$F$3:$F$1002,AH$9,'Alocação'!$B$3:$B$1002,"&lt;="&amp;$B$6))),"")</f>
        <v/>
      </c>
      <c r="AK145" s="243" t="str">
        <f>iferror(IF(AI145="Ações Americanas", HLOOKUP(AH145,'Histórico'!$A$1:$DD$990,MATCH($B$6,'Histórico'!$A:$A),FALSE)*HLOOKUP("PTAX",'Histórico'!$A$1:$FG$983,MATCH($B$6,'Histórico'!$A:$A),FALSE),IF(AI145="Ações Europeias", HLOOKUP(AH145,'Histórico'!$A$1:$DD$990,MATCH($B$6,'Histórico'!$A:$A),FALSE)*HLOOKUP("EUR/BRL",'Histórico'!$A$1:$FG$983,MATCH($B$6,'Histórico'!$A:$A),FALSE),  HLOOKUP(AH145,'Histórico'!$A$1:$DD$990,MATCH($B$6,'Histórico'!$A:$A),FALSE))),"")</f>
        <v/>
      </c>
      <c r="AL145" s="243" t="str">
        <f t="shared" si="17"/>
        <v/>
      </c>
      <c r="AM145" s="53"/>
      <c r="AN145" s="245"/>
      <c r="AO145" s="242" t="str">
        <f>IF(ISTEXT(AN145),VLOOKUP(AN145,'Cadastro dos Ativos'!$A$2:$C$1000,3,0),"")</f>
        <v/>
      </c>
      <c r="AP145" s="242" t="str">
        <f>IF(AN145 &lt;&gt; "",IF(AO145="Futuros", (SUMIFS('Alocação'!$O$3:$O$1002,'Alocação'!$C$3:$C$1002,AN145,'Alocação'!$F$3:$F$1002,AN$9,'Alocação'!$B$3:$B$1002,"&lt;="&amp;$B$4)), (SUMIFS('Alocação'!$O$3:$O$1002,'Alocação'!$C$3:$C$1002,AN145,'Alocação'!$F$3:$F$1002,AN$9,'Alocação'!$B$3:$B$1002,"&lt;="&amp;$B$6))),"")</f>
        <v/>
      </c>
      <c r="AQ145" s="243" t="str">
        <f>iferror(IF(AO145="Ações Americanas", HLOOKUP(AN145,'Histórico'!$A$1:$DD$990,MATCH($B$6,'Histórico'!$A:$A),FALSE)*HLOOKUP("PTAX",'Histórico'!$A$1:$FG$983,MATCH($B$6,'Histórico'!$A:$A),FALSE),IF(AO145="Ações Europeias", HLOOKUP(AN145,'Histórico'!$A$1:$DD$990,MATCH($B$6,'Histórico'!$A:$A),FALSE)*HLOOKUP("EUR/BRL",'Histórico'!$A$1:$FG$983,MATCH($B$6,'Histórico'!$A:$A),FALSE),  HLOOKUP(AN145,'Histórico'!$A$1:$DD$990,MATCH($B$6,'Histórico'!$A:$A),FALSE))),"")</f>
        <v/>
      </c>
      <c r="AR145" s="243" t="str">
        <f t="shared" si="18"/>
        <v/>
      </c>
      <c r="AS145" s="53"/>
      <c r="AT145" s="245"/>
      <c r="AU145" s="242" t="str">
        <f>IF(ISTEXT(AT145),VLOOKUP(AT145,'Cadastro dos Ativos'!$A$2:$C$1000,3,0),"")</f>
        <v/>
      </c>
      <c r="AV145" s="242" t="str">
        <f>IF(AT145 &lt;&gt; "",IF(AU145="Futuros", (SUMIFS('Alocação'!$O$3:$O$1002,'Alocação'!$C$3:$C$1002,AT145,'Alocação'!$F$3:$F$1002,AT$9,'Alocação'!$B$3:$B$1002,"&lt;="&amp;$B$4)), (SUMIFS('Alocação'!$O$3:$O$1002,'Alocação'!$C$3:$C$1002,AT145,'Alocação'!$F$3:$F$1002,AT$9,'Alocação'!$B$3:$B$1002,"&lt;="&amp;$B$6))),"")</f>
        <v/>
      </c>
      <c r="AW145" s="243" t="str">
        <f>iferror(IF(AU145="Ações Americanas", HLOOKUP(AT145,'Histórico'!$A$1:$DD$990,MATCH($B$6,'Histórico'!$A:$A),FALSE)*HLOOKUP("PTAX",'Histórico'!$A$1:$FG$983,MATCH($B$6,'Histórico'!$A:$A),FALSE),IF(AU145="Ações Europeias", HLOOKUP(AT145,'Histórico'!$A$1:$DD$990,MATCH($B$6,'Histórico'!$A:$A),FALSE)*HLOOKUP("EUR/BRL",'Histórico'!$A$1:$FG$983,MATCH($B$6,'Histórico'!$A:$A),FALSE),  HLOOKUP(AT145,'Histórico'!$A$1:$DD$990,MATCH($B$6,'Histórico'!$A:$A),FALSE))),"")</f>
        <v/>
      </c>
      <c r="AX145" s="243" t="str">
        <f t="shared" si="27"/>
        <v/>
      </c>
      <c r="AY145" s="183"/>
    </row>
    <row r="146" ht="15.75" customHeight="1">
      <c r="A146" s="176"/>
      <c r="B146" s="232">
        <v>45202.0</v>
      </c>
      <c r="C146" s="233"/>
      <c r="D146" s="233"/>
      <c r="E146" s="234"/>
      <c r="F146" s="233"/>
      <c r="G146" s="233"/>
      <c r="H146" s="234"/>
      <c r="I146" s="233"/>
      <c r="J146" s="233"/>
      <c r="K146" s="234"/>
      <c r="L146" s="233"/>
      <c r="M146" s="233"/>
      <c r="N146" s="240" t="str">
        <f t="shared" si="9"/>
        <v/>
      </c>
      <c r="O146" s="240" t="str">
        <f t="shared" si="10"/>
        <v/>
      </c>
      <c r="P146" s="240" t="str">
        <f t="shared" si="11"/>
        <v/>
      </c>
      <c r="Q146" s="240" t="str">
        <f t="shared" si="12"/>
        <v/>
      </c>
      <c r="R146" s="236" t="str">
        <f t="shared" si="13"/>
        <v/>
      </c>
      <c r="S146" s="177"/>
      <c r="T146" s="233" t="str">
        <f t="shared" ref="T146:U146" si="156">IF(AND(C146&lt;&gt;"",F146&lt;&gt;"",I146&lt;&gt;""), SUM(I146,F146,C146,L146),"")</f>
        <v/>
      </c>
      <c r="U146" s="233" t="str">
        <f t="shared" si="156"/>
        <v/>
      </c>
      <c r="V146" s="233" t="str">
        <f t="shared" si="6"/>
        <v/>
      </c>
      <c r="W146" s="241" t="str">
        <f t="shared" si="15"/>
        <v/>
      </c>
      <c r="X146" s="241" t="str">
        <f t="shared" si="16"/>
        <v/>
      </c>
      <c r="Y146" s="241" t="str">
        <f t="shared" si="25"/>
        <v/>
      </c>
      <c r="Z146" s="233" t="str">
        <f t="shared" si="7"/>
        <v/>
      </c>
      <c r="AA146" s="165"/>
      <c r="AB146" s="245"/>
      <c r="AC146" s="242" t="str">
        <f>IF(ISTEXT(AB146),VLOOKUP(AB146,'Cadastro dos Ativos'!$A$2:$C$1000,3,0),"")</f>
        <v/>
      </c>
      <c r="AD146" s="242" t="str">
        <f>IF(AB146 &lt;&gt; "",IF(AC146="Futuros", (SUMIFS('Alocação'!$O$3:$O$1002,'Alocação'!$C$3:$C$1002,AB146,'Alocação'!$F$3:$F$1002,AB$9,'Alocação'!$B$3:$B$1002,"&lt;="&amp;$B$4)), (SUMIFS('Alocação'!$O$3:$O$1002,'Alocação'!$C$3:$C$1002,AB146,'Alocação'!$F$3:$F$1002,AB$9,'Alocação'!$B$3:$B$1002,"&lt;="&amp;$B$6))),"")</f>
        <v/>
      </c>
      <c r="AE146" s="243" t="str">
        <f>iferror(IF(AC146="Ações Americanas", HLOOKUP(AB146,'Histórico'!$A$1:$DD$990,MATCH($B$6,'Histórico'!$A:$A),FALSE)*HLOOKUP("PTAX",'Histórico'!$A$1:$FG$983,MATCH($B$6,'Histórico'!$A:$A),FALSE),IF(AC146="Ações Europeias", HLOOKUP(AB146,'Histórico'!$A$1:$DD$990,MATCH($B$6,'Histórico'!$A:$A),FALSE)*HLOOKUP("EUR/BRL",'Histórico'!$A$1:$FG$983,MATCH($B$6,'Histórico'!$A:$A),FALSE), HLOOKUP(AB146,'Histórico'!$A$1:$DD$990,MATCH($B$6,'Histórico'!$A:$A),FALSE))),"")</f>
        <v/>
      </c>
      <c r="AF146" s="243" t="str">
        <f t="shared" si="21"/>
        <v/>
      </c>
      <c r="AG146" s="53"/>
      <c r="AH146" s="245"/>
      <c r="AI146" s="242" t="str">
        <f>IF(ISTEXT(AH146),VLOOKUP(AH146,'Cadastro dos Ativos'!$A$2:$C$1000,3,0),"")</f>
        <v/>
      </c>
      <c r="AJ146" s="242" t="str">
        <f>IF(AH146 &lt;&gt; "",IF(AI146="Futuros", (SUMIFS('Alocação'!$O$3:$O$1002,'Alocação'!$C$3:$C$1002,AH146,'Alocação'!$F$3:$F$1002,AH$9,'Alocação'!$B$3:$B$1002,"&lt;="&amp;$B$4)), (SUMIFS('Alocação'!$O$3:$O$1002,'Alocação'!$C$3:$C$1002,AH146,'Alocação'!$F$3:$F$1002,AH$9,'Alocação'!$B$3:$B$1002,"&lt;="&amp;$B$6))),"")</f>
        <v/>
      </c>
      <c r="AK146" s="243" t="str">
        <f>iferror(IF(AI146="Ações Americanas", HLOOKUP(AH146,'Histórico'!$A$1:$DD$990,MATCH($B$6,'Histórico'!$A:$A),FALSE)*HLOOKUP("PTAX",'Histórico'!$A$1:$FG$983,MATCH($B$6,'Histórico'!$A:$A),FALSE),IF(AI146="Ações Europeias", HLOOKUP(AH146,'Histórico'!$A$1:$DD$990,MATCH($B$6,'Histórico'!$A:$A),FALSE)*HLOOKUP("EUR/BRL",'Histórico'!$A$1:$FG$983,MATCH($B$6,'Histórico'!$A:$A),FALSE),  HLOOKUP(AH146,'Histórico'!$A$1:$DD$990,MATCH($B$6,'Histórico'!$A:$A),FALSE))),"")</f>
        <v/>
      </c>
      <c r="AL146" s="243" t="str">
        <f t="shared" si="17"/>
        <v/>
      </c>
      <c r="AM146" s="53"/>
      <c r="AN146" s="245"/>
      <c r="AO146" s="242" t="str">
        <f>IF(ISTEXT(AN146),VLOOKUP(AN146,'Cadastro dos Ativos'!$A$2:$C$1000,3,0),"")</f>
        <v/>
      </c>
      <c r="AP146" s="242" t="str">
        <f>IF(AN146 &lt;&gt; "",IF(AO146="Futuros", (SUMIFS('Alocação'!$O$3:$O$1002,'Alocação'!$C$3:$C$1002,AN146,'Alocação'!$F$3:$F$1002,AN$9,'Alocação'!$B$3:$B$1002,"&lt;="&amp;$B$4)), (SUMIFS('Alocação'!$O$3:$O$1002,'Alocação'!$C$3:$C$1002,AN146,'Alocação'!$F$3:$F$1002,AN$9,'Alocação'!$B$3:$B$1002,"&lt;="&amp;$B$6))),"")</f>
        <v/>
      </c>
      <c r="AQ146" s="243" t="str">
        <f>iferror(IF(AO146="Ações Americanas", HLOOKUP(AN146,'Histórico'!$A$1:$DD$990,MATCH($B$6,'Histórico'!$A:$A),FALSE)*HLOOKUP("PTAX",'Histórico'!$A$1:$FG$983,MATCH($B$6,'Histórico'!$A:$A),FALSE),IF(AO146="Ações Europeias", HLOOKUP(AN146,'Histórico'!$A$1:$DD$990,MATCH($B$6,'Histórico'!$A:$A),FALSE)*HLOOKUP("EUR/BRL",'Histórico'!$A$1:$FG$983,MATCH($B$6,'Histórico'!$A:$A),FALSE),  HLOOKUP(AN146,'Histórico'!$A$1:$DD$990,MATCH($B$6,'Histórico'!$A:$A),FALSE))),"")</f>
        <v/>
      </c>
      <c r="AR146" s="243" t="str">
        <f t="shared" si="18"/>
        <v/>
      </c>
      <c r="AS146" s="53"/>
      <c r="AT146" s="245"/>
      <c r="AU146" s="242" t="str">
        <f>IF(ISTEXT(AT146),VLOOKUP(AT146,'Cadastro dos Ativos'!$A$2:$C$1000,3,0),"")</f>
        <v/>
      </c>
      <c r="AV146" s="242" t="str">
        <f>IF(AT146 &lt;&gt; "",IF(AU146="Futuros", (SUMIFS('Alocação'!$O$3:$O$1002,'Alocação'!$C$3:$C$1002,AT146,'Alocação'!$F$3:$F$1002,AT$9,'Alocação'!$B$3:$B$1002,"&lt;="&amp;$B$4)), (SUMIFS('Alocação'!$O$3:$O$1002,'Alocação'!$C$3:$C$1002,AT146,'Alocação'!$F$3:$F$1002,AT$9,'Alocação'!$B$3:$B$1002,"&lt;="&amp;$B$6))),"")</f>
        <v/>
      </c>
      <c r="AW146" s="243" t="str">
        <f>iferror(IF(AU146="Ações Americanas", HLOOKUP(AT146,'Histórico'!$A$1:$DD$990,MATCH($B$6,'Histórico'!$A:$A),FALSE)*HLOOKUP("PTAX",'Histórico'!$A$1:$FG$983,MATCH($B$6,'Histórico'!$A:$A),FALSE),IF(AU146="Ações Europeias", HLOOKUP(AT146,'Histórico'!$A$1:$DD$990,MATCH($B$6,'Histórico'!$A:$A),FALSE)*HLOOKUP("EUR/BRL",'Histórico'!$A$1:$FG$983,MATCH($B$6,'Histórico'!$A:$A),FALSE),  HLOOKUP(AT146,'Histórico'!$A$1:$DD$990,MATCH($B$6,'Histórico'!$A:$A),FALSE))),"")</f>
        <v/>
      </c>
      <c r="AX146" s="243" t="str">
        <f t="shared" si="27"/>
        <v/>
      </c>
      <c r="AY146" s="183"/>
    </row>
    <row r="147" ht="15.75" customHeight="1">
      <c r="A147" s="176"/>
      <c r="B147" s="232">
        <v>45203.0</v>
      </c>
      <c r="C147" s="233"/>
      <c r="D147" s="233"/>
      <c r="E147" s="234"/>
      <c r="F147" s="233"/>
      <c r="G147" s="233"/>
      <c r="H147" s="234"/>
      <c r="I147" s="233"/>
      <c r="J147" s="233"/>
      <c r="K147" s="234"/>
      <c r="L147" s="233"/>
      <c r="M147" s="233"/>
      <c r="N147" s="240" t="str">
        <f t="shared" si="9"/>
        <v/>
      </c>
      <c r="O147" s="240" t="str">
        <f t="shared" si="10"/>
        <v/>
      </c>
      <c r="P147" s="240" t="str">
        <f t="shared" si="11"/>
        <v/>
      </c>
      <c r="Q147" s="240" t="str">
        <f t="shared" si="12"/>
        <v/>
      </c>
      <c r="R147" s="236" t="str">
        <f t="shared" si="13"/>
        <v/>
      </c>
      <c r="S147" s="177"/>
      <c r="T147" s="233" t="str">
        <f t="shared" ref="T147:U147" si="157">IF(AND(C147&lt;&gt;"",F147&lt;&gt;"",I147&lt;&gt;""), SUM(I147,F147,C147,L147),"")</f>
        <v/>
      </c>
      <c r="U147" s="233" t="str">
        <f t="shared" si="157"/>
        <v/>
      </c>
      <c r="V147" s="233" t="str">
        <f t="shared" si="6"/>
        <v/>
      </c>
      <c r="W147" s="241" t="str">
        <f t="shared" si="15"/>
        <v/>
      </c>
      <c r="X147" s="241" t="str">
        <f t="shared" si="16"/>
        <v/>
      </c>
      <c r="Y147" s="241" t="str">
        <f t="shared" si="25"/>
        <v/>
      </c>
      <c r="Z147" s="233" t="str">
        <f t="shared" si="7"/>
        <v/>
      </c>
      <c r="AA147" s="165"/>
      <c r="AB147" s="245"/>
      <c r="AC147" s="242" t="str">
        <f>IF(ISTEXT(AB147),VLOOKUP(AB147,'Cadastro dos Ativos'!$A$2:$C$1000,3,0),"")</f>
        <v/>
      </c>
      <c r="AD147" s="242" t="str">
        <f>IF(AB147 &lt;&gt; "",IF(AC147="Futuros", (SUMIFS('Alocação'!$O$3:$O$1002,'Alocação'!$C$3:$C$1002,AB147,'Alocação'!$F$3:$F$1002,AB$9,'Alocação'!$B$3:$B$1002,"&lt;="&amp;$B$4)), (SUMIFS('Alocação'!$O$3:$O$1002,'Alocação'!$C$3:$C$1002,AB147,'Alocação'!$F$3:$F$1002,AB$9,'Alocação'!$B$3:$B$1002,"&lt;="&amp;$B$6))),"")</f>
        <v/>
      </c>
      <c r="AE147" s="243" t="str">
        <f>iferror(IF(AC147="Ações Americanas", HLOOKUP(AB147,'Histórico'!$A$1:$DD$990,MATCH($B$6,'Histórico'!$A:$A),FALSE)*HLOOKUP("PTAX",'Histórico'!$A$1:$FG$983,MATCH($B$6,'Histórico'!$A:$A),FALSE),IF(AC147="Ações Europeias", HLOOKUP(AB147,'Histórico'!$A$1:$DD$990,MATCH($B$6,'Histórico'!$A:$A),FALSE)*HLOOKUP("EUR/BRL",'Histórico'!$A$1:$FG$983,MATCH($B$6,'Histórico'!$A:$A),FALSE), HLOOKUP(AB147,'Histórico'!$A$1:$DD$990,MATCH($B$6,'Histórico'!$A:$A),FALSE))),"")</f>
        <v/>
      </c>
      <c r="AF147" s="243" t="str">
        <f t="shared" si="21"/>
        <v/>
      </c>
      <c r="AG147" s="53"/>
      <c r="AH147" s="245"/>
      <c r="AI147" s="242" t="str">
        <f>IF(ISTEXT(AH147),VLOOKUP(AH147,'Cadastro dos Ativos'!$A$2:$C$1000,3,0),"")</f>
        <v/>
      </c>
      <c r="AJ147" s="242" t="str">
        <f>IF(AH147 &lt;&gt; "",IF(AI147="Futuros", (SUMIFS('Alocação'!$O$3:$O$1002,'Alocação'!$C$3:$C$1002,AH147,'Alocação'!$F$3:$F$1002,AH$9,'Alocação'!$B$3:$B$1002,"&lt;="&amp;$B$4)), (SUMIFS('Alocação'!$O$3:$O$1002,'Alocação'!$C$3:$C$1002,AH147,'Alocação'!$F$3:$F$1002,AH$9,'Alocação'!$B$3:$B$1002,"&lt;="&amp;$B$6))),"")</f>
        <v/>
      </c>
      <c r="AK147" s="243" t="str">
        <f>iferror(IF(AI147="Ações Americanas", HLOOKUP(AH147,'Histórico'!$A$1:$DD$990,MATCH($B$6,'Histórico'!$A:$A),FALSE)*HLOOKUP("PTAX",'Histórico'!$A$1:$FG$983,MATCH($B$6,'Histórico'!$A:$A),FALSE),IF(AI147="Ações Europeias", HLOOKUP(AH147,'Histórico'!$A$1:$DD$990,MATCH($B$6,'Histórico'!$A:$A),FALSE)*HLOOKUP("EUR/BRL",'Histórico'!$A$1:$FG$983,MATCH($B$6,'Histórico'!$A:$A),FALSE),  HLOOKUP(AH147,'Histórico'!$A$1:$DD$990,MATCH($B$6,'Histórico'!$A:$A),FALSE))),"")</f>
        <v/>
      </c>
      <c r="AL147" s="243" t="str">
        <f t="shared" si="17"/>
        <v/>
      </c>
      <c r="AM147" s="53"/>
      <c r="AN147" s="245"/>
      <c r="AO147" s="242" t="str">
        <f>IF(ISTEXT(AN147),VLOOKUP(AN147,'Cadastro dos Ativos'!$A$2:$C$1000,3,0),"")</f>
        <v/>
      </c>
      <c r="AP147" s="242" t="str">
        <f>IF(AN147 &lt;&gt; "",IF(AO147="Futuros", (SUMIFS('Alocação'!$O$3:$O$1002,'Alocação'!$C$3:$C$1002,AN147,'Alocação'!$F$3:$F$1002,AN$9,'Alocação'!$B$3:$B$1002,"&lt;="&amp;$B$4)), (SUMIFS('Alocação'!$O$3:$O$1002,'Alocação'!$C$3:$C$1002,AN147,'Alocação'!$F$3:$F$1002,AN$9,'Alocação'!$B$3:$B$1002,"&lt;="&amp;$B$6))),"")</f>
        <v/>
      </c>
      <c r="AQ147" s="243" t="str">
        <f>iferror(IF(AO147="Ações Americanas", HLOOKUP(AN147,'Histórico'!$A$1:$DD$990,MATCH($B$6,'Histórico'!$A:$A),FALSE)*HLOOKUP("PTAX",'Histórico'!$A$1:$FG$983,MATCH($B$6,'Histórico'!$A:$A),FALSE),IF(AO147="Ações Europeias", HLOOKUP(AN147,'Histórico'!$A$1:$DD$990,MATCH($B$6,'Histórico'!$A:$A),FALSE)*HLOOKUP("EUR/BRL",'Histórico'!$A$1:$FG$983,MATCH($B$6,'Histórico'!$A:$A),FALSE),  HLOOKUP(AN147,'Histórico'!$A$1:$DD$990,MATCH($B$6,'Histórico'!$A:$A),FALSE))),"")</f>
        <v/>
      </c>
      <c r="AR147" s="243" t="str">
        <f t="shared" si="18"/>
        <v/>
      </c>
      <c r="AS147" s="53"/>
      <c r="AT147" s="245"/>
      <c r="AU147" s="242" t="str">
        <f>IF(ISTEXT(AT147),VLOOKUP(AT147,'Cadastro dos Ativos'!$A$2:$C$1000,3,0),"")</f>
        <v/>
      </c>
      <c r="AV147" s="242" t="str">
        <f>IF(AT147 &lt;&gt; "",IF(AU147="Futuros", (SUMIFS('Alocação'!$O$3:$O$1002,'Alocação'!$C$3:$C$1002,AT147,'Alocação'!$F$3:$F$1002,AT$9,'Alocação'!$B$3:$B$1002,"&lt;="&amp;$B$4)), (SUMIFS('Alocação'!$O$3:$O$1002,'Alocação'!$C$3:$C$1002,AT147,'Alocação'!$F$3:$F$1002,AT$9,'Alocação'!$B$3:$B$1002,"&lt;="&amp;$B$6))),"")</f>
        <v/>
      </c>
      <c r="AW147" s="243" t="str">
        <f>iferror(IF(AU147="Ações Americanas", HLOOKUP(AT147,'Histórico'!$A$1:$DD$990,MATCH($B$6,'Histórico'!$A:$A),FALSE)*HLOOKUP("PTAX",'Histórico'!$A$1:$FG$983,MATCH($B$6,'Histórico'!$A:$A),FALSE),IF(AU147="Ações Europeias", HLOOKUP(AT147,'Histórico'!$A$1:$DD$990,MATCH($B$6,'Histórico'!$A:$A),FALSE)*HLOOKUP("EUR/BRL",'Histórico'!$A$1:$FG$983,MATCH($B$6,'Histórico'!$A:$A),FALSE),  HLOOKUP(AT147,'Histórico'!$A$1:$DD$990,MATCH($B$6,'Histórico'!$A:$A),FALSE))),"")</f>
        <v/>
      </c>
      <c r="AX147" s="243" t="str">
        <f t="shared" si="27"/>
        <v/>
      </c>
      <c r="AY147" s="183"/>
    </row>
    <row r="148" ht="15.75" customHeight="1">
      <c r="A148" s="176"/>
      <c r="B148" s="232">
        <v>45204.0</v>
      </c>
      <c r="C148" s="233"/>
      <c r="D148" s="233"/>
      <c r="E148" s="234"/>
      <c r="F148" s="233"/>
      <c r="G148" s="233"/>
      <c r="H148" s="234"/>
      <c r="I148" s="233"/>
      <c r="J148" s="233"/>
      <c r="K148" s="234"/>
      <c r="L148" s="233"/>
      <c r="M148" s="233"/>
      <c r="N148" s="240" t="str">
        <f t="shared" si="9"/>
        <v/>
      </c>
      <c r="O148" s="240" t="str">
        <f t="shared" si="10"/>
        <v/>
      </c>
      <c r="P148" s="240" t="str">
        <f t="shared" si="11"/>
        <v/>
      </c>
      <c r="Q148" s="240" t="str">
        <f t="shared" si="12"/>
        <v/>
      </c>
      <c r="R148" s="236" t="str">
        <f t="shared" si="13"/>
        <v/>
      </c>
      <c r="S148" s="177"/>
      <c r="T148" s="233" t="str">
        <f t="shared" ref="T148:U148" si="158">IF(AND(C148&lt;&gt;"",F148&lt;&gt;"",I148&lt;&gt;""), SUM(I148,F148,C148,L148),"")</f>
        <v/>
      </c>
      <c r="U148" s="233" t="str">
        <f t="shared" si="158"/>
        <v/>
      </c>
      <c r="V148" s="233" t="str">
        <f t="shared" si="6"/>
        <v/>
      </c>
      <c r="W148" s="241" t="str">
        <f t="shared" si="15"/>
        <v/>
      </c>
      <c r="X148" s="241" t="str">
        <f t="shared" si="16"/>
        <v/>
      </c>
      <c r="Y148" s="241" t="str">
        <f t="shared" si="25"/>
        <v/>
      </c>
      <c r="Z148" s="233" t="str">
        <f t="shared" si="7"/>
        <v/>
      </c>
      <c r="AA148" s="165"/>
      <c r="AB148" s="245"/>
      <c r="AC148" s="242" t="str">
        <f>IF(ISTEXT(AB148),VLOOKUP(AB148,'Cadastro dos Ativos'!$A$2:$C$1000,3,0),"")</f>
        <v/>
      </c>
      <c r="AD148" s="242" t="str">
        <f>IF(AB148 &lt;&gt; "",IF(AC148="Futuros", (SUMIFS('Alocação'!$O$3:$O$1002,'Alocação'!$C$3:$C$1002,AB148,'Alocação'!$F$3:$F$1002,AB$9,'Alocação'!$B$3:$B$1002,"&lt;="&amp;$B$4)), (SUMIFS('Alocação'!$O$3:$O$1002,'Alocação'!$C$3:$C$1002,AB148,'Alocação'!$F$3:$F$1002,AB$9,'Alocação'!$B$3:$B$1002,"&lt;="&amp;$B$6))),"")</f>
        <v/>
      </c>
      <c r="AE148" s="243" t="str">
        <f>iferror(IF(AC148="Ações Americanas", HLOOKUP(AB148,'Histórico'!$A$1:$DD$990,MATCH($B$6,'Histórico'!$A:$A),FALSE)*HLOOKUP("PTAX",'Histórico'!$A$1:$FG$983,MATCH($B$6,'Histórico'!$A:$A),FALSE),IF(AC148="Ações Europeias", HLOOKUP(AB148,'Histórico'!$A$1:$DD$990,MATCH($B$6,'Histórico'!$A:$A),FALSE)*HLOOKUP("EUR/BRL",'Histórico'!$A$1:$FG$983,MATCH($B$6,'Histórico'!$A:$A),FALSE), HLOOKUP(AB148,'Histórico'!$A$1:$DD$990,MATCH($B$6,'Histórico'!$A:$A),FALSE))),"")</f>
        <v/>
      </c>
      <c r="AF148" s="243" t="str">
        <f t="shared" si="21"/>
        <v/>
      </c>
      <c r="AG148" s="53"/>
      <c r="AH148" s="245"/>
      <c r="AI148" s="242" t="str">
        <f>IF(ISTEXT(AH148),VLOOKUP(AH148,'Cadastro dos Ativos'!$A$2:$C$1000,3,0),"")</f>
        <v/>
      </c>
      <c r="AJ148" s="242" t="str">
        <f>IF(AH148 &lt;&gt; "",IF(AI148="Futuros", (SUMIFS('Alocação'!$O$3:$O$1002,'Alocação'!$C$3:$C$1002,AH148,'Alocação'!$F$3:$F$1002,AH$9,'Alocação'!$B$3:$B$1002,"&lt;="&amp;$B$4)), (SUMIFS('Alocação'!$O$3:$O$1002,'Alocação'!$C$3:$C$1002,AH148,'Alocação'!$F$3:$F$1002,AH$9,'Alocação'!$B$3:$B$1002,"&lt;="&amp;$B$6))),"")</f>
        <v/>
      </c>
      <c r="AK148" s="243" t="str">
        <f>iferror(IF(AI148="Ações Americanas", HLOOKUP(AH148,'Histórico'!$A$1:$DD$990,MATCH($B$6,'Histórico'!$A:$A),FALSE)*HLOOKUP("PTAX",'Histórico'!$A$1:$FG$983,MATCH($B$6,'Histórico'!$A:$A),FALSE),IF(AI148="Ações Europeias", HLOOKUP(AH148,'Histórico'!$A$1:$DD$990,MATCH($B$6,'Histórico'!$A:$A),FALSE)*HLOOKUP("EUR/BRL",'Histórico'!$A$1:$FG$983,MATCH($B$6,'Histórico'!$A:$A),FALSE),  HLOOKUP(AH148,'Histórico'!$A$1:$DD$990,MATCH($B$6,'Histórico'!$A:$A),FALSE))),"")</f>
        <v/>
      </c>
      <c r="AL148" s="243" t="str">
        <f t="shared" si="17"/>
        <v/>
      </c>
      <c r="AM148" s="53"/>
      <c r="AN148" s="245"/>
      <c r="AO148" s="242" t="str">
        <f>IF(ISTEXT(AN148),VLOOKUP(AN148,'Cadastro dos Ativos'!$A$2:$C$1000,3,0),"")</f>
        <v/>
      </c>
      <c r="AP148" s="242" t="str">
        <f>IF(AN148 &lt;&gt; "",IF(AO148="Futuros", (SUMIFS('Alocação'!$O$3:$O$1002,'Alocação'!$C$3:$C$1002,AN148,'Alocação'!$F$3:$F$1002,AN$9,'Alocação'!$B$3:$B$1002,"&lt;="&amp;$B$4)), (SUMIFS('Alocação'!$O$3:$O$1002,'Alocação'!$C$3:$C$1002,AN148,'Alocação'!$F$3:$F$1002,AN$9,'Alocação'!$B$3:$B$1002,"&lt;="&amp;$B$6))),"")</f>
        <v/>
      </c>
      <c r="AQ148" s="243" t="str">
        <f>iferror(IF(AO148="Ações Americanas", HLOOKUP(AN148,'Histórico'!$A$1:$DD$990,MATCH($B$6,'Histórico'!$A:$A),FALSE)*HLOOKUP("PTAX",'Histórico'!$A$1:$FG$983,MATCH($B$6,'Histórico'!$A:$A),FALSE),IF(AO148="Ações Europeias", HLOOKUP(AN148,'Histórico'!$A$1:$DD$990,MATCH($B$6,'Histórico'!$A:$A),FALSE)*HLOOKUP("EUR/BRL",'Histórico'!$A$1:$FG$983,MATCH($B$6,'Histórico'!$A:$A),FALSE),  HLOOKUP(AN148,'Histórico'!$A$1:$DD$990,MATCH($B$6,'Histórico'!$A:$A),FALSE))),"")</f>
        <v/>
      </c>
      <c r="AR148" s="243" t="str">
        <f t="shared" si="18"/>
        <v/>
      </c>
      <c r="AS148" s="53"/>
      <c r="AT148" s="245"/>
      <c r="AU148" s="242" t="str">
        <f>IF(ISTEXT(AT148),VLOOKUP(AT148,'Cadastro dos Ativos'!$A$2:$C$1000,3,0),"")</f>
        <v/>
      </c>
      <c r="AV148" s="242" t="str">
        <f>IF(AT148 &lt;&gt; "",IF(AU148="Futuros", (SUMIFS('Alocação'!$O$3:$O$1002,'Alocação'!$C$3:$C$1002,AT148,'Alocação'!$F$3:$F$1002,AT$9,'Alocação'!$B$3:$B$1002,"&lt;="&amp;$B$4)), (SUMIFS('Alocação'!$O$3:$O$1002,'Alocação'!$C$3:$C$1002,AT148,'Alocação'!$F$3:$F$1002,AT$9,'Alocação'!$B$3:$B$1002,"&lt;="&amp;$B$6))),"")</f>
        <v/>
      </c>
      <c r="AW148" s="243" t="str">
        <f>iferror(IF(AU148="Ações Americanas", HLOOKUP(AT148,'Histórico'!$A$1:$DD$990,MATCH($B$6,'Histórico'!$A:$A),FALSE)*HLOOKUP("PTAX",'Histórico'!$A$1:$FG$983,MATCH($B$6,'Histórico'!$A:$A),FALSE),IF(AU148="Ações Europeias", HLOOKUP(AT148,'Histórico'!$A$1:$DD$990,MATCH($B$6,'Histórico'!$A:$A),FALSE)*HLOOKUP("EUR/BRL",'Histórico'!$A$1:$FG$983,MATCH($B$6,'Histórico'!$A:$A),FALSE),  HLOOKUP(AT148,'Histórico'!$A$1:$DD$990,MATCH($B$6,'Histórico'!$A:$A),FALSE))),"")</f>
        <v/>
      </c>
      <c r="AX148" s="243" t="str">
        <f t="shared" si="27"/>
        <v/>
      </c>
      <c r="AY148" s="183"/>
    </row>
    <row r="149" ht="15.75" customHeight="1">
      <c r="A149" s="176"/>
      <c r="B149" s="232">
        <v>45205.0</v>
      </c>
      <c r="C149" s="233"/>
      <c r="D149" s="233"/>
      <c r="E149" s="234"/>
      <c r="F149" s="233"/>
      <c r="G149" s="233"/>
      <c r="H149" s="234"/>
      <c r="I149" s="233"/>
      <c r="J149" s="233"/>
      <c r="K149" s="234"/>
      <c r="L149" s="233"/>
      <c r="M149" s="233"/>
      <c r="N149" s="240" t="str">
        <f t="shared" si="9"/>
        <v/>
      </c>
      <c r="O149" s="240" t="str">
        <f t="shared" si="10"/>
        <v/>
      </c>
      <c r="P149" s="240" t="str">
        <f t="shared" si="11"/>
        <v/>
      </c>
      <c r="Q149" s="240" t="str">
        <f t="shared" si="12"/>
        <v/>
      </c>
      <c r="R149" s="236" t="str">
        <f t="shared" si="13"/>
        <v/>
      </c>
      <c r="S149" s="177"/>
      <c r="T149" s="233" t="str">
        <f t="shared" ref="T149:U149" si="159">IF(AND(C149&lt;&gt;"",F149&lt;&gt;"",I149&lt;&gt;""), SUM(I149,F149,C149,L149),"")</f>
        <v/>
      </c>
      <c r="U149" s="233" t="str">
        <f t="shared" si="159"/>
        <v/>
      </c>
      <c r="V149" s="233" t="str">
        <f t="shared" si="6"/>
        <v/>
      </c>
      <c r="W149" s="241" t="str">
        <f t="shared" si="15"/>
        <v/>
      </c>
      <c r="X149" s="241" t="str">
        <f t="shared" si="16"/>
        <v/>
      </c>
      <c r="Y149" s="241" t="str">
        <f t="shared" si="25"/>
        <v/>
      </c>
      <c r="Z149" s="233" t="str">
        <f t="shared" si="7"/>
        <v/>
      </c>
      <c r="AA149" s="165"/>
      <c r="AB149" s="245"/>
      <c r="AC149" s="242" t="str">
        <f>IF(ISTEXT(AB149),VLOOKUP(AB149,'Cadastro dos Ativos'!$A$2:$C$1000,3,0),"")</f>
        <v/>
      </c>
      <c r="AD149" s="242" t="str">
        <f>IF(AB149 &lt;&gt; "",IF(AC149="Futuros", (SUMIFS('Alocação'!$O$3:$O$1002,'Alocação'!$C$3:$C$1002,AB149,'Alocação'!$F$3:$F$1002,AB$9,'Alocação'!$B$3:$B$1002,"&lt;="&amp;$B$4)), (SUMIFS('Alocação'!$O$3:$O$1002,'Alocação'!$C$3:$C$1002,AB149,'Alocação'!$F$3:$F$1002,AB$9,'Alocação'!$B$3:$B$1002,"&lt;="&amp;$B$6))),"")</f>
        <v/>
      </c>
      <c r="AE149" s="243" t="str">
        <f>iferror(IF(AC149="Ações Americanas", HLOOKUP(AB149,'Histórico'!$A$1:$DD$990,MATCH($B$6,'Histórico'!$A:$A),FALSE)*HLOOKUP("PTAX",'Histórico'!$A$1:$FG$983,MATCH($B$6,'Histórico'!$A:$A),FALSE),IF(AC149="Ações Europeias", HLOOKUP(AB149,'Histórico'!$A$1:$DD$990,MATCH($B$6,'Histórico'!$A:$A),FALSE)*HLOOKUP("EUR/BRL",'Histórico'!$A$1:$FG$983,MATCH($B$6,'Histórico'!$A:$A),FALSE), HLOOKUP(AB149,'Histórico'!$A$1:$DD$990,MATCH($B$6,'Histórico'!$A:$A),FALSE))),"")</f>
        <v/>
      </c>
      <c r="AF149" s="243" t="str">
        <f t="shared" si="21"/>
        <v/>
      </c>
      <c r="AG149" s="53"/>
      <c r="AH149" s="245"/>
      <c r="AI149" s="242" t="str">
        <f>IF(ISTEXT(AH149),VLOOKUP(AH149,'Cadastro dos Ativos'!$A$2:$C$1000,3,0),"")</f>
        <v/>
      </c>
      <c r="AJ149" s="242" t="str">
        <f>IF(AH149 &lt;&gt; "",IF(AI149="Futuros", (SUMIFS('Alocação'!$O$3:$O$1002,'Alocação'!$C$3:$C$1002,AH149,'Alocação'!$F$3:$F$1002,AH$9,'Alocação'!$B$3:$B$1002,"&lt;="&amp;$B$4)), (SUMIFS('Alocação'!$O$3:$O$1002,'Alocação'!$C$3:$C$1002,AH149,'Alocação'!$F$3:$F$1002,AH$9,'Alocação'!$B$3:$B$1002,"&lt;="&amp;$B$6))),"")</f>
        <v/>
      </c>
      <c r="AK149" s="243" t="str">
        <f>iferror(IF(AI149="Ações Americanas", HLOOKUP(AH149,'Histórico'!$A$1:$DD$990,MATCH($B$6,'Histórico'!$A:$A),FALSE)*HLOOKUP("PTAX",'Histórico'!$A$1:$FG$983,MATCH($B$6,'Histórico'!$A:$A),FALSE),IF(AI149="Ações Europeias", HLOOKUP(AH149,'Histórico'!$A$1:$DD$990,MATCH($B$6,'Histórico'!$A:$A),FALSE)*HLOOKUP("EUR/BRL",'Histórico'!$A$1:$FG$983,MATCH($B$6,'Histórico'!$A:$A),FALSE),  HLOOKUP(AH149,'Histórico'!$A$1:$DD$990,MATCH($B$6,'Histórico'!$A:$A),FALSE))),"")</f>
        <v/>
      </c>
      <c r="AL149" s="243" t="str">
        <f t="shared" si="17"/>
        <v/>
      </c>
      <c r="AM149" s="53"/>
      <c r="AN149" s="245"/>
      <c r="AO149" s="242" t="str">
        <f>IF(ISTEXT(AN149),VLOOKUP(AN149,'Cadastro dos Ativos'!$A$2:$C$1000,3,0),"")</f>
        <v/>
      </c>
      <c r="AP149" s="242" t="str">
        <f>IF(AN149 &lt;&gt; "",IF(AO149="Futuros", (SUMIFS('Alocação'!$O$3:$O$1002,'Alocação'!$C$3:$C$1002,AN149,'Alocação'!$F$3:$F$1002,AN$9,'Alocação'!$B$3:$B$1002,"&lt;="&amp;$B$4)), (SUMIFS('Alocação'!$O$3:$O$1002,'Alocação'!$C$3:$C$1002,AN149,'Alocação'!$F$3:$F$1002,AN$9,'Alocação'!$B$3:$B$1002,"&lt;="&amp;$B$6))),"")</f>
        <v/>
      </c>
      <c r="AQ149" s="243" t="str">
        <f>iferror(IF(AO149="Ações Americanas", HLOOKUP(AN149,'Histórico'!$A$1:$DD$990,MATCH($B$6,'Histórico'!$A:$A),FALSE)*HLOOKUP("PTAX",'Histórico'!$A$1:$FG$983,MATCH($B$6,'Histórico'!$A:$A),FALSE),IF(AO149="Ações Europeias", HLOOKUP(AN149,'Histórico'!$A$1:$DD$990,MATCH($B$6,'Histórico'!$A:$A),FALSE)*HLOOKUP("EUR/BRL",'Histórico'!$A$1:$FG$983,MATCH($B$6,'Histórico'!$A:$A),FALSE),  HLOOKUP(AN149,'Histórico'!$A$1:$DD$990,MATCH($B$6,'Histórico'!$A:$A),FALSE))),"")</f>
        <v/>
      </c>
      <c r="AR149" s="243" t="str">
        <f t="shared" si="18"/>
        <v/>
      </c>
      <c r="AS149" s="53"/>
      <c r="AT149" s="245"/>
      <c r="AU149" s="242" t="str">
        <f>IF(ISTEXT(AT149),VLOOKUP(AT149,'Cadastro dos Ativos'!$A$2:$C$1000,3,0),"")</f>
        <v/>
      </c>
      <c r="AV149" s="242" t="str">
        <f>IF(AT149 &lt;&gt; "",IF(AU149="Futuros", (SUMIFS('Alocação'!$O$3:$O$1002,'Alocação'!$C$3:$C$1002,AT149,'Alocação'!$F$3:$F$1002,AT$9,'Alocação'!$B$3:$B$1002,"&lt;="&amp;$B$4)), (SUMIFS('Alocação'!$O$3:$O$1002,'Alocação'!$C$3:$C$1002,AT149,'Alocação'!$F$3:$F$1002,AT$9,'Alocação'!$B$3:$B$1002,"&lt;="&amp;$B$6))),"")</f>
        <v/>
      </c>
      <c r="AW149" s="243" t="str">
        <f>iferror(IF(AU149="Ações Americanas", HLOOKUP(AT149,'Histórico'!$A$1:$DD$990,MATCH($B$6,'Histórico'!$A:$A),FALSE)*HLOOKUP("PTAX",'Histórico'!$A$1:$FG$983,MATCH($B$6,'Histórico'!$A:$A),FALSE),IF(AU149="Ações Europeias", HLOOKUP(AT149,'Histórico'!$A$1:$DD$990,MATCH($B$6,'Histórico'!$A:$A),FALSE)*HLOOKUP("EUR/BRL",'Histórico'!$A$1:$FG$983,MATCH($B$6,'Histórico'!$A:$A),FALSE),  HLOOKUP(AT149,'Histórico'!$A$1:$DD$990,MATCH($B$6,'Histórico'!$A:$A),FALSE))),"")</f>
        <v/>
      </c>
      <c r="AX149" s="243" t="str">
        <f t="shared" si="27"/>
        <v/>
      </c>
      <c r="AY149" s="183"/>
    </row>
    <row r="150" ht="15.75" customHeight="1">
      <c r="A150" s="176"/>
      <c r="B150" s="232">
        <v>45208.0</v>
      </c>
      <c r="C150" s="233"/>
      <c r="D150" s="233"/>
      <c r="E150" s="234"/>
      <c r="F150" s="233"/>
      <c r="G150" s="233"/>
      <c r="H150" s="234"/>
      <c r="I150" s="233"/>
      <c r="J150" s="233"/>
      <c r="K150" s="234"/>
      <c r="L150" s="233"/>
      <c r="M150" s="233"/>
      <c r="N150" s="240" t="str">
        <f t="shared" si="9"/>
        <v/>
      </c>
      <c r="O150" s="240" t="str">
        <f t="shared" si="10"/>
        <v/>
      </c>
      <c r="P150" s="240" t="str">
        <f t="shared" si="11"/>
        <v/>
      </c>
      <c r="Q150" s="240" t="str">
        <f t="shared" si="12"/>
        <v/>
      </c>
      <c r="R150" s="236" t="str">
        <f t="shared" si="13"/>
        <v/>
      </c>
      <c r="S150" s="177"/>
      <c r="T150" s="233" t="str">
        <f t="shared" ref="T150:U150" si="160">IF(AND(C150&lt;&gt;"",F150&lt;&gt;"",I150&lt;&gt;""), SUM(I150,F150,C150,L150),"")</f>
        <v/>
      </c>
      <c r="U150" s="233" t="str">
        <f t="shared" si="160"/>
        <v/>
      </c>
      <c r="V150" s="233" t="str">
        <f t="shared" si="6"/>
        <v/>
      </c>
      <c r="W150" s="241" t="str">
        <f t="shared" si="15"/>
        <v/>
      </c>
      <c r="X150" s="241" t="str">
        <f t="shared" si="16"/>
        <v/>
      </c>
      <c r="Y150" s="241" t="str">
        <f t="shared" si="25"/>
        <v/>
      </c>
      <c r="Z150" s="233" t="str">
        <f t="shared" si="7"/>
        <v/>
      </c>
      <c r="AA150" s="165"/>
      <c r="AB150" s="245"/>
      <c r="AC150" s="242" t="str">
        <f>IF(ISTEXT(AB150),VLOOKUP(AB150,'Cadastro dos Ativos'!$A$2:$C$1000,3,0),"")</f>
        <v/>
      </c>
      <c r="AD150" s="242" t="str">
        <f>IF(AB150 &lt;&gt; "",IF(AC150="Futuros", (SUMIFS('Alocação'!$O$3:$O$1002,'Alocação'!$C$3:$C$1002,AB150,'Alocação'!$F$3:$F$1002,AB$9,'Alocação'!$B$3:$B$1002,"&lt;="&amp;$B$4)), (SUMIFS('Alocação'!$O$3:$O$1002,'Alocação'!$C$3:$C$1002,AB150,'Alocação'!$F$3:$F$1002,AB$9,'Alocação'!$B$3:$B$1002,"&lt;="&amp;$B$6))),"")</f>
        <v/>
      </c>
      <c r="AE150" s="243" t="str">
        <f>iferror(IF(AC150="Ações Americanas", HLOOKUP(AB150,'Histórico'!$A$1:$DD$990,MATCH($B$6,'Histórico'!$A:$A),FALSE)*HLOOKUP("PTAX",'Histórico'!$A$1:$FG$983,MATCH($B$6,'Histórico'!$A:$A),FALSE),IF(AC150="Ações Europeias", HLOOKUP(AB150,'Histórico'!$A$1:$DD$990,MATCH($B$6,'Histórico'!$A:$A),FALSE)*HLOOKUP("EUR/BRL",'Histórico'!$A$1:$FG$983,MATCH($B$6,'Histórico'!$A:$A),FALSE), HLOOKUP(AB150,'Histórico'!$A$1:$DD$990,MATCH($B$6,'Histórico'!$A:$A),FALSE))),"")</f>
        <v/>
      </c>
      <c r="AF150" s="243" t="str">
        <f t="shared" si="21"/>
        <v/>
      </c>
      <c r="AG150" s="53"/>
      <c r="AH150" s="245"/>
      <c r="AI150" s="242" t="str">
        <f>IF(ISTEXT(AH150),VLOOKUP(AH150,'Cadastro dos Ativos'!$A$2:$C$1000,3,0),"")</f>
        <v/>
      </c>
      <c r="AJ150" s="242" t="str">
        <f>IF(AH150 &lt;&gt; "",IF(AI150="Futuros", (SUMIFS('Alocação'!$O$3:$O$1002,'Alocação'!$C$3:$C$1002,AH150,'Alocação'!$F$3:$F$1002,AH$9,'Alocação'!$B$3:$B$1002,"&lt;="&amp;$B$4)), (SUMIFS('Alocação'!$O$3:$O$1002,'Alocação'!$C$3:$C$1002,AH150,'Alocação'!$F$3:$F$1002,AH$9,'Alocação'!$B$3:$B$1002,"&lt;="&amp;$B$6))),"")</f>
        <v/>
      </c>
      <c r="AK150" s="243" t="str">
        <f>iferror(IF(AI150="Ações Americanas", HLOOKUP(AH150,'Histórico'!$A$1:$DD$990,MATCH($B$6,'Histórico'!$A:$A),FALSE)*HLOOKUP("PTAX",'Histórico'!$A$1:$FG$983,MATCH($B$6,'Histórico'!$A:$A),FALSE),IF(AI150="Ações Europeias", HLOOKUP(AH150,'Histórico'!$A$1:$DD$990,MATCH($B$6,'Histórico'!$A:$A),FALSE)*HLOOKUP("EUR/BRL",'Histórico'!$A$1:$FG$983,MATCH($B$6,'Histórico'!$A:$A),FALSE),  HLOOKUP(AH150,'Histórico'!$A$1:$DD$990,MATCH($B$6,'Histórico'!$A:$A),FALSE))),"")</f>
        <v/>
      </c>
      <c r="AL150" s="243" t="str">
        <f t="shared" si="17"/>
        <v/>
      </c>
      <c r="AM150" s="53"/>
      <c r="AN150" s="245"/>
      <c r="AO150" s="242" t="str">
        <f>IF(ISTEXT(AN150),VLOOKUP(AN150,'Cadastro dos Ativos'!$A$2:$C$1000,3,0),"")</f>
        <v/>
      </c>
      <c r="AP150" s="242" t="str">
        <f>IF(AN150 &lt;&gt; "",IF(AO150="Futuros", (SUMIFS('Alocação'!$O$3:$O$1002,'Alocação'!$C$3:$C$1002,AN150,'Alocação'!$F$3:$F$1002,AN$9,'Alocação'!$B$3:$B$1002,"&lt;="&amp;$B$4)), (SUMIFS('Alocação'!$O$3:$O$1002,'Alocação'!$C$3:$C$1002,AN150,'Alocação'!$F$3:$F$1002,AN$9,'Alocação'!$B$3:$B$1002,"&lt;="&amp;$B$6))),"")</f>
        <v/>
      </c>
      <c r="AQ150" s="243" t="str">
        <f>iferror(IF(AO150="Ações Americanas", HLOOKUP(AN150,'Histórico'!$A$1:$DD$990,MATCH($B$6,'Histórico'!$A:$A),FALSE)*HLOOKUP("PTAX",'Histórico'!$A$1:$FG$983,MATCH($B$6,'Histórico'!$A:$A),FALSE),IF(AO150="Ações Europeias", HLOOKUP(AN150,'Histórico'!$A$1:$DD$990,MATCH($B$6,'Histórico'!$A:$A),FALSE)*HLOOKUP("EUR/BRL",'Histórico'!$A$1:$FG$983,MATCH($B$6,'Histórico'!$A:$A),FALSE),  HLOOKUP(AN150,'Histórico'!$A$1:$DD$990,MATCH($B$6,'Histórico'!$A:$A),FALSE))),"")</f>
        <v/>
      </c>
      <c r="AR150" s="243" t="str">
        <f t="shared" si="18"/>
        <v/>
      </c>
      <c r="AS150" s="53"/>
      <c r="AT150" s="245"/>
      <c r="AU150" s="242" t="str">
        <f>IF(ISTEXT(AT150),VLOOKUP(AT150,'Cadastro dos Ativos'!$A$2:$C$1000,3,0),"")</f>
        <v/>
      </c>
      <c r="AV150" s="242" t="str">
        <f>IF(AT150 &lt;&gt; "",IF(AU150="Futuros", (SUMIFS('Alocação'!$O$3:$O$1002,'Alocação'!$C$3:$C$1002,AT150,'Alocação'!$F$3:$F$1002,AT$9,'Alocação'!$B$3:$B$1002,"&lt;="&amp;$B$4)), (SUMIFS('Alocação'!$O$3:$O$1002,'Alocação'!$C$3:$C$1002,AT150,'Alocação'!$F$3:$F$1002,AT$9,'Alocação'!$B$3:$B$1002,"&lt;="&amp;$B$6))),"")</f>
        <v/>
      </c>
      <c r="AW150" s="243" t="str">
        <f>iferror(IF(AU150="Ações Americanas", HLOOKUP(AT150,'Histórico'!$A$1:$DD$990,MATCH($B$6,'Histórico'!$A:$A),FALSE)*HLOOKUP("PTAX",'Histórico'!$A$1:$FG$983,MATCH($B$6,'Histórico'!$A:$A),FALSE),IF(AU150="Ações Europeias", HLOOKUP(AT150,'Histórico'!$A$1:$DD$990,MATCH($B$6,'Histórico'!$A:$A),FALSE)*HLOOKUP("EUR/BRL",'Histórico'!$A$1:$FG$983,MATCH($B$6,'Histórico'!$A:$A),FALSE),  HLOOKUP(AT150,'Histórico'!$A$1:$DD$990,MATCH($B$6,'Histórico'!$A:$A),FALSE))),"")</f>
        <v/>
      </c>
      <c r="AX150" s="243" t="str">
        <f t="shared" si="27"/>
        <v/>
      </c>
      <c r="AY150" s="183"/>
    </row>
    <row r="151" ht="15.75" customHeight="1">
      <c r="A151" s="176"/>
      <c r="B151" s="232">
        <v>45209.0</v>
      </c>
      <c r="C151" s="233"/>
      <c r="D151" s="233"/>
      <c r="E151" s="234"/>
      <c r="F151" s="233"/>
      <c r="G151" s="233"/>
      <c r="H151" s="234"/>
      <c r="I151" s="233"/>
      <c r="J151" s="233"/>
      <c r="K151" s="234"/>
      <c r="L151" s="233"/>
      <c r="M151" s="233"/>
      <c r="N151" s="240" t="str">
        <f t="shared" si="9"/>
        <v/>
      </c>
      <c r="O151" s="240" t="str">
        <f t="shared" si="10"/>
        <v/>
      </c>
      <c r="P151" s="240" t="str">
        <f t="shared" si="11"/>
        <v/>
      </c>
      <c r="Q151" s="240" t="str">
        <f t="shared" si="12"/>
        <v/>
      </c>
      <c r="R151" s="236" t="str">
        <f t="shared" si="13"/>
        <v/>
      </c>
      <c r="S151" s="177"/>
      <c r="T151" s="233" t="str">
        <f t="shared" ref="T151:U151" si="161">IF(AND(C151&lt;&gt;"",F151&lt;&gt;"",I151&lt;&gt;""), SUM(I151,F151,C151,L151),"")</f>
        <v/>
      </c>
      <c r="U151" s="233" t="str">
        <f t="shared" si="161"/>
        <v/>
      </c>
      <c r="V151" s="233" t="str">
        <f t="shared" si="6"/>
        <v/>
      </c>
      <c r="W151" s="241" t="str">
        <f t="shared" si="15"/>
        <v/>
      </c>
      <c r="X151" s="241" t="str">
        <f t="shared" si="16"/>
        <v/>
      </c>
      <c r="Y151" s="241" t="str">
        <f t="shared" si="25"/>
        <v/>
      </c>
      <c r="Z151" s="233" t="str">
        <f t="shared" si="7"/>
        <v/>
      </c>
      <c r="AA151" s="165"/>
      <c r="AB151" s="245"/>
      <c r="AC151" s="242" t="str">
        <f>IF(ISTEXT(AB151),VLOOKUP(AB151,'Cadastro dos Ativos'!$A$2:$C$1000,3,0),"")</f>
        <v/>
      </c>
      <c r="AD151" s="242" t="str">
        <f>IF(AB151 &lt;&gt; "",IF(AC151="Futuros", (SUMIFS('Alocação'!$O$3:$O$1002,'Alocação'!$C$3:$C$1002,AB151,'Alocação'!$F$3:$F$1002,AB$9,'Alocação'!$B$3:$B$1002,"&lt;="&amp;$B$4)), (SUMIFS('Alocação'!$O$3:$O$1002,'Alocação'!$C$3:$C$1002,AB151,'Alocação'!$F$3:$F$1002,AB$9,'Alocação'!$B$3:$B$1002,"&lt;="&amp;$B$6))),"")</f>
        <v/>
      </c>
      <c r="AE151" s="243" t="str">
        <f>iferror(IF(AC151="Ações Americanas", HLOOKUP(AB151,'Histórico'!$A$1:$DD$990,MATCH($B$6,'Histórico'!$A:$A),FALSE)*HLOOKUP("PTAX",'Histórico'!$A$1:$FG$983,MATCH($B$6,'Histórico'!$A:$A),FALSE),IF(AC151="Ações Europeias", HLOOKUP(AB151,'Histórico'!$A$1:$DD$990,MATCH($B$6,'Histórico'!$A:$A),FALSE)*HLOOKUP("EUR/BRL",'Histórico'!$A$1:$FG$983,MATCH($B$6,'Histórico'!$A:$A),FALSE), HLOOKUP(AB151,'Histórico'!$A$1:$DD$990,MATCH($B$6,'Histórico'!$A:$A),FALSE))),"")</f>
        <v/>
      </c>
      <c r="AF151" s="243" t="str">
        <f t="shared" si="21"/>
        <v/>
      </c>
      <c r="AG151" s="53"/>
      <c r="AH151" s="245"/>
      <c r="AI151" s="242" t="str">
        <f>IF(ISTEXT(AH151),VLOOKUP(AH151,'Cadastro dos Ativos'!$A$2:$C$1000,3,0),"")</f>
        <v/>
      </c>
      <c r="AJ151" s="242" t="str">
        <f>IF(AH151 &lt;&gt; "",IF(AI151="Futuros", (SUMIFS('Alocação'!$O$3:$O$1002,'Alocação'!$C$3:$C$1002,AH151,'Alocação'!$F$3:$F$1002,AH$9,'Alocação'!$B$3:$B$1002,"&lt;="&amp;$B$4)), (SUMIFS('Alocação'!$O$3:$O$1002,'Alocação'!$C$3:$C$1002,AH151,'Alocação'!$F$3:$F$1002,AH$9,'Alocação'!$B$3:$B$1002,"&lt;="&amp;$B$6))),"")</f>
        <v/>
      </c>
      <c r="AK151" s="243" t="str">
        <f>iferror(IF(AI151="Ações Americanas", HLOOKUP(AH151,'Histórico'!$A$1:$DD$990,MATCH($B$6,'Histórico'!$A:$A),FALSE)*HLOOKUP("PTAX",'Histórico'!$A$1:$FG$983,MATCH($B$6,'Histórico'!$A:$A),FALSE),IF(AI151="Ações Europeias", HLOOKUP(AH151,'Histórico'!$A$1:$DD$990,MATCH($B$6,'Histórico'!$A:$A),FALSE)*HLOOKUP("EUR/BRL",'Histórico'!$A$1:$FG$983,MATCH($B$6,'Histórico'!$A:$A),FALSE),  HLOOKUP(AH151,'Histórico'!$A$1:$DD$990,MATCH($B$6,'Histórico'!$A:$A),FALSE))),"")</f>
        <v/>
      </c>
      <c r="AL151" s="243" t="str">
        <f t="shared" si="17"/>
        <v/>
      </c>
      <c r="AM151" s="53"/>
      <c r="AN151" s="245"/>
      <c r="AO151" s="242" t="str">
        <f>IF(ISTEXT(AN151),VLOOKUP(AN151,'Cadastro dos Ativos'!$A$2:$C$1000,3,0),"")</f>
        <v/>
      </c>
      <c r="AP151" s="242" t="str">
        <f>IF(AN151 &lt;&gt; "",IF(AO151="Futuros", (SUMIFS('Alocação'!$O$3:$O$1002,'Alocação'!$C$3:$C$1002,AN151,'Alocação'!$F$3:$F$1002,AN$9,'Alocação'!$B$3:$B$1002,"&lt;="&amp;$B$4)), (SUMIFS('Alocação'!$O$3:$O$1002,'Alocação'!$C$3:$C$1002,AN151,'Alocação'!$F$3:$F$1002,AN$9,'Alocação'!$B$3:$B$1002,"&lt;="&amp;$B$6))),"")</f>
        <v/>
      </c>
      <c r="AQ151" s="243" t="str">
        <f>iferror(IF(AO151="Ações Americanas", HLOOKUP(AN151,'Histórico'!$A$1:$DD$990,MATCH($B$6,'Histórico'!$A:$A),FALSE)*HLOOKUP("PTAX",'Histórico'!$A$1:$FG$983,MATCH($B$6,'Histórico'!$A:$A),FALSE),IF(AO151="Ações Europeias", HLOOKUP(AN151,'Histórico'!$A$1:$DD$990,MATCH($B$6,'Histórico'!$A:$A),FALSE)*HLOOKUP("EUR/BRL",'Histórico'!$A$1:$FG$983,MATCH($B$6,'Histórico'!$A:$A),FALSE),  HLOOKUP(AN151,'Histórico'!$A$1:$DD$990,MATCH($B$6,'Histórico'!$A:$A),FALSE))),"")</f>
        <v/>
      </c>
      <c r="AR151" s="243" t="str">
        <f t="shared" si="18"/>
        <v/>
      </c>
      <c r="AS151" s="53"/>
      <c r="AT151" s="245"/>
      <c r="AU151" s="242" t="str">
        <f>IF(ISTEXT(AT151),VLOOKUP(AT151,'Cadastro dos Ativos'!$A$2:$C$1000,3,0),"")</f>
        <v/>
      </c>
      <c r="AV151" s="242" t="str">
        <f>IF(AT151 &lt;&gt; "",IF(AU151="Futuros", (SUMIFS('Alocação'!$O$3:$O$1002,'Alocação'!$C$3:$C$1002,AT151,'Alocação'!$F$3:$F$1002,AT$9,'Alocação'!$B$3:$B$1002,"&lt;="&amp;$B$4)), (SUMIFS('Alocação'!$O$3:$O$1002,'Alocação'!$C$3:$C$1002,AT151,'Alocação'!$F$3:$F$1002,AT$9,'Alocação'!$B$3:$B$1002,"&lt;="&amp;$B$6))),"")</f>
        <v/>
      </c>
      <c r="AW151" s="243" t="str">
        <f>iferror(IF(AU151="Ações Americanas", HLOOKUP(AT151,'Histórico'!$A$1:$DD$990,MATCH($B$6,'Histórico'!$A:$A),FALSE)*HLOOKUP("PTAX",'Histórico'!$A$1:$FG$983,MATCH($B$6,'Histórico'!$A:$A),FALSE),IF(AU151="Ações Europeias", HLOOKUP(AT151,'Histórico'!$A$1:$DD$990,MATCH($B$6,'Histórico'!$A:$A),FALSE)*HLOOKUP("EUR/BRL",'Histórico'!$A$1:$FG$983,MATCH($B$6,'Histórico'!$A:$A),FALSE),  HLOOKUP(AT151,'Histórico'!$A$1:$DD$990,MATCH($B$6,'Histórico'!$A:$A),FALSE))),"")</f>
        <v/>
      </c>
      <c r="AX151" s="243" t="str">
        <f t="shared" si="27"/>
        <v/>
      </c>
      <c r="AY151" s="183"/>
    </row>
    <row r="152" ht="15.75" customHeight="1">
      <c r="A152" s="176"/>
      <c r="B152" s="232">
        <v>45210.0</v>
      </c>
      <c r="C152" s="233"/>
      <c r="D152" s="233"/>
      <c r="E152" s="234"/>
      <c r="F152" s="233"/>
      <c r="G152" s="233"/>
      <c r="H152" s="234"/>
      <c r="I152" s="233"/>
      <c r="J152" s="233"/>
      <c r="K152" s="234"/>
      <c r="L152" s="233"/>
      <c r="M152" s="233"/>
      <c r="N152" s="240" t="str">
        <f t="shared" si="9"/>
        <v/>
      </c>
      <c r="O152" s="240" t="str">
        <f t="shared" si="10"/>
        <v/>
      </c>
      <c r="P152" s="240" t="str">
        <f t="shared" si="11"/>
        <v/>
      </c>
      <c r="Q152" s="240" t="str">
        <f t="shared" si="12"/>
        <v/>
      </c>
      <c r="R152" s="236" t="str">
        <f t="shared" si="13"/>
        <v/>
      </c>
      <c r="S152" s="177"/>
      <c r="T152" s="233" t="str">
        <f t="shared" ref="T152:U152" si="162">IF(AND(C152&lt;&gt;"",F152&lt;&gt;"",I152&lt;&gt;""), SUM(I152,F152,C152,L152),"")</f>
        <v/>
      </c>
      <c r="U152" s="233" t="str">
        <f t="shared" si="162"/>
        <v/>
      </c>
      <c r="V152" s="233" t="str">
        <f t="shared" si="6"/>
        <v/>
      </c>
      <c r="W152" s="241" t="str">
        <f t="shared" si="15"/>
        <v/>
      </c>
      <c r="X152" s="241" t="str">
        <f t="shared" si="16"/>
        <v/>
      </c>
      <c r="Y152" s="241" t="str">
        <f t="shared" si="25"/>
        <v/>
      </c>
      <c r="Z152" s="233" t="str">
        <f t="shared" si="7"/>
        <v/>
      </c>
      <c r="AA152" s="165"/>
      <c r="AB152" s="245"/>
      <c r="AC152" s="242" t="str">
        <f>IF(ISTEXT(AB152),VLOOKUP(AB152,'Cadastro dos Ativos'!$A$2:$C$1000,3,0),"")</f>
        <v/>
      </c>
      <c r="AD152" s="242" t="str">
        <f>IF(AB152 &lt;&gt; "",IF(AC152="Futuros", (SUMIFS('Alocação'!$O$3:$O$1002,'Alocação'!$C$3:$C$1002,AB152,'Alocação'!$F$3:$F$1002,AB$9,'Alocação'!$B$3:$B$1002,"&lt;="&amp;$B$4)), (SUMIFS('Alocação'!$O$3:$O$1002,'Alocação'!$C$3:$C$1002,AB152,'Alocação'!$F$3:$F$1002,AB$9,'Alocação'!$B$3:$B$1002,"&lt;="&amp;$B$6))),"")</f>
        <v/>
      </c>
      <c r="AE152" s="243" t="str">
        <f>iferror(IF(AC152="Ações Americanas", HLOOKUP(AB152,'Histórico'!$A$1:$DD$990,MATCH($B$6,'Histórico'!$A:$A),FALSE)*HLOOKUP("PTAX",'Histórico'!$A$1:$FG$983,MATCH($B$6,'Histórico'!$A:$A),FALSE),IF(AC152="Ações Europeias", HLOOKUP(AB152,'Histórico'!$A$1:$DD$990,MATCH($B$6,'Histórico'!$A:$A),FALSE)*HLOOKUP("EUR/BRL",'Histórico'!$A$1:$FG$983,MATCH($B$6,'Histórico'!$A:$A),FALSE), HLOOKUP(AB152,'Histórico'!$A$1:$DD$990,MATCH($B$6,'Histórico'!$A:$A),FALSE))),"")</f>
        <v/>
      </c>
      <c r="AF152" s="243" t="str">
        <f t="shared" si="21"/>
        <v/>
      </c>
      <c r="AG152" s="53"/>
      <c r="AH152" s="245"/>
      <c r="AI152" s="242" t="str">
        <f>IF(ISTEXT(AH152),VLOOKUP(AH152,'Cadastro dos Ativos'!$A$2:$C$1000,3,0),"")</f>
        <v/>
      </c>
      <c r="AJ152" s="242" t="str">
        <f>IF(AH152 &lt;&gt; "",IF(AI152="Futuros", (SUMIFS('Alocação'!$O$3:$O$1002,'Alocação'!$C$3:$C$1002,AH152,'Alocação'!$F$3:$F$1002,AH$9,'Alocação'!$B$3:$B$1002,"&lt;="&amp;$B$4)), (SUMIFS('Alocação'!$O$3:$O$1002,'Alocação'!$C$3:$C$1002,AH152,'Alocação'!$F$3:$F$1002,AH$9,'Alocação'!$B$3:$B$1002,"&lt;="&amp;$B$6))),"")</f>
        <v/>
      </c>
      <c r="AK152" s="243" t="str">
        <f>iferror(IF(AI152="Ações Americanas", HLOOKUP(AH152,'Histórico'!$A$1:$DD$990,MATCH($B$6,'Histórico'!$A:$A),FALSE)*HLOOKUP("PTAX",'Histórico'!$A$1:$FG$983,MATCH($B$6,'Histórico'!$A:$A),FALSE),IF(AI152="Ações Europeias", HLOOKUP(AH152,'Histórico'!$A$1:$DD$990,MATCH($B$6,'Histórico'!$A:$A),FALSE)*HLOOKUP("EUR/BRL",'Histórico'!$A$1:$FG$983,MATCH($B$6,'Histórico'!$A:$A),FALSE),  HLOOKUP(AH152,'Histórico'!$A$1:$DD$990,MATCH($B$6,'Histórico'!$A:$A),FALSE))),"")</f>
        <v/>
      </c>
      <c r="AL152" s="243" t="str">
        <f t="shared" si="17"/>
        <v/>
      </c>
      <c r="AM152" s="53"/>
      <c r="AN152" s="245"/>
      <c r="AO152" s="242" t="str">
        <f>IF(ISTEXT(AN152),VLOOKUP(AN152,'Cadastro dos Ativos'!$A$2:$C$1000,3,0),"")</f>
        <v/>
      </c>
      <c r="AP152" s="242" t="str">
        <f>IF(AN152 &lt;&gt; "",IF(AO152="Futuros", (SUMIFS('Alocação'!$O$3:$O$1002,'Alocação'!$C$3:$C$1002,AN152,'Alocação'!$F$3:$F$1002,AN$9,'Alocação'!$B$3:$B$1002,"&lt;="&amp;$B$4)), (SUMIFS('Alocação'!$O$3:$O$1002,'Alocação'!$C$3:$C$1002,AN152,'Alocação'!$F$3:$F$1002,AN$9,'Alocação'!$B$3:$B$1002,"&lt;="&amp;$B$6))),"")</f>
        <v/>
      </c>
      <c r="AQ152" s="243" t="str">
        <f>iferror(IF(AO152="Ações Americanas", HLOOKUP(AN152,'Histórico'!$A$1:$DD$990,MATCH($B$6,'Histórico'!$A:$A),FALSE)*HLOOKUP("PTAX",'Histórico'!$A$1:$FG$983,MATCH($B$6,'Histórico'!$A:$A),FALSE),IF(AO152="Ações Europeias", HLOOKUP(AN152,'Histórico'!$A$1:$DD$990,MATCH($B$6,'Histórico'!$A:$A),FALSE)*HLOOKUP("EUR/BRL",'Histórico'!$A$1:$FG$983,MATCH($B$6,'Histórico'!$A:$A),FALSE),  HLOOKUP(AN152,'Histórico'!$A$1:$DD$990,MATCH($B$6,'Histórico'!$A:$A),FALSE))),"")</f>
        <v/>
      </c>
      <c r="AR152" s="243" t="str">
        <f t="shared" si="18"/>
        <v/>
      </c>
      <c r="AS152" s="53"/>
      <c r="AT152" s="245"/>
      <c r="AU152" s="242" t="str">
        <f>IF(ISTEXT(AT152),VLOOKUP(AT152,'Cadastro dos Ativos'!$A$2:$C$1000,3,0),"")</f>
        <v/>
      </c>
      <c r="AV152" s="242" t="str">
        <f>IF(AT152 &lt;&gt; "",IF(AU152="Futuros", (SUMIFS('Alocação'!$O$3:$O$1002,'Alocação'!$C$3:$C$1002,AT152,'Alocação'!$F$3:$F$1002,AT$9,'Alocação'!$B$3:$B$1002,"&lt;="&amp;$B$4)), (SUMIFS('Alocação'!$O$3:$O$1002,'Alocação'!$C$3:$C$1002,AT152,'Alocação'!$F$3:$F$1002,AT$9,'Alocação'!$B$3:$B$1002,"&lt;="&amp;$B$6))),"")</f>
        <v/>
      </c>
      <c r="AW152" s="243" t="str">
        <f>iferror(IF(AU152="Ações Americanas", HLOOKUP(AT152,'Histórico'!$A$1:$DD$990,MATCH($B$6,'Histórico'!$A:$A),FALSE)*HLOOKUP("PTAX",'Histórico'!$A$1:$FG$983,MATCH($B$6,'Histórico'!$A:$A),FALSE),IF(AU152="Ações Europeias", HLOOKUP(AT152,'Histórico'!$A$1:$DD$990,MATCH($B$6,'Histórico'!$A:$A),FALSE)*HLOOKUP("EUR/BRL",'Histórico'!$A$1:$FG$983,MATCH($B$6,'Histórico'!$A:$A),FALSE),  HLOOKUP(AT152,'Histórico'!$A$1:$DD$990,MATCH($B$6,'Histórico'!$A:$A),FALSE))),"")</f>
        <v/>
      </c>
      <c r="AX152" s="243" t="str">
        <f t="shared" si="27"/>
        <v/>
      </c>
      <c r="AY152" s="183"/>
    </row>
    <row r="153" ht="15.75" customHeight="1">
      <c r="A153" s="176"/>
      <c r="B153" s="232">
        <v>45212.0</v>
      </c>
      <c r="C153" s="233"/>
      <c r="D153" s="233"/>
      <c r="E153" s="234"/>
      <c r="F153" s="233"/>
      <c r="G153" s="233"/>
      <c r="H153" s="234"/>
      <c r="I153" s="233"/>
      <c r="J153" s="233"/>
      <c r="K153" s="234"/>
      <c r="L153" s="233"/>
      <c r="M153" s="233"/>
      <c r="N153" s="240" t="str">
        <f t="shared" si="9"/>
        <v/>
      </c>
      <c r="O153" s="240" t="str">
        <f t="shared" si="10"/>
        <v/>
      </c>
      <c r="P153" s="240" t="str">
        <f t="shared" si="11"/>
        <v/>
      </c>
      <c r="Q153" s="240" t="str">
        <f t="shared" si="12"/>
        <v/>
      </c>
      <c r="R153" s="236" t="str">
        <f t="shared" si="13"/>
        <v/>
      </c>
      <c r="S153" s="177"/>
      <c r="T153" s="233" t="str">
        <f t="shared" ref="T153:U153" si="163">IF(AND(C153&lt;&gt;"",F153&lt;&gt;"",I153&lt;&gt;""), SUM(I153,F153,C153,L153),"")</f>
        <v/>
      </c>
      <c r="U153" s="233" t="str">
        <f t="shared" si="163"/>
        <v/>
      </c>
      <c r="V153" s="233" t="str">
        <f t="shared" si="6"/>
        <v/>
      </c>
      <c r="W153" s="241" t="str">
        <f t="shared" si="15"/>
        <v/>
      </c>
      <c r="X153" s="241" t="str">
        <f t="shared" si="16"/>
        <v/>
      </c>
      <c r="Y153" s="241" t="str">
        <f t="shared" si="25"/>
        <v/>
      </c>
      <c r="Z153" s="233" t="str">
        <f t="shared" si="7"/>
        <v/>
      </c>
      <c r="AA153" s="165"/>
      <c r="AB153" s="245"/>
      <c r="AC153" s="242" t="str">
        <f>IF(ISTEXT(AB153),VLOOKUP(AB153,'Cadastro dos Ativos'!$A$2:$C$1000,3,0),"")</f>
        <v/>
      </c>
      <c r="AD153" s="242" t="str">
        <f>IF(AB153 &lt;&gt; "",IF(AC153="Futuros", (SUMIFS('Alocação'!$O$3:$O$1002,'Alocação'!$C$3:$C$1002,AB153,'Alocação'!$F$3:$F$1002,AB$9,'Alocação'!$B$3:$B$1002,"&lt;="&amp;$B$4)), (SUMIFS('Alocação'!$O$3:$O$1002,'Alocação'!$C$3:$C$1002,AB153,'Alocação'!$F$3:$F$1002,AB$9,'Alocação'!$B$3:$B$1002,"&lt;="&amp;$B$6))),"")</f>
        <v/>
      </c>
      <c r="AE153" s="243" t="str">
        <f>iferror(IF(AC153="Ações Americanas", HLOOKUP(AB153,'Histórico'!$A$1:$DD$990,MATCH($B$6,'Histórico'!$A:$A),FALSE)*HLOOKUP("PTAX",'Histórico'!$A$1:$FG$983,MATCH($B$6,'Histórico'!$A:$A),FALSE),IF(AC153="Ações Europeias", HLOOKUP(AB153,'Histórico'!$A$1:$DD$990,MATCH($B$6,'Histórico'!$A:$A),FALSE)*HLOOKUP("EUR/BRL",'Histórico'!$A$1:$FG$983,MATCH($B$6,'Histórico'!$A:$A),FALSE), HLOOKUP(AB153,'Histórico'!$A$1:$DD$990,MATCH($B$6,'Histórico'!$A:$A),FALSE))),"")</f>
        <v/>
      </c>
      <c r="AF153" s="243" t="str">
        <f t="shared" si="21"/>
        <v/>
      </c>
      <c r="AG153" s="53"/>
      <c r="AH153" s="245"/>
      <c r="AI153" s="242" t="str">
        <f>IF(ISTEXT(AH153),VLOOKUP(AH153,'Cadastro dos Ativos'!$A$2:$C$1000,3,0),"")</f>
        <v/>
      </c>
      <c r="AJ153" s="242" t="str">
        <f>IF(AH153 &lt;&gt; "",IF(AI153="Futuros", (SUMIFS('Alocação'!$O$3:$O$1002,'Alocação'!$C$3:$C$1002,AH153,'Alocação'!$F$3:$F$1002,AH$9,'Alocação'!$B$3:$B$1002,"&lt;="&amp;$B$4)), (SUMIFS('Alocação'!$O$3:$O$1002,'Alocação'!$C$3:$C$1002,AH153,'Alocação'!$F$3:$F$1002,AH$9,'Alocação'!$B$3:$B$1002,"&lt;="&amp;$B$6))),"")</f>
        <v/>
      </c>
      <c r="AK153" s="243" t="str">
        <f>iferror(IF(AI153="Ações Americanas", HLOOKUP(AH153,'Histórico'!$A$1:$DD$990,MATCH($B$6,'Histórico'!$A:$A),FALSE)*HLOOKUP("PTAX",'Histórico'!$A$1:$FG$983,MATCH($B$6,'Histórico'!$A:$A),FALSE),IF(AI153="Ações Europeias", HLOOKUP(AH153,'Histórico'!$A$1:$DD$990,MATCH($B$6,'Histórico'!$A:$A),FALSE)*HLOOKUP("EUR/BRL",'Histórico'!$A$1:$FG$983,MATCH($B$6,'Histórico'!$A:$A),FALSE),  HLOOKUP(AH153,'Histórico'!$A$1:$DD$990,MATCH($B$6,'Histórico'!$A:$A),FALSE))),"")</f>
        <v/>
      </c>
      <c r="AL153" s="243" t="str">
        <f t="shared" si="17"/>
        <v/>
      </c>
      <c r="AM153" s="53"/>
      <c r="AN153" s="245"/>
      <c r="AO153" s="242" t="str">
        <f>IF(ISTEXT(AN153),VLOOKUP(AN153,'Cadastro dos Ativos'!$A$2:$C$1000,3,0),"")</f>
        <v/>
      </c>
      <c r="AP153" s="242" t="str">
        <f>IF(AN153 &lt;&gt; "",IF(AO153="Futuros", (SUMIFS('Alocação'!$O$3:$O$1002,'Alocação'!$C$3:$C$1002,AN153,'Alocação'!$F$3:$F$1002,AN$9,'Alocação'!$B$3:$B$1002,"&lt;="&amp;$B$4)), (SUMIFS('Alocação'!$O$3:$O$1002,'Alocação'!$C$3:$C$1002,AN153,'Alocação'!$F$3:$F$1002,AN$9,'Alocação'!$B$3:$B$1002,"&lt;="&amp;$B$6))),"")</f>
        <v/>
      </c>
      <c r="AQ153" s="243" t="str">
        <f>iferror(IF(AO153="Ações Americanas", HLOOKUP(AN153,'Histórico'!$A$1:$DD$990,MATCH($B$6,'Histórico'!$A:$A),FALSE)*HLOOKUP("PTAX",'Histórico'!$A$1:$FG$983,MATCH($B$6,'Histórico'!$A:$A),FALSE),IF(AO153="Ações Europeias", HLOOKUP(AN153,'Histórico'!$A$1:$DD$990,MATCH($B$6,'Histórico'!$A:$A),FALSE)*HLOOKUP("EUR/BRL",'Histórico'!$A$1:$FG$983,MATCH($B$6,'Histórico'!$A:$A),FALSE),  HLOOKUP(AN153,'Histórico'!$A$1:$DD$990,MATCH($B$6,'Histórico'!$A:$A),FALSE))),"")</f>
        <v/>
      </c>
      <c r="AR153" s="243" t="str">
        <f t="shared" si="18"/>
        <v/>
      </c>
      <c r="AS153" s="53"/>
      <c r="AT153" s="245"/>
      <c r="AU153" s="242" t="str">
        <f>IF(ISTEXT(AT153),VLOOKUP(AT153,'Cadastro dos Ativos'!$A$2:$C$1000,3,0),"")</f>
        <v/>
      </c>
      <c r="AV153" s="242" t="str">
        <f>IF(AT153 &lt;&gt; "",IF(AU153="Futuros", (SUMIFS('Alocação'!$O$3:$O$1002,'Alocação'!$C$3:$C$1002,AT153,'Alocação'!$F$3:$F$1002,AT$9,'Alocação'!$B$3:$B$1002,"&lt;="&amp;$B$4)), (SUMIFS('Alocação'!$O$3:$O$1002,'Alocação'!$C$3:$C$1002,AT153,'Alocação'!$F$3:$F$1002,AT$9,'Alocação'!$B$3:$B$1002,"&lt;="&amp;$B$6))),"")</f>
        <v/>
      </c>
      <c r="AW153" s="243" t="str">
        <f>iferror(IF(AU153="Ações Americanas", HLOOKUP(AT153,'Histórico'!$A$1:$DD$990,MATCH($B$6,'Histórico'!$A:$A),FALSE)*HLOOKUP("PTAX",'Histórico'!$A$1:$FG$983,MATCH($B$6,'Histórico'!$A:$A),FALSE),IF(AU153="Ações Europeias", HLOOKUP(AT153,'Histórico'!$A$1:$DD$990,MATCH($B$6,'Histórico'!$A:$A),FALSE)*HLOOKUP("EUR/BRL",'Histórico'!$A$1:$FG$983,MATCH($B$6,'Histórico'!$A:$A),FALSE),  HLOOKUP(AT153,'Histórico'!$A$1:$DD$990,MATCH($B$6,'Histórico'!$A:$A),FALSE))),"")</f>
        <v/>
      </c>
      <c r="AX153" s="243" t="str">
        <f t="shared" si="27"/>
        <v/>
      </c>
      <c r="AY153" s="183"/>
    </row>
    <row r="154" ht="15.75" customHeight="1">
      <c r="A154" s="176"/>
      <c r="B154" s="232">
        <v>45215.0</v>
      </c>
      <c r="C154" s="233"/>
      <c r="D154" s="233"/>
      <c r="E154" s="234"/>
      <c r="F154" s="233"/>
      <c r="G154" s="233"/>
      <c r="H154" s="234"/>
      <c r="I154" s="233"/>
      <c r="J154" s="233"/>
      <c r="K154" s="234"/>
      <c r="L154" s="233"/>
      <c r="M154" s="233"/>
      <c r="N154" s="240" t="str">
        <f t="shared" si="9"/>
        <v/>
      </c>
      <c r="O154" s="240" t="str">
        <f t="shared" si="10"/>
        <v/>
      </c>
      <c r="P154" s="240" t="str">
        <f t="shared" si="11"/>
        <v/>
      </c>
      <c r="Q154" s="240" t="str">
        <f t="shared" si="12"/>
        <v/>
      </c>
      <c r="R154" s="236" t="str">
        <f t="shared" si="13"/>
        <v/>
      </c>
      <c r="S154" s="177"/>
      <c r="T154" s="233" t="str">
        <f t="shared" ref="T154:U154" si="164">IF(AND(C154&lt;&gt;"",F154&lt;&gt;"",I154&lt;&gt;""), SUM(I154,F154,C154,L154),"")</f>
        <v/>
      </c>
      <c r="U154" s="233" t="str">
        <f t="shared" si="164"/>
        <v/>
      </c>
      <c r="V154" s="233" t="str">
        <f t="shared" si="6"/>
        <v/>
      </c>
      <c r="W154" s="241" t="str">
        <f t="shared" si="15"/>
        <v/>
      </c>
      <c r="X154" s="241" t="str">
        <f t="shared" si="16"/>
        <v/>
      </c>
      <c r="Y154" s="241" t="str">
        <f t="shared" si="25"/>
        <v/>
      </c>
      <c r="Z154" s="233" t="str">
        <f t="shared" si="7"/>
        <v/>
      </c>
      <c r="AA154" s="165"/>
      <c r="AB154" s="245"/>
      <c r="AC154" s="242" t="str">
        <f>IF(ISTEXT(AB154),VLOOKUP(AB154,'Cadastro dos Ativos'!$A$2:$C$1000,3,0),"")</f>
        <v/>
      </c>
      <c r="AD154" s="242" t="str">
        <f>IF(AB154 &lt;&gt; "",IF(AC154="Futuros", (SUMIFS('Alocação'!$O$3:$O$1002,'Alocação'!$C$3:$C$1002,AB154,'Alocação'!$F$3:$F$1002,AB$9,'Alocação'!$B$3:$B$1002,"&lt;="&amp;$B$4)), (SUMIFS('Alocação'!$O$3:$O$1002,'Alocação'!$C$3:$C$1002,AB154,'Alocação'!$F$3:$F$1002,AB$9,'Alocação'!$B$3:$B$1002,"&lt;="&amp;$B$6))),"")</f>
        <v/>
      </c>
      <c r="AE154" s="243" t="str">
        <f>iferror(IF(AC154="Ações Americanas", HLOOKUP(AB154,'Histórico'!$A$1:$DD$990,MATCH($B$6,'Histórico'!$A:$A),FALSE)*HLOOKUP("PTAX",'Histórico'!$A$1:$FG$983,MATCH($B$6,'Histórico'!$A:$A),FALSE),IF(AC154="Ações Europeias", HLOOKUP(AB154,'Histórico'!$A$1:$DD$990,MATCH($B$6,'Histórico'!$A:$A),FALSE)*HLOOKUP("EUR/BRL",'Histórico'!$A$1:$FG$983,MATCH($B$6,'Histórico'!$A:$A),FALSE), HLOOKUP(AB154,'Histórico'!$A$1:$DD$990,MATCH($B$6,'Histórico'!$A:$A),FALSE))),"")</f>
        <v/>
      </c>
      <c r="AF154" s="243" t="str">
        <f t="shared" si="21"/>
        <v/>
      </c>
      <c r="AG154" s="53"/>
      <c r="AH154" s="245"/>
      <c r="AI154" s="242" t="str">
        <f>IF(ISTEXT(AH154),VLOOKUP(AH154,'Cadastro dos Ativos'!$A$2:$C$1000,3,0),"")</f>
        <v/>
      </c>
      <c r="AJ154" s="242" t="str">
        <f>IF(AH154 &lt;&gt; "",IF(AI154="Futuros", (SUMIFS('Alocação'!$O$3:$O$1002,'Alocação'!$C$3:$C$1002,AH154,'Alocação'!$F$3:$F$1002,AH$9,'Alocação'!$B$3:$B$1002,"&lt;="&amp;$B$4)), (SUMIFS('Alocação'!$O$3:$O$1002,'Alocação'!$C$3:$C$1002,AH154,'Alocação'!$F$3:$F$1002,AH$9,'Alocação'!$B$3:$B$1002,"&lt;="&amp;$B$6))),"")</f>
        <v/>
      </c>
      <c r="AK154" s="243" t="str">
        <f>iferror(IF(AI154="Ações Americanas", HLOOKUP(AH154,'Histórico'!$A$1:$DD$990,MATCH($B$6,'Histórico'!$A:$A),FALSE)*HLOOKUP("PTAX",'Histórico'!$A$1:$FG$983,MATCH($B$6,'Histórico'!$A:$A),FALSE),IF(AI154="Ações Europeias", HLOOKUP(AH154,'Histórico'!$A$1:$DD$990,MATCH($B$6,'Histórico'!$A:$A),FALSE)*HLOOKUP("EUR/BRL",'Histórico'!$A$1:$FG$983,MATCH($B$6,'Histórico'!$A:$A),FALSE),  HLOOKUP(AH154,'Histórico'!$A$1:$DD$990,MATCH($B$6,'Histórico'!$A:$A),FALSE))),"")</f>
        <v/>
      </c>
      <c r="AL154" s="243" t="str">
        <f t="shared" si="17"/>
        <v/>
      </c>
      <c r="AM154" s="53"/>
      <c r="AN154" s="245"/>
      <c r="AO154" s="242" t="str">
        <f>IF(ISTEXT(AN154),VLOOKUP(AN154,'Cadastro dos Ativos'!$A$2:$C$1000,3,0),"")</f>
        <v/>
      </c>
      <c r="AP154" s="242" t="str">
        <f>IF(AN154 &lt;&gt; "",IF(AO154="Futuros", (SUMIFS('Alocação'!$O$3:$O$1002,'Alocação'!$C$3:$C$1002,AN154,'Alocação'!$F$3:$F$1002,AN$9,'Alocação'!$B$3:$B$1002,"&lt;="&amp;$B$4)), (SUMIFS('Alocação'!$O$3:$O$1002,'Alocação'!$C$3:$C$1002,AN154,'Alocação'!$F$3:$F$1002,AN$9,'Alocação'!$B$3:$B$1002,"&lt;="&amp;$B$6))),"")</f>
        <v/>
      </c>
      <c r="AQ154" s="243" t="str">
        <f>iferror(IF(AO154="Ações Americanas", HLOOKUP(AN154,'Histórico'!$A$1:$DD$990,MATCH($B$6,'Histórico'!$A:$A),FALSE)*HLOOKUP("PTAX",'Histórico'!$A$1:$FG$983,MATCH($B$6,'Histórico'!$A:$A),FALSE),IF(AO154="Ações Europeias", HLOOKUP(AN154,'Histórico'!$A$1:$DD$990,MATCH($B$6,'Histórico'!$A:$A),FALSE)*HLOOKUP("EUR/BRL",'Histórico'!$A$1:$FG$983,MATCH($B$6,'Histórico'!$A:$A),FALSE),  HLOOKUP(AN154,'Histórico'!$A$1:$DD$990,MATCH($B$6,'Histórico'!$A:$A),FALSE))),"")</f>
        <v/>
      </c>
      <c r="AR154" s="243" t="str">
        <f t="shared" si="18"/>
        <v/>
      </c>
      <c r="AS154" s="53"/>
      <c r="AT154" s="245"/>
      <c r="AU154" s="242" t="str">
        <f>IF(ISTEXT(AT154),VLOOKUP(AT154,'Cadastro dos Ativos'!$A$2:$C$1000,3,0),"")</f>
        <v/>
      </c>
      <c r="AV154" s="242" t="str">
        <f>IF(AT154 &lt;&gt; "",IF(AU154="Futuros", (SUMIFS('Alocação'!$O$3:$O$1002,'Alocação'!$C$3:$C$1002,AT154,'Alocação'!$F$3:$F$1002,AT$9,'Alocação'!$B$3:$B$1002,"&lt;="&amp;$B$4)), (SUMIFS('Alocação'!$O$3:$O$1002,'Alocação'!$C$3:$C$1002,AT154,'Alocação'!$F$3:$F$1002,AT$9,'Alocação'!$B$3:$B$1002,"&lt;="&amp;$B$6))),"")</f>
        <v/>
      </c>
      <c r="AW154" s="243" t="str">
        <f>iferror(IF(AU154="Ações Americanas", HLOOKUP(AT154,'Histórico'!$A$1:$DD$990,MATCH($B$6,'Histórico'!$A:$A),FALSE)*HLOOKUP("PTAX",'Histórico'!$A$1:$FG$983,MATCH($B$6,'Histórico'!$A:$A),FALSE),IF(AU154="Ações Europeias", HLOOKUP(AT154,'Histórico'!$A$1:$DD$990,MATCH($B$6,'Histórico'!$A:$A),FALSE)*HLOOKUP("EUR/BRL",'Histórico'!$A$1:$FG$983,MATCH($B$6,'Histórico'!$A:$A),FALSE),  HLOOKUP(AT154,'Histórico'!$A$1:$DD$990,MATCH($B$6,'Histórico'!$A:$A),FALSE))),"")</f>
        <v/>
      </c>
      <c r="AX154" s="243" t="str">
        <f t="shared" si="27"/>
        <v/>
      </c>
      <c r="AY154" s="183"/>
    </row>
    <row r="155" ht="15.75" customHeight="1">
      <c r="A155" s="176"/>
      <c r="B155" s="232">
        <v>45216.0</v>
      </c>
      <c r="C155" s="233"/>
      <c r="D155" s="233"/>
      <c r="E155" s="234"/>
      <c r="F155" s="233"/>
      <c r="G155" s="233"/>
      <c r="H155" s="234"/>
      <c r="I155" s="233"/>
      <c r="J155" s="233"/>
      <c r="K155" s="234"/>
      <c r="L155" s="233"/>
      <c r="M155" s="233"/>
      <c r="N155" s="240" t="str">
        <f t="shared" si="9"/>
        <v/>
      </c>
      <c r="O155" s="240" t="str">
        <f t="shared" si="10"/>
        <v/>
      </c>
      <c r="P155" s="240" t="str">
        <f t="shared" si="11"/>
        <v/>
      </c>
      <c r="Q155" s="240" t="str">
        <f t="shared" si="12"/>
        <v/>
      </c>
      <c r="R155" s="236" t="str">
        <f t="shared" si="13"/>
        <v/>
      </c>
      <c r="S155" s="177"/>
      <c r="T155" s="233" t="str">
        <f t="shared" ref="T155:U155" si="165">IF(AND(C155&lt;&gt;"",F155&lt;&gt;"",I155&lt;&gt;""), SUM(I155,F155,C155,L155),"")</f>
        <v/>
      </c>
      <c r="U155" s="233" t="str">
        <f t="shared" si="165"/>
        <v/>
      </c>
      <c r="V155" s="233" t="str">
        <f t="shared" si="6"/>
        <v/>
      </c>
      <c r="W155" s="241" t="str">
        <f t="shared" si="15"/>
        <v/>
      </c>
      <c r="X155" s="241" t="str">
        <f t="shared" si="16"/>
        <v/>
      </c>
      <c r="Y155" s="241" t="str">
        <f t="shared" si="25"/>
        <v/>
      </c>
      <c r="Z155" s="233" t="str">
        <f t="shared" si="7"/>
        <v/>
      </c>
      <c r="AA155" s="165"/>
      <c r="AB155" s="245"/>
      <c r="AC155" s="242" t="str">
        <f>IF(ISTEXT(AB155),VLOOKUP(AB155,'Cadastro dos Ativos'!$A$2:$C$1000,3,0),"")</f>
        <v/>
      </c>
      <c r="AD155" s="242" t="str">
        <f>IF(AB155 &lt;&gt; "",IF(AC155="Futuros", (SUMIFS('Alocação'!$O$3:$O$1002,'Alocação'!$C$3:$C$1002,AB155,'Alocação'!$F$3:$F$1002,AB$9,'Alocação'!$B$3:$B$1002,"&lt;="&amp;$B$4)), (SUMIFS('Alocação'!$O$3:$O$1002,'Alocação'!$C$3:$C$1002,AB155,'Alocação'!$F$3:$F$1002,AB$9,'Alocação'!$B$3:$B$1002,"&lt;="&amp;$B$6))),"")</f>
        <v/>
      </c>
      <c r="AE155" s="243" t="str">
        <f>iferror(IF(AC155="Ações Americanas", HLOOKUP(AB155,'Histórico'!$A$1:$DD$990,MATCH($B$6,'Histórico'!$A:$A),FALSE)*HLOOKUP("PTAX",'Histórico'!$A$1:$FG$983,MATCH($B$6,'Histórico'!$A:$A),FALSE),IF(AC155="Ações Europeias", HLOOKUP(AB155,'Histórico'!$A$1:$DD$990,MATCH($B$6,'Histórico'!$A:$A),FALSE)*HLOOKUP("EUR/BRL",'Histórico'!$A$1:$FG$983,MATCH($B$6,'Histórico'!$A:$A),FALSE), HLOOKUP(AB155,'Histórico'!$A$1:$DD$990,MATCH($B$6,'Histórico'!$A:$A),FALSE))),"")</f>
        <v/>
      </c>
      <c r="AF155" s="243" t="str">
        <f t="shared" si="21"/>
        <v/>
      </c>
      <c r="AG155" s="53"/>
      <c r="AH155" s="245"/>
      <c r="AI155" s="242" t="str">
        <f>IF(ISTEXT(AH155),VLOOKUP(AH155,'Cadastro dos Ativos'!$A$2:$C$1000,3,0),"")</f>
        <v/>
      </c>
      <c r="AJ155" s="242" t="str">
        <f>IF(AH155 &lt;&gt; "",IF(AI155="Futuros", (SUMIFS('Alocação'!$O$3:$O$1002,'Alocação'!$C$3:$C$1002,AH155,'Alocação'!$F$3:$F$1002,AH$9,'Alocação'!$B$3:$B$1002,"&lt;="&amp;$B$4)), (SUMIFS('Alocação'!$O$3:$O$1002,'Alocação'!$C$3:$C$1002,AH155,'Alocação'!$F$3:$F$1002,AH$9,'Alocação'!$B$3:$B$1002,"&lt;="&amp;$B$6))),"")</f>
        <v/>
      </c>
      <c r="AK155" s="243" t="str">
        <f>iferror(IF(AI155="Ações Americanas", HLOOKUP(AH155,'Histórico'!$A$1:$DD$990,MATCH($B$6,'Histórico'!$A:$A),FALSE)*HLOOKUP("PTAX",'Histórico'!$A$1:$FG$983,MATCH($B$6,'Histórico'!$A:$A),FALSE),IF(AI155="Ações Europeias", HLOOKUP(AH155,'Histórico'!$A$1:$DD$990,MATCH($B$6,'Histórico'!$A:$A),FALSE)*HLOOKUP("EUR/BRL",'Histórico'!$A$1:$FG$983,MATCH($B$6,'Histórico'!$A:$A),FALSE),  HLOOKUP(AH155,'Histórico'!$A$1:$DD$990,MATCH($B$6,'Histórico'!$A:$A),FALSE))),"")</f>
        <v/>
      </c>
      <c r="AL155" s="243" t="str">
        <f t="shared" si="17"/>
        <v/>
      </c>
      <c r="AM155" s="53"/>
      <c r="AN155" s="245"/>
      <c r="AO155" s="242" t="str">
        <f>IF(ISTEXT(AN155),VLOOKUP(AN155,'Cadastro dos Ativos'!$A$2:$C$1000,3,0),"")</f>
        <v/>
      </c>
      <c r="AP155" s="242" t="str">
        <f>IF(AN155 &lt;&gt; "",IF(AO155="Futuros", (SUMIFS('Alocação'!$O$3:$O$1002,'Alocação'!$C$3:$C$1002,AN155,'Alocação'!$F$3:$F$1002,AN$9,'Alocação'!$B$3:$B$1002,"&lt;="&amp;$B$4)), (SUMIFS('Alocação'!$O$3:$O$1002,'Alocação'!$C$3:$C$1002,AN155,'Alocação'!$F$3:$F$1002,AN$9,'Alocação'!$B$3:$B$1002,"&lt;="&amp;$B$6))),"")</f>
        <v/>
      </c>
      <c r="AQ155" s="243" t="str">
        <f>iferror(IF(AO155="Ações Americanas", HLOOKUP(AN155,'Histórico'!$A$1:$DD$990,MATCH($B$6,'Histórico'!$A:$A),FALSE)*HLOOKUP("PTAX",'Histórico'!$A$1:$FG$983,MATCH($B$6,'Histórico'!$A:$A),FALSE),IF(AO155="Ações Europeias", HLOOKUP(AN155,'Histórico'!$A$1:$DD$990,MATCH($B$6,'Histórico'!$A:$A),FALSE)*HLOOKUP("EUR/BRL",'Histórico'!$A$1:$FG$983,MATCH($B$6,'Histórico'!$A:$A),FALSE),  HLOOKUP(AN155,'Histórico'!$A$1:$DD$990,MATCH($B$6,'Histórico'!$A:$A),FALSE))),"")</f>
        <v/>
      </c>
      <c r="AR155" s="243" t="str">
        <f t="shared" si="18"/>
        <v/>
      </c>
      <c r="AS155" s="53"/>
      <c r="AT155" s="245"/>
      <c r="AU155" s="242" t="str">
        <f>IF(ISTEXT(AT155),VLOOKUP(AT155,'Cadastro dos Ativos'!$A$2:$C$1000,3,0),"")</f>
        <v/>
      </c>
      <c r="AV155" s="242" t="str">
        <f>IF(AT155 &lt;&gt; "",IF(AU155="Futuros", (SUMIFS('Alocação'!$O$3:$O$1002,'Alocação'!$C$3:$C$1002,AT155,'Alocação'!$F$3:$F$1002,AT$9,'Alocação'!$B$3:$B$1002,"&lt;="&amp;$B$4)), (SUMIFS('Alocação'!$O$3:$O$1002,'Alocação'!$C$3:$C$1002,AT155,'Alocação'!$F$3:$F$1002,AT$9,'Alocação'!$B$3:$B$1002,"&lt;="&amp;$B$6))),"")</f>
        <v/>
      </c>
      <c r="AW155" s="243" t="str">
        <f>iferror(IF(AU155="Ações Americanas", HLOOKUP(AT155,'Histórico'!$A$1:$DD$990,MATCH($B$6,'Histórico'!$A:$A),FALSE)*HLOOKUP("PTAX",'Histórico'!$A$1:$FG$983,MATCH($B$6,'Histórico'!$A:$A),FALSE),IF(AU155="Ações Europeias", HLOOKUP(AT155,'Histórico'!$A$1:$DD$990,MATCH($B$6,'Histórico'!$A:$A),FALSE)*HLOOKUP("EUR/BRL",'Histórico'!$A$1:$FG$983,MATCH($B$6,'Histórico'!$A:$A),FALSE),  HLOOKUP(AT155,'Histórico'!$A$1:$DD$990,MATCH($B$6,'Histórico'!$A:$A),FALSE))),"")</f>
        <v/>
      </c>
      <c r="AX155" s="243" t="str">
        <f t="shared" si="27"/>
        <v/>
      </c>
      <c r="AY155" s="183"/>
    </row>
    <row r="156" ht="15.75" customHeight="1">
      <c r="A156" s="176"/>
      <c r="B156" s="232">
        <v>45217.0</v>
      </c>
      <c r="C156" s="233"/>
      <c r="D156" s="233"/>
      <c r="E156" s="234"/>
      <c r="F156" s="233"/>
      <c r="G156" s="233"/>
      <c r="H156" s="234"/>
      <c r="I156" s="233"/>
      <c r="J156" s="233"/>
      <c r="K156" s="234"/>
      <c r="L156" s="233"/>
      <c r="M156" s="233"/>
      <c r="N156" s="240" t="str">
        <f t="shared" si="9"/>
        <v/>
      </c>
      <c r="O156" s="240" t="str">
        <f t="shared" si="10"/>
        <v/>
      </c>
      <c r="P156" s="240" t="str">
        <f t="shared" si="11"/>
        <v/>
      </c>
      <c r="Q156" s="240" t="str">
        <f t="shared" si="12"/>
        <v/>
      </c>
      <c r="R156" s="236" t="str">
        <f t="shared" si="13"/>
        <v/>
      </c>
      <c r="S156" s="177"/>
      <c r="T156" s="233" t="str">
        <f t="shared" ref="T156:U156" si="166">IF(AND(C156&lt;&gt;"",F156&lt;&gt;"",I156&lt;&gt;""), SUM(I156,F156,C156,L156),"")</f>
        <v/>
      </c>
      <c r="U156" s="233" t="str">
        <f t="shared" si="166"/>
        <v/>
      </c>
      <c r="V156" s="233" t="str">
        <f t="shared" si="6"/>
        <v/>
      </c>
      <c r="W156" s="241" t="str">
        <f t="shared" si="15"/>
        <v/>
      </c>
      <c r="X156" s="241" t="str">
        <f t="shared" si="16"/>
        <v/>
      </c>
      <c r="Y156" s="241" t="str">
        <f t="shared" si="25"/>
        <v/>
      </c>
      <c r="Z156" s="233" t="str">
        <f t="shared" si="7"/>
        <v/>
      </c>
      <c r="AA156" s="165"/>
      <c r="AB156" s="245"/>
      <c r="AC156" s="242" t="str">
        <f>IF(ISTEXT(AB156),VLOOKUP(AB156,'Cadastro dos Ativos'!$A$2:$C$1000,3,0),"")</f>
        <v/>
      </c>
      <c r="AD156" s="242" t="str">
        <f>IF(AB156 &lt;&gt; "",IF(AC156="Futuros", (SUMIFS('Alocação'!$O$3:$O$1002,'Alocação'!$C$3:$C$1002,AB156,'Alocação'!$F$3:$F$1002,AB$9,'Alocação'!$B$3:$B$1002,"&lt;="&amp;$B$4)), (SUMIFS('Alocação'!$O$3:$O$1002,'Alocação'!$C$3:$C$1002,AB156,'Alocação'!$F$3:$F$1002,AB$9,'Alocação'!$B$3:$B$1002,"&lt;="&amp;$B$6))),"")</f>
        <v/>
      </c>
      <c r="AE156" s="243" t="str">
        <f>iferror(IF(AC156="Ações Americanas", HLOOKUP(AB156,'Histórico'!$A$1:$DD$990,MATCH($B$6,'Histórico'!$A:$A),FALSE)*HLOOKUP("PTAX",'Histórico'!$A$1:$FG$983,MATCH($B$6,'Histórico'!$A:$A),FALSE),IF(AC156="Ações Europeias", HLOOKUP(AB156,'Histórico'!$A$1:$DD$990,MATCH($B$6,'Histórico'!$A:$A),FALSE)*HLOOKUP("EUR/BRL",'Histórico'!$A$1:$FG$983,MATCH($B$6,'Histórico'!$A:$A),FALSE), HLOOKUP(AB156,'Histórico'!$A$1:$DD$990,MATCH($B$6,'Histórico'!$A:$A),FALSE))),"")</f>
        <v/>
      </c>
      <c r="AF156" s="243" t="str">
        <f t="shared" si="21"/>
        <v/>
      </c>
      <c r="AG156" s="53"/>
      <c r="AH156" s="245"/>
      <c r="AI156" s="242" t="str">
        <f>IF(ISTEXT(AH156),VLOOKUP(AH156,'Cadastro dos Ativos'!$A$2:$C$1000,3,0),"")</f>
        <v/>
      </c>
      <c r="AJ156" s="242" t="str">
        <f>IF(AH156 &lt;&gt; "",IF(AI156="Futuros", (SUMIFS('Alocação'!$O$3:$O$1002,'Alocação'!$C$3:$C$1002,AH156,'Alocação'!$F$3:$F$1002,AH$9,'Alocação'!$B$3:$B$1002,"&lt;="&amp;$B$4)), (SUMIFS('Alocação'!$O$3:$O$1002,'Alocação'!$C$3:$C$1002,AH156,'Alocação'!$F$3:$F$1002,AH$9,'Alocação'!$B$3:$B$1002,"&lt;="&amp;$B$6))),"")</f>
        <v/>
      </c>
      <c r="AK156" s="243" t="str">
        <f>iferror(IF(AI156="Ações Americanas", HLOOKUP(AH156,'Histórico'!$A$1:$DD$990,MATCH($B$6,'Histórico'!$A:$A),FALSE)*HLOOKUP("PTAX",'Histórico'!$A$1:$FG$983,MATCH($B$6,'Histórico'!$A:$A),FALSE),IF(AI156="Ações Europeias", HLOOKUP(AH156,'Histórico'!$A$1:$DD$990,MATCH($B$6,'Histórico'!$A:$A),FALSE)*HLOOKUP("EUR/BRL",'Histórico'!$A$1:$FG$983,MATCH($B$6,'Histórico'!$A:$A),FALSE),  HLOOKUP(AH156,'Histórico'!$A$1:$DD$990,MATCH($B$6,'Histórico'!$A:$A),FALSE))),"")</f>
        <v/>
      </c>
      <c r="AL156" s="243" t="str">
        <f t="shared" si="17"/>
        <v/>
      </c>
      <c r="AM156" s="53"/>
      <c r="AN156" s="245"/>
      <c r="AO156" s="242" t="str">
        <f>IF(ISTEXT(AN156),VLOOKUP(AN156,'Cadastro dos Ativos'!$A$2:$C$1000,3,0),"")</f>
        <v/>
      </c>
      <c r="AP156" s="242" t="str">
        <f>IF(AN156 &lt;&gt; "",IF(AO156="Futuros", (SUMIFS('Alocação'!$O$3:$O$1002,'Alocação'!$C$3:$C$1002,AN156,'Alocação'!$F$3:$F$1002,AN$9,'Alocação'!$B$3:$B$1002,"&lt;="&amp;$B$4)), (SUMIFS('Alocação'!$O$3:$O$1002,'Alocação'!$C$3:$C$1002,AN156,'Alocação'!$F$3:$F$1002,AN$9,'Alocação'!$B$3:$B$1002,"&lt;="&amp;$B$6))),"")</f>
        <v/>
      </c>
      <c r="AQ156" s="243" t="str">
        <f>iferror(IF(AO156="Ações Americanas", HLOOKUP(AN156,'Histórico'!$A$1:$DD$990,MATCH($B$6,'Histórico'!$A:$A),FALSE)*HLOOKUP("PTAX",'Histórico'!$A$1:$FG$983,MATCH($B$6,'Histórico'!$A:$A),FALSE),IF(AO156="Ações Europeias", HLOOKUP(AN156,'Histórico'!$A$1:$DD$990,MATCH($B$6,'Histórico'!$A:$A),FALSE)*HLOOKUP("EUR/BRL",'Histórico'!$A$1:$FG$983,MATCH($B$6,'Histórico'!$A:$A),FALSE),  HLOOKUP(AN156,'Histórico'!$A$1:$DD$990,MATCH($B$6,'Histórico'!$A:$A),FALSE))),"")</f>
        <v/>
      </c>
      <c r="AR156" s="243" t="str">
        <f t="shared" si="18"/>
        <v/>
      </c>
      <c r="AS156" s="53"/>
      <c r="AT156" s="245"/>
      <c r="AU156" s="242" t="str">
        <f>IF(ISTEXT(AT156),VLOOKUP(AT156,'Cadastro dos Ativos'!$A$2:$C$1000,3,0),"")</f>
        <v/>
      </c>
      <c r="AV156" s="242" t="str">
        <f>IF(AT156 &lt;&gt; "",IF(AU156="Futuros", (SUMIFS('Alocação'!$O$3:$O$1002,'Alocação'!$C$3:$C$1002,AT156,'Alocação'!$F$3:$F$1002,AT$9,'Alocação'!$B$3:$B$1002,"&lt;="&amp;$B$4)), (SUMIFS('Alocação'!$O$3:$O$1002,'Alocação'!$C$3:$C$1002,AT156,'Alocação'!$F$3:$F$1002,AT$9,'Alocação'!$B$3:$B$1002,"&lt;="&amp;$B$6))),"")</f>
        <v/>
      </c>
      <c r="AW156" s="243" t="str">
        <f>iferror(IF(AU156="Ações Americanas", HLOOKUP(AT156,'Histórico'!$A$1:$DD$990,MATCH($B$6,'Histórico'!$A:$A),FALSE)*HLOOKUP("PTAX",'Histórico'!$A$1:$FG$983,MATCH($B$6,'Histórico'!$A:$A),FALSE),IF(AU156="Ações Europeias", HLOOKUP(AT156,'Histórico'!$A$1:$DD$990,MATCH($B$6,'Histórico'!$A:$A),FALSE)*HLOOKUP("EUR/BRL",'Histórico'!$A$1:$FG$983,MATCH($B$6,'Histórico'!$A:$A),FALSE),  HLOOKUP(AT156,'Histórico'!$A$1:$DD$990,MATCH($B$6,'Histórico'!$A:$A),FALSE))),"")</f>
        <v/>
      </c>
      <c r="AX156" s="243" t="str">
        <f t="shared" si="27"/>
        <v/>
      </c>
      <c r="AY156" s="183"/>
    </row>
    <row r="157" ht="15.75" customHeight="1">
      <c r="A157" s="176"/>
      <c r="B157" s="232">
        <v>45218.0</v>
      </c>
      <c r="C157" s="233"/>
      <c r="D157" s="233"/>
      <c r="E157" s="234"/>
      <c r="F157" s="233"/>
      <c r="G157" s="233"/>
      <c r="H157" s="234"/>
      <c r="I157" s="233"/>
      <c r="J157" s="233"/>
      <c r="K157" s="234"/>
      <c r="L157" s="233"/>
      <c r="M157" s="233"/>
      <c r="N157" s="240" t="str">
        <f t="shared" si="9"/>
        <v/>
      </c>
      <c r="O157" s="240" t="str">
        <f t="shared" si="10"/>
        <v/>
      </c>
      <c r="P157" s="240" t="str">
        <f t="shared" si="11"/>
        <v/>
      </c>
      <c r="Q157" s="240" t="str">
        <f t="shared" si="12"/>
        <v/>
      </c>
      <c r="R157" s="236" t="str">
        <f t="shared" si="13"/>
        <v/>
      </c>
      <c r="S157" s="177"/>
      <c r="T157" s="233" t="str">
        <f t="shared" ref="T157:U157" si="167">IF(AND(C157&lt;&gt;"",F157&lt;&gt;"",I157&lt;&gt;""), SUM(I157,F157,C157,L157),"")</f>
        <v/>
      </c>
      <c r="U157" s="233" t="str">
        <f t="shared" si="167"/>
        <v/>
      </c>
      <c r="V157" s="233" t="str">
        <f t="shared" si="6"/>
        <v/>
      </c>
      <c r="W157" s="241" t="str">
        <f t="shared" si="15"/>
        <v/>
      </c>
      <c r="X157" s="241" t="str">
        <f t="shared" si="16"/>
        <v/>
      </c>
      <c r="Y157" s="241" t="str">
        <f t="shared" si="25"/>
        <v/>
      </c>
      <c r="Z157" s="233" t="str">
        <f t="shared" si="7"/>
        <v/>
      </c>
      <c r="AA157" s="165"/>
      <c r="AB157" s="245"/>
      <c r="AC157" s="242" t="str">
        <f>IF(ISTEXT(AB157),VLOOKUP(AB157,'Cadastro dos Ativos'!$A$2:$C$1000,3,0),"")</f>
        <v/>
      </c>
      <c r="AD157" s="242" t="str">
        <f>IF(AB157 &lt;&gt; "",IF(AC157="Futuros", (SUMIFS('Alocação'!$O$3:$O$1002,'Alocação'!$C$3:$C$1002,AB157,'Alocação'!$F$3:$F$1002,AB$9,'Alocação'!$B$3:$B$1002,"&lt;="&amp;$B$4)), (SUMIFS('Alocação'!$O$3:$O$1002,'Alocação'!$C$3:$C$1002,AB157,'Alocação'!$F$3:$F$1002,AB$9,'Alocação'!$B$3:$B$1002,"&lt;="&amp;$B$6))),"")</f>
        <v/>
      </c>
      <c r="AE157" s="243" t="str">
        <f>iferror(IF(AC157="Ações Americanas", HLOOKUP(AB157,'Histórico'!$A$1:$DD$990,MATCH($B$6,'Histórico'!$A:$A),FALSE)*HLOOKUP("PTAX",'Histórico'!$A$1:$FG$983,MATCH($B$6,'Histórico'!$A:$A),FALSE),IF(AC157="Ações Europeias", HLOOKUP(AB157,'Histórico'!$A$1:$DD$990,MATCH($B$6,'Histórico'!$A:$A),FALSE)*HLOOKUP("EUR/BRL",'Histórico'!$A$1:$FG$983,MATCH($B$6,'Histórico'!$A:$A),FALSE), HLOOKUP(AB157,'Histórico'!$A$1:$DD$990,MATCH($B$6,'Histórico'!$A:$A),FALSE))),"")</f>
        <v/>
      </c>
      <c r="AF157" s="243" t="str">
        <f t="shared" si="21"/>
        <v/>
      </c>
      <c r="AG157" s="53"/>
      <c r="AH157" s="245"/>
      <c r="AI157" s="242" t="str">
        <f>IF(ISTEXT(AH157),VLOOKUP(AH157,'Cadastro dos Ativos'!$A$2:$C$1000,3,0),"")</f>
        <v/>
      </c>
      <c r="AJ157" s="242" t="str">
        <f>IF(AH157 &lt;&gt; "",IF(AI157="Futuros", (SUMIFS('Alocação'!$O$3:$O$1002,'Alocação'!$C$3:$C$1002,AH157,'Alocação'!$F$3:$F$1002,AH$9,'Alocação'!$B$3:$B$1002,"&lt;="&amp;$B$4)), (SUMIFS('Alocação'!$O$3:$O$1002,'Alocação'!$C$3:$C$1002,AH157,'Alocação'!$F$3:$F$1002,AH$9,'Alocação'!$B$3:$B$1002,"&lt;="&amp;$B$6))),"")</f>
        <v/>
      </c>
      <c r="AK157" s="243" t="str">
        <f>iferror(IF(AI157="Ações Americanas", HLOOKUP(AH157,'Histórico'!$A$1:$DD$990,MATCH($B$6,'Histórico'!$A:$A),FALSE)*HLOOKUP("PTAX",'Histórico'!$A$1:$FG$983,MATCH($B$6,'Histórico'!$A:$A),FALSE),IF(AI157="Ações Europeias", HLOOKUP(AH157,'Histórico'!$A$1:$DD$990,MATCH($B$6,'Histórico'!$A:$A),FALSE)*HLOOKUP("EUR/BRL",'Histórico'!$A$1:$FG$983,MATCH($B$6,'Histórico'!$A:$A),FALSE),  HLOOKUP(AH157,'Histórico'!$A$1:$DD$990,MATCH($B$6,'Histórico'!$A:$A),FALSE))),"")</f>
        <v/>
      </c>
      <c r="AL157" s="243" t="str">
        <f t="shared" si="17"/>
        <v/>
      </c>
      <c r="AM157" s="53"/>
      <c r="AN157" s="245"/>
      <c r="AO157" s="242" t="str">
        <f>IF(ISTEXT(AN157),VLOOKUP(AN157,'Cadastro dos Ativos'!$A$2:$C$1000,3,0),"")</f>
        <v/>
      </c>
      <c r="AP157" s="242" t="str">
        <f>IF(AN157 &lt;&gt; "",IF(AO157="Futuros", (SUMIFS('Alocação'!$O$3:$O$1002,'Alocação'!$C$3:$C$1002,AN157,'Alocação'!$F$3:$F$1002,AN$9,'Alocação'!$B$3:$B$1002,"&lt;="&amp;$B$4)), (SUMIFS('Alocação'!$O$3:$O$1002,'Alocação'!$C$3:$C$1002,AN157,'Alocação'!$F$3:$F$1002,AN$9,'Alocação'!$B$3:$B$1002,"&lt;="&amp;$B$6))),"")</f>
        <v/>
      </c>
      <c r="AQ157" s="243" t="str">
        <f>iferror(IF(AO157="Ações Americanas", HLOOKUP(AN157,'Histórico'!$A$1:$DD$990,MATCH($B$6,'Histórico'!$A:$A),FALSE)*HLOOKUP("PTAX",'Histórico'!$A$1:$FG$983,MATCH($B$6,'Histórico'!$A:$A),FALSE),IF(AO157="Ações Europeias", HLOOKUP(AN157,'Histórico'!$A$1:$DD$990,MATCH($B$6,'Histórico'!$A:$A),FALSE)*HLOOKUP("EUR/BRL",'Histórico'!$A$1:$FG$983,MATCH($B$6,'Histórico'!$A:$A),FALSE),  HLOOKUP(AN157,'Histórico'!$A$1:$DD$990,MATCH($B$6,'Histórico'!$A:$A),FALSE))),"")</f>
        <v/>
      </c>
      <c r="AR157" s="243" t="str">
        <f t="shared" si="18"/>
        <v/>
      </c>
      <c r="AS157" s="53"/>
      <c r="AT157" s="245"/>
      <c r="AU157" s="242" t="str">
        <f>IF(ISTEXT(AT157),VLOOKUP(AT157,'Cadastro dos Ativos'!$A$2:$C$1000,3,0),"")</f>
        <v/>
      </c>
      <c r="AV157" s="242" t="str">
        <f>IF(AT157 &lt;&gt; "",IF(AU157="Futuros", (SUMIFS('Alocação'!$O$3:$O$1002,'Alocação'!$C$3:$C$1002,AT157,'Alocação'!$F$3:$F$1002,AT$9,'Alocação'!$B$3:$B$1002,"&lt;="&amp;$B$4)), (SUMIFS('Alocação'!$O$3:$O$1002,'Alocação'!$C$3:$C$1002,AT157,'Alocação'!$F$3:$F$1002,AT$9,'Alocação'!$B$3:$B$1002,"&lt;="&amp;$B$6))),"")</f>
        <v/>
      </c>
      <c r="AW157" s="243" t="str">
        <f>iferror(IF(AU157="Ações Americanas", HLOOKUP(AT157,'Histórico'!$A$1:$DD$990,MATCH($B$6,'Histórico'!$A:$A),FALSE)*HLOOKUP("PTAX",'Histórico'!$A$1:$FG$983,MATCH($B$6,'Histórico'!$A:$A),FALSE),IF(AU157="Ações Europeias", HLOOKUP(AT157,'Histórico'!$A$1:$DD$990,MATCH($B$6,'Histórico'!$A:$A),FALSE)*HLOOKUP("EUR/BRL",'Histórico'!$A$1:$FG$983,MATCH($B$6,'Histórico'!$A:$A),FALSE),  HLOOKUP(AT157,'Histórico'!$A$1:$DD$990,MATCH($B$6,'Histórico'!$A:$A),FALSE))),"")</f>
        <v/>
      </c>
      <c r="AX157" s="243" t="str">
        <f t="shared" si="27"/>
        <v/>
      </c>
      <c r="AY157" s="183"/>
    </row>
    <row r="158" ht="15.75" customHeight="1">
      <c r="A158" s="176"/>
      <c r="B158" s="232">
        <v>45219.0</v>
      </c>
      <c r="C158" s="233"/>
      <c r="D158" s="233"/>
      <c r="E158" s="234"/>
      <c r="F158" s="233"/>
      <c r="G158" s="233"/>
      <c r="H158" s="234"/>
      <c r="I158" s="233"/>
      <c r="J158" s="233"/>
      <c r="K158" s="234"/>
      <c r="L158" s="233"/>
      <c r="M158" s="233"/>
      <c r="N158" s="240" t="str">
        <f t="shared" si="9"/>
        <v/>
      </c>
      <c r="O158" s="240" t="str">
        <f t="shared" si="10"/>
        <v/>
      </c>
      <c r="P158" s="240" t="str">
        <f t="shared" si="11"/>
        <v/>
      </c>
      <c r="Q158" s="240" t="str">
        <f t="shared" si="12"/>
        <v/>
      </c>
      <c r="R158" s="236" t="str">
        <f t="shared" si="13"/>
        <v/>
      </c>
      <c r="S158" s="177"/>
      <c r="T158" s="233" t="str">
        <f t="shared" ref="T158:U158" si="168">IF(AND(C158&lt;&gt;"",F158&lt;&gt;"",I158&lt;&gt;""), SUM(I158,F158,C158,L158),"")</f>
        <v/>
      </c>
      <c r="U158" s="233" t="str">
        <f t="shared" si="168"/>
        <v/>
      </c>
      <c r="V158" s="233" t="str">
        <f t="shared" si="6"/>
        <v/>
      </c>
      <c r="W158" s="241" t="str">
        <f t="shared" si="15"/>
        <v/>
      </c>
      <c r="X158" s="241" t="str">
        <f t="shared" si="16"/>
        <v/>
      </c>
      <c r="Y158" s="241" t="str">
        <f t="shared" si="25"/>
        <v/>
      </c>
      <c r="Z158" s="233" t="str">
        <f t="shared" si="7"/>
        <v/>
      </c>
      <c r="AA158" s="165"/>
      <c r="AB158" s="245"/>
      <c r="AC158" s="242" t="str">
        <f>IF(ISTEXT(AB158),VLOOKUP(AB158,'Cadastro dos Ativos'!$A$2:$C$1000,3,0),"")</f>
        <v/>
      </c>
      <c r="AD158" s="242" t="str">
        <f>IF(AB158 &lt;&gt; "",IF(AC158="Futuros", (SUMIFS('Alocação'!$O$3:$O$1002,'Alocação'!$C$3:$C$1002,AB158,'Alocação'!$F$3:$F$1002,AB$9,'Alocação'!$B$3:$B$1002,"&lt;="&amp;$B$4)), (SUMIFS('Alocação'!$O$3:$O$1002,'Alocação'!$C$3:$C$1002,AB158,'Alocação'!$F$3:$F$1002,AB$9,'Alocação'!$B$3:$B$1002,"&lt;="&amp;$B$6))),"")</f>
        <v/>
      </c>
      <c r="AE158" s="243" t="str">
        <f>iferror(IF(AC158="Ações Americanas", HLOOKUP(AB158,'Histórico'!$A$1:$DD$990,MATCH($B$6,'Histórico'!$A:$A),FALSE)*HLOOKUP("PTAX",'Histórico'!$A$1:$FG$983,MATCH($B$6,'Histórico'!$A:$A),FALSE),IF(AC158="Ações Europeias", HLOOKUP(AB158,'Histórico'!$A$1:$DD$990,MATCH($B$6,'Histórico'!$A:$A),FALSE)*HLOOKUP("EUR/BRL",'Histórico'!$A$1:$FG$983,MATCH($B$6,'Histórico'!$A:$A),FALSE), HLOOKUP(AB158,'Histórico'!$A$1:$DD$990,MATCH($B$6,'Histórico'!$A:$A),FALSE))),"")</f>
        <v/>
      </c>
      <c r="AF158" s="243" t="str">
        <f t="shared" si="21"/>
        <v/>
      </c>
      <c r="AG158" s="53"/>
      <c r="AH158" s="245"/>
      <c r="AI158" s="242" t="str">
        <f>IF(ISTEXT(AH158),VLOOKUP(AH158,'Cadastro dos Ativos'!$A$2:$C$1000,3,0),"")</f>
        <v/>
      </c>
      <c r="AJ158" s="242" t="str">
        <f>IF(AH158 &lt;&gt; "",IF(AI158="Futuros", (SUMIFS('Alocação'!$O$3:$O$1002,'Alocação'!$C$3:$C$1002,AH158,'Alocação'!$F$3:$F$1002,AH$9,'Alocação'!$B$3:$B$1002,"&lt;="&amp;$B$4)), (SUMIFS('Alocação'!$O$3:$O$1002,'Alocação'!$C$3:$C$1002,AH158,'Alocação'!$F$3:$F$1002,AH$9,'Alocação'!$B$3:$B$1002,"&lt;="&amp;$B$6))),"")</f>
        <v/>
      </c>
      <c r="AK158" s="243" t="str">
        <f>iferror(IF(AI158="Ações Americanas", HLOOKUP(AH158,'Histórico'!$A$1:$DD$990,MATCH($B$6,'Histórico'!$A:$A),FALSE)*HLOOKUP("PTAX",'Histórico'!$A$1:$FG$983,MATCH($B$6,'Histórico'!$A:$A),FALSE),IF(AI158="Ações Europeias", HLOOKUP(AH158,'Histórico'!$A$1:$DD$990,MATCH($B$6,'Histórico'!$A:$A),FALSE)*HLOOKUP("EUR/BRL",'Histórico'!$A$1:$FG$983,MATCH($B$6,'Histórico'!$A:$A),FALSE),  HLOOKUP(AH158,'Histórico'!$A$1:$DD$990,MATCH($B$6,'Histórico'!$A:$A),FALSE))),"")</f>
        <v/>
      </c>
      <c r="AL158" s="243" t="str">
        <f t="shared" si="17"/>
        <v/>
      </c>
      <c r="AM158" s="53"/>
      <c r="AN158" s="245"/>
      <c r="AO158" s="242" t="str">
        <f>IF(ISTEXT(AN158),VLOOKUP(AN158,'Cadastro dos Ativos'!$A$2:$C$1000,3,0),"")</f>
        <v/>
      </c>
      <c r="AP158" s="242" t="str">
        <f>IF(AN158 &lt;&gt; "",IF(AO158="Futuros", (SUMIFS('Alocação'!$O$3:$O$1002,'Alocação'!$C$3:$C$1002,AN158,'Alocação'!$F$3:$F$1002,AN$9,'Alocação'!$B$3:$B$1002,"&lt;="&amp;$B$4)), (SUMIFS('Alocação'!$O$3:$O$1002,'Alocação'!$C$3:$C$1002,AN158,'Alocação'!$F$3:$F$1002,AN$9,'Alocação'!$B$3:$B$1002,"&lt;="&amp;$B$6))),"")</f>
        <v/>
      </c>
      <c r="AQ158" s="243" t="str">
        <f>iferror(IF(AO158="Ações Americanas", HLOOKUP(AN158,'Histórico'!$A$1:$DD$990,MATCH($B$6,'Histórico'!$A:$A),FALSE)*HLOOKUP("PTAX",'Histórico'!$A$1:$FG$983,MATCH($B$6,'Histórico'!$A:$A),FALSE),IF(AO158="Ações Europeias", HLOOKUP(AN158,'Histórico'!$A$1:$DD$990,MATCH($B$6,'Histórico'!$A:$A),FALSE)*HLOOKUP("EUR/BRL",'Histórico'!$A$1:$FG$983,MATCH($B$6,'Histórico'!$A:$A),FALSE),  HLOOKUP(AN158,'Histórico'!$A$1:$DD$990,MATCH($B$6,'Histórico'!$A:$A),FALSE))),"")</f>
        <v/>
      </c>
      <c r="AR158" s="243" t="str">
        <f t="shared" si="18"/>
        <v/>
      </c>
      <c r="AS158" s="53"/>
      <c r="AT158" s="245"/>
      <c r="AU158" s="242" t="str">
        <f>IF(ISTEXT(AT158),VLOOKUP(AT158,'Cadastro dos Ativos'!$A$2:$C$1000,3,0),"")</f>
        <v/>
      </c>
      <c r="AV158" s="242" t="str">
        <f>IF(AT158 &lt;&gt; "",IF(AU158="Futuros", (SUMIFS('Alocação'!$O$3:$O$1002,'Alocação'!$C$3:$C$1002,AT158,'Alocação'!$F$3:$F$1002,AT$9,'Alocação'!$B$3:$B$1002,"&lt;="&amp;$B$4)), (SUMIFS('Alocação'!$O$3:$O$1002,'Alocação'!$C$3:$C$1002,AT158,'Alocação'!$F$3:$F$1002,AT$9,'Alocação'!$B$3:$B$1002,"&lt;="&amp;$B$6))),"")</f>
        <v/>
      </c>
      <c r="AW158" s="243" t="str">
        <f>iferror(IF(AU158="Ações Americanas", HLOOKUP(AT158,'Histórico'!$A$1:$DD$990,MATCH($B$6,'Histórico'!$A:$A),FALSE)*HLOOKUP("PTAX",'Histórico'!$A$1:$FG$983,MATCH($B$6,'Histórico'!$A:$A),FALSE),IF(AU158="Ações Europeias", HLOOKUP(AT158,'Histórico'!$A$1:$DD$990,MATCH($B$6,'Histórico'!$A:$A),FALSE)*HLOOKUP("EUR/BRL",'Histórico'!$A$1:$FG$983,MATCH($B$6,'Histórico'!$A:$A),FALSE),  HLOOKUP(AT158,'Histórico'!$A$1:$DD$990,MATCH($B$6,'Histórico'!$A:$A),FALSE))),"")</f>
        <v/>
      </c>
      <c r="AX158" s="243" t="str">
        <f t="shared" si="27"/>
        <v/>
      </c>
      <c r="AY158" s="183"/>
    </row>
    <row r="159" ht="15.75" customHeight="1">
      <c r="A159" s="176"/>
      <c r="B159" s="232">
        <v>45222.0</v>
      </c>
      <c r="C159" s="233"/>
      <c r="D159" s="233"/>
      <c r="E159" s="234"/>
      <c r="F159" s="233"/>
      <c r="G159" s="233"/>
      <c r="H159" s="234"/>
      <c r="I159" s="233"/>
      <c r="J159" s="233"/>
      <c r="K159" s="234"/>
      <c r="L159" s="233"/>
      <c r="M159" s="233"/>
      <c r="N159" s="240" t="str">
        <f t="shared" si="9"/>
        <v/>
      </c>
      <c r="O159" s="240" t="str">
        <f t="shared" si="10"/>
        <v/>
      </c>
      <c r="P159" s="240" t="str">
        <f t="shared" si="11"/>
        <v/>
      </c>
      <c r="Q159" s="240" t="str">
        <f t="shared" si="12"/>
        <v/>
      </c>
      <c r="R159" s="236" t="str">
        <f t="shared" si="13"/>
        <v/>
      </c>
      <c r="S159" s="177"/>
      <c r="T159" s="233" t="str">
        <f t="shared" ref="T159:U159" si="169">IF(AND(C159&lt;&gt;"",F159&lt;&gt;"",I159&lt;&gt;""), SUM(I159,F159,C159,L159),"")</f>
        <v/>
      </c>
      <c r="U159" s="233" t="str">
        <f t="shared" si="169"/>
        <v/>
      </c>
      <c r="V159" s="233" t="str">
        <f t="shared" si="6"/>
        <v/>
      </c>
      <c r="W159" s="241" t="str">
        <f t="shared" si="15"/>
        <v/>
      </c>
      <c r="X159" s="241" t="str">
        <f t="shared" si="16"/>
        <v/>
      </c>
      <c r="Y159" s="241" t="str">
        <f t="shared" si="25"/>
        <v/>
      </c>
      <c r="Z159" s="233" t="str">
        <f t="shared" si="7"/>
        <v/>
      </c>
      <c r="AA159" s="165"/>
      <c r="AB159" s="245"/>
      <c r="AC159" s="242" t="str">
        <f>IF(ISTEXT(AB159),VLOOKUP(AB159,'Cadastro dos Ativos'!$A$2:$C$1000,3,0),"")</f>
        <v/>
      </c>
      <c r="AD159" s="242" t="str">
        <f>IF(AB159 &lt;&gt; "",IF(AC159="Futuros", (SUMIFS('Alocação'!$O$3:$O$1002,'Alocação'!$C$3:$C$1002,AB159,'Alocação'!$F$3:$F$1002,AB$9,'Alocação'!$B$3:$B$1002,"&lt;="&amp;$B$4)), (SUMIFS('Alocação'!$O$3:$O$1002,'Alocação'!$C$3:$C$1002,AB159,'Alocação'!$F$3:$F$1002,AB$9,'Alocação'!$B$3:$B$1002,"&lt;="&amp;$B$6))),"")</f>
        <v/>
      </c>
      <c r="AE159" s="243" t="str">
        <f>iferror(IF(AC159="Ações Americanas", HLOOKUP(AB159,'Histórico'!$A$1:$DD$990,MATCH($B$6,'Histórico'!$A:$A),FALSE)*HLOOKUP("PTAX",'Histórico'!$A$1:$FG$983,MATCH($B$6,'Histórico'!$A:$A),FALSE),IF(AC159="Ações Europeias", HLOOKUP(AB159,'Histórico'!$A$1:$DD$990,MATCH($B$6,'Histórico'!$A:$A),FALSE)*HLOOKUP("EUR/BRL",'Histórico'!$A$1:$FG$983,MATCH($B$6,'Histórico'!$A:$A),FALSE), HLOOKUP(AB159,'Histórico'!$A$1:$DD$990,MATCH($B$6,'Histórico'!$A:$A),FALSE))),"")</f>
        <v/>
      </c>
      <c r="AF159" s="243" t="str">
        <f t="shared" si="21"/>
        <v/>
      </c>
      <c r="AG159" s="53"/>
      <c r="AH159" s="245"/>
      <c r="AI159" s="242" t="str">
        <f>IF(ISTEXT(AH159),VLOOKUP(AH159,'Cadastro dos Ativos'!$A$2:$C$1000,3,0),"")</f>
        <v/>
      </c>
      <c r="AJ159" s="242" t="str">
        <f>IF(AH159 &lt;&gt; "",IF(AI159="Futuros", (SUMIFS('Alocação'!$O$3:$O$1002,'Alocação'!$C$3:$C$1002,AH159,'Alocação'!$F$3:$F$1002,AH$9,'Alocação'!$B$3:$B$1002,"&lt;="&amp;$B$4)), (SUMIFS('Alocação'!$O$3:$O$1002,'Alocação'!$C$3:$C$1002,AH159,'Alocação'!$F$3:$F$1002,AH$9,'Alocação'!$B$3:$B$1002,"&lt;="&amp;$B$6))),"")</f>
        <v/>
      </c>
      <c r="AK159" s="243" t="str">
        <f>iferror(IF(AI159="Ações Americanas", HLOOKUP(AH159,'Histórico'!$A$1:$DD$990,MATCH($B$6,'Histórico'!$A:$A),FALSE)*HLOOKUP("PTAX",'Histórico'!$A$1:$FG$983,MATCH($B$6,'Histórico'!$A:$A),FALSE),IF(AI159="Ações Europeias", HLOOKUP(AH159,'Histórico'!$A$1:$DD$990,MATCH($B$6,'Histórico'!$A:$A),FALSE)*HLOOKUP("EUR/BRL",'Histórico'!$A$1:$FG$983,MATCH($B$6,'Histórico'!$A:$A),FALSE),  HLOOKUP(AH159,'Histórico'!$A$1:$DD$990,MATCH($B$6,'Histórico'!$A:$A),FALSE))),"")</f>
        <v/>
      </c>
      <c r="AL159" s="243" t="str">
        <f t="shared" si="17"/>
        <v/>
      </c>
      <c r="AM159" s="53"/>
      <c r="AN159" s="245"/>
      <c r="AO159" s="242" t="str">
        <f>IF(ISTEXT(AN159),VLOOKUP(AN159,'Cadastro dos Ativos'!$A$2:$C$1000,3,0),"")</f>
        <v/>
      </c>
      <c r="AP159" s="242" t="str">
        <f>IF(AN159 &lt;&gt; "",IF(AO159="Futuros", (SUMIFS('Alocação'!$O$3:$O$1002,'Alocação'!$C$3:$C$1002,AN159,'Alocação'!$F$3:$F$1002,AN$9,'Alocação'!$B$3:$B$1002,"&lt;="&amp;$B$4)), (SUMIFS('Alocação'!$O$3:$O$1002,'Alocação'!$C$3:$C$1002,AN159,'Alocação'!$F$3:$F$1002,AN$9,'Alocação'!$B$3:$B$1002,"&lt;="&amp;$B$6))),"")</f>
        <v/>
      </c>
      <c r="AQ159" s="243" t="str">
        <f>iferror(IF(AO159="Ações Americanas", HLOOKUP(AN159,'Histórico'!$A$1:$DD$990,MATCH($B$6,'Histórico'!$A:$A),FALSE)*HLOOKUP("PTAX",'Histórico'!$A$1:$FG$983,MATCH($B$6,'Histórico'!$A:$A),FALSE),IF(AO159="Ações Europeias", HLOOKUP(AN159,'Histórico'!$A$1:$DD$990,MATCH($B$6,'Histórico'!$A:$A),FALSE)*HLOOKUP("EUR/BRL",'Histórico'!$A$1:$FG$983,MATCH($B$6,'Histórico'!$A:$A),FALSE),  HLOOKUP(AN159,'Histórico'!$A$1:$DD$990,MATCH($B$6,'Histórico'!$A:$A),FALSE))),"")</f>
        <v/>
      </c>
      <c r="AR159" s="243" t="str">
        <f t="shared" si="18"/>
        <v/>
      </c>
      <c r="AS159" s="53"/>
      <c r="AT159" s="245"/>
      <c r="AU159" s="242" t="str">
        <f>IF(ISTEXT(AT159),VLOOKUP(AT159,'Cadastro dos Ativos'!$A$2:$C$1000,3,0),"")</f>
        <v/>
      </c>
      <c r="AV159" s="242" t="str">
        <f>IF(AT159 &lt;&gt; "",IF(AU159="Futuros", (SUMIFS('Alocação'!$O$3:$O$1002,'Alocação'!$C$3:$C$1002,AT159,'Alocação'!$F$3:$F$1002,AT$9,'Alocação'!$B$3:$B$1002,"&lt;="&amp;$B$4)), (SUMIFS('Alocação'!$O$3:$O$1002,'Alocação'!$C$3:$C$1002,AT159,'Alocação'!$F$3:$F$1002,AT$9,'Alocação'!$B$3:$B$1002,"&lt;="&amp;$B$6))),"")</f>
        <v/>
      </c>
      <c r="AW159" s="243" t="str">
        <f>iferror(IF(AU159="Ações Americanas", HLOOKUP(AT159,'Histórico'!$A$1:$DD$990,MATCH($B$6,'Histórico'!$A:$A),FALSE)*HLOOKUP("PTAX",'Histórico'!$A$1:$FG$983,MATCH($B$6,'Histórico'!$A:$A),FALSE),IF(AU159="Ações Europeias", HLOOKUP(AT159,'Histórico'!$A$1:$DD$990,MATCH($B$6,'Histórico'!$A:$A),FALSE)*HLOOKUP("EUR/BRL",'Histórico'!$A$1:$FG$983,MATCH($B$6,'Histórico'!$A:$A),FALSE),  HLOOKUP(AT159,'Histórico'!$A$1:$DD$990,MATCH($B$6,'Histórico'!$A:$A),FALSE))),"")</f>
        <v/>
      </c>
      <c r="AX159" s="243" t="str">
        <f t="shared" si="27"/>
        <v/>
      </c>
      <c r="AY159" s="183"/>
    </row>
    <row r="160" ht="15.75" customHeight="1">
      <c r="A160" s="176"/>
      <c r="B160" s="232">
        <v>45223.0</v>
      </c>
      <c r="C160" s="233"/>
      <c r="D160" s="233"/>
      <c r="E160" s="234"/>
      <c r="F160" s="233"/>
      <c r="G160" s="233"/>
      <c r="H160" s="234"/>
      <c r="I160" s="233"/>
      <c r="J160" s="233"/>
      <c r="K160" s="234"/>
      <c r="L160" s="233"/>
      <c r="M160" s="233"/>
      <c r="N160" s="240" t="str">
        <f t="shared" si="9"/>
        <v/>
      </c>
      <c r="O160" s="240" t="str">
        <f t="shared" si="10"/>
        <v/>
      </c>
      <c r="P160" s="240" t="str">
        <f t="shared" si="11"/>
        <v/>
      </c>
      <c r="Q160" s="240" t="str">
        <f t="shared" si="12"/>
        <v/>
      </c>
      <c r="R160" s="236" t="str">
        <f t="shared" si="13"/>
        <v/>
      </c>
      <c r="S160" s="177"/>
      <c r="T160" s="233" t="str">
        <f t="shared" ref="T160:U160" si="170">IF(AND(C160&lt;&gt;"",F160&lt;&gt;"",I160&lt;&gt;""), SUM(I160,F160,C160,L160),"")</f>
        <v/>
      </c>
      <c r="U160" s="233" t="str">
        <f t="shared" si="170"/>
        <v/>
      </c>
      <c r="V160" s="233" t="str">
        <f t="shared" si="6"/>
        <v/>
      </c>
      <c r="W160" s="241" t="str">
        <f t="shared" si="15"/>
        <v/>
      </c>
      <c r="X160" s="241" t="str">
        <f t="shared" si="16"/>
        <v/>
      </c>
      <c r="Y160" s="241" t="str">
        <f t="shared" si="25"/>
        <v/>
      </c>
      <c r="Z160" s="233" t="str">
        <f t="shared" si="7"/>
        <v/>
      </c>
      <c r="AA160" s="165"/>
      <c r="AB160" s="245"/>
      <c r="AC160" s="242" t="str">
        <f>IF(ISTEXT(AB160),VLOOKUP(AB160,'Cadastro dos Ativos'!$A$2:$C$1000,3,0),"")</f>
        <v/>
      </c>
      <c r="AD160" s="242" t="str">
        <f>IF(AB160 &lt;&gt; "",IF(AC160="Futuros", (SUMIFS('Alocação'!$O$3:$O$1002,'Alocação'!$C$3:$C$1002,AB160,'Alocação'!$F$3:$F$1002,AB$9,'Alocação'!$B$3:$B$1002,"&lt;="&amp;$B$4)), (SUMIFS('Alocação'!$O$3:$O$1002,'Alocação'!$C$3:$C$1002,AB160,'Alocação'!$F$3:$F$1002,AB$9,'Alocação'!$B$3:$B$1002,"&lt;="&amp;$B$6))),"")</f>
        <v/>
      </c>
      <c r="AE160" s="243" t="str">
        <f>iferror(IF(AC160="Ações Americanas", HLOOKUP(AB160,'Histórico'!$A$1:$DD$990,MATCH($B$6,'Histórico'!$A:$A),FALSE)*HLOOKUP("PTAX",'Histórico'!$A$1:$FG$983,MATCH($B$6,'Histórico'!$A:$A),FALSE),IF(AC160="Ações Europeias", HLOOKUP(AB160,'Histórico'!$A$1:$DD$990,MATCH($B$6,'Histórico'!$A:$A),FALSE)*HLOOKUP("EUR/BRL",'Histórico'!$A$1:$FG$983,MATCH($B$6,'Histórico'!$A:$A),FALSE), HLOOKUP(AB160,'Histórico'!$A$1:$DD$990,MATCH($B$6,'Histórico'!$A:$A),FALSE))),"")</f>
        <v/>
      </c>
      <c r="AF160" s="243" t="str">
        <f t="shared" si="21"/>
        <v/>
      </c>
      <c r="AG160" s="53"/>
      <c r="AH160" s="245"/>
      <c r="AI160" s="242" t="str">
        <f>IF(ISTEXT(AH160),VLOOKUP(AH160,'Cadastro dos Ativos'!$A$2:$C$1000,3,0),"")</f>
        <v/>
      </c>
      <c r="AJ160" s="242" t="str">
        <f>IF(AH160 &lt;&gt; "",IF(AI160="Futuros", (SUMIFS('Alocação'!$O$3:$O$1002,'Alocação'!$C$3:$C$1002,AH160,'Alocação'!$F$3:$F$1002,AH$9,'Alocação'!$B$3:$B$1002,"&lt;="&amp;$B$4)), (SUMIFS('Alocação'!$O$3:$O$1002,'Alocação'!$C$3:$C$1002,AH160,'Alocação'!$F$3:$F$1002,AH$9,'Alocação'!$B$3:$B$1002,"&lt;="&amp;$B$6))),"")</f>
        <v/>
      </c>
      <c r="AK160" s="243" t="str">
        <f>iferror(IF(AI160="Ações Americanas", HLOOKUP(AH160,'Histórico'!$A$1:$DD$990,MATCH($B$6,'Histórico'!$A:$A),FALSE)*HLOOKUP("PTAX",'Histórico'!$A$1:$FG$983,MATCH($B$6,'Histórico'!$A:$A),FALSE),IF(AI160="Ações Europeias", HLOOKUP(AH160,'Histórico'!$A$1:$DD$990,MATCH($B$6,'Histórico'!$A:$A),FALSE)*HLOOKUP("EUR/BRL",'Histórico'!$A$1:$FG$983,MATCH($B$6,'Histórico'!$A:$A),FALSE),  HLOOKUP(AH160,'Histórico'!$A$1:$DD$990,MATCH($B$6,'Histórico'!$A:$A),FALSE))),"")</f>
        <v/>
      </c>
      <c r="AL160" s="243" t="str">
        <f t="shared" si="17"/>
        <v/>
      </c>
      <c r="AM160" s="53"/>
      <c r="AN160" s="245"/>
      <c r="AO160" s="242" t="str">
        <f>IF(ISTEXT(AN160),VLOOKUP(AN160,'Cadastro dos Ativos'!$A$2:$C$1000,3,0),"")</f>
        <v/>
      </c>
      <c r="AP160" s="242" t="str">
        <f>IF(AN160 &lt;&gt; "",IF(AO160="Futuros", (SUMIFS('Alocação'!$O$3:$O$1002,'Alocação'!$C$3:$C$1002,AN160,'Alocação'!$F$3:$F$1002,AN$9,'Alocação'!$B$3:$B$1002,"&lt;="&amp;$B$4)), (SUMIFS('Alocação'!$O$3:$O$1002,'Alocação'!$C$3:$C$1002,AN160,'Alocação'!$F$3:$F$1002,AN$9,'Alocação'!$B$3:$B$1002,"&lt;="&amp;$B$6))),"")</f>
        <v/>
      </c>
      <c r="AQ160" s="243" t="str">
        <f>iferror(IF(AO160="Ações Americanas", HLOOKUP(AN160,'Histórico'!$A$1:$DD$990,MATCH($B$6,'Histórico'!$A:$A),FALSE)*HLOOKUP("PTAX",'Histórico'!$A$1:$FG$983,MATCH($B$6,'Histórico'!$A:$A),FALSE),IF(AO160="Ações Europeias", HLOOKUP(AN160,'Histórico'!$A$1:$DD$990,MATCH($B$6,'Histórico'!$A:$A),FALSE)*HLOOKUP("EUR/BRL",'Histórico'!$A$1:$FG$983,MATCH($B$6,'Histórico'!$A:$A),FALSE),  HLOOKUP(AN160,'Histórico'!$A$1:$DD$990,MATCH($B$6,'Histórico'!$A:$A),FALSE))),"")</f>
        <v/>
      </c>
      <c r="AR160" s="243" t="str">
        <f t="shared" si="18"/>
        <v/>
      </c>
      <c r="AS160" s="53"/>
      <c r="AT160" s="245"/>
      <c r="AU160" s="242" t="str">
        <f>IF(ISTEXT(AT160),VLOOKUP(AT160,'Cadastro dos Ativos'!$A$2:$C$1000,3,0),"")</f>
        <v/>
      </c>
      <c r="AV160" s="242" t="str">
        <f>IF(AT160 &lt;&gt; "",IF(AU160="Futuros", (SUMIFS('Alocação'!$O$3:$O$1002,'Alocação'!$C$3:$C$1002,AT160,'Alocação'!$F$3:$F$1002,AT$9,'Alocação'!$B$3:$B$1002,"&lt;="&amp;$B$4)), (SUMIFS('Alocação'!$O$3:$O$1002,'Alocação'!$C$3:$C$1002,AT160,'Alocação'!$F$3:$F$1002,AT$9,'Alocação'!$B$3:$B$1002,"&lt;="&amp;$B$6))),"")</f>
        <v/>
      </c>
      <c r="AW160" s="243" t="str">
        <f>iferror(IF(AU160="Ações Americanas", HLOOKUP(AT160,'Histórico'!$A$1:$DD$990,MATCH($B$6,'Histórico'!$A:$A),FALSE)*HLOOKUP("PTAX",'Histórico'!$A$1:$FG$983,MATCH($B$6,'Histórico'!$A:$A),FALSE),IF(AU160="Ações Europeias", HLOOKUP(AT160,'Histórico'!$A$1:$DD$990,MATCH($B$6,'Histórico'!$A:$A),FALSE)*HLOOKUP("EUR/BRL",'Histórico'!$A$1:$FG$983,MATCH($B$6,'Histórico'!$A:$A),FALSE),  HLOOKUP(AT160,'Histórico'!$A$1:$DD$990,MATCH($B$6,'Histórico'!$A:$A),FALSE))),"")</f>
        <v/>
      </c>
      <c r="AX160" s="243" t="str">
        <f t="shared" si="27"/>
        <v/>
      </c>
      <c r="AY160" s="183"/>
    </row>
    <row r="161" ht="15.75" customHeight="1">
      <c r="A161" s="176"/>
      <c r="B161" s="232">
        <v>45224.0</v>
      </c>
      <c r="C161" s="233"/>
      <c r="D161" s="233"/>
      <c r="E161" s="234"/>
      <c r="F161" s="233"/>
      <c r="G161" s="233"/>
      <c r="H161" s="234"/>
      <c r="I161" s="233"/>
      <c r="J161" s="233"/>
      <c r="K161" s="234"/>
      <c r="L161" s="233"/>
      <c r="M161" s="233"/>
      <c r="N161" s="240" t="str">
        <f t="shared" si="9"/>
        <v/>
      </c>
      <c r="O161" s="240" t="str">
        <f t="shared" si="10"/>
        <v/>
      </c>
      <c r="P161" s="240" t="str">
        <f t="shared" si="11"/>
        <v/>
      </c>
      <c r="Q161" s="240" t="str">
        <f t="shared" si="12"/>
        <v/>
      </c>
      <c r="R161" s="236" t="str">
        <f t="shared" si="13"/>
        <v/>
      </c>
      <c r="S161" s="177"/>
      <c r="T161" s="233" t="str">
        <f t="shared" ref="T161:U161" si="171">IF(AND(C161&lt;&gt;"",F161&lt;&gt;"",I161&lt;&gt;""), SUM(I161,F161,C161,L161),"")</f>
        <v/>
      </c>
      <c r="U161" s="233" t="str">
        <f t="shared" si="171"/>
        <v/>
      </c>
      <c r="V161" s="233" t="str">
        <f t="shared" si="6"/>
        <v/>
      </c>
      <c r="W161" s="241" t="str">
        <f t="shared" si="15"/>
        <v/>
      </c>
      <c r="X161" s="241" t="str">
        <f t="shared" si="16"/>
        <v/>
      </c>
      <c r="Y161" s="241" t="str">
        <f t="shared" si="25"/>
        <v/>
      </c>
      <c r="Z161" s="233" t="str">
        <f t="shared" si="7"/>
        <v/>
      </c>
      <c r="AA161" s="165"/>
      <c r="AB161" s="245"/>
      <c r="AC161" s="242" t="str">
        <f>IF(ISTEXT(AB161),VLOOKUP(AB161,'Cadastro dos Ativos'!$A$2:$C$1000,3,0),"")</f>
        <v/>
      </c>
      <c r="AD161" s="242" t="str">
        <f>IF(AB161 &lt;&gt; "",IF(AC161="Futuros", (SUMIFS('Alocação'!$O$3:$O$1002,'Alocação'!$C$3:$C$1002,AB161,'Alocação'!$F$3:$F$1002,AB$9,'Alocação'!$B$3:$B$1002,"&lt;="&amp;$B$4)), (SUMIFS('Alocação'!$O$3:$O$1002,'Alocação'!$C$3:$C$1002,AB161,'Alocação'!$F$3:$F$1002,AB$9,'Alocação'!$B$3:$B$1002,"&lt;="&amp;$B$6))),"")</f>
        <v/>
      </c>
      <c r="AE161" s="243" t="str">
        <f>iferror(IF(AC161="Ações Americanas", HLOOKUP(AB161,'Histórico'!$A$1:$DD$990,MATCH($B$6,'Histórico'!$A:$A),FALSE)*HLOOKUP("PTAX",'Histórico'!$A$1:$FG$983,MATCH($B$6,'Histórico'!$A:$A),FALSE),IF(AC161="Ações Europeias", HLOOKUP(AB161,'Histórico'!$A$1:$DD$990,MATCH($B$6,'Histórico'!$A:$A),FALSE)*HLOOKUP("EUR/BRL",'Histórico'!$A$1:$FG$983,MATCH($B$6,'Histórico'!$A:$A),FALSE), HLOOKUP(AB161,'Histórico'!$A$1:$DD$990,MATCH($B$6,'Histórico'!$A:$A),FALSE))),"")</f>
        <v/>
      </c>
      <c r="AF161" s="243" t="str">
        <f t="shared" si="21"/>
        <v/>
      </c>
      <c r="AG161" s="53"/>
      <c r="AH161" s="245"/>
      <c r="AI161" s="242" t="str">
        <f>IF(ISTEXT(AH161),VLOOKUP(AH161,'Cadastro dos Ativos'!$A$2:$C$1000,3,0),"")</f>
        <v/>
      </c>
      <c r="AJ161" s="242" t="str">
        <f>IF(AH161 &lt;&gt; "",IF(AI161="Futuros", (SUMIFS('Alocação'!$O$3:$O$1002,'Alocação'!$C$3:$C$1002,AH161,'Alocação'!$F$3:$F$1002,AH$9,'Alocação'!$B$3:$B$1002,"&lt;="&amp;$B$4)), (SUMIFS('Alocação'!$O$3:$O$1002,'Alocação'!$C$3:$C$1002,AH161,'Alocação'!$F$3:$F$1002,AH$9,'Alocação'!$B$3:$B$1002,"&lt;="&amp;$B$6))),"")</f>
        <v/>
      </c>
      <c r="AK161" s="243" t="str">
        <f>iferror(IF(AI161="Ações Americanas", HLOOKUP(AH161,'Histórico'!$A$1:$DD$990,MATCH($B$6,'Histórico'!$A:$A),FALSE)*HLOOKUP("PTAX",'Histórico'!$A$1:$FG$983,MATCH($B$6,'Histórico'!$A:$A),FALSE),IF(AI161="Ações Europeias", HLOOKUP(AH161,'Histórico'!$A$1:$DD$990,MATCH($B$6,'Histórico'!$A:$A),FALSE)*HLOOKUP("EUR/BRL",'Histórico'!$A$1:$FG$983,MATCH($B$6,'Histórico'!$A:$A),FALSE),  HLOOKUP(AH161,'Histórico'!$A$1:$DD$990,MATCH($B$6,'Histórico'!$A:$A),FALSE))),"")</f>
        <v/>
      </c>
      <c r="AL161" s="243" t="str">
        <f t="shared" si="17"/>
        <v/>
      </c>
      <c r="AM161" s="53"/>
      <c r="AN161" s="245"/>
      <c r="AO161" s="242" t="str">
        <f>IF(ISTEXT(AN161),VLOOKUP(AN161,'Cadastro dos Ativos'!$A$2:$C$1000,3,0),"")</f>
        <v/>
      </c>
      <c r="AP161" s="242" t="str">
        <f>IF(AN161 &lt;&gt; "",IF(AO161="Futuros", (SUMIFS('Alocação'!$O$3:$O$1002,'Alocação'!$C$3:$C$1002,AN161,'Alocação'!$F$3:$F$1002,AN$9,'Alocação'!$B$3:$B$1002,"&lt;="&amp;$B$4)), (SUMIFS('Alocação'!$O$3:$O$1002,'Alocação'!$C$3:$C$1002,AN161,'Alocação'!$F$3:$F$1002,AN$9,'Alocação'!$B$3:$B$1002,"&lt;="&amp;$B$6))),"")</f>
        <v/>
      </c>
      <c r="AQ161" s="243" t="str">
        <f>iferror(IF(AO161="Ações Americanas", HLOOKUP(AN161,'Histórico'!$A$1:$DD$990,MATCH($B$6,'Histórico'!$A:$A),FALSE)*HLOOKUP("PTAX",'Histórico'!$A$1:$FG$983,MATCH($B$6,'Histórico'!$A:$A),FALSE),IF(AO161="Ações Europeias", HLOOKUP(AN161,'Histórico'!$A$1:$DD$990,MATCH($B$6,'Histórico'!$A:$A),FALSE)*HLOOKUP("EUR/BRL",'Histórico'!$A$1:$FG$983,MATCH($B$6,'Histórico'!$A:$A),FALSE),  HLOOKUP(AN161,'Histórico'!$A$1:$DD$990,MATCH($B$6,'Histórico'!$A:$A),FALSE))),"")</f>
        <v/>
      </c>
      <c r="AR161" s="243" t="str">
        <f t="shared" si="18"/>
        <v/>
      </c>
      <c r="AS161" s="53"/>
      <c r="AT161" s="245"/>
      <c r="AU161" s="242" t="str">
        <f>IF(ISTEXT(AT161),VLOOKUP(AT161,'Cadastro dos Ativos'!$A$2:$C$1000,3,0),"")</f>
        <v/>
      </c>
      <c r="AV161" s="242" t="str">
        <f>IF(AT161 &lt;&gt; "",IF(AU161="Futuros", (SUMIFS('Alocação'!$O$3:$O$1002,'Alocação'!$C$3:$C$1002,AT161,'Alocação'!$F$3:$F$1002,AT$9,'Alocação'!$B$3:$B$1002,"&lt;="&amp;$B$4)), (SUMIFS('Alocação'!$O$3:$O$1002,'Alocação'!$C$3:$C$1002,AT161,'Alocação'!$F$3:$F$1002,AT$9,'Alocação'!$B$3:$B$1002,"&lt;="&amp;$B$6))),"")</f>
        <v/>
      </c>
      <c r="AW161" s="243" t="str">
        <f>iferror(IF(AU161="Ações Americanas", HLOOKUP(AT161,'Histórico'!$A$1:$DD$990,MATCH($B$6,'Histórico'!$A:$A),FALSE)*HLOOKUP("PTAX",'Histórico'!$A$1:$FG$983,MATCH($B$6,'Histórico'!$A:$A),FALSE),IF(AU161="Ações Europeias", HLOOKUP(AT161,'Histórico'!$A$1:$DD$990,MATCH($B$6,'Histórico'!$A:$A),FALSE)*HLOOKUP("EUR/BRL",'Histórico'!$A$1:$FG$983,MATCH($B$6,'Histórico'!$A:$A),FALSE),  HLOOKUP(AT161,'Histórico'!$A$1:$DD$990,MATCH($B$6,'Histórico'!$A:$A),FALSE))),"")</f>
        <v/>
      </c>
      <c r="AX161" s="243" t="str">
        <f t="shared" si="27"/>
        <v/>
      </c>
      <c r="AY161" s="183"/>
    </row>
    <row r="162" ht="15.75" customHeight="1">
      <c r="A162" s="176"/>
      <c r="B162" s="232">
        <v>45225.0</v>
      </c>
      <c r="C162" s="233"/>
      <c r="D162" s="233"/>
      <c r="E162" s="234"/>
      <c r="F162" s="233"/>
      <c r="G162" s="233"/>
      <c r="H162" s="234"/>
      <c r="I162" s="233"/>
      <c r="J162" s="233"/>
      <c r="K162" s="234"/>
      <c r="L162" s="233"/>
      <c r="M162" s="233"/>
      <c r="N162" s="240" t="str">
        <f t="shared" si="9"/>
        <v/>
      </c>
      <c r="O162" s="240" t="str">
        <f t="shared" si="10"/>
        <v/>
      </c>
      <c r="P162" s="240" t="str">
        <f t="shared" si="11"/>
        <v/>
      </c>
      <c r="Q162" s="240" t="str">
        <f t="shared" si="12"/>
        <v/>
      </c>
      <c r="R162" s="236" t="str">
        <f t="shared" si="13"/>
        <v/>
      </c>
      <c r="S162" s="177"/>
      <c r="T162" s="233" t="str">
        <f t="shared" ref="T162:U162" si="172">IF(AND(C162&lt;&gt;"",F162&lt;&gt;"",I162&lt;&gt;""), SUM(I162,F162,C162,L162),"")</f>
        <v/>
      </c>
      <c r="U162" s="233" t="str">
        <f t="shared" si="172"/>
        <v/>
      </c>
      <c r="V162" s="233" t="str">
        <f t="shared" si="6"/>
        <v/>
      </c>
      <c r="W162" s="241" t="str">
        <f t="shared" si="15"/>
        <v/>
      </c>
      <c r="X162" s="241" t="str">
        <f t="shared" si="16"/>
        <v/>
      </c>
      <c r="Y162" s="241" t="str">
        <f t="shared" si="25"/>
        <v/>
      </c>
      <c r="Z162" s="233" t="str">
        <f t="shared" si="7"/>
        <v/>
      </c>
      <c r="AA162" s="165"/>
      <c r="AB162" s="245"/>
      <c r="AC162" s="242" t="str">
        <f>IF(ISTEXT(AB162),VLOOKUP(AB162,'Cadastro dos Ativos'!$A$2:$C$1000,3,0),"")</f>
        <v/>
      </c>
      <c r="AD162" s="242" t="str">
        <f>IF(AB162 &lt;&gt; "",IF(AC162="Futuros", (SUMIFS('Alocação'!$O$3:$O$1002,'Alocação'!$C$3:$C$1002,AB162,'Alocação'!$F$3:$F$1002,AB$9,'Alocação'!$B$3:$B$1002,"&lt;="&amp;$B$4)), (SUMIFS('Alocação'!$O$3:$O$1002,'Alocação'!$C$3:$C$1002,AB162,'Alocação'!$F$3:$F$1002,AB$9,'Alocação'!$B$3:$B$1002,"&lt;="&amp;$B$6))),"")</f>
        <v/>
      </c>
      <c r="AE162" s="243" t="str">
        <f>iferror(IF(AC162="Ações Americanas", HLOOKUP(AB162,'Histórico'!$A$1:$DD$990,MATCH($B$6,'Histórico'!$A:$A),FALSE)*HLOOKUP("PTAX",'Histórico'!$A$1:$FG$983,MATCH($B$6,'Histórico'!$A:$A),FALSE),IF(AC162="Ações Europeias", HLOOKUP(AB162,'Histórico'!$A$1:$DD$990,MATCH($B$6,'Histórico'!$A:$A),FALSE)*HLOOKUP("EUR/BRL",'Histórico'!$A$1:$FG$983,MATCH($B$6,'Histórico'!$A:$A),FALSE), HLOOKUP(AB162,'Histórico'!$A$1:$DD$990,MATCH($B$6,'Histórico'!$A:$A),FALSE))),"")</f>
        <v/>
      </c>
      <c r="AF162" s="243" t="str">
        <f t="shared" si="21"/>
        <v/>
      </c>
      <c r="AG162" s="53"/>
      <c r="AH162" s="245"/>
      <c r="AI162" s="242" t="str">
        <f>IF(ISTEXT(AH162),VLOOKUP(AH162,'Cadastro dos Ativos'!$A$2:$C$1000,3,0),"")</f>
        <v/>
      </c>
      <c r="AJ162" s="242" t="str">
        <f>IF(AH162 &lt;&gt; "",IF(AI162="Futuros", (SUMIFS('Alocação'!$O$3:$O$1002,'Alocação'!$C$3:$C$1002,AH162,'Alocação'!$F$3:$F$1002,AH$9,'Alocação'!$B$3:$B$1002,"&lt;="&amp;$B$4)), (SUMIFS('Alocação'!$O$3:$O$1002,'Alocação'!$C$3:$C$1002,AH162,'Alocação'!$F$3:$F$1002,AH$9,'Alocação'!$B$3:$B$1002,"&lt;="&amp;$B$6))),"")</f>
        <v/>
      </c>
      <c r="AK162" s="243" t="str">
        <f>iferror(IF(AI162="Ações Americanas", HLOOKUP(AH162,'Histórico'!$A$1:$DD$990,MATCH($B$6,'Histórico'!$A:$A),FALSE)*HLOOKUP("PTAX",'Histórico'!$A$1:$FG$983,MATCH($B$6,'Histórico'!$A:$A),FALSE),IF(AI162="Ações Europeias", HLOOKUP(AH162,'Histórico'!$A$1:$DD$990,MATCH($B$6,'Histórico'!$A:$A),FALSE)*HLOOKUP("EUR/BRL",'Histórico'!$A$1:$FG$983,MATCH($B$6,'Histórico'!$A:$A),FALSE),  HLOOKUP(AH162,'Histórico'!$A$1:$DD$990,MATCH($B$6,'Histórico'!$A:$A),FALSE))),"")</f>
        <v/>
      </c>
      <c r="AL162" s="243" t="str">
        <f t="shared" si="17"/>
        <v/>
      </c>
      <c r="AM162" s="53"/>
      <c r="AN162" s="245"/>
      <c r="AO162" s="242" t="str">
        <f>IF(ISTEXT(AN162),VLOOKUP(AN162,'Cadastro dos Ativos'!$A$2:$C$1000,3,0),"")</f>
        <v/>
      </c>
      <c r="AP162" s="242" t="str">
        <f>IF(AN162 &lt;&gt; "",IF(AO162="Futuros", (SUMIFS('Alocação'!$O$3:$O$1002,'Alocação'!$C$3:$C$1002,AN162,'Alocação'!$F$3:$F$1002,AN$9,'Alocação'!$B$3:$B$1002,"&lt;="&amp;$B$4)), (SUMIFS('Alocação'!$O$3:$O$1002,'Alocação'!$C$3:$C$1002,AN162,'Alocação'!$F$3:$F$1002,AN$9,'Alocação'!$B$3:$B$1002,"&lt;="&amp;$B$6))),"")</f>
        <v/>
      </c>
      <c r="AQ162" s="243" t="str">
        <f>iferror(IF(AO162="Ações Americanas", HLOOKUP(AN162,'Histórico'!$A$1:$DD$990,MATCH($B$6,'Histórico'!$A:$A),FALSE)*HLOOKUP("PTAX",'Histórico'!$A$1:$FG$983,MATCH($B$6,'Histórico'!$A:$A),FALSE),IF(AO162="Ações Europeias", HLOOKUP(AN162,'Histórico'!$A$1:$DD$990,MATCH($B$6,'Histórico'!$A:$A),FALSE)*HLOOKUP("EUR/BRL",'Histórico'!$A$1:$FG$983,MATCH($B$6,'Histórico'!$A:$A),FALSE),  HLOOKUP(AN162,'Histórico'!$A$1:$DD$990,MATCH($B$6,'Histórico'!$A:$A),FALSE))),"")</f>
        <v/>
      </c>
      <c r="AR162" s="243" t="str">
        <f t="shared" si="18"/>
        <v/>
      </c>
      <c r="AS162" s="53"/>
      <c r="AT162" s="245"/>
      <c r="AU162" s="242" t="str">
        <f>IF(ISTEXT(AT162),VLOOKUP(AT162,'Cadastro dos Ativos'!$A$2:$C$1000,3,0),"")</f>
        <v/>
      </c>
      <c r="AV162" s="242" t="str">
        <f>IF(AT162 &lt;&gt; "",IF(AU162="Futuros", (SUMIFS('Alocação'!$O$3:$O$1002,'Alocação'!$C$3:$C$1002,AT162,'Alocação'!$F$3:$F$1002,AT$9,'Alocação'!$B$3:$B$1002,"&lt;="&amp;$B$4)), (SUMIFS('Alocação'!$O$3:$O$1002,'Alocação'!$C$3:$C$1002,AT162,'Alocação'!$F$3:$F$1002,AT$9,'Alocação'!$B$3:$B$1002,"&lt;="&amp;$B$6))),"")</f>
        <v/>
      </c>
      <c r="AW162" s="243" t="str">
        <f>iferror(IF(AU162="Ações Americanas", HLOOKUP(AT162,'Histórico'!$A$1:$DD$990,MATCH($B$6,'Histórico'!$A:$A),FALSE)*HLOOKUP("PTAX",'Histórico'!$A$1:$FG$983,MATCH($B$6,'Histórico'!$A:$A),FALSE),IF(AU162="Ações Europeias", HLOOKUP(AT162,'Histórico'!$A$1:$DD$990,MATCH($B$6,'Histórico'!$A:$A),FALSE)*HLOOKUP("EUR/BRL",'Histórico'!$A$1:$FG$983,MATCH($B$6,'Histórico'!$A:$A),FALSE),  HLOOKUP(AT162,'Histórico'!$A$1:$DD$990,MATCH($B$6,'Histórico'!$A:$A),FALSE))),"")</f>
        <v/>
      </c>
      <c r="AX162" s="243" t="str">
        <f t="shared" si="27"/>
        <v/>
      </c>
      <c r="AY162" s="183"/>
    </row>
    <row r="163" ht="15.75" customHeight="1">
      <c r="A163" s="176"/>
      <c r="B163" s="232">
        <v>45226.0</v>
      </c>
      <c r="C163" s="233"/>
      <c r="D163" s="233"/>
      <c r="E163" s="234"/>
      <c r="F163" s="233"/>
      <c r="G163" s="233"/>
      <c r="H163" s="234"/>
      <c r="I163" s="233"/>
      <c r="J163" s="233"/>
      <c r="K163" s="234"/>
      <c r="L163" s="233"/>
      <c r="M163" s="233"/>
      <c r="N163" s="240" t="str">
        <f t="shared" si="9"/>
        <v/>
      </c>
      <c r="O163" s="240" t="str">
        <f t="shared" si="10"/>
        <v/>
      </c>
      <c r="P163" s="240" t="str">
        <f t="shared" si="11"/>
        <v/>
      </c>
      <c r="Q163" s="240" t="str">
        <f t="shared" si="12"/>
        <v/>
      </c>
      <c r="R163" s="236" t="str">
        <f t="shared" si="13"/>
        <v/>
      </c>
      <c r="S163" s="177"/>
      <c r="T163" s="233" t="str">
        <f t="shared" ref="T163:U163" si="173">IF(AND(C163&lt;&gt;"",F163&lt;&gt;"",I163&lt;&gt;""), SUM(I163,F163,C163,L163),"")</f>
        <v/>
      </c>
      <c r="U163" s="233" t="str">
        <f t="shared" si="173"/>
        <v/>
      </c>
      <c r="V163" s="233" t="str">
        <f t="shared" si="6"/>
        <v/>
      </c>
      <c r="W163" s="241" t="str">
        <f t="shared" si="15"/>
        <v/>
      </c>
      <c r="X163" s="241" t="str">
        <f t="shared" si="16"/>
        <v/>
      </c>
      <c r="Y163" s="241" t="str">
        <f t="shared" si="25"/>
        <v/>
      </c>
      <c r="Z163" s="233" t="str">
        <f t="shared" si="7"/>
        <v/>
      </c>
      <c r="AA163" s="165"/>
      <c r="AB163" s="245"/>
      <c r="AC163" s="242" t="str">
        <f>IF(ISTEXT(AB163),VLOOKUP(AB163,'Cadastro dos Ativos'!$A$2:$C$1000,3,0),"")</f>
        <v/>
      </c>
      <c r="AD163" s="242" t="str">
        <f>IF(AB163 &lt;&gt; "",IF(AC163="Futuros", (SUMIFS('Alocação'!$O$3:$O$1002,'Alocação'!$C$3:$C$1002,AB163,'Alocação'!$F$3:$F$1002,AB$9,'Alocação'!$B$3:$B$1002,"&lt;="&amp;$B$4)), (SUMIFS('Alocação'!$O$3:$O$1002,'Alocação'!$C$3:$C$1002,AB163,'Alocação'!$F$3:$F$1002,AB$9,'Alocação'!$B$3:$B$1002,"&lt;="&amp;$B$6))),"")</f>
        <v/>
      </c>
      <c r="AE163" s="243" t="str">
        <f>iferror(IF(AC163="Ações Americanas", HLOOKUP(AB163,'Histórico'!$A$1:$DD$990,MATCH($B$6,'Histórico'!$A:$A),FALSE)*HLOOKUP("PTAX",'Histórico'!$A$1:$FG$983,MATCH($B$6,'Histórico'!$A:$A),FALSE),IF(AC163="Ações Europeias", HLOOKUP(AB163,'Histórico'!$A$1:$DD$990,MATCH($B$6,'Histórico'!$A:$A),FALSE)*HLOOKUP("EUR/BRL",'Histórico'!$A$1:$FG$983,MATCH($B$6,'Histórico'!$A:$A),FALSE), HLOOKUP(AB163,'Histórico'!$A$1:$DD$990,MATCH($B$6,'Histórico'!$A:$A),FALSE))),"")</f>
        <v/>
      </c>
      <c r="AF163" s="243" t="str">
        <f t="shared" si="21"/>
        <v/>
      </c>
      <c r="AG163" s="53"/>
      <c r="AH163" s="245"/>
      <c r="AI163" s="242" t="str">
        <f>IF(ISTEXT(AH163),VLOOKUP(AH163,'Cadastro dos Ativos'!$A$2:$C$1000,3,0),"")</f>
        <v/>
      </c>
      <c r="AJ163" s="242" t="str">
        <f>IF(AH163 &lt;&gt; "",IF(AI163="Futuros", (SUMIFS('Alocação'!$O$3:$O$1002,'Alocação'!$C$3:$C$1002,AH163,'Alocação'!$F$3:$F$1002,AH$9,'Alocação'!$B$3:$B$1002,"&lt;="&amp;$B$4)), (SUMIFS('Alocação'!$O$3:$O$1002,'Alocação'!$C$3:$C$1002,AH163,'Alocação'!$F$3:$F$1002,AH$9,'Alocação'!$B$3:$B$1002,"&lt;="&amp;$B$6))),"")</f>
        <v/>
      </c>
      <c r="AK163" s="243" t="str">
        <f>iferror(IF(AI163="Ações Americanas", HLOOKUP(AH163,'Histórico'!$A$1:$DD$990,MATCH($B$6,'Histórico'!$A:$A),FALSE)*HLOOKUP("PTAX",'Histórico'!$A$1:$FG$983,MATCH($B$6,'Histórico'!$A:$A),FALSE),IF(AI163="Ações Europeias", HLOOKUP(AH163,'Histórico'!$A$1:$DD$990,MATCH($B$6,'Histórico'!$A:$A),FALSE)*HLOOKUP("EUR/BRL",'Histórico'!$A$1:$FG$983,MATCH($B$6,'Histórico'!$A:$A),FALSE),  HLOOKUP(AH163,'Histórico'!$A$1:$DD$990,MATCH($B$6,'Histórico'!$A:$A),FALSE))),"")</f>
        <v/>
      </c>
      <c r="AL163" s="243" t="str">
        <f t="shared" si="17"/>
        <v/>
      </c>
      <c r="AM163" s="53"/>
      <c r="AN163" s="245"/>
      <c r="AO163" s="242" t="str">
        <f>IF(ISTEXT(AN163),VLOOKUP(AN163,'Cadastro dos Ativos'!$A$2:$C$1000,3,0),"")</f>
        <v/>
      </c>
      <c r="AP163" s="242" t="str">
        <f>IF(AN163 &lt;&gt; "",IF(AO163="Futuros", (SUMIFS('Alocação'!$O$3:$O$1002,'Alocação'!$C$3:$C$1002,AN163,'Alocação'!$F$3:$F$1002,AN$9,'Alocação'!$B$3:$B$1002,"&lt;="&amp;$B$4)), (SUMIFS('Alocação'!$O$3:$O$1002,'Alocação'!$C$3:$C$1002,AN163,'Alocação'!$F$3:$F$1002,AN$9,'Alocação'!$B$3:$B$1002,"&lt;="&amp;$B$6))),"")</f>
        <v/>
      </c>
      <c r="AQ163" s="243" t="str">
        <f>iferror(IF(AO163="Ações Americanas", HLOOKUP(AN163,'Histórico'!$A$1:$DD$990,MATCH($B$6,'Histórico'!$A:$A),FALSE)*HLOOKUP("PTAX",'Histórico'!$A$1:$FG$983,MATCH($B$6,'Histórico'!$A:$A),FALSE),IF(AO163="Ações Europeias", HLOOKUP(AN163,'Histórico'!$A$1:$DD$990,MATCH($B$6,'Histórico'!$A:$A),FALSE)*HLOOKUP("EUR/BRL",'Histórico'!$A$1:$FG$983,MATCH($B$6,'Histórico'!$A:$A),FALSE),  HLOOKUP(AN163,'Histórico'!$A$1:$DD$990,MATCH($B$6,'Histórico'!$A:$A),FALSE))),"")</f>
        <v/>
      </c>
      <c r="AR163" s="243" t="str">
        <f t="shared" si="18"/>
        <v/>
      </c>
      <c r="AS163" s="53"/>
      <c r="AT163" s="245"/>
      <c r="AU163" s="242" t="str">
        <f>IF(ISTEXT(AT163),VLOOKUP(AT163,'Cadastro dos Ativos'!$A$2:$C$1000,3,0),"")</f>
        <v/>
      </c>
      <c r="AV163" s="242" t="str">
        <f>IF(AT163 &lt;&gt; "",IF(AU163="Futuros", (SUMIFS('Alocação'!$O$3:$O$1002,'Alocação'!$C$3:$C$1002,AT163,'Alocação'!$F$3:$F$1002,AT$9,'Alocação'!$B$3:$B$1002,"&lt;="&amp;$B$4)), (SUMIFS('Alocação'!$O$3:$O$1002,'Alocação'!$C$3:$C$1002,AT163,'Alocação'!$F$3:$F$1002,AT$9,'Alocação'!$B$3:$B$1002,"&lt;="&amp;$B$6))),"")</f>
        <v/>
      </c>
      <c r="AW163" s="243" t="str">
        <f>iferror(IF(AU163="Ações Americanas", HLOOKUP(AT163,'Histórico'!$A$1:$DD$990,MATCH($B$6,'Histórico'!$A:$A),FALSE)*HLOOKUP("PTAX",'Histórico'!$A$1:$FG$983,MATCH($B$6,'Histórico'!$A:$A),FALSE),IF(AU163="Ações Europeias", HLOOKUP(AT163,'Histórico'!$A$1:$DD$990,MATCH($B$6,'Histórico'!$A:$A),FALSE)*HLOOKUP("EUR/BRL",'Histórico'!$A$1:$FG$983,MATCH($B$6,'Histórico'!$A:$A),FALSE),  HLOOKUP(AT163,'Histórico'!$A$1:$DD$990,MATCH($B$6,'Histórico'!$A:$A),FALSE))),"")</f>
        <v/>
      </c>
      <c r="AX163" s="243" t="str">
        <f t="shared" si="27"/>
        <v/>
      </c>
      <c r="AY163" s="183"/>
    </row>
    <row r="164" ht="15.75" customHeight="1">
      <c r="A164" s="176"/>
      <c r="B164" s="232">
        <v>45229.0</v>
      </c>
      <c r="C164" s="233"/>
      <c r="D164" s="233"/>
      <c r="E164" s="234"/>
      <c r="F164" s="233"/>
      <c r="G164" s="233"/>
      <c r="H164" s="234"/>
      <c r="I164" s="233"/>
      <c r="J164" s="233"/>
      <c r="K164" s="234"/>
      <c r="L164" s="233"/>
      <c r="M164" s="233"/>
      <c r="N164" s="240" t="str">
        <f t="shared" si="9"/>
        <v/>
      </c>
      <c r="O164" s="240" t="str">
        <f t="shared" si="10"/>
        <v/>
      </c>
      <c r="P164" s="240" t="str">
        <f t="shared" si="11"/>
        <v/>
      </c>
      <c r="Q164" s="240" t="str">
        <f t="shared" si="12"/>
        <v/>
      </c>
      <c r="R164" s="236" t="str">
        <f t="shared" si="13"/>
        <v/>
      </c>
      <c r="S164" s="177"/>
      <c r="T164" s="233" t="str">
        <f t="shared" ref="T164:U164" si="174">IF(AND(C164&lt;&gt;"",F164&lt;&gt;"",I164&lt;&gt;""), SUM(I164,F164,C164,L164),"")</f>
        <v/>
      </c>
      <c r="U164" s="233" t="str">
        <f t="shared" si="174"/>
        <v/>
      </c>
      <c r="V164" s="233" t="str">
        <f t="shared" si="6"/>
        <v/>
      </c>
      <c r="W164" s="241" t="str">
        <f t="shared" si="15"/>
        <v/>
      </c>
      <c r="X164" s="241" t="str">
        <f t="shared" si="16"/>
        <v/>
      </c>
      <c r="Y164" s="241" t="str">
        <f t="shared" si="25"/>
        <v/>
      </c>
      <c r="Z164" s="233" t="str">
        <f t="shared" si="7"/>
        <v/>
      </c>
      <c r="AA164" s="165"/>
      <c r="AB164" s="245"/>
      <c r="AC164" s="242" t="str">
        <f>IF(ISTEXT(AB164),VLOOKUP(AB164,'Cadastro dos Ativos'!$A$2:$C$1000,3,0),"")</f>
        <v/>
      </c>
      <c r="AD164" s="242" t="str">
        <f>IF(AB164 &lt;&gt; "",IF(AC164="Futuros", (SUMIFS('Alocação'!$O$3:$O$1002,'Alocação'!$C$3:$C$1002,AB164,'Alocação'!$F$3:$F$1002,AB$9,'Alocação'!$B$3:$B$1002,"&lt;="&amp;$B$4)), (SUMIFS('Alocação'!$O$3:$O$1002,'Alocação'!$C$3:$C$1002,AB164,'Alocação'!$F$3:$F$1002,AB$9,'Alocação'!$B$3:$B$1002,"&lt;="&amp;$B$6))),"")</f>
        <v/>
      </c>
      <c r="AE164" s="243" t="str">
        <f>iferror(IF(AC164="Ações Americanas", HLOOKUP(AB164,'Histórico'!$A$1:$DD$990,MATCH($B$6,'Histórico'!$A:$A),FALSE)*HLOOKUP("PTAX",'Histórico'!$A$1:$FG$983,MATCH($B$6,'Histórico'!$A:$A),FALSE),IF(AC164="Ações Europeias", HLOOKUP(AB164,'Histórico'!$A$1:$DD$990,MATCH($B$6,'Histórico'!$A:$A),FALSE)*HLOOKUP("EUR/BRL",'Histórico'!$A$1:$FG$983,MATCH($B$6,'Histórico'!$A:$A),FALSE), HLOOKUP(AB164,'Histórico'!$A$1:$DD$990,MATCH($B$6,'Histórico'!$A:$A),FALSE))),"")</f>
        <v/>
      </c>
      <c r="AF164" s="243" t="str">
        <f t="shared" si="21"/>
        <v/>
      </c>
      <c r="AG164" s="53"/>
      <c r="AH164" s="245"/>
      <c r="AI164" s="242" t="str">
        <f>IF(ISTEXT(AH164),VLOOKUP(AH164,'Cadastro dos Ativos'!$A$2:$C$1000,3,0),"")</f>
        <v/>
      </c>
      <c r="AJ164" s="242" t="str">
        <f>IF(AH164 &lt;&gt; "",IF(AI164="Futuros", (SUMIFS('Alocação'!$O$3:$O$1002,'Alocação'!$C$3:$C$1002,AH164,'Alocação'!$F$3:$F$1002,AH$9,'Alocação'!$B$3:$B$1002,"&lt;="&amp;$B$4)), (SUMIFS('Alocação'!$O$3:$O$1002,'Alocação'!$C$3:$C$1002,AH164,'Alocação'!$F$3:$F$1002,AH$9,'Alocação'!$B$3:$B$1002,"&lt;="&amp;$B$6))),"")</f>
        <v/>
      </c>
      <c r="AK164" s="243" t="str">
        <f>iferror(IF(AI164="Ações Americanas", HLOOKUP(AH164,'Histórico'!$A$1:$DD$990,MATCH($B$6,'Histórico'!$A:$A),FALSE)*HLOOKUP("PTAX",'Histórico'!$A$1:$FG$983,MATCH($B$6,'Histórico'!$A:$A),FALSE),IF(AI164="Ações Europeias", HLOOKUP(AH164,'Histórico'!$A$1:$DD$990,MATCH($B$6,'Histórico'!$A:$A),FALSE)*HLOOKUP("EUR/BRL",'Histórico'!$A$1:$FG$983,MATCH($B$6,'Histórico'!$A:$A),FALSE),  HLOOKUP(AH164,'Histórico'!$A$1:$DD$990,MATCH($B$6,'Histórico'!$A:$A),FALSE))),"")</f>
        <v/>
      </c>
      <c r="AL164" s="243" t="str">
        <f t="shared" si="17"/>
        <v/>
      </c>
      <c r="AM164" s="53"/>
      <c r="AN164" s="245"/>
      <c r="AO164" s="242" t="str">
        <f>IF(ISTEXT(AN164),VLOOKUP(AN164,'Cadastro dos Ativos'!$A$2:$C$1000,3,0),"")</f>
        <v/>
      </c>
      <c r="AP164" s="242" t="str">
        <f>IF(AN164 &lt;&gt; "",IF(AO164="Futuros", (SUMIFS('Alocação'!$O$3:$O$1002,'Alocação'!$C$3:$C$1002,AN164,'Alocação'!$F$3:$F$1002,AN$9,'Alocação'!$B$3:$B$1002,"&lt;="&amp;$B$4)), (SUMIFS('Alocação'!$O$3:$O$1002,'Alocação'!$C$3:$C$1002,AN164,'Alocação'!$F$3:$F$1002,AN$9,'Alocação'!$B$3:$B$1002,"&lt;="&amp;$B$6))),"")</f>
        <v/>
      </c>
      <c r="AQ164" s="243" t="str">
        <f>iferror(IF(AO164="Ações Americanas", HLOOKUP(AN164,'Histórico'!$A$1:$DD$990,MATCH($B$6,'Histórico'!$A:$A),FALSE)*HLOOKUP("PTAX",'Histórico'!$A$1:$FG$983,MATCH($B$6,'Histórico'!$A:$A),FALSE),IF(AO164="Ações Europeias", HLOOKUP(AN164,'Histórico'!$A$1:$DD$990,MATCH($B$6,'Histórico'!$A:$A),FALSE)*HLOOKUP("EUR/BRL",'Histórico'!$A$1:$FG$983,MATCH($B$6,'Histórico'!$A:$A),FALSE),  HLOOKUP(AN164,'Histórico'!$A$1:$DD$990,MATCH($B$6,'Histórico'!$A:$A),FALSE))),"")</f>
        <v/>
      </c>
      <c r="AR164" s="243" t="str">
        <f t="shared" si="18"/>
        <v/>
      </c>
      <c r="AS164" s="53"/>
      <c r="AT164" s="245"/>
      <c r="AU164" s="242" t="str">
        <f>IF(ISTEXT(AT164),VLOOKUP(AT164,'Cadastro dos Ativos'!$A$2:$C$1000,3,0),"")</f>
        <v/>
      </c>
      <c r="AV164" s="242" t="str">
        <f>IF(AT164 &lt;&gt; "",IF(AU164="Futuros", (SUMIFS('Alocação'!$O$3:$O$1002,'Alocação'!$C$3:$C$1002,AT164,'Alocação'!$F$3:$F$1002,AT$9,'Alocação'!$B$3:$B$1002,"&lt;="&amp;$B$4)), (SUMIFS('Alocação'!$O$3:$O$1002,'Alocação'!$C$3:$C$1002,AT164,'Alocação'!$F$3:$F$1002,AT$9,'Alocação'!$B$3:$B$1002,"&lt;="&amp;$B$6))),"")</f>
        <v/>
      </c>
      <c r="AW164" s="243" t="str">
        <f>iferror(IF(AU164="Ações Americanas", HLOOKUP(AT164,'Histórico'!$A$1:$DD$990,MATCH($B$6,'Histórico'!$A:$A),FALSE)*HLOOKUP("PTAX",'Histórico'!$A$1:$FG$983,MATCH($B$6,'Histórico'!$A:$A),FALSE),IF(AU164="Ações Europeias", HLOOKUP(AT164,'Histórico'!$A$1:$DD$990,MATCH($B$6,'Histórico'!$A:$A),FALSE)*HLOOKUP("EUR/BRL",'Histórico'!$A$1:$FG$983,MATCH($B$6,'Histórico'!$A:$A),FALSE),  HLOOKUP(AT164,'Histórico'!$A$1:$DD$990,MATCH($B$6,'Histórico'!$A:$A),FALSE))),"")</f>
        <v/>
      </c>
      <c r="AX164" s="243" t="str">
        <f t="shared" si="27"/>
        <v/>
      </c>
      <c r="AY164" s="183"/>
    </row>
    <row r="165" ht="15.75" customHeight="1">
      <c r="A165" s="176"/>
      <c r="B165" s="232">
        <v>45230.0</v>
      </c>
      <c r="C165" s="233"/>
      <c r="D165" s="233"/>
      <c r="E165" s="234"/>
      <c r="F165" s="233"/>
      <c r="G165" s="233"/>
      <c r="H165" s="234"/>
      <c r="I165" s="233"/>
      <c r="J165" s="233"/>
      <c r="K165" s="234"/>
      <c r="L165" s="233"/>
      <c r="M165" s="233"/>
      <c r="N165" s="240" t="str">
        <f t="shared" si="9"/>
        <v/>
      </c>
      <c r="O165" s="240" t="str">
        <f t="shared" si="10"/>
        <v/>
      </c>
      <c r="P165" s="240" t="str">
        <f t="shared" si="11"/>
        <v/>
      </c>
      <c r="Q165" s="240" t="str">
        <f t="shared" si="12"/>
        <v/>
      </c>
      <c r="R165" s="236" t="str">
        <f t="shared" si="13"/>
        <v/>
      </c>
      <c r="S165" s="177"/>
      <c r="T165" s="233" t="str">
        <f t="shared" ref="T165:U165" si="175">IF(AND(C165&lt;&gt;"",F165&lt;&gt;"",I165&lt;&gt;""), SUM(I165,F165,C165,L165),"")</f>
        <v/>
      </c>
      <c r="U165" s="233" t="str">
        <f t="shared" si="175"/>
        <v/>
      </c>
      <c r="V165" s="233" t="str">
        <f t="shared" si="6"/>
        <v/>
      </c>
      <c r="W165" s="241" t="str">
        <f t="shared" si="15"/>
        <v/>
      </c>
      <c r="X165" s="241" t="str">
        <f t="shared" si="16"/>
        <v/>
      </c>
      <c r="Y165" s="241" t="str">
        <f t="shared" si="25"/>
        <v/>
      </c>
      <c r="Z165" s="233" t="str">
        <f t="shared" si="7"/>
        <v/>
      </c>
      <c r="AA165" s="165"/>
      <c r="AB165" s="245"/>
      <c r="AC165" s="242" t="str">
        <f>IF(ISTEXT(AB165),VLOOKUP(AB165,'Cadastro dos Ativos'!$A$2:$C$1000,3,0),"")</f>
        <v/>
      </c>
      <c r="AD165" s="242" t="str">
        <f>IF(AB165 &lt;&gt; "",IF(AC165="Futuros", (SUMIFS('Alocação'!$O$3:$O$1002,'Alocação'!$C$3:$C$1002,AB165,'Alocação'!$F$3:$F$1002,AB$9,'Alocação'!$B$3:$B$1002,"&lt;="&amp;$B$4)), (SUMIFS('Alocação'!$O$3:$O$1002,'Alocação'!$C$3:$C$1002,AB165,'Alocação'!$F$3:$F$1002,AB$9,'Alocação'!$B$3:$B$1002,"&lt;="&amp;$B$6))),"")</f>
        <v/>
      </c>
      <c r="AE165" s="243" t="str">
        <f>iferror(IF(AC165="Ações Americanas", HLOOKUP(AB165,'Histórico'!$A$1:$DD$990,MATCH($B$6,'Histórico'!$A:$A),FALSE)*HLOOKUP("PTAX",'Histórico'!$A$1:$FG$983,MATCH($B$6,'Histórico'!$A:$A),FALSE),IF(AC165="Ações Europeias", HLOOKUP(AB165,'Histórico'!$A$1:$DD$990,MATCH($B$6,'Histórico'!$A:$A),FALSE)*HLOOKUP("EUR/BRL",'Histórico'!$A$1:$FG$983,MATCH($B$6,'Histórico'!$A:$A),FALSE), HLOOKUP(AB165,'Histórico'!$A$1:$DD$990,MATCH($B$6,'Histórico'!$A:$A),FALSE))),"")</f>
        <v/>
      </c>
      <c r="AF165" s="243" t="str">
        <f t="shared" si="21"/>
        <v/>
      </c>
      <c r="AG165" s="53"/>
      <c r="AH165" s="245"/>
      <c r="AI165" s="242" t="str">
        <f>IF(ISTEXT(AH165),VLOOKUP(AH165,'Cadastro dos Ativos'!$A$2:$C$1000,3,0),"")</f>
        <v/>
      </c>
      <c r="AJ165" s="242" t="str">
        <f>IF(AH165 &lt;&gt; "",IF(AI165="Futuros", (SUMIFS('Alocação'!$O$3:$O$1002,'Alocação'!$C$3:$C$1002,AH165,'Alocação'!$F$3:$F$1002,AH$9,'Alocação'!$B$3:$B$1002,"&lt;="&amp;$B$4)), (SUMIFS('Alocação'!$O$3:$O$1002,'Alocação'!$C$3:$C$1002,AH165,'Alocação'!$F$3:$F$1002,AH$9,'Alocação'!$B$3:$B$1002,"&lt;="&amp;$B$6))),"")</f>
        <v/>
      </c>
      <c r="AK165" s="243" t="str">
        <f>iferror(IF(AI165="Ações Americanas", HLOOKUP(AH165,'Histórico'!$A$1:$DD$990,MATCH($B$6,'Histórico'!$A:$A),FALSE)*HLOOKUP("PTAX",'Histórico'!$A$1:$FG$983,MATCH($B$6,'Histórico'!$A:$A),FALSE),IF(AI165="Ações Europeias", HLOOKUP(AH165,'Histórico'!$A$1:$DD$990,MATCH($B$6,'Histórico'!$A:$A),FALSE)*HLOOKUP("EUR/BRL",'Histórico'!$A$1:$FG$983,MATCH($B$6,'Histórico'!$A:$A),FALSE),  HLOOKUP(AH165,'Histórico'!$A$1:$DD$990,MATCH($B$6,'Histórico'!$A:$A),FALSE))),"")</f>
        <v/>
      </c>
      <c r="AL165" s="243" t="str">
        <f t="shared" si="17"/>
        <v/>
      </c>
      <c r="AM165" s="53"/>
      <c r="AN165" s="245"/>
      <c r="AO165" s="242" t="str">
        <f>IF(ISTEXT(AN165),VLOOKUP(AN165,'Cadastro dos Ativos'!$A$2:$C$1000,3,0),"")</f>
        <v/>
      </c>
      <c r="AP165" s="242" t="str">
        <f>IF(AN165 &lt;&gt; "",IF(AO165="Futuros", (SUMIFS('Alocação'!$O$3:$O$1002,'Alocação'!$C$3:$C$1002,AN165,'Alocação'!$F$3:$F$1002,AN$9,'Alocação'!$B$3:$B$1002,"&lt;="&amp;$B$4)), (SUMIFS('Alocação'!$O$3:$O$1002,'Alocação'!$C$3:$C$1002,AN165,'Alocação'!$F$3:$F$1002,AN$9,'Alocação'!$B$3:$B$1002,"&lt;="&amp;$B$6))),"")</f>
        <v/>
      </c>
      <c r="AQ165" s="243" t="str">
        <f>iferror(IF(AO165="Ações Americanas", HLOOKUP(AN165,'Histórico'!$A$1:$DD$990,MATCH($B$6,'Histórico'!$A:$A),FALSE)*HLOOKUP("PTAX",'Histórico'!$A$1:$FG$983,MATCH($B$6,'Histórico'!$A:$A),FALSE),IF(AO165="Ações Europeias", HLOOKUP(AN165,'Histórico'!$A$1:$DD$990,MATCH($B$6,'Histórico'!$A:$A),FALSE)*HLOOKUP("EUR/BRL",'Histórico'!$A$1:$FG$983,MATCH($B$6,'Histórico'!$A:$A),FALSE),  HLOOKUP(AN165,'Histórico'!$A$1:$DD$990,MATCH($B$6,'Histórico'!$A:$A),FALSE))),"")</f>
        <v/>
      </c>
      <c r="AR165" s="243" t="str">
        <f t="shared" si="18"/>
        <v/>
      </c>
      <c r="AS165" s="53"/>
      <c r="AT165" s="245"/>
      <c r="AU165" s="242" t="str">
        <f>IF(ISTEXT(AT165),VLOOKUP(AT165,'Cadastro dos Ativos'!$A$2:$C$1000,3,0),"")</f>
        <v/>
      </c>
      <c r="AV165" s="242" t="str">
        <f>IF(AT165 &lt;&gt; "",IF(AU165="Futuros", (SUMIFS('Alocação'!$O$3:$O$1002,'Alocação'!$C$3:$C$1002,AT165,'Alocação'!$F$3:$F$1002,AT$9,'Alocação'!$B$3:$B$1002,"&lt;="&amp;$B$4)), (SUMIFS('Alocação'!$O$3:$O$1002,'Alocação'!$C$3:$C$1002,AT165,'Alocação'!$F$3:$F$1002,AT$9,'Alocação'!$B$3:$B$1002,"&lt;="&amp;$B$6))),"")</f>
        <v/>
      </c>
      <c r="AW165" s="243" t="str">
        <f>iferror(IF(AU165="Ações Americanas", HLOOKUP(AT165,'Histórico'!$A$1:$DD$990,MATCH($B$6,'Histórico'!$A:$A),FALSE)*HLOOKUP("PTAX",'Histórico'!$A$1:$FG$983,MATCH($B$6,'Histórico'!$A:$A),FALSE),IF(AU165="Ações Europeias", HLOOKUP(AT165,'Histórico'!$A$1:$DD$990,MATCH($B$6,'Histórico'!$A:$A),FALSE)*HLOOKUP("EUR/BRL",'Histórico'!$A$1:$FG$983,MATCH($B$6,'Histórico'!$A:$A),FALSE),  HLOOKUP(AT165,'Histórico'!$A$1:$DD$990,MATCH($B$6,'Histórico'!$A:$A),FALSE))),"")</f>
        <v/>
      </c>
      <c r="AX165" s="243" t="str">
        <f t="shared" si="27"/>
        <v/>
      </c>
      <c r="AY165" s="183"/>
    </row>
    <row r="166" ht="15.75" customHeight="1">
      <c r="A166" s="176"/>
      <c r="B166" s="232">
        <v>45231.0</v>
      </c>
      <c r="C166" s="233"/>
      <c r="D166" s="233"/>
      <c r="E166" s="234"/>
      <c r="F166" s="233"/>
      <c r="G166" s="233"/>
      <c r="H166" s="234"/>
      <c r="I166" s="233"/>
      <c r="J166" s="233"/>
      <c r="K166" s="234"/>
      <c r="L166" s="233"/>
      <c r="M166" s="233"/>
      <c r="N166" s="240" t="str">
        <f t="shared" si="9"/>
        <v/>
      </c>
      <c r="O166" s="240" t="str">
        <f t="shared" si="10"/>
        <v/>
      </c>
      <c r="P166" s="240" t="str">
        <f t="shared" si="11"/>
        <v/>
      </c>
      <c r="Q166" s="240" t="str">
        <f t="shared" si="12"/>
        <v/>
      </c>
      <c r="R166" s="236" t="str">
        <f t="shared" si="13"/>
        <v/>
      </c>
      <c r="S166" s="177"/>
      <c r="T166" s="233" t="str">
        <f t="shared" ref="T166:U166" si="176">IF(AND(C166&lt;&gt;"",F166&lt;&gt;"",I166&lt;&gt;""), SUM(I166,F166,C166,L166),"")</f>
        <v/>
      </c>
      <c r="U166" s="233" t="str">
        <f t="shared" si="176"/>
        <v/>
      </c>
      <c r="V166" s="233" t="str">
        <f t="shared" si="6"/>
        <v/>
      </c>
      <c r="W166" s="241" t="str">
        <f t="shared" si="15"/>
        <v/>
      </c>
      <c r="X166" s="241" t="str">
        <f t="shared" si="16"/>
        <v/>
      </c>
      <c r="Y166" s="241" t="str">
        <f t="shared" si="25"/>
        <v/>
      </c>
      <c r="Z166" s="233" t="str">
        <f t="shared" si="7"/>
        <v/>
      </c>
      <c r="AA166" s="165"/>
      <c r="AB166" s="245"/>
      <c r="AC166" s="242" t="str">
        <f>IF(ISTEXT(AB166),VLOOKUP(AB166,'Cadastro dos Ativos'!$A$2:$C$1000,3,0),"")</f>
        <v/>
      </c>
      <c r="AD166" s="242" t="str">
        <f>IF(AB166 &lt;&gt; "",IF(AC166="Futuros", (SUMIFS('Alocação'!$O$3:$O$1002,'Alocação'!$C$3:$C$1002,AB166,'Alocação'!$F$3:$F$1002,AB$9,'Alocação'!$B$3:$B$1002,"&lt;="&amp;$B$4)), (SUMIFS('Alocação'!$O$3:$O$1002,'Alocação'!$C$3:$C$1002,AB166,'Alocação'!$F$3:$F$1002,AB$9,'Alocação'!$B$3:$B$1002,"&lt;="&amp;$B$6))),"")</f>
        <v/>
      </c>
      <c r="AE166" s="243" t="str">
        <f>iferror(IF(AC166="Ações Americanas", HLOOKUP(AB166,'Histórico'!$A$1:$DD$990,MATCH($B$6,'Histórico'!$A:$A),FALSE)*HLOOKUP("PTAX",'Histórico'!$A$1:$FG$983,MATCH($B$6,'Histórico'!$A:$A),FALSE),IF(AC166="Ações Europeias", HLOOKUP(AB166,'Histórico'!$A$1:$DD$990,MATCH($B$6,'Histórico'!$A:$A),FALSE)*HLOOKUP("EUR/BRL",'Histórico'!$A$1:$FG$983,MATCH($B$6,'Histórico'!$A:$A),FALSE), HLOOKUP(AB166,'Histórico'!$A$1:$DD$990,MATCH($B$6,'Histórico'!$A:$A),FALSE))),"")</f>
        <v/>
      </c>
      <c r="AF166" s="243" t="str">
        <f t="shared" si="21"/>
        <v/>
      </c>
      <c r="AG166" s="53"/>
      <c r="AH166" s="245"/>
      <c r="AI166" s="242" t="str">
        <f>IF(ISTEXT(AH166),VLOOKUP(AH166,'Cadastro dos Ativos'!$A$2:$C$1000,3,0),"")</f>
        <v/>
      </c>
      <c r="AJ166" s="242" t="str">
        <f>IF(AH166 &lt;&gt; "",IF(AI166="Futuros", (SUMIFS('Alocação'!$O$3:$O$1002,'Alocação'!$C$3:$C$1002,AH166,'Alocação'!$F$3:$F$1002,AH$9,'Alocação'!$B$3:$B$1002,"&lt;="&amp;$B$4)), (SUMIFS('Alocação'!$O$3:$O$1002,'Alocação'!$C$3:$C$1002,AH166,'Alocação'!$F$3:$F$1002,AH$9,'Alocação'!$B$3:$B$1002,"&lt;="&amp;$B$6))),"")</f>
        <v/>
      </c>
      <c r="AK166" s="243" t="str">
        <f>iferror(IF(AI166="Ações Americanas", HLOOKUP(AH166,'Histórico'!$A$1:$DD$990,MATCH($B$6,'Histórico'!$A:$A),FALSE)*HLOOKUP("PTAX",'Histórico'!$A$1:$FG$983,MATCH($B$6,'Histórico'!$A:$A),FALSE),IF(AI166="Ações Europeias", HLOOKUP(AH166,'Histórico'!$A$1:$DD$990,MATCH($B$6,'Histórico'!$A:$A),FALSE)*HLOOKUP("EUR/BRL",'Histórico'!$A$1:$FG$983,MATCH($B$6,'Histórico'!$A:$A),FALSE),  HLOOKUP(AH166,'Histórico'!$A$1:$DD$990,MATCH($B$6,'Histórico'!$A:$A),FALSE))),"")</f>
        <v/>
      </c>
      <c r="AL166" s="243" t="str">
        <f t="shared" si="17"/>
        <v/>
      </c>
      <c r="AM166" s="53"/>
      <c r="AN166" s="245"/>
      <c r="AO166" s="242" t="str">
        <f>IF(ISTEXT(AN166),VLOOKUP(AN166,'Cadastro dos Ativos'!$A$2:$C$1000,3,0),"")</f>
        <v/>
      </c>
      <c r="AP166" s="242" t="str">
        <f>IF(AN166 &lt;&gt; "",IF(AO166="Futuros", (SUMIFS('Alocação'!$O$3:$O$1002,'Alocação'!$C$3:$C$1002,AN166,'Alocação'!$F$3:$F$1002,AN$9,'Alocação'!$B$3:$B$1002,"&lt;="&amp;$B$4)), (SUMIFS('Alocação'!$O$3:$O$1002,'Alocação'!$C$3:$C$1002,AN166,'Alocação'!$F$3:$F$1002,AN$9,'Alocação'!$B$3:$B$1002,"&lt;="&amp;$B$6))),"")</f>
        <v/>
      </c>
      <c r="AQ166" s="243" t="str">
        <f>iferror(IF(AO166="Ações Americanas", HLOOKUP(AN166,'Histórico'!$A$1:$DD$990,MATCH($B$6,'Histórico'!$A:$A),FALSE)*HLOOKUP("PTAX",'Histórico'!$A$1:$FG$983,MATCH($B$6,'Histórico'!$A:$A),FALSE),IF(AO166="Ações Europeias", HLOOKUP(AN166,'Histórico'!$A$1:$DD$990,MATCH($B$6,'Histórico'!$A:$A),FALSE)*HLOOKUP("EUR/BRL",'Histórico'!$A$1:$FG$983,MATCH($B$6,'Histórico'!$A:$A),FALSE),  HLOOKUP(AN166,'Histórico'!$A$1:$DD$990,MATCH($B$6,'Histórico'!$A:$A),FALSE))),"")</f>
        <v/>
      </c>
      <c r="AR166" s="243" t="str">
        <f t="shared" si="18"/>
        <v/>
      </c>
      <c r="AS166" s="53"/>
      <c r="AT166" s="245"/>
      <c r="AU166" s="242" t="str">
        <f>IF(ISTEXT(AT166),VLOOKUP(AT166,'Cadastro dos Ativos'!$A$2:$C$1000,3,0),"")</f>
        <v/>
      </c>
      <c r="AV166" s="242" t="str">
        <f>IF(AT166 &lt;&gt; "",IF(AU166="Futuros", (SUMIFS('Alocação'!$O$3:$O$1002,'Alocação'!$C$3:$C$1002,AT166,'Alocação'!$F$3:$F$1002,AT$9,'Alocação'!$B$3:$B$1002,"&lt;="&amp;$B$4)), (SUMIFS('Alocação'!$O$3:$O$1002,'Alocação'!$C$3:$C$1002,AT166,'Alocação'!$F$3:$F$1002,AT$9,'Alocação'!$B$3:$B$1002,"&lt;="&amp;$B$6))),"")</f>
        <v/>
      </c>
      <c r="AW166" s="243" t="str">
        <f>iferror(IF(AU166="Ações Americanas", HLOOKUP(AT166,'Histórico'!$A$1:$DD$990,MATCH($B$6,'Histórico'!$A:$A),FALSE)*HLOOKUP("PTAX",'Histórico'!$A$1:$FG$983,MATCH($B$6,'Histórico'!$A:$A),FALSE),IF(AU166="Ações Europeias", HLOOKUP(AT166,'Histórico'!$A$1:$DD$990,MATCH($B$6,'Histórico'!$A:$A),FALSE)*HLOOKUP("EUR/BRL",'Histórico'!$A$1:$FG$983,MATCH($B$6,'Histórico'!$A:$A),FALSE),  HLOOKUP(AT166,'Histórico'!$A$1:$DD$990,MATCH($B$6,'Histórico'!$A:$A),FALSE))),"")</f>
        <v/>
      </c>
      <c r="AX166" s="243" t="str">
        <f t="shared" si="27"/>
        <v/>
      </c>
      <c r="AY166" s="183"/>
    </row>
    <row r="167" ht="15.75" customHeight="1">
      <c r="A167" s="176"/>
      <c r="B167" s="232">
        <v>45233.0</v>
      </c>
      <c r="C167" s="233"/>
      <c r="D167" s="233"/>
      <c r="E167" s="234"/>
      <c r="F167" s="233"/>
      <c r="G167" s="233"/>
      <c r="H167" s="234"/>
      <c r="I167" s="233"/>
      <c r="J167" s="233"/>
      <c r="K167" s="234"/>
      <c r="L167" s="233"/>
      <c r="M167" s="233"/>
      <c r="N167" s="240" t="str">
        <f t="shared" si="9"/>
        <v/>
      </c>
      <c r="O167" s="240" t="str">
        <f t="shared" si="10"/>
        <v/>
      </c>
      <c r="P167" s="240" t="str">
        <f t="shared" si="11"/>
        <v/>
      </c>
      <c r="Q167" s="240" t="str">
        <f t="shared" si="12"/>
        <v/>
      </c>
      <c r="R167" s="236" t="str">
        <f t="shared" si="13"/>
        <v/>
      </c>
      <c r="S167" s="177"/>
      <c r="T167" s="233" t="str">
        <f t="shared" ref="T167:U167" si="177">IF(AND(C167&lt;&gt;"",F167&lt;&gt;"",I167&lt;&gt;""), SUM(I167,F167,C167,L167),"")</f>
        <v/>
      </c>
      <c r="U167" s="233" t="str">
        <f t="shared" si="177"/>
        <v/>
      </c>
      <c r="V167" s="233" t="str">
        <f t="shared" si="6"/>
        <v/>
      </c>
      <c r="W167" s="241" t="str">
        <f t="shared" si="15"/>
        <v/>
      </c>
      <c r="X167" s="241" t="str">
        <f t="shared" si="16"/>
        <v/>
      </c>
      <c r="Y167" s="241" t="str">
        <f t="shared" si="25"/>
        <v/>
      </c>
      <c r="Z167" s="233" t="str">
        <f t="shared" si="7"/>
        <v/>
      </c>
      <c r="AA167" s="165"/>
      <c r="AB167" s="245"/>
      <c r="AC167" s="242" t="str">
        <f>IF(ISTEXT(AB167),VLOOKUP(AB167,'Cadastro dos Ativos'!$A$2:$C$1000,3,0),"")</f>
        <v/>
      </c>
      <c r="AD167" s="242" t="str">
        <f>IF(AB167 &lt;&gt; "",IF(AC167="Futuros", (SUMIFS('Alocação'!$O$3:$O$1002,'Alocação'!$C$3:$C$1002,AB167,'Alocação'!$F$3:$F$1002,AB$9,'Alocação'!$B$3:$B$1002,"&lt;="&amp;$B$4)), (SUMIFS('Alocação'!$O$3:$O$1002,'Alocação'!$C$3:$C$1002,AB167,'Alocação'!$F$3:$F$1002,AB$9,'Alocação'!$B$3:$B$1002,"&lt;="&amp;$B$6))),"")</f>
        <v/>
      </c>
      <c r="AE167" s="243" t="str">
        <f>iferror(IF(AC167="Ações Americanas", HLOOKUP(AB167,'Histórico'!$A$1:$DD$990,MATCH($B$6,'Histórico'!$A:$A),FALSE)*HLOOKUP("PTAX",'Histórico'!$A$1:$FG$983,MATCH($B$6,'Histórico'!$A:$A),FALSE),IF(AC167="Ações Europeias", HLOOKUP(AB167,'Histórico'!$A$1:$DD$990,MATCH($B$6,'Histórico'!$A:$A),FALSE)*HLOOKUP("EUR/BRL",'Histórico'!$A$1:$FG$983,MATCH($B$6,'Histórico'!$A:$A),FALSE), HLOOKUP(AB167,'Histórico'!$A$1:$DD$990,MATCH($B$6,'Histórico'!$A:$A),FALSE))),"")</f>
        <v/>
      </c>
      <c r="AF167" s="243" t="str">
        <f t="shared" si="21"/>
        <v/>
      </c>
      <c r="AG167" s="53"/>
      <c r="AH167" s="245"/>
      <c r="AI167" s="242" t="str">
        <f>IF(ISTEXT(AH167),VLOOKUP(AH167,'Cadastro dos Ativos'!$A$2:$C$1000,3,0),"")</f>
        <v/>
      </c>
      <c r="AJ167" s="242" t="str">
        <f>IF(AH167 &lt;&gt; "",IF(AI167="Futuros", (SUMIFS('Alocação'!$O$3:$O$1002,'Alocação'!$C$3:$C$1002,AH167,'Alocação'!$F$3:$F$1002,AH$9,'Alocação'!$B$3:$B$1002,"&lt;="&amp;$B$4)), (SUMIFS('Alocação'!$O$3:$O$1002,'Alocação'!$C$3:$C$1002,AH167,'Alocação'!$F$3:$F$1002,AH$9,'Alocação'!$B$3:$B$1002,"&lt;="&amp;$B$6))),"")</f>
        <v/>
      </c>
      <c r="AK167" s="243" t="str">
        <f>iferror(IF(AI167="Ações Americanas", HLOOKUP(AH167,'Histórico'!$A$1:$DD$990,MATCH($B$6,'Histórico'!$A:$A),FALSE)*HLOOKUP("PTAX",'Histórico'!$A$1:$FG$983,MATCH($B$6,'Histórico'!$A:$A),FALSE),IF(AI167="Ações Europeias", HLOOKUP(AH167,'Histórico'!$A$1:$DD$990,MATCH($B$6,'Histórico'!$A:$A),FALSE)*HLOOKUP("EUR/BRL",'Histórico'!$A$1:$FG$983,MATCH($B$6,'Histórico'!$A:$A),FALSE),  HLOOKUP(AH167,'Histórico'!$A$1:$DD$990,MATCH($B$6,'Histórico'!$A:$A),FALSE))),"")</f>
        <v/>
      </c>
      <c r="AL167" s="243" t="str">
        <f t="shared" si="17"/>
        <v/>
      </c>
      <c r="AM167" s="53"/>
      <c r="AN167" s="245"/>
      <c r="AO167" s="242" t="str">
        <f>IF(ISTEXT(AN167),VLOOKUP(AN167,'Cadastro dos Ativos'!$A$2:$C$1000,3,0),"")</f>
        <v/>
      </c>
      <c r="AP167" s="242" t="str">
        <f>IF(AN167 &lt;&gt; "",IF(AO167="Futuros", (SUMIFS('Alocação'!$O$3:$O$1002,'Alocação'!$C$3:$C$1002,AN167,'Alocação'!$F$3:$F$1002,AN$9,'Alocação'!$B$3:$B$1002,"&lt;="&amp;$B$4)), (SUMIFS('Alocação'!$O$3:$O$1002,'Alocação'!$C$3:$C$1002,AN167,'Alocação'!$F$3:$F$1002,AN$9,'Alocação'!$B$3:$B$1002,"&lt;="&amp;$B$6))),"")</f>
        <v/>
      </c>
      <c r="AQ167" s="243" t="str">
        <f>iferror(IF(AO167="Ações Americanas", HLOOKUP(AN167,'Histórico'!$A$1:$DD$990,MATCH($B$6,'Histórico'!$A:$A),FALSE)*HLOOKUP("PTAX",'Histórico'!$A$1:$FG$983,MATCH($B$6,'Histórico'!$A:$A),FALSE),IF(AO167="Ações Europeias", HLOOKUP(AN167,'Histórico'!$A$1:$DD$990,MATCH($B$6,'Histórico'!$A:$A),FALSE)*HLOOKUP("EUR/BRL",'Histórico'!$A$1:$FG$983,MATCH($B$6,'Histórico'!$A:$A),FALSE),  HLOOKUP(AN167,'Histórico'!$A$1:$DD$990,MATCH($B$6,'Histórico'!$A:$A),FALSE))),"")</f>
        <v/>
      </c>
      <c r="AR167" s="243" t="str">
        <f t="shared" si="18"/>
        <v/>
      </c>
      <c r="AS167" s="53"/>
      <c r="AT167" s="245"/>
      <c r="AU167" s="242" t="str">
        <f>IF(ISTEXT(AT167),VLOOKUP(AT167,'Cadastro dos Ativos'!$A$2:$C$1000,3,0),"")</f>
        <v/>
      </c>
      <c r="AV167" s="242" t="str">
        <f>IF(AT167 &lt;&gt; "",IF(AU167="Futuros", (SUMIFS('Alocação'!$O$3:$O$1002,'Alocação'!$C$3:$C$1002,AT167,'Alocação'!$F$3:$F$1002,AT$9,'Alocação'!$B$3:$B$1002,"&lt;="&amp;$B$4)), (SUMIFS('Alocação'!$O$3:$O$1002,'Alocação'!$C$3:$C$1002,AT167,'Alocação'!$F$3:$F$1002,AT$9,'Alocação'!$B$3:$B$1002,"&lt;="&amp;$B$6))),"")</f>
        <v/>
      </c>
      <c r="AW167" s="243" t="str">
        <f>iferror(IF(AU167="Ações Americanas", HLOOKUP(AT167,'Histórico'!$A$1:$DD$990,MATCH($B$6,'Histórico'!$A:$A),FALSE)*HLOOKUP("PTAX",'Histórico'!$A$1:$FG$983,MATCH($B$6,'Histórico'!$A:$A),FALSE),IF(AU167="Ações Europeias", HLOOKUP(AT167,'Histórico'!$A$1:$DD$990,MATCH($B$6,'Histórico'!$A:$A),FALSE)*HLOOKUP("EUR/BRL",'Histórico'!$A$1:$FG$983,MATCH($B$6,'Histórico'!$A:$A),FALSE),  HLOOKUP(AT167,'Histórico'!$A$1:$DD$990,MATCH($B$6,'Histórico'!$A:$A),FALSE))),"")</f>
        <v/>
      </c>
      <c r="AX167" s="243" t="str">
        <f t="shared" si="27"/>
        <v/>
      </c>
      <c r="AY167" s="183"/>
    </row>
    <row r="168" ht="15.75" customHeight="1">
      <c r="A168" s="176"/>
      <c r="B168" s="232">
        <v>45236.0</v>
      </c>
      <c r="C168" s="233"/>
      <c r="D168" s="233"/>
      <c r="E168" s="234"/>
      <c r="F168" s="233"/>
      <c r="G168" s="233"/>
      <c r="H168" s="234"/>
      <c r="I168" s="233"/>
      <c r="J168" s="233"/>
      <c r="K168" s="234"/>
      <c r="L168" s="233"/>
      <c r="M168" s="233"/>
      <c r="N168" s="240" t="str">
        <f t="shared" si="9"/>
        <v/>
      </c>
      <c r="O168" s="240" t="str">
        <f t="shared" si="10"/>
        <v/>
      </c>
      <c r="P168" s="240" t="str">
        <f t="shared" si="11"/>
        <v/>
      </c>
      <c r="Q168" s="240" t="str">
        <f t="shared" si="12"/>
        <v/>
      </c>
      <c r="R168" s="236" t="str">
        <f t="shared" si="13"/>
        <v/>
      </c>
      <c r="S168" s="177"/>
      <c r="T168" s="233" t="str">
        <f t="shared" ref="T168:U168" si="178">IF(AND(C168&lt;&gt;"",F168&lt;&gt;"",I168&lt;&gt;""), SUM(I168,F168,C168,L168),"")</f>
        <v/>
      </c>
      <c r="U168" s="233" t="str">
        <f t="shared" si="178"/>
        <v/>
      </c>
      <c r="V168" s="233" t="str">
        <f t="shared" si="6"/>
        <v/>
      </c>
      <c r="W168" s="241" t="str">
        <f t="shared" si="15"/>
        <v/>
      </c>
      <c r="X168" s="241" t="str">
        <f t="shared" si="16"/>
        <v/>
      </c>
      <c r="Y168" s="241" t="str">
        <f t="shared" si="25"/>
        <v/>
      </c>
      <c r="Z168" s="233" t="str">
        <f t="shared" si="7"/>
        <v/>
      </c>
      <c r="AA168" s="165"/>
      <c r="AB168" s="245"/>
      <c r="AC168" s="242" t="str">
        <f>IF(ISTEXT(AB168),VLOOKUP(AB168,'Cadastro dos Ativos'!$A$2:$C$1000,3,0),"")</f>
        <v/>
      </c>
      <c r="AD168" s="242" t="str">
        <f>IF(AB168 &lt;&gt; "",IF(AC168="Futuros", (SUMIFS('Alocação'!$O$3:$O$1002,'Alocação'!$C$3:$C$1002,AB168,'Alocação'!$F$3:$F$1002,AB$9,'Alocação'!$B$3:$B$1002,"&lt;="&amp;$B$4)), (SUMIFS('Alocação'!$O$3:$O$1002,'Alocação'!$C$3:$C$1002,AB168,'Alocação'!$F$3:$F$1002,AB$9,'Alocação'!$B$3:$B$1002,"&lt;="&amp;$B$6))),"")</f>
        <v/>
      </c>
      <c r="AE168" s="243" t="str">
        <f>iferror(IF(AC168="Ações Americanas", HLOOKUP(AB168,'Histórico'!$A$1:$DD$990,MATCH($B$6,'Histórico'!$A:$A),FALSE)*HLOOKUP("PTAX",'Histórico'!$A$1:$FG$983,MATCH($B$6,'Histórico'!$A:$A),FALSE),IF(AC168="Ações Europeias", HLOOKUP(AB168,'Histórico'!$A$1:$DD$990,MATCH($B$6,'Histórico'!$A:$A),FALSE)*HLOOKUP("EUR/BRL",'Histórico'!$A$1:$FG$983,MATCH($B$6,'Histórico'!$A:$A),FALSE), HLOOKUP(AB168,'Histórico'!$A$1:$DD$990,MATCH($B$6,'Histórico'!$A:$A),FALSE))),"")</f>
        <v/>
      </c>
      <c r="AF168" s="243" t="str">
        <f t="shared" si="21"/>
        <v/>
      </c>
      <c r="AG168" s="53"/>
      <c r="AH168" s="245"/>
      <c r="AI168" s="242" t="str">
        <f>IF(ISTEXT(AH168),VLOOKUP(AH168,'Cadastro dos Ativos'!$A$2:$C$1000,3,0),"")</f>
        <v/>
      </c>
      <c r="AJ168" s="242" t="str">
        <f>IF(AH168 &lt;&gt; "",IF(AI168="Futuros", (SUMIFS('Alocação'!$O$3:$O$1002,'Alocação'!$C$3:$C$1002,AH168,'Alocação'!$F$3:$F$1002,AH$9,'Alocação'!$B$3:$B$1002,"&lt;="&amp;$B$4)), (SUMIFS('Alocação'!$O$3:$O$1002,'Alocação'!$C$3:$C$1002,AH168,'Alocação'!$F$3:$F$1002,AH$9,'Alocação'!$B$3:$B$1002,"&lt;="&amp;$B$6))),"")</f>
        <v/>
      </c>
      <c r="AK168" s="243" t="str">
        <f>iferror(IF(AI168="Ações Americanas", HLOOKUP(AH168,'Histórico'!$A$1:$DD$990,MATCH($B$6,'Histórico'!$A:$A),FALSE)*HLOOKUP("PTAX",'Histórico'!$A$1:$FG$983,MATCH($B$6,'Histórico'!$A:$A),FALSE),IF(AI168="Ações Europeias", HLOOKUP(AH168,'Histórico'!$A$1:$DD$990,MATCH($B$6,'Histórico'!$A:$A),FALSE)*HLOOKUP("EUR/BRL",'Histórico'!$A$1:$FG$983,MATCH($B$6,'Histórico'!$A:$A),FALSE),  HLOOKUP(AH168,'Histórico'!$A$1:$DD$990,MATCH($B$6,'Histórico'!$A:$A),FALSE))),"")</f>
        <v/>
      </c>
      <c r="AL168" s="243" t="str">
        <f t="shared" si="17"/>
        <v/>
      </c>
      <c r="AM168" s="53"/>
      <c r="AN168" s="245"/>
      <c r="AO168" s="242" t="str">
        <f>IF(ISTEXT(AN168),VLOOKUP(AN168,'Cadastro dos Ativos'!$A$2:$C$1000,3,0),"")</f>
        <v/>
      </c>
      <c r="AP168" s="242" t="str">
        <f>IF(AN168 &lt;&gt; "",IF(AO168="Futuros", (SUMIFS('Alocação'!$O$3:$O$1002,'Alocação'!$C$3:$C$1002,AN168,'Alocação'!$F$3:$F$1002,AN$9,'Alocação'!$B$3:$B$1002,"&lt;="&amp;$B$4)), (SUMIFS('Alocação'!$O$3:$O$1002,'Alocação'!$C$3:$C$1002,AN168,'Alocação'!$F$3:$F$1002,AN$9,'Alocação'!$B$3:$B$1002,"&lt;="&amp;$B$6))),"")</f>
        <v/>
      </c>
      <c r="AQ168" s="243" t="str">
        <f>iferror(IF(AO168="Ações Americanas", HLOOKUP(AN168,'Histórico'!$A$1:$DD$990,MATCH($B$6,'Histórico'!$A:$A),FALSE)*HLOOKUP("PTAX",'Histórico'!$A$1:$FG$983,MATCH($B$6,'Histórico'!$A:$A),FALSE),IF(AO168="Ações Europeias", HLOOKUP(AN168,'Histórico'!$A$1:$DD$990,MATCH($B$6,'Histórico'!$A:$A),FALSE)*HLOOKUP("EUR/BRL",'Histórico'!$A$1:$FG$983,MATCH($B$6,'Histórico'!$A:$A),FALSE),  HLOOKUP(AN168,'Histórico'!$A$1:$DD$990,MATCH($B$6,'Histórico'!$A:$A),FALSE))),"")</f>
        <v/>
      </c>
      <c r="AR168" s="243" t="str">
        <f t="shared" si="18"/>
        <v/>
      </c>
      <c r="AS168" s="53"/>
      <c r="AT168" s="245"/>
      <c r="AU168" s="242" t="str">
        <f>IF(ISTEXT(AT168),VLOOKUP(AT168,'Cadastro dos Ativos'!$A$2:$C$1000,3,0),"")</f>
        <v/>
      </c>
      <c r="AV168" s="242" t="str">
        <f>IF(AT168 &lt;&gt; "",IF(AU168="Futuros", (SUMIFS('Alocação'!$O$3:$O$1002,'Alocação'!$C$3:$C$1002,AT168,'Alocação'!$F$3:$F$1002,AT$9,'Alocação'!$B$3:$B$1002,"&lt;="&amp;$B$4)), (SUMIFS('Alocação'!$O$3:$O$1002,'Alocação'!$C$3:$C$1002,AT168,'Alocação'!$F$3:$F$1002,AT$9,'Alocação'!$B$3:$B$1002,"&lt;="&amp;$B$6))),"")</f>
        <v/>
      </c>
      <c r="AW168" s="243" t="str">
        <f>iferror(IF(AU168="Ações Americanas", HLOOKUP(AT168,'Histórico'!$A$1:$DD$990,MATCH($B$6,'Histórico'!$A:$A),FALSE)*HLOOKUP("PTAX",'Histórico'!$A$1:$FG$983,MATCH($B$6,'Histórico'!$A:$A),FALSE),IF(AU168="Ações Europeias", HLOOKUP(AT168,'Histórico'!$A$1:$DD$990,MATCH($B$6,'Histórico'!$A:$A),FALSE)*HLOOKUP("EUR/BRL",'Histórico'!$A$1:$FG$983,MATCH($B$6,'Histórico'!$A:$A),FALSE),  HLOOKUP(AT168,'Histórico'!$A$1:$DD$990,MATCH($B$6,'Histórico'!$A:$A),FALSE))),"")</f>
        <v/>
      </c>
      <c r="AX168" s="243" t="str">
        <f t="shared" si="27"/>
        <v/>
      </c>
      <c r="AY168" s="183"/>
    </row>
    <row r="169" ht="15.75" customHeight="1">
      <c r="A169" s="176"/>
      <c r="B169" s="232">
        <v>45237.0</v>
      </c>
      <c r="C169" s="233"/>
      <c r="D169" s="233"/>
      <c r="E169" s="234"/>
      <c r="F169" s="233"/>
      <c r="G169" s="233"/>
      <c r="H169" s="234"/>
      <c r="I169" s="233"/>
      <c r="J169" s="233"/>
      <c r="K169" s="234"/>
      <c r="L169" s="233"/>
      <c r="M169" s="233"/>
      <c r="N169" s="240" t="str">
        <f t="shared" si="9"/>
        <v/>
      </c>
      <c r="O169" s="240" t="str">
        <f t="shared" si="10"/>
        <v/>
      </c>
      <c r="P169" s="240" t="str">
        <f t="shared" si="11"/>
        <v/>
      </c>
      <c r="Q169" s="240" t="str">
        <f t="shared" si="12"/>
        <v/>
      </c>
      <c r="R169" s="236" t="str">
        <f t="shared" si="13"/>
        <v/>
      </c>
      <c r="S169" s="177"/>
      <c r="T169" s="233" t="str">
        <f t="shared" ref="T169:U169" si="179">IF(AND(C169&lt;&gt;"",F169&lt;&gt;"",I169&lt;&gt;""), SUM(I169,F169,C169,L169),"")</f>
        <v/>
      </c>
      <c r="U169" s="233" t="str">
        <f t="shared" si="179"/>
        <v/>
      </c>
      <c r="V169" s="233" t="str">
        <f t="shared" si="6"/>
        <v/>
      </c>
      <c r="W169" s="241" t="str">
        <f t="shared" si="15"/>
        <v/>
      </c>
      <c r="X169" s="241" t="str">
        <f t="shared" si="16"/>
        <v/>
      </c>
      <c r="Y169" s="241" t="str">
        <f t="shared" si="25"/>
        <v/>
      </c>
      <c r="Z169" s="233" t="str">
        <f t="shared" si="7"/>
        <v/>
      </c>
      <c r="AA169" s="165"/>
      <c r="AB169" s="245"/>
      <c r="AC169" s="242" t="str">
        <f>IF(ISTEXT(AB169),VLOOKUP(AB169,'Cadastro dos Ativos'!$A$2:$C$1000,3,0),"")</f>
        <v/>
      </c>
      <c r="AD169" s="242" t="str">
        <f>IF(AB169 &lt;&gt; "",IF(AC169="Futuros", (SUMIFS('Alocação'!$O$3:$O$1002,'Alocação'!$C$3:$C$1002,AB169,'Alocação'!$F$3:$F$1002,AB$9,'Alocação'!$B$3:$B$1002,"&lt;="&amp;$B$4)), (SUMIFS('Alocação'!$O$3:$O$1002,'Alocação'!$C$3:$C$1002,AB169,'Alocação'!$F$3:$F$1002,AB$9,'Alocação'!$B$3:$B$1002,"&lt;="&amp;$B$6))),"")</f>
        <v/>
      </c>
      <c r="AE169" s="243" t="str">
        <f>iferror(IF(AC169="Ações Americanas", HLOOKUP(AB169,'Histórico'!$A$1:$DD$990,MATCH($B$6,'Histórico'!$A:$A),FALSE)*HLOOKUP("PTAX",'Histórico'!$A$1:$FG$983,MATCH($B$6,'Histórico'!$A:$A),FALSE),IF(AC169="Ações Europeias", HLOOKUP(AB169,'Histórico'!$A$1:$DD$990,MATCH($B$6,'Histórico'!$A:$A),FALSE)*HLOOKUP("EUR/BRL",'Histórico'!$A$1:$FG$983,MATCH($B$6,'Histórico'!$A:$A),FALSE), HLOOKUP(AB169,'Histórico'!$A$1:$DD$990,MATCH($B$6,'Histórico'!$A:$A),FALSE))),"")</f>
        <v/>
      </c>
      <c r="AF169" s="243" t="str">
        <f t="shared" si="21"/>
        <v/>
      </c>
      <c r="AG169" s="53"/>
      <c r="AH169" s="245"/>
      <c r="AI169" s="242" t="str">
        <f>IF(ISTEXT(AH169),VLOOKUP(AH169,'Cadastro dos Ativos'!$A$2:$C$1000,3,0),"")</f>
        <v/>
      </c>
      <c r="AJ169" s="242" t="str">
        <f>IF(AH169 &lt;&gt; "",IF(AI169="Futuros", (SUMIFS('Alocação'!$O$3:$O$1002,'Alocação'!$C$3:$C$1002,AH169,'Alocação'!$F$3:$F$1002,AH$9,'Alocação'!$B$3:$B$1002,"&lt;="&amp;$B$4)), (SUMIFS('Alocação'!$O$3:$O$1002,'Alocação'!$C$3:$C$1002,AH169,'Alocação'!$F$3:$F$1002,AH$9,'Alocação'!$B$3:$B$1002,"&lt;="&amp;$B$6))),"")</f>
        <v/>
      </c>
      <c r="AK169" s="243" t="str">
        <f>iferror(IF(AI169="Ações Americanas", HLOOKUP(AH169,'Histórico'!$A$1:$DD$990,MATCH($B$6,'Histórico'!$A:$A),FALSE)*HLOOKUP("PTAX",'Histórico'!$A$1:$FG$983,MATCH($B$6,'Histórico'!$A:$A),FALSE),IF(AI169="Ações Europeias", HLOOKUP(AH169,'Histórico'!$A$1:$DD$990,MATCH($B$6,'Histórico'!$A:$A),FALSE)*HLOOKUP("EUR/BRL",'Histórico'!$A$1:$FG$983,MATCH($B$6,'Histórico'!$A:$A),FALSE),  HLOOKUP(AH169,'Histórico'!$A$1:$DD$990,MATCH($B$6,'Histórico'!$A:$A),FALSE))),"")</f>
        <v/>
      </c>
      <c r="AL169" s="243" t="str">
        <f t="shared" si="17"/>
        <v/>
      </c>
      <c r="AM169" s="53"/>
      <c r="AN169" s="245"/>
      <c r="AO169" s="242" t="str">
        <f>IF(ISTEXT(AN169),VLOOKUP(AN169,'Cadastro dos Ativos'!$A$2:$C$1000,3,0),"")</f>
        <v/>
      </c>
      <c r="AP169" s="242" t="str">
        <f>IF(AN169 &lt;&gt; "",IF(AO169="Futuros", (SUMIFS('Alocação'!$O$3:$O$1002,'Alocação'!$C$3:$C$1002,AN169,'Alocação'!$F$3:$F$1002,AN$9,'Alocação'!$B$3:$B$1002,"&lt;="&amp;$B$4)), (SUMIFS('Alocação'!$O$3:$O$1002,'Alocação'!$C$3:$C$1002,AN169,'Alocação'!$F$3:$F$1002,AN$9,'Alocação'!$B$3:$B$1002,"&lt;="&amp;$B$6))),"")</f>
        <v/>
      </c>
      <c r="AQ169" s="243" t="str">
        <f>iferror(IF(AO169="Ações Americanas", HLOOKUP(AN169,'Histórico'!$A$1:$DD$990,MATCH($B$6,'Histórico'!$A:$A),FALSE)*HLOOKUP("PTAX",'Histórico'!$A$1:$FG$983,MATCH($B$6,'Histórico'!$A:$A),FALSE),IF(AO169="Ações Europeias", HLOOKUP(AN169,'Histórico'!$A$1:$DD$990,MATCH($B$6,'Histórico'!$A:$A),FALSE)*HLOOKUP("EUR/BRL",'Histórico'!$A$1:$FG$983,MATCH($B$6,'Histórico'!$A:$A),FALSE),  HLOOKUP(AN169,'Histórico'!$A$1:$DD$990,MATCH($B$6,'Histórico'!$A:$A),FALSE))),"")</f>
        <v/>
      </c>
      <c r="AR169" s="243" t="str">
        <f t="shared" si="18"/>
        <v/>
      </c>
      <c r="AS169" s="53"/>
      <c r="AT169" s="245"/>
      <c r="AU169" s="242" t="str">
        <f>IF(ISTEXT(AT169),VLOOKUP(AT169,'Cadastro dos Ativos'!$A$2:$C$1000,3,0),"")</f>
        <v/>
      </c>
      <c r="AV169" s="242" t="str">
        <f>IF(AT169 &lt;&gt; "",IF(AU169="Futuros", (SUMIFS('Alocação'!$O$3:$O$1002,'Alocação'!$C$3:$C$1002,AT169,'Alocação'!$F$3:$F$1002,AT$9,'Alocação'!$B$3:$B$1002,"&lt;="&amp;$B$4)), (SUMIFS('Alocação'!$O$3:$O$1002,'Alocação'!$C$3:$C$1002,AT169,'Alocação'!$F$3:$F$1002,AT$9,'Alocação'!$B$3:$B$1002,"&lt;="&amp;$B$6))),"")</f>
        <v/>
      </c>
      <c r="AW169" s="243" t="str">
        <f>iferror(IF(AU169="Ações Americanas", HLOOKUP(AT169,'Histórico'!$A$1:$DD$990,MATCH($B$6,'Histórico'!$A:$A),FALSE)*HLOOKUP("PTAX",'Histórico'!$A$1:$FG$983,MATCH($B$6,'Histórico'!$A:$A),FALSE),IF(AU169="Ações Europeias", HLOOKUP(AT169,'Histórico'!$A$1:$DD$990,MATCH($B$6,'Histórico'!$A:$A),FALSE)*HLOOKUP("EUR/BRL",'Histórico'!$A$1:$FG$983,MATCH($B$6,'Histórico'!$A:$A),FALSE),  HLOOKUP(AT169,'Histórico'!$A$1:$DD$990,MATCH($B$6,'Histórico'!$A:$A),FALSE))),"")</f>
        <v/>
      </c>
      <c r="AX169" s="243" t="str">
        <f t="shared" si="27"/>
        <v/>
      </c>
      <c r="AY169" s="183"/>
    </row>
    <row r="170" ht="15.75" customHeight="1">
      <c r="A170" s="176"/>
      <c r="B170" s="232">
        <v>45238.0</v>
      </c>
      <c r="C170" s="233"/>
      <c r="D170" s="233"/>
      <c r="E170" s="234"/>
      <c r="F170" s="233"/>
      <c r="G170" s="233"/>
      <c r="H170" s="234"/>
      <c r="I170" s="233"/>
      <c r="J170" s="233"/>
      <c r="K170" s="234"/>
      <c r="L170" s="233"/>
      <c r="M170" s="233"/>
      <c r="N170" s="240" t="str">
        <f t="shared" si="9"/>
        <v/>
      </c>
      <c r="O170" s="240" t="str">
        <f t="shared" si="10"/>
        <v/>
      </c>
      <c r="P170" s="240" t="str">
        <f t="shared" si="11"/>
        <v/>
      </c>
      <c r="Q170" s="240" t="str">
        <f t="shared" si="12"/>
        <v/>
      </c>
      <c r="R170" s="236" t="str">
        <f t="shared" si="13"/>
        <v/>
      </c>
      <c r="S170" s="177"/>
      <c r="T170" s="233" t="str">
        <f t="shared" ref="T170:U170" si="180">IF(AND(C170&lt;&gt;"",F170&lt;&gt;"",I170&lt;&gt;""), SUM(I170,F170,C170,L170),"")</f>
        <v/>
      </c>
      <c r="U170" s="233" t="str">
        <f t="shared" si="180"/>
        <v/>
      </c>
      <c r="V170" s="233" t="str">
        <f t="shared" si="6"/>
        <v/>
      </c>
      <c r="W170" s="241" t="str">
        <f t="shared" si="15"/>
        <v/>
      </c>
      <c r="X170" s="241" t="str">
        <f t="shared" si="16"/>
        <v/>
      </c>
      <c r="Y170" s="241" t="str">
        <f t="shared" si="25"/>
        <v/>
      </c>
      <c r="Z170" s="233" t="str">
        <f t="shared" si="7"/>
        <v/>
      </c>
      <c r="AA170" s="165"/>
      <c r="AB170" s="245"/>
      <c r="AC170" s="242" t="str">
        <f>IF(ISTEXT(AB170),VLOOKUP(AB170,'Cadastro dos Ativos'!$A$2:$C$1000,3,0),"")</f>
        <v/>
      </c>
      <c r="AD170" s="242" t="str">
        <f>IF(AB170 &lt;&gt; "",IF(AC170="Futuros", (SUMIFS('Alocação'!$O$3:$O$1002,'Alocação'!$C$3:$C$1002,AB170,'Alocação'!$F$3:$F$1002,AB$9,'Alocação'!$B$3:$B$1002,"&lt;="&amp;$B$4)), (SUMIFS('Alocação'!$O$3:$O$1002,'Alocação'!$C$3:$C$1002,AB170,'Alocação'!$F$3:$F$1002,AB$9,'Alocação'!$B$3:$B$1002,"&lt;="&amp;$B$6))),"")</f>
        <v/>
      </c>
      <c r="AE170" s="243" t="str">
        <f>iferror(IF(AC170="Ações Americanas", HLOOKUP(AB170,'Histórico'!$A$1:$DD$990,MATCH($B$6,'Histórico'!$A:$A),FALSE)*HLOOKUP("PTAX",'Histórico'!$A$1:$FG$983,MATCH($B$6,'Histórico'!$A:$A),FALSE),IF(AC170="Ações Europeias", HLOOKUP(AB170,'Histórico'!$A$1:$DD$990,MATCH($B$6,'Histórico'!$A:$A),FALSE)*HLOOKUP("EUR/BRL",'Histórico'!$A$1:$FG$983,MATCH($B$6,'Histórico'!$A:$A),FALSE), HLOOKUP(AB170,'Histórico'!$A$1:$DD$990,MATCH($B$6,'Histórico'!$A:$A),FALSE))),"")</f>
        <v/>
      </c>
      <c r="AF170" s="243" t="str">
        <f t="shared" si="21"/>
        <v/>
      </c>
      <c r="AG170" s="53"/>
      <c r="AH170" s="245"/>
      <c r="AI170" s="242" t="str">
        <f>IF(ISTEXT(AH170),VLOOKUP(AH170,'Cadastro dos Ativos'!$A$2:$C$1000,3,0),"")</f>
        <v/>
      </c>
      <c r="AJ170" s="242" t="str">
        <f>IF(AH170 &lt;&gt; "",IF(AI170="Futuros", (SUMIFS('Alocação'!$O$3:$O$1002,'Alocação'!$C$3:$C$1002,AH170,'Alocação'!$F$3:$F$1002,AH$9,'Alocação'!$B$3:$B$1002,"&lt;="&amp;$B$4)), (SUMIFS('Alocação'!$O$3:$O$1002,'Alocação'!$C$3:$C$1002,AH170,'Alocação'!$F$3:$F$1002,AH$9,'Alocação'!$B$3:$B$1002,"&lt;="&amp;$B$6))),"")</f>
        <v/>
      </c>
      <c r="AK170" s="243" t="str">
        <f>iferror(IF(AI170="Ações Americanas", HLOOKUP(AH170,'Histórico'!$A$1:$DD$990,MATCH($B$6,'Histórico'!$A:$A),FALSE)*HLOOKUP("PTAX",'Histórico'!$A$1:$FG$983,MATCH($B$6,'Histórico'!$A:$A),FALSE),IF(AI170="Ações Europeias", HLOOKUP(AH170,'Histórico'!$A$1:$DD$990,MATCH($B$6,'Histórico'!$A:$A),FALSE)*HLOOKUP("EUR/BRL",'Histórico'!$A$1:$FG$983,MATCH($B$6,'Histórico'!$A:$A),FALSE),  HLOOKUP(AH170,'Histórico'!$A$1:$DD$990,MATCH($B$6,'Histórico'!$A:$A),FALSE))),"")</f>
        <v/>
      </c>
      <c r="AL170" s="243" t="str">
        <f t="shared" si="17"/>
        <v/>
      </c>
      <c r="AM170" s="53"/>
      <c r="AN170" s="245"/>
      <c r="AO170" s="242" t="str">
        <f>IF(ISTEXT(AN170),VLOOKUP(AN170,'Cadastro dos Ativos'!$A$2:$C$1000,3,0),"")</f>
        <v/>
      </c>
      <c r="AP170" s="242" t="str">
        <f>IF(AN170 &lt;&gt; "",IF(AO170="Futuros", (SUMIFS('Alocação'!$O$3:$O$1002,'Alocação'!$C$3:$C$1002,AN170,'Alocação'!$F$3:$F$1002,AN$9,'Alocação'!$B$3:$B$1002,"&lt;="&amp;$B$4)), (SUMIFS('Alocação'!$O$3:$O$1002,'Alocação'!$C$3:$C$1002,AN170,'Alocação'!$F$3:$F$1002,AN$9,'Alocação'!$B$3:$B$1002,"&lt;="&amp;$B$6))),"")</f>
        <v/>
      </c>
      <c r="AQ170" s="243" t="str">
        <f>iferror(IF(AO170="Ações Americanas", HLOOKUP(AN170,'Histórico'!$A$1:$DD$990,MATCH($B$6,'Histórico'!$A:$A),FALSE)*HLOOKUP("PTAX",'Histórico'!$A$1:$FG$983,MATCH($B$6,'Histórico'!$A:$A),FALSE),IF(AO170="Ações Europeias", HLOOKUP(AN170,'Histórico'!$A$1:$DD$990,MATCH($B$6,'Histórico'!$A:$A),FALSE)*HLOOKUP("EUR/BRL",'Histórico'!$A$1:$FG$983,MATCH($B$6,'Histórico'!$A:$A),FALSE),  HLOOKUP(AN170,'Histórico'!$A$1:$DD$990,MATCH($B$6,'Histórico'!$A:$A),FALSE))),"")</f>
        <v/>
      </c>
      <c r="AR170" s="243" t="str">
        <f t="shared" si="18"/>
        <v/>
      </c>
      <c r="AS170" s="53"/>
      <c r="AT170" s="245"/>
      <c r="AU170" s="242" t="str">
        <f>IF(ISTEXT(AT170),VLOOKUP(AT170,'Cadastro dos Ativos'!$A$2:$C$1000,3,0),"")</f>
        <v/>
      </c>
      <c r="AV170" s="242" t="str">
        <f>IF(AT170 &lt;&gt; "",IF(AU170="Futuros", (SUMIFS('Alocação'!$O$3:$O$1002,'Alocação'!$C$3:$C$1002,AT170,'Alocação'!$F$3:$F$1002,AT$9,'Alocação'!$B$3:$B$1002,"&lt;="&amp;$B$4)), (SUMIFS('Alocação'!$O$3:$O$1002,'Alocação'!$C$3:$C$1002,AT170,'Alocação'!$F$3:$F$1002,AT$9,'Alocação'!$B$3:$B$1002,"&lt;="&amp;$B$6))),"")</f>
        <v/>
      </c>
      <c r="AW170" s="243" t="str">
        <f>iferror(IF(AU170="Ações Americanas", HLOOKUP(AT170,'Histórico'!$A$1:$DD$990,MATCH($B$6,'Histórico'!$A:$A),FALSE)*HLOOKUP("PTAX",'Histórico'!$A$1:$FG$983,MATCH($B$6,'Histórico'!$A:$A),FALSE),IF(AU170="Ações Europeias", HLOOKUP(AT170,'Histórico'!$A$1:$DD$990,MATCH($B$6,'Histórico'!$A:$A),FALSE)*HLOOKUP("EUR/BRL",'Histórico'!$A$1:$FG$983,MATCH($B$6,'Histórico'!$A:$A),FALSE),  HLOOKUP(AT170,'Histórico'!$A$1:$DD$990,MATCH($B$6,'Histórico'!$A:$A),FALSE))),"")</f>
        <v/>
      </c>
      <c r="AX170" s="243" t="str">
        <f t="shared" si="27"/>
        <v/>
      </c>
      <c r="AY170" s="183"/>
    </row>
    <row r="171" ht="15.75" customHeight="1">
      <c r="A171" s="176"/>
      <c r="B171" s="232">
        <v>45239.0</v>
      </c>
      <c r="C171" s="233"/>
      <c r="D171" s="233"/>
      <c r="E171" s="234"/>
      <c r="F171" s="233"/>
      <c r="G171" s="233"/>
      <c r="H171" s="234"/>
      <c r="I171" s="233"/>
      <c r="J171" s="233"/>
      <c r="K171" s="234"/>
      <c r="L171" s="233"/>
      <c r="M171" s="233"/>
      <c r="N171" s="240" t="str">
        <f t="shared" si="9"/>
        <v/>
      </c>
      <c r="O171" s="240" t="str">
        <f t="shared" si="10"/>
        <v/>
      </c>
      <c r="P171" s="240" t="str">
        <f t="shared" si="11"/>
        <v/>
      </c>
      <c r="Q171" s="240" t="str">
        <f t="shared" si="12"/>
        <v/>
      </c>
      <c r="R171" s="236" t="str">
        <f t="shared" si="13"/>
        <v/>
      </c>
      <c r="S171" s="177"/>
      <c r="T171" s="233" t="str">
        <f t="shared" ref="T171:U171" si="181">IF(AND(C171&lt;&gt;"",F171&lt;&gt;"",I171&lt;&gt;""), SUM(I171,F171,C171,L171),"")</f>
        <v/>
      </c>
      <c r="U171" s="233" t="str">
        <f t="shared" si="181"/>
        <v/>
      </c>
      <c r="V171" s="233" t="str">
        <f t="shared" si="6"/>
        <v/>
      </c>
      <c r="W171" s="241" t="str">
        <f t="shared" si="15"/>
        <v/>
      </c>
      <c r="X171" s="241" t="str">
        <f t="shared" si="16"/>
        <v/>
      </c>
      <c r="Y171" s="241" t="str">
        <f t="shared" si="25"/>
        <v/>
      </c>
      <c r="Z171" s="233" t="str">
        <f t="shared" si="7"/>
        <v/>
      </c>
      <c r="AA171" s="165"/>
      <c r="AB171" s="245"/>
      <c r="AC171" s="242" t="str">
        <f>IF(ISTEXT(AB171),VLOOKUP(AB171,'Cadastro dos Ativos'!$A$2:$C$1000,3,0),"")</f>
        <v/>
      </c>
      <c r="AD171" s="242" t="str">
        <f>IF(AB171 &lt;&gt; "",IF(AC171="Futuros", (SUMIFS('Alocação'!$O$3:$O$1002,'Alocação'!$C$3:$C$1002,AB171,'Alocação'!$F$3:$F$1002,AB$9,'Alocação'!$B$3:$B$1002,"&lt;="&amp;$B$4)), (SUMIFS('Alocação'!$O$3:$O$1002,'Alocação'!$C$3:$C$1002,AB171,'Alocação'!$F$3:$F$1002,AB$9,'Alocação'!$B$3:$B$1002,"&lt;="&amp;$B$6))),"")</f>
        <v/>
      </c>
      <c r="AE171" s="243" t="str">
        <f>iferror(IF(AC171="Ações Americanas", HLOOKUP(AB171,'Histórico'!$A$1:$DD$990,MATCH($B$6,'Histórico'!$A:$A),FALSE)*HLOOKUP("PTAX",'Histórico'!$A$1:$FG$983,MATCH($B$6,'Histórico'!$A:$A),FALSE),IF(AC171="Ações Europeias", HLOOKUP(AB171,'Histórico'!$A$1:$DD$990,MATCH($B$6,'Histórico'!$A:$A),FALSE)*HLOOKUP("EUR/BRL",'Histórico'!$A$1:$FG$983,MATCH($B$6,'Histórico'!$A:$A),FALSE), HLOOKUP(AB171,'Histórico'!$A$1:$DD$990,MATCH($B$6,'Histórico'!$A:$A),FALSE))),"")</f>
        <v/>
      </c>
      <c r="AF171" s="243" t="str">
        <f t="shared" si="21"/>
        <v/>
      </c>
      <c r="AG171" s="53"/>
      <c r="AH171" s="245"/>
      <c r="AI171" s="242" t="str">
        <f>IF(ISTEXT(AH171),VLOOKUP(AH171,'Cadastro dos Ativos'!$A$2:$C$1000,3,0),"")</f>
        <v/>
      </c>
      <c r="AJ171" s="242" t="str">
        <f>IF(AH171 &lt;&gt; "",IF(AI171="Futuros", (SUMIFS('Alocação'!$O$3:$O$1002,'Alocação'!$C$3:$C$1002,AH171,'Alocação'!$F$3:$F$1002,AH$9,'Alocação'!$B$3:$B$1002,"&lt;="&amp;$B$4)), (SUMIFS('Alocação'!$O$3:$O$1002,'Alocação'!$C$3:$C$1002,AH171,'Alocação'!$F$3:$F$1002,AH$9,'Alocação'!$B$3:$B$1002,"&lt;="&amp;$B$6))),"")</f>
        <v/>
      </c>
      <c r="AK171" s="243" t="str">
        <f>iferror(IF(AI171="Ações Americanas", HLOOKUP(AH171,'Histórico'!$A$1:$DD$990,MATCH($B$6,'Histórico'!$A:$A),FALSE)*HLOOKUP("PTAX",'Histórico'!$A$1:$FG$983,MATCH($B$6,'Histórico'!$A:$A),FALSE),IF(AI171="Ações Europeias", HLOOKUP(AH171,'Histórico'!$A$1:$DD$990,MATCH($B$6,'Histórico'!$A:$A),FALSE)*HLOOKUP("EUR/BRL",'Histórico'!$A$1:$FG$983,MATCH($B$6,'Histórico'!$A:$A),FALSE),  HLOOKUP(AH171,'Histórico'!$A$1:$DD$990,MATCH($B$6,'Histórico'!$A:$A),FALSE))),"")</f>
        <v/>
      </c>
      <c r="AL171" s="243" t="str">
        <f t="shared" si="17"/>
        <v/>
      </c>
      <c r="AM171" s="53"/>
      <c r="AN171" s="245"/>
      <c r="AO171" s="242" t="str">
        <f>IF(ISTEXT(AN171),VLOOKUP(AN171,'Cadastro dos Ativos'!$A$2:$C$1000,3,0),"")</f>
        <v/>
      </c>
      <c r="AP171" s="242" t="str">
        <f>IF(AN171 &lt;&gt; "",IF(AO171="Futuros", (SUMIFS('Alocação'!$O$3:$O$1002,'Alocação'!$C$3:$C$1002,AN171,'Alocação'!$F$3:$F$1002,AN$9,'Alocação'!$B$3:$B$1002,"&lt;="&amp;$B$4)), (SUMIFS('Alocação'!$O$3:$O$1002,'Alocação'!$C$3:$C$1002,AN171,'Alocação'!$F$3:$F$1002,AN$9,'Alocação'!$B$3:$B$1002,"&lt;="&amp;$B$6))),"")</f>
        <v/>
      </c>
      <c r="AQ171" s="243" t="str">
        <f>iferror(IF(AO171="Ações Americanas", HLOOKUP(AN171,'Histórico'!$A$1:$DD$990,MATCH($B$6,'Histórico'!$A:$A),FALSE)*HLOOKUP("PTAX",'Histórico'!$A$1:$FG$983,MATCH($B$6,'Histórico'!$A:$A),FALSE),IF(AO171="Ações Europeias", HLOOKUP(AN171,'Histórico'!$A$1:$DD$990,MATCH($B$6,'Histórico'!$A:$A),FALSE)*HLOOKUP("EUR/BRL",'Histórico'!$A$1:$FG$983,MATCH($B$6,'Histórico'!$A:$A),FALSE),  HLOOKUP(AN171,'Histórico'!$A$1:$DD$990,MATCH($B$6,'Histórico'!$A:$A),FALSE))),"")</f>
        <v/>
      </c>
      <c r="AR171" s="243" t="str">
        <f t="shared" si="18"/>
        <v/>
      </c>
      <c r="AS171" s="53"/>
      <c r="AT171" s="245"/>
      <c r="AU171" s="242" t="str">
        <f>IF(ISTEXT(AT171),VLOOKUP(AT171,'Cadastro dos Ativos'!$A$2:$C$1000,3,0),"")</f>
        <v/>
      </c>
      <c r="AV171" s="242" t="str">
        <f>IF(AT171 &lt;&gt; "",IF(AU171="Futuros", (SUMIFS('Alocação'!$O$3:$O$1002,'Alocação'!$C$3:$C$1002,AT171,'Alocação'!$F$3:$F$1002,AT$9,'Alocação'!$B$3:$B$1002,"&lt;="&amp;$B$4)), (SUMIFS('Alocação'!$O$3:$O$1002,'Alocação'!$C$3:$C$1002,AT171,'Alocação'!$F$3:$F$1002,AT$9,'Alocação'!$B$3:$B$1002,"&lt;="&amp;$B$6))),"")</f>
        <v/>
      </c>
      <c r="AW171" s="243" t="str">
        <f>iferror(IF(AU171="Ações Americanas", HLOOKUP(AT171,'Histórico'!$A$1:$DD$990,MATCH($B$6,'Histórico'!$A:$A),FALSE)*HLOOKUP("PTAX",'Histórico'!$A$1:$FG$983,MATCH($B$6,'Histórico'!$A:$A),FALSE),IF(AU171="Ações Europeias", HLOOKUP(AT171,'Histórico'!$A$1:$DD$990,MATCH($B$6,'Histórico'!$A:$A),FALSE)*HLOOKUP("EUR/BRL",'Histórico'!$A$1:$FG$983,MATCH($B$6,'Histórico'!$A:$A),FALSE),  HLOOKUP(AT171,'Histórico'!$A$1:$DD$990,MATCH($B$6,'Histórico'!$A:$A),FALSE))),"")</f>
        <v/>
      </c>
      <c r="AX171" s="243" t="str">
        <f t="shared" si="27"/>
        <v/>
      </c>
      <c r="AY171" s="183"/>
    </row>
    <row r="172" ht="15.75" customHeight="1">
      <c r="A172" s="176"/>
      <c r="B172" s="232">
        <v>45240.0</v>
      </c>
      <c r="C172" s="233"/>
      <c r="D172" s="233"/>
      <c r="E172" s="234"/>
      <c r="F172" s="233"/>
      <c r="G172" s="233"/>
      <c r="H172" s="234"/>
      <c r="I172" s="233"/>
      <c r="J172" s="233"/>
      <c r="K172" s="234"/>
      <c r="L172" s="233"/>
      <c r="M172" s="233"/>
      <c r="N172" s="240" t="str">
        <f t="shared" si="9"/>
        <v/>
      </c>
      <c r="O172" s="240" t="str">
        <f t="shared" si="10"/>
        <v/>
      </c>
      <c r="P172" s="240" t="str">
        <f t="shared" si="11"/>
        <v/>
      </c>
      <c r="Q172" s="240" t="str">
        <f t="shared" si="12"/>
        <v/>
      </c>
      <c r="R172" s="236" t="str">
        <f t="shared" si="13"/>
        <v/>
      </c>
      <c r="S172" s="177"/>
      <c r="T172" s="233" t="str">
        <f t="shared" ref="T172:U172" si="182">IF(AND(C172&lt;&gt;"",F172&lt;&gt;"",I172&lt;&gt;""), SUM(I172,F172,C172,L172),"")</f>
        <v/>
      </c>
      <c r="U172" s="233" t="str">
        <f t="shared" si="182"/>
        <v/>
      </c>
      <c r="V172" s="233" t="str">
        <f t="shared" si="6"/>
        <v/>
      </c>
      <c r="W172" s="241" t="str">
        <f t="shared" si="15"/>
        <v/>
      </c>
      <c r="X172" s="241" t="str">
        <f t="shared" si="16"/>
        <v/>
      </c>
      <c r="Y172" s="241" t="str">
        <f t="shared" si="25"/>
        <v/>
      </c>
      <c r="Z172" s="233" t="str">
        <f t="shared" si="7"/>
        <v/>
      </c>
      <c r="AA172" s="165"/>
      <c r="AB172" s="245"/>
      <c r="AC172" s="242" t="str">
        <f>IF(ISTEXT(AB172),VLOOKUP(AB172,'Cadastro dos Ativos'!$A$2:$C$1000,3,0),"")</f>
        <v/>
      </c>
      <c r="AD172" s="242" t="str">
        <f>IF(AB172 &lt;&gt; "",IF(AC172="Futuros", (SUMIFS('Alocação'!$O$3:$O$1002,'Alocação'!$C$3:$C$1002,AB172,'Alocação'!$F$3:$F$1002,AB$9,'Alocação'!$B$3:$B$1002,"&lt;="&amp;$B$4)), (SUMIFS('Alocação'!$O$3:$O$1002,'Alocação'!$C$3:$C$1002,AB172,'Alocação'!$F$3:$F$1002,AB$9,'Alocação'!$B$3:$B$1002,"&lt;="&amp;$B$6))),"")</f>
        <v/>
      </c>
      <c r="AE172" s="243" t="str">
        <f>iferror(IF(AC172="Ações Americanas", HLOOKUP(AB172,'Histórico'!$A$1:$DD$990,MATCH($B$6,'Histórico'!$A:$A),FALSE)*HLOOKUP("PTAX",'Histórico'!$A$1:$FG$983,MATCH($B$6,'Histórico'!$A:$A),FALSE),IF(AC172="Ações Europeias", HLOOKUP(AB172,'Histórico'!$A$1:$DD$990,MATCH($B$6,'Histórico'!$A:$A),FALSE)*HLOOKUP("EUR/BRL",'Histórico'!$A$1:$FG$983,MATCH($B$6,'Histórico'!$A:$A),FALSE), HLOOKUP(AB172,'Histórico'!$A$1:$DD$990,MATCH($B$6,'Histórico'!$A:$A),FALSE))),"")</f>
        <v/>
      </c>
      <c r="AF172" s="243" t="str">
        <f t="shared" si="21"/>
        <v/>
      </c>
      <c r="AG172" s="53"/>
      <c r="AH172" s="245"/>
      <c r="AI172" s="242" t="str">
        <f>IF(ISTEXT(AH172),VLOOKUP(AH172,'Cadastro dos Ativos'!$A$2:$C$1000,3,0),"")</f>
        <v/>
      </c>
      <c r="AJ172" s="242" t="str">
        <f>IF(AH172 &lt;&gt; "",IF(AI172="Futuros", (SUMIFS('Alocação'!$O$3:$O$1002,'Alocação'!$C$3:$C$1002,AH172,'Alocação'!$F$3:$F$1002,AH$9,'Alocação'!$B$3:$B$1002,"&lt;="&amp;$B$4)), (SUMIFS('Alocação'!$O$3:$O$1002,'Alocação'!$C$3:$C$1002,AH172,'Alocação'!$F$3:$F$1002,AH$9,'Alocação'!$B$3:$B$1002,"&lt;="&amp;$B$6))),"")</f>
        <v/>
      </c>
      <c r="AK172" s="243" t="str">
        <f>iferror(IF(AI172="Ações Americanas", HLOOKUP(AH172,'Histórico'!$A$1:$DD$990,MATCH($B$6,'Histórico'!$A:$A),FALSE)*HLOOKUP("PTAX",'Histórico'!$A$1:$FG$983,MATCH($B$6,'Histórico'!$A:$A),FALSE),IF(AI172="Ações Europeias", HLOOKUP(AH172,'Histórico'!$A$1:$DD$990,MATCH($B$6,'Histórico'!$A:$A),FALSE)*HLOOKUP("EUR/BRL",'Histórico'!$A$1:$FG$983,MATCH($B$6,'Histórico'!$A:$A),FALSE),  HLOOKUP(AH172,'Histórico'!$A$1:$DD$990,MATCH($B$6,'Histórico'!$A:$A),FALSE))),"")</f>
        <v/>
      </c>
      <c r="AL172" s="243" t="str">
        <f t="shared" si="17"/>
        <v/>
      </c>
      <c r="AM172" s="53"/>
      <c r="AN172" s="245"/>
      <c r="AO172" s="242" t="str">
        <f>IF(ISTEXT(AN172),VLOOKUP(AN172,'Cadastro dos Ativos'!$A$2:$C$1000,3,0),"")</f>
        <v/>
      </c>
      <c r="AP172" s="242" t="str">
        <f>IF(AN172 &lt;&gt; "",IF(AO172="Futuros", (SUMIFS('Alocação'!$O$3:$O$1002,'Alocação'!$C$3:$C$1002,AN172,'Alocação'!$F$3:$F$1002,AN$9,'Alocação'!$B$3:$B$1002,"&lt;="&amp;$B$4)), (SUMIFS('Alocação'!$O$3:$O$1002,'Alocação'!$C$3:$C$1002,AN172,'Alocação'!$F$3:$F$1002,AN$9,'Alocação'!$B$3:$B$1002,"&lt;="&amp;$B$6))),"")</f>
        <v/>
      </c>
      <c r="AQ172" s="243" t="str">
        <f>iferror(IF(AO172="Ações Americanas", HLOOKUP(AN172,'Histórico'!$A$1:$DD$990,MATCH($B$6,'Histórico'!$A:$A),FALSE)*HLOOKUP("PTAX",'Histórico'!$A$1:$FG$983,MATCH($B$6,'Histórico'!$A:$A),FALSE),IF(AO172="Ações Europeias", HLOOKUP(AN172,'Histórico'!$A$1:$DD$990,MATCH($B$6,'Histórico'!$A:$A),FALSE)*HLOOKUP("EUR/BRL",'Histórico'!$A$1:$FG$983,MATCH($B$6,'Histórico'!$A:$A),FALSE),  HLOOKUP(AN172,'Histórico'!$A$1:$DD$990,MATCH($B$6,'Histórico'!$A:$A),FALSE))),"")</f>
        <v/>
      </c>
      <c r="AR172" s="243" t="str">
        <f t="shared" si="18"/>
        <v/>
      </c>
      <c r="AS172" s="53"/>
      <c r="AT172" s="245"/>
      <c r="AU172" s="242" t="str">
        <f>IF(ISTEXT(AT172),VLOOKUP(AT172,'Cadastro dos Ativos'!$A$2:$C$1000,3,0),"")</f>
        <v/>
      </c>
      <c r="AV172" s="242" t="str">
        <f>IF(AT172 &lt;&gt; "",IF(AU172="Futuros", (SUMIFS('Alocação'!$O$3:$O$1002,'Alocação'!$C$3:$C$1002,AT172,'Alocação'!$F$3:$F$1002,AT$9,'Alocação'!$B$3:$B$1002,"&lt;="&amp;$B$4)), (SUMIFS('Alocação'!$O$3:$O$1002,'Alocação'!$C$3:$C$1002,AT172,'Alocação'!$F$3:$F$1002,AT$9,'Alocação'!$B$3:$B$1002,"&lt;="&amp;$B$6))),"")</f>
        <v/>
      </c>
      <c r="AW172" s="243" t="str">
        <f>iferror(IF(AU172="Ações Americanas", HLOOKUP(AT172,'Histórico'!$A$1:$DD$990,MATCH($B$6,'Histórico'!$A:$A),FALSE)*HLOOKUP("PTAX",'Histórico'!$A$1:$FG$983,MATCH($B$6,'Histórico'!$A:$A),FALSE),IF(AU172="Ações Europeias", HLOOKUP(AT172,'Histórico'!$A$1:$DD$990,MATCH($B$6,'Histórico'!$A:$A),FALSE)*HLOOKUP("EUR/BRL",'Histórico'!$A$1:$FG$983,MATCH($B$6,'Histórico'!$A:$A),FALSE),  HLOOKUP(AT172,'Histórico'!$A$1:$DD$990,MATCH($B$6,'Histórico'!$A:$A),FALSE))),"")</f>
        <v/>
      </c>
      <c r="AX172" s="243" t="str">
        <f t="shared" si="27"/>
        <v/>
      </c>
      <c r="AY172" s="183"/>
    </row>
    <row r="173" ht="15.75" customHeight="1">
      <c r="A173" s="176"/>
      <c r="B173" s="232">
        <v>45243.0</v>
      </c>
      <c r="C173" s="233"/>
      <c r="D173" s="233"/>
      <c r="E173" s="234"/>
      <c r="F173" s="233"/>
      <c r="G173" s="233"/>
      <c r="H173" s="234"/>
      <c r="I173" s="233"/>
      <c r="J173" s="233"/>
      <c r="K173" s="234"/>
      <c r="L173" s="233"/>
      <c r="M173" s="233"/>
      <c r="N173" s="240" t="str">
        <f t="shared" si="9"/>
        <v/>
      </c>
      <c r="O173" s="240" t="str">
        <f t="shared" si="10"/>
        <v/>
      </c>
      <c r="P173" s="240" t="str">
        <f t="shared" si="11"/>
        <v/>
      </c>
      <c r="Q173" s="240" t="str">
        <f t="shared" si="12"/>
        <v/>
      </c>
      <c r="R173" s="236" t="str">
        <f t="shared" si="13"/>
        <v/>
      </c>
      <c r="S173" s="177"/>
      <c r="T173" s="233" t="str">
        <f t="shared" ref="T173:U173" si="183">IF(AND(C173&lt;&gt;"",F173&lt;&gt;"",I173&lt;&gt;""), SUM(I173,F173,C173,L173),"")</f>
        <v/>
      </c>
      <c r="U173" s="233" t="str">
        <f t="shared" si="183"/>
        <v/>
      </c>
      <c r="V173" s="233" t="str">
        <f t="shared" si="6"/>
        <v/>
      </c>
      <c r="W173" s="241" t="str">
        <f t="shared" si="15"/>
        <v/>
      </c>
      <c r="X173" s="241" t="str">
        <f t="shared" si="16"/>
        <v/>
      </c>
      <c r="Y173" s="241" t="str">
        <f t="shared" si="25"/>
        <v/>
      </c>
      <c r="Z173" s="233" t="str">
        <f t="shared" si="7"/>
        <v/>
      </c>
      <c r="AA173" s="165"/>
      <c r="AB173" s="245"/>
      <c r="AC173" s="242" t="str">
        <f>IF(ISTEXT(AB173),VLOOKUP(AB173,'Cadastro dos Ativos'!$A$2:$C$1000,3,0),"")</f>
        <v/>
      </c>
      <c r="AD173" s="242" t="str">
        <f>IF(AB173 &lt;&gt; "",IF(AC173="Futuros", (SUMIFS('Alocação'!$O$3:$O$1002,'Alocação'!$C$3:$C$1002,AB173,'Alocação'!$F$3:$F$1002,AB$9,'Alocação'!$B$3:$B$1002,"&lt;="&amp;$B$4)), (SUMIFS('Alocação'!$O$3:$O$1002,'Alocação'!$C$3:$C$1002,AB173,'Alocação'!$F$3:$F$1002,AB$9,'Alocação'!$B$3:$B$1002,"&lt;="&amp;$B$6))),"")</f>
        <v/>
      </c>
      <c r="AE173" s="243" t="str">
        <f>iferror(IF(AC173="Ações Americanas", HLOOKUP(AB173,'Histórico'!$A$1:$DD$990,MATCH($B$6,'Histórico'!$A:$A),FALSE)*HLOOKUP("PTAX",'Histórico'!$A$1:$FG$983,MATCH($B$6,'Histórico'!$A:$A),FALSE),IF(AC173="Ações Europeias", HLOOKUP(AB173,'Histórico'!$A$1:$DD$990,MATCH($B$6,'Histórico'!$A:$A),FALSE)*HLOOKUP("EUR/BRL",'Histórico'!$A$1:$FG$983,MATCH($B$6,'Histórico'!$A:$A),FALSE), HLOOKUP(AB173,'Histórico'!$A$1:$DD$990,MATCH($B$6,'Histórico'!$A:$A),FALSE))),"")</f>
        <v/>
      </c>
      <c r="AF173" s="243" t="str">
        <f t="shared" si="21"/>
        <v/>
      </c>
      <c r="AG173" s="53"/>
      <c r="AH173" s="245"/>
      <c r="AI173" s="242" t="str">
        <f>IF(ISTEXT(AH173),VLOOKUP(AH173,'Cadastro dos Ativos'!$A$2:$C$1000,3,0),"")</f>
        <v/>
      </c>
      <c r="AJ173" s="242" t="str">
        <f>IF(AH173 &lt;&gt; "",IF(AI173="Futuros", (SUMIFS('Alocação'!$O$3:$O$1002,'Alocação'!$C$3:$C$1002,AH173,'Alocação'!$F$3:$F$1002,AH$9,'Alocação'!$B$3:$B$1002,"&lt;="&amp;$B$4)), (SUMIFS('Alocação'!$O$3:$O$1002,'Alocação'!$C$3:$C$1002,AH173,'Alocação'!$F$3:$F$1002,AH$9,'Alocação'!$B$3:$B$1002,"&lt;="&amp;$B$6))),"")</f>
        <v/>
      </c>
      <c r="AK173" s="243" t="str">
        <f>iferror(IF(AI173="Ações Americanas", HLOOKUP(AH173,'Histórico'!$A$1:$DD$990,MATCH($B$6,'Histórico'!$A:$A),FALSE)*HLOOKUP("PTAX",'Histórico'!$A$1:$FG$983,MATCH($B$6,'Histórico'!$A:$A),FALSE),IF(AI173="Ações Europeias", HLOOKUP(AH173,'Histórico'!$A$1:$DD$990,MATCH($B$6,'Histórico'!$A:$A),FALSE)*HLOOKUP("EUR/BRL",'Histórico'!$A$1:$FG$983,MATCH($B$6,'Histórico'!$A:$A),FALSE),  HLOOKUP(AH173,'Histórico'!$A$1:$DD$990,MATCH($B$6,'Histórico'!$A:$A),FALSE))),"")</f>
        <v/>
      </c>
      <c r="AL173" s="243" t="str">
        <f t="shared" si="17"/>
        <v/>
      </c>
      <c r="AM173" s="53"/>
      <c r="AN173" s="245"/>
      <c r="AO173" s="242" t="str">
        <f>IF(ISTEXT(AN173),VLOOKUP(AN173,'Cadastro dos Ativos'!$A$2:$C$1000,3,0),"")</f>
        <v/>
      </c>
      <c r="AP173" s="242" t="str">
        <f>IF(AN173 &lt;&gt; "",IF(AO173="Futuros", (SUMIFS('Alocação'!$O$3:$O$1002,'Alocação'!$C$3:$C$1002,AN173,'Alocação'!$F$3:$F$1002,AN$9,'Alocação'!$B$3:$B$1002,"&lt;="&amp;$B$4)), (SUMIFS('Alocação'!$O$3:$O$1002,'Alocação'!$C$3:$C$1002,AN173,'Alocação'!$F$3:$F$1002,AN$9,'Alocação'!$B$3:$B$1002,"&lt;="&amp;$B$6))),"")</f>
        <v/>
      </c>
      <c r="AQ173" s="243" t="str">
        <f>iferror(IF(AO173="Ações Americanas", HLOOKUP(AN173,'Histórico'!$A$1:$DD$990,MATCH($B$6,'Histórico'!$A:$A),FALSE)*HLOOKUP("PTAX",'Histórico'!$A$1:$FG$983,MATCH($B$6,'Histórico'!$A:$A),FALSE),IF(AO173="Ações Europeias", HLOOKUP(AN173,'Histórico'!$A$1:$DD$990,MATCH($B$6,'Histórico'!$A:$A),FALSE)*HLOOKUP("EUR/BRL",'Histórico'!$A$1:$FG$983,MATCH($B$6,'Histórico'!$A:$A),FALSE),  HLOOKUP(AN173,'Histórico'!$A$1:$DD$990,MATCH($B$6,'Histórico'!$A:$A),FALSE))),"")</f>
        <v/>
      </c>
      <c r="AR173" s="243" t="str">
        <f t="shared" si="18"/>
        <v/>
      </c>
      <c r="AS173" s="53"/>
      <c r="AT173" s="245"/>
      <c r="AU173" s="242" t="str">
        <f>IF(ISTEXT(AT173),VLOOKUP(AT173,'Cadastro dos Ativos'!$A$2:$C$1000,3,0),"")</f>
        <v/>
      </c>
      <c r="AV173" s="242" t="str">
        <f>IF(AT173 &lt;&gt; "",IF(AU173="Futuros", (SUMIFS('Alocação'!$O$3:$O$1002,'Alocação'!$C$3:$C$1002,AT173,'Alocação'!$F$3:$F$1002,AT$9,'Alocação'!$B$3:$B$1002,"&lt;="&amp;$B$4)), (SUMIFS('Alocação'!$O$3:$O$1002,'Alocação'!$C$3:$C$1002,AT173,'Alocação'!$F$3:$F$1002,AT$9,'Alocação'!$B$3:$B$1002,"&lt;="&amp;$B$6))),"")</f>
        <v/>
      </c>
      <c r="AW173" s="243" t="str">
        <f>iferror(IF(AU173="Ações Americanas", HLOOKUP(AT173,'Histórico'!$A$1:$DD$990,MATCH($B$6,'Histórico'!$A:$A),FALSE)*HLOOKUP("PTAX",'Histórico'!$A$1:$FG$983,MATCH($B$6,'Histórico'!$A:$A),FALSE),IF(AU173="Ações Europeias", HLOOKUP(AT173,'Histórico'!$A$1:$DD$990,MATCH($B$6,'Histórico'!$A:$A),FALSE)*HLOOKUP("EUR/BRL",'Histórico'!$A$1:$FG$983,MATCH($B$6,'Histórico'!$A:$A),FALSE),  HLOOKUP(AT173,'Histórico'!$A$1:$DD$990,MATCH($B$6,'Histórico'!$A:$A),FALSE))),"")</f>
        <v/>
      </c>
      <c r="AX173" s="243" t="str">
        <f t="shared" si="27"/>
        <v/>
      </c>
      <c r="AY173" s="183"/>
    </row>
    <row r="174" ht="15.75" customHeight="1">
      <c r="A174" s="176"/>
      <c r="B174" s="232">
        <v>45244.0</v>
      </c>
      <c r="C174" s="233"/>
      <c r="D174" s="233"/>
      <c r="E174" s="234"/>
      <c r="F174" s="233"/>
      <c r="G174" s="233"/>
      <c r="H174" s="234"/>
      <c r="I174" s="233"/>
      <c r="J174" s="233"/>
      <c r="K174" s="234"/>
      <c r="L174" s="233"/>
      <c r="M174" s="233"/>
      <c r="N174" s="240" t="str">
        <f t="shared" si="9"/>
        <v/>
      </c>
      <c r="O174" s="240" t="str">
        <f t="shared" si="10"/>
        <v/>
      </c>
      <c r="P174" s="240" t="str">
        <f t="shared" si="11"/>
        <v/>
      </c>
      <c r="Q174" s="240" t="str">
        <f t="shared" si="12"/>
        <v/>
      </c>
      <c r="R174" s="236" t="str">
        <f t="shared" si="13"/>
        <v/>
      </c>
      <c r="S174" s="177"/>
      <c r="T174" s="233" t="str">
        <f t="shared" ref="T174:U174" si="184">IF(AND(C174&lt;&gt;"",F174&lt;&gt;"",I174&lt;&gt;""), SUM(I174,F174,C174,L174),"")</f>
        <v/>
      </c>
      <c r="U174" s="233" t="str">
        <f t="shared" si="184"/>
        <v/>
      </c>
      <c r="V174" s="233" t="str">
        <f t="shared" si="6"/>
        <v/>
      </c>
      <c r="W174" s="241" t="str">
        <f t="shared" si="15"/>
        <v/>
      </c>
      <c r="X174" s="241" t="str">
        <f t="shared" si="16"/>
        <v/>
      </c>
      <c r="Y174" s="241" t="str">
        <f t="shared" si="25"/>
        <v/>
      </c>
      <c r="Z174" s="233" t="str">
        <f t="shared" si="7"/>
        <v/>
      </c>
      <c r="AA174" s="165"/>
      <c r="AB174" s="245"/>
      <c r="AC174" s="242" t="str">
        <f>IF(ISTEXT(AB174),VLOOKUP(AB174,'Cadastro dos Ativos'!$A$2:$C$1000,3,0),"")</f>
        <v/>
      </c>
      <c r="AD174" s="242" t="str">
        <f>IF(AB174 &lt;&gt; "",IF(AC174="Futuros", (SUMIFS('Alocação'!$O$3:$O$1002,'Alocação'!$C$3:$C$1002,AB174,'Alocação'!$F$3:$F$1002,AB$9,'Alocação'!$B$3:$B$1002,"&lt;="&amp;$B$4)), (SUMIFS('Alocação'!$O$3:$O$1002,'Alocação'!$C$3:$C$1002,AB174,'Alocação'!$F$3:$F$1002,AB$9,'Alocação'!$B$3:$B$1002,"&lt;="&amp;$B$6))),"")</f>
        <v/>
      </c>
      <c r="AE174" s="243" t="str">
        <f>iferror(IF(AC174="Ações Americanas", HLOOKUP(AB174,'Histórico'!$A$1:$DD$990,MATCH($B$6,'Histórico'!$A:$A),FALSE)*HLOOKUP("PTAX",'Histórico'!$A$1:$FG$983,MATCH($B$6,'Histórico'!$A:$A),FALSE),IF(AC174="Ações Europeias", HLOOKUP(AB174,'Histórico'!$A$1:$DD$990,MATCH($B$6,'Histórico'!$A:$A),FALSE)*HLOOKUP("EUR/BRL",'Histórico'!$A$1:$FG$983,MATCH($B$6,'Histórico'!$A:$A),FALSE), HLOOKUP(AB174,'Histórico'!$A$1:$DD$990,MATCH($B$6,'Histórico'!$A:$A),FALSE))),"")</f>
        <v/>
      </c>
      <c r="AF174" s="243" t="str">
        <f t="shared" si="21"/>
        <v/>
      </c>
      <c r="AG174" s="53"/>
      <c r="AH174" s="245"/>
      <c r="AI174" s="242" t="str">
        <f>IF(ISTEXT(AH174),VLOOKUP(AH174,'Cadastro dos Ativos'!$A$2:$C$1000,3,0),"")</f>
        <v/>
      </c>
      <c r="AJ174" s="242" t="str">
        <f>IF(AH174 &lt;&gt; "",IF(AI174="Futuros", (SUMIFS('Alocação'!$O$3:$O$1002,'Alocação'!$C$3:$C$1002,AH174,'Alocação'!$F$3:$F$1002,AH$9,'Alocação'!$B$3:$B$1002,"&lt;="&amp;$B$4)), (SUMIFS('Alocação'!$O$3:$O$1002,'Alocação'!$C$3:$C$1002,AH174,'Alocação'!$F$3:$F$1002,AH$9,'Alocação'!$B$3:$B$1002,"&lt;="&amp;$B$6))),"")</f>
        <v/>
      </c>
      <c r="AK174" s="243" t="str">
        <f>iferror(IF(AI174="Ações Americanas", HLOOKUP(AH174,'Histórico'!$A$1:$DD$990,MATCH($B$6,'Histórico'!$A:$A),FALSE)*HLOOKUP("PTAX",'Histórico'!$A$1:$FG$983,MATCH($B$6,'Histórico'!$A:$A),FALSE),IF(AI174="Ações Europeias", HLOOKUP(AH174,'Histórico'!$A$1:$DD$990,MATCH($B$6,'Histórico'!$A:$A),FALSE)*HLOOKUP("EUR/BRL",'Histórico'!$A$1:$FG$983,MATCH($B$6,'Histórico'!$A:$A),FALSE),  HLOOKUP(AH174,'Histórico'!$A$1:$DD$990,MATCH($B$6,'Histórico'!$A:$A),FALSE))),"")</f>
        <v/>
      </c>
      <c r="AL174" s="243" t="str">
        <f t="shared" si="17"/>
        <v/>
      </c>
      <c r="AM174" s="53"/>
      <c r="AN174" s="245"/>
      <c r="AO174" s="242" t="str">
        <f>IF(ISTEXT(AN174),VLOOKUP(AN174,'Cadastro dos Ativos'!$A$2:$C$1000,3,0),"")</f>
        <v/>
      </c>
      <c r="AP174" s="242" t="str">
        <f>IF(AN174 &lt;&gt; "",IF(AO174="Futuros", (SUMIFS('Alocação'!$O$3:$O$1002,'Alocação'!$C$3:$C$1002,AN174,'Alocação'!$F$3:$F$1002,AN$9,'Alocação'!$B$3:$B$1002,"&lt;="&amp;$B$4)), (SUMIFS('Alocação'!$O$3:$O$1002,'Alocação'!$C$3:$C$1002,AN174,'Alocação'!$F$3:$F$1002,AN$9,'Alocação'!$B$3:$B$1002,"&lt;="&amp;$B$6))),"")</f>
        <v/>
      </c>
      <c r="AQ174" s="243" t="str">
        <f>iferror(IF(AO174="Ações Americanas", HLOOKUP(AN174,'Histórico'!$A$1:$DD$990,MATCH($B$6,'Histórico'!$A:$A),FALSE)*HLOOKUP("PTAX",'Histórico'!$A$1:$FG$983,MATCH($B$6,'Histórico'!$A:$A),FALSE),IF(AO174="Ações Europeias", HLOOKUP(AN174,'Histórico'!$A$1:$DD$990,MATCH($B$6,'Histórico'!$A:$A),FALSE)*HLOOKUP("EUR/BRL",'Histórico'!$A$1:$FG$983,MATCH($B$6,'Histórico'!$A:$A),FALSE),  HLOOKUP(AN174,'Histórico'!$A$1:$DD$990,MATCH($B$6,'Histórico'!$A:$A),FALSE))),"")</f>
        <v/>
      </c>
      <c r="AR174" s="243" t="str">
        <f t="shared" si="18"/>
        <v/>
      </c>
      <c r="AS174" s="53"/>
      <c r="AT174" s="245"/>
      <c r="AU174" s="242" t="str">
        <f>IF(ISTEXT(AT174),VLOOKUP(AT174,'Cadastro dos Ativos'!$A$2:$C$1000,3,0),"")</f>
        <v/>
      </c>
      <c r="AV174" s="242" t="str">
        <f>IF(AT174 &lt;&gt; "",IF(AU174="Futuros", (SUMIFS('Alocação'!$O$3:$O$1002,'Alocação'!$C$3:$C$1002,AT174,'Alocação'!$F$3:$F$1002,AT$9,'Alocação'!$B$3:$B$1002,"&lt;="&amp;$B$4)), (SUMIFS('Alocação'!$O$3:$O$1002,'Alocação'!$C$3:$C$1002,AT174,'Alocação'!$F$3:$F$1002,AT$9,'Alocação'!$B$3:$B$1002,"&lt;="&amp;$B$6))),"")</f>
        <v/>
      </c>
      <c r="AW174" s="243" t="str">
        <f>iferror(IF(AU174="Ações Americanas", HLOOKUP(AT174,'Histórico'!$A$1:$DD$990,MATCH($B$6,'Histórico'!$A:$A),FALSE)*HLOOKUP("PTAX",'Histórico'!$A$1:$FG$983,MATCH($B$6,'Histórico'!$A:$A),FALSE),IF(AU174="Ações Europeias", HLOOKUP(AT174,'Histórico'!$A$1:$DD$990,MATCH($B$6,'Histórico'!$A:$A),FALSE)*HLOOKUP("EUR/BRL",'Histórico'!$A$1:$FG$983,MATCH($B$6,'Histórico'!$A:$A),FALSE),  HLOOKUP(AT174,'Histórico'!$A$1:$DD$990,MATCH($B$6,'Histórico'!$A:$A),FALSE))),"")</f>
        <v/>
      </c>
      <c r="AX174" s="243" t="str">
        <f t="shared" si="27"/>
        <v/>
      </c>
      <c r="AY174" s="183"/>
    </row>
    <row r="175" ht="15.75" customHeight="1">
      <c r="A175" s="176"/>
      <c r="B175" s="232">
        <v>45246.0</v>
      </c>
      <c r="C175" s="233"/>
      <c r="D175" s="233"/>
      <c r="E175" s="234"/>
      <c r="F175" s="233"/>
      <c r="G175" s="233"/>
      <c r="H175" s="234"/>
      <c r="I175" s="233"/>
      <c r="J175" s="233"/>
      <c r="K175" s="234"/>
      <c r="L175" s="233"/>
      <c r="M175" s="233"/>
      <c r="N175" s="240" t="str">
        <f t="shared" si="9"/>
        <v/>
      </c>
      <c r="O175" s="240" t="str">
        <f t="shared" si="10"/>
        <v/>
      </c>
      <c r="P175" s="240" t="str">
        <f t="shared" si="11"/>
        <v/>
      </c>
      <c r="Q175" s="240" t="str">
        <f t="shared" si="12"/>
        <v/>
      </c>
      <c r="R175" s="236" t="str">
        <f t="shared" si="13"/>
        <v/>
      </c>
      <c r="S175" s="177"/>
      <c r="T175" s="233" t="str">
        <f t="shared" ref="T175:U175" si="185">IF(AND(C175&lt;&gt;"",F175&lt;&gt;"",I175&lt;&gt;""), SUM(I175,F175,C175,L175),"")</f>
        <v/>
      </c>
      <c r="U175" s="233" t="str">
        <f t="shared" si="185"/>
        <v/>
      </c>
      <c r="V175" s="233" t="str">
        <f t="shared" si="6"/>
        <v/>
      </c>
      <c r="W175" s="241" t="str">
        <f t="shared" si="15"/>
        <v/>
      </c>
      <c r="X175" s="241" t="str">
        <f t="shared" si="16"/>
        <v/>
      </c>
      <c r="Y175" s="241" t="str">
        <f t="shared" si="25"/>
        <v/>
      </c>
      <c r="Z175" s="233" t="str">
        <f t="shared" si="7"/>
        <v/>
      </c>
      <c r="AA175" s="165"/>
      <c r="AB175" s="245"/>
      <c r="AC175" s="242" t="str">
        <f>IF(ISTEXT(AB175),VLOOKUP(AB175,'Cadastro dos Ativos'!$A$2:$C$1000,3,0),"")</f>
        <v/>
      </c>
      <c r="AD175" s="242" t="str">
        <f>IF(AB175 &lt;&gt; "",IF(AC175="Futuros", (SUMIFS('Alocação'!$O$3:$O$1002,'Alocação'!$C$3:$C$1002,AB175,'Alocação'!$F$3:$F$1002,AB$9,'Alocação'!$B$3:$B$1002,"&lt;="&amp;$B$4)), (SUMIFS('Alocação'!$O$3:$O$1002,'Alocação'!$C$3:$C$1002,AB175,'Alocação'!$F$3:$F$1002,AB$9,'Alocação'!$B$3:$B$1002,"&lt;="&amp;$B$6))),"")</f>
        <v/>
      </c>
      <c r="AE175" s="243" t="str">
        <f>iferror(IF(AC175="Ações Americanas", HLOOKUP(AB175,'Histórico'!$A$1:$DD$990,MATCH($B$6,'Histórico'!$A:$A),FALSE)*HLOOKUP("PTAX",'Histórico'!$A$1:$FG$983,MATCH($B$6,'Histórico'!$A:$A),FALSE),IF(AC175="Ações Europeias", HLOOKUP(AB175,'Histórico'!$A$1:$DD$990,MATCH($B$6,'Histórico'!$A:$A),FALSE)*HLOOKUP("EUR/BRL",'Histórico'!$A$1:$FG$983,MATCH($B$6,'Histórico'!$A:$A),FALSE), HLOOKUP(AB175,'Histórico'!$A$1:$DD$990,MATCH($B$6,'Histórico'!$A:$A),FALSE))),"")</f>
        <v/>
      </c>
      <c r="AF175" s="243" t="str">
        <f t="shared" si="21"/>
        <v/>
      </c>
      <c r="AG175" s="53"/>
      <c r="AH175" s="245"/>
      <c r="AI175" s="242" t="str">
        <f>IF(ISTEXT(AH175),VLOOKUP(AH175,'Cadastro dos Ativos'!$A$2:$C$1000,3,0),"")</f>
        <v/>
      </c>
      <c r="AJ175" s="242" t="str">
        <f>IF(AH175 &lt;&gt; "",IF(AI175="Futuros", (SUMIFS('Alocação'!$O$3:$O$1002,'Alocação'!$C$3:$C$1002,AH175,'Alocação'!$F$3:$F$1002,AH$9,'Alocação'!$B$3:$B$1002,"&lt;="&amp;$B$4)), (SUMIFS('Alocação'!$O$3:$O$1002,'Alocação'!$C$3:$C$1002,AH175,'Alocação'!$F$3:$F$1002,AH$9,'Alocação'!$B$3:$B$1002,"&lt;="&amp;$B$6))),"")</f>
        <v/>
      </c>
      <c r="AK175" s="243" t="str">
        <f>iferror(IF(AI175="Ações Americanas", HLOOKUP(AH175,'Histórico'!$A$1:$DD$990,MATCH($B$6,'Histórico'!$A:$A),FALSE)*HLOOKUP("PTAX",'Histórico'!$A$1:$FG$983,MATCH($B$6,'Histórico'!$A:$A),FALSE),IF(AI175="Ações Europeias", HLOOKUP(AH175,'Histórico'!$A$1:$DD$990,MATCH($B$6,'Histórico'!$A:$A),FALSE)*HLOOKUP("EUR/BRL",'Histórico'!$A$1:$FG$983,MATCH($B$6,'Histórico'!$A:$A),FALSE),  HLOOKUP(AH175,'Histórico'!$A$1:$DD$990,MATCH($B$6,'Histórico'!$A:$A),FALSE))),"")</f>
        <v/>
      </c>
      <c r="AL175" s="243" t="str">
        <f t="shared" si="17"/>
        <v/>
      </c>
      <c r="AM175" s="53"/>
      <c r="AN175" s="245"/>
      <c r="AO175" s="242" t="str">
        <f>IF(ISTEXT(AN175),VLOOKUP(AN175,'Cadastro dos Ativos'!$A$2:$C$1000,3,0),"")</f>
        <v/>
      </c>
      <c r="AP175" s="242" t="str">
        <f>IF(AN175 &lt;&gt; "",IF(AO175="Futuros", (SUMIFS('Alocação'!$O$3:$O$1002,'Alocação'!$C$3:$C$1002,AN175,'Alocação'!$F$3:$F$1002,AN$9,'Alocação'!$B$3:$B$1002,"&lt;="&amp;$B$4)), (SUMIFS('Alocação'!$O$3:$O$1002,'Alocação'!$C$3:$C$1002,AN175,'Alocação'!$F$3:$F$1002,AN$9,'Alocação'!$B$3:$B$1002,"&lt;="&amp;$B$6))),"")</f>
        <v/>
      </c>
      <c r="AQ175" s="243" t="str">
        <f>iferror(IF(AO175="Ações Americanas", HLOOKUP(AN175,'Histórico'!$A$1:$DD$990,MATCH($B$6,'Histórico'!$A:$A),FALSE)*HLOOKUP("PTAX",'Histórico'!$A$1:$FG$983,MATCH($B$6,'Histórico'!$A:$A),FALSE),IF(AO175="Ações Europeias", HLOOKUP(AN175,'Histórico'!$A$1:$DD$990,MATCH($B$6,'Histórico'!$A:$A),FALSE)*HLOOKUP("EUR/BRL",'Histórico'!$A$1:$FG$983,MATCH($B$6,'Histórico'!$A:$A),FALSE),  HLOOKUP(AN175,'Histórico'!$A$1:$DD$990,MATCH($B$6,'Histórico'!$A:$A),FALSE))),"")</f>
        <v/>
      </c>
      <c r="AR175" s="243" t="str">
        <f t="shared" si="18"/>
        <v/>
      </c>
      <c r="AS175" s="53"/>
      <c r="AT175" s="245"/>
      <c r="AU175" s="242" t="str">
        <f>IF(ISTEXT(AT175),VLOOKUP(AT175,'Cadastro dos Ativos'!$A$2:$C$1000,3,0),"")</f>
        <v/>
      </c>
      <c r="AV175" s="242" t="str">
        <f>IF(AT175 &lt;&gt; "",IF(AU175="Futuros", (SUMIFS('Alocação'!$O$3:$O$1002,'Alocação'!$C$3:$C$1002,AT175,'Alocação'!$F$3:$F$1002,AT$9,'Alocação'!$B$3:$B$1002,"&lt;="&amp;$B$4)), (SUMIFS('Alocação'!$O$3:$O$1002,'Alocação'!$C$3:$C$1002,AT175,'Alocação'!$F$3:$F$1002,AT$9,'Alocação'!$B$3:$B$1002,"&lt;="&amp;$B$6))),"")</f>
        <v/>
      </c>
      <c r="AW175" s="243" t="str">
        <f>iferror(IF(AU175="Ações Americanas", HLOOKUP(AT175,'Histórico'!$A$1:$DD$990,MATCH($B$6,'Histórico'!$A:$A),FALSE)*HLOOKUP("PTAX",'Histórico'!$A$1:$FG$983,MATCH($B$6,'Histórico'!$A:$A),FALSE),IF(AU175="Ações Europeias", HLOOKUP(AT175,'Histórico'!$A$1:$DD$990,MATCH($B$6,'Histórico'!$A:$A),FALSE)*HLOOKUP("EUR/BRL",'Histórico'!$A$1:$FG$983,MATCH($B$6,'Histórico'!$A:$A),FALSE),  HLOOKUP(AT175,'Histórico'!$A$1:$DD$990,MATCH($B$6,'Histórico'!$A:$A),FALSE))),"")</f>
        <v/>
      </c>
      <c r="AX175" s="243" t="str">
        <f t="shared" si="27"/>
        <v/>
      </c>
      <c r="AY175" s="183"/>
    </row>
    <row r="176" ht="15.75" customHeight="1">
      <c r="A176" s="176"/>
      <c r="B176" s="232">
        <v>45247.0</v>
      </c>
      <c r="C176" s="233"/>
      <c r="D176" s="233"/>
      <c r="E176" s="234"/>
      <c r="F176" s="233"/>
      <c r="G176" s="233"/>
      <c r="H176" s="234"/>
      <c r="I176" s="233"/>
      <c r="J176" s="233"/>
      <c r="K176" s="234"/>
      <c r="L176" s="233"/>
      <c r="M176" s="233"/>
      <c r="N176" s="240" t="str">
        <f t="shared" si="9"/>
        <v/>
      </c>
      <c r="O176" s="240" t="str">
        <f t="shared" si="10"/>
        <v/>
      </c>
      <c r="P176" s="240" t="str">
        <f t="shared" si="11"/>
        <v/>
      </c>
      <c r="Q176" s="240" t="str">
        <f t="shared" si="12"/>
        <v/>
      </c>
      <c r="R176" s="236" t="str">
        <f t="shared" si="13"/>
        <v/>
      </c>
      <c r="S176" s="177"/>
      <c r="T176" s="233" t="str">
        <f t="shared" ref="T176:U176" si="186">IF(AND(C176&lt;&gt;"",F176&lt;&gt;"",I176&lt;&gt;""), SUM(I176,F176,C176,L176),"")</f>
        <v/>
      </c>
      <c r="U176" s="233" t="str">
        <f t="shared" si="186"/>
        <v/>
      </c>
      <c r="V176" s="233" t="str">
        <f t="shared" si="6"/>
        <v/>
      </c>
      <c r="W176" s="241" t="str">
        <f t="shared" si="15"/>
        <v/>
      </c>
      <c r="X176" s="241" t="str">
        <f t="shared" si="16"/>
        <v/>
      </c>
      <c r="Y176" s="241" t="str">
        <f t="shared" si="25"/>
        <v/>
      </c>
      <c r="Z176" s="233" t="str">
        <f t="shared" si="7"/>
        <v/>
      </c>
      <c r="AA176" s="165"/>
      <c r="AB176" s="245"/>
      <c r="AC176" s="242" t="str">
        <f>IF(ISTEXT(AB176),VLOOKUP(AB176,'Cadastro dos Ativos'!$A$2:$C$1000,3,0),"")</f>
        <v/>
      </c>
      <c r="AD176" s="242" t="str">
        <f>IF(AB176 &lt;&gt; "",IF(AC176="Futuros", (SUMIFS('Alocação'!$O$3:$O$1002,'Alocação'!$C$3:$C$1002,AB176,'Alocação'!$F$3:$F$1002,AB$9,'Alocação'!$B$3:$B$1002,"&lt;="&amp;$B$4)), (SUMIFS('Alocação'!$O$3:$O$1002,'Alocação'!$C$3:$C$1002,AB176,'Alocação'!$F$3:$F$1002,AB$9,'Alocação'!$B$3:$B$1002,"&lt;="&amp;$B$6))),"")</f>
        <v/>
      </c>
      <c r="AE176" s="243" t="str">
        <f>iferror(IF(AC176="Ações Americanas", HLOOKUP(AB176,'Histórico'!$A$1:$DD$990,MATCH($B$6,'Histórico'!$A:$A),FALSE)*HLOOKUP("PTAX",'Histórico'!$A$1:$FG$983,MATCH($B$6,'Histórico'!$A:$A),FALSE),IF(AC176="Ações Europeias", HLOOKUP(AB176,'Histórico'!$A$1:$DD$990,MATCH($B$6,'Histórico'!$A:$A),FALSE)*HLOOKUP("EUR/BRL",'Histórico'!$A$1:$FG$983,MATCH($B$6,'Histórico'!$A:$A),FALSE), HLOOKUP(AB176,'Histórico'!$A$1:$DD$990,MATCH($B$6,'Histórico'!$A:$A),FALSE))),"")</f>
        <v/>
      </c>
      <c r="AF176" s="243" t="str">
        <f t="shared" si="21"/>
        <v/>
      </c>
      <c r="AG176" s="53"/>
      <c r="AH176" s="245"/>
      <c r="AI176" s="242" t="str">
        <f>IF(ISTEXT(AH176),VLOOKUP(AH176,'Cadastro dos Ativos'!$A$2:$C$1000,3,0),"")</f>
        <v/>
      </c>
      <c r="AJ176" s="242" t="str">
        <f>IF(AH176 &lt;&gt; "",IF(AI176="Futuros", (SUMIFS('Alocação'!$O$3:$O$1002,'Alocação'!$C$3:$C$1002,AH176,'Alocação'!$F$3:$F$1002,AH$9,'Alocação'!$B$3:$B$1002,"&lt;="&amp;$B$4)), (SUMIFS('Alocação'!$O$3:$O$1002,'Alocação'!$C$3:$C$1002,AH176,'Alocação'!$F$3:$F$1002,AH$9,'Alocação'!$B$3:$B$1002,"&lt;="&amp;$B$6))),"")</f>
        <v/>
      </c>
      <c r="AK176" s="243" t="str">
        <f>iferror(IF(AI176="Ações Americanas", HLOOKUP(AH176,'Histórico'!$A$1:$DD$990,MATCH($B$6,'Histórico'!$A:$A),FALSE)*HLOOKUP("PTAX",'Histórico'!$A$1:$FG$983,MATCH($B$6,'Histórico'!$A:$A),FALSE),IF(AI176="Ações Europeias", HLOOKUP(AH176,'Histórico'!$A$1:$DD$990,MATCH($B$6,'Histórico'!$A:$A),FALSE)*HLOOKUP("EUR/BRL",'Histórico'!$A$1:$FG$983,MATCH($B$6,'Histórico'!$A:$A),FALSE),  HLOOKUP(AH176,'Histórico'!$A$1:$DD$990,MATCH($B$6,'Histórico'!$A:$A),FALSE))),"")</f>
        <v/>
      </c>
      <c r="AL176" s="243" t="str">
        <f t="shared" si="17"/>
        <v/>
      </c>
      <c r="AM176" s="53"/>
      <c r="AN176" s="245"/>
      <c r="AO176" s="242" t="str">
        <f>IF(ISTEXT(AN176),VLOOKUP(AN176,'Cadastro dos Ativos'!$A$2:$C$1000,3,0),"")</f>
        <v/>
      </c>
      <c r="AP176" s="242" t="str">
        <f>IF(AN176 &lt;&gt; "",IF(AO176="Futuros", (SUMIFS('Alocação'!$O$3:$O$1002,'Alocação'!$C$3:$C$1002,AN176,'Alocação'!$F$3:$F$1002,AN$9,'Alocação'!$B$3:$B$1002,"&lt;="&amp;$B$4)), (SUMIFS('Alocação'!$O$3:$O$1002,'Alocação'!$C$3:$C$1002,AN176,'Alocação'!$F$3:$F$1002,AN$9,'Alocação'!$B$3:$B$1002,"&lt;="&amp;$B$6))),"")</f>
        <v/>
      </c>
      <c r="AQ176" s="243" t="str">
        <f>iferror(IF(AO176="Ações Americanas", HLOOKUP(AN176,'Histórico'!$A$1:$DD$990,MATCH($B$6,'Histórico'!$A:$A),FALSE)*HLOOKUP("PTAX",'Histórico'!$A$1:$FG$983,MATCH($B$6,'Histórico'!$A:$A),FALSE),IF(AO176="Ações Europeias", HLOOKUP(AN176,'Histórico'!$A$1:$DD$990,MATCH($B$6,'Histórico'!$A:$A),FALSE)*HLOOKUP("EUR/BRL",'Histórico'!$A$1:$FG$983,MATCH($B$6,'Histórico'!$A:$A),FALSE),  HLOOKUP(AN176,'Histórico'!$A$1:$DD$990,MATCH($B$6,'Histórico'!$A:$A),FALSE))),"")</f>
        <v/>
      </c>
      <c r="AR176" s="243" t="str">
        <f t="shared" si="18"/>
        <v/>
      </c>
      <c r="AS176" s="53"/>
      <c r="AT176" s="245"/>
      <c r="AU176" s="242" t="str">
        <f>IF(ISTEXT(AT176),VLOOKUP(AT176,'Cadastro dos Ativos'!$A$2:$C$1000,3,0),"")</f>
        <v/>
      </c>
      <c r="AV176" s="242" t="str">
        <f>IF(AT176 &lt;&gt; "",IF(AU176="Futuros", (SUMIFS('Alocação'!$O$3:$O$1002,'Alocação'!$C$3:$C$1002,AT176,'Alocação'!$F$3:$F$1002,AT$9,'Alocação'!$B$3:$B$1002,"&lt;="&amp;$B$4)), (SUMIFS('Alocação'!$O$3:$O$1002,'Alocação'!$C$3:$C$1002,AT176,'Alocação'!$F$3:$F$1002,AT$9,'Alocação'!$B$3:$B$1002,"&lt;="&amp;$B$6))),"")</f>
        <v/>
      </c>
      <c r="AW176" s="243" t="str">
        <f>iferror(IF(AU176="Ações Americanas", HLOOKUP(AT176,'Histórico'!$A$1:$DD$990,MATCH($B$6,'Histórico'!$A:$A),FALSE)*HLOOKUP("PTAX",'Histórico'!$A$1:$FG$983,MATCH($B$6,'Histórico'!$A:$A),FALSE),IF(AU176="Ações Europeias", HLOOKUP(AT176,'Histórico'!$A$1:$DD$990,MATCH($B$6,'Histórico'!$A:$A),FALSE)*HLOOKUP("EUR/BRL",'Histórico'!$A$1:$FG$983,MATCH($B$6,'Histórico'!$A:$A),FALSE),  HLOOKUP(AT176,'Histórico'!$A$1:$DD$990,MATCH($B$6,'Histórico'!$A:$A),FALSE))),"")</f>
        <v/>
      </c>
      <c r="AX176" s="243" t="str">
        <f t="shared" si="27"/>
        <v/>
      </c>
      <c r="AY176" s="183"/>
    </row>
    <row r="177" ht="15.75" customHeight="1">
      <c r="A177" s="176"/>
      <c r="B177" s="232">
        <v>45250.0</v>
      </c>
      <c r="C177" s="233"/>
      <c r="D177" s="233"/>
      <c r="E177" s="234"/>
      <c r="F177" s="233"/>
      <c r="G177" s="233"/>
      <c r="H177" s="234"/>
      <c r="I177" s="233"/>
      <c r="J177" s="233"/>
      <c r="K177" s="234"/>
      <c r="L177" s="233"/>
      <c r="M177" s="233"/>
      <c r="N177" s="240" t="str">
        <f t="shared" si="9"/>
        <v/>
      </c>
      <c r="O177" s="240" t="str">
        <f t="shared" si="10"/>
        <v/>
      </c>
      <c r="P177" s="240" t="str">
        <f t="shared" si="11"/>
        <v/>
      </c>
      <c r="Q177" s="240" t="str">
        <f t="shared" si="12"/>
        <v/>
      </c>
      <c r="R177" s="236" t="str">
        <f t="shared" si="13"/>
        <v/>
      </c>
      <c r="S177" s="177"/>
      <c r="T177" s="233" t="str">
        <f t="shared" ref="T177:U177" si="187">IF(AND(C177&lt;&gt;"",F177&lt;&gt;"",I177&lt;&gt;""), SUM(I177,F177,C177,L177),"")</f>
        <v/>
      </c>
      <c r="U177" s="233" t="str">
        <f t="shared" si="187"/>
        <v/>
      </c>
      <c r="V177" s="233" t="str">
        <f t="shared" si="6"/>
        <v/>
      </c>
      <c r="W177" s="241" t="str">
        <f t="shared" si="15"/>
        <v/>
      </c>
      <c r="X177" s="241" t="str">
        <f t="shared" si="16"/>
        <v/>
      </c>
      <c r="Y177" s="241" t="str">
        <f t="shared" si="25"/>
        <v/>
      </c>
      <c r="Z177" s="233" t="str">
        <f t="shared" si="7"/>
        <v/>
      </c>
      <c r="AA177" s="165"/>
      <c r="AB177" s="245"/>
      <c r="AC177" s="242" t="str">
        <f>IF(ISTEXT(AB177),VLOOKUP(AB177,'Cadastro dos Ativos'!$A$2:$C$1000,3,0),"")</f>
        <v/>
      </c>
      <c r="AD177" s="242" t="str">
        <f>IF(AB177 &lt;&gt; "",IF(AC177="Futuros", (SUMIFS('Alocação'!$O$3:$O$1002,'Alocação'!$C$3:$C$1002,AB177,'Alocação'!$F$3:$F$1002,AB$9,'Alocação'!$B$3:$B$1002,"&lt;="&amp;$B$4)), (SUMIFS('Alocação'!$O$3:$O$1002,'Alocação'!$C$3:$C$1002,AB177,'Alocação'!$F$3:$F$1002,AB$9,'Alocação'!$B$3:$B$1002,"&lt;="&amp;$B$6))),"")</f>
        <v/>
      </c>
      <c r="AE177" s="243" t="str">
        <f>iferror(IF(AC177="Ações Americanas", HLOOKUP(AB177,'Histórico'!$A$1:$DD$990,MATCH($B$6,'Histórico'!$A:$A),FALSE)*HLOOKUP("PTAX",'Histórico'!$A$1:$FG$983,MATCH($B$6,'Histórico'!$A:$A),FALSE),IF(AC177="Ações Europeias", HLOOKUP(AB177,'Histórico'!$A$1:$DD$990,MATCH($B$6,'Histórico'!$A:$A),FALSE)*HLOOKUP("EUR/BRL",'Histórico'!$A$1:$FG$983,MATCH($B$6,'Histórico'!$A:$A),FALSE), HLOOKUP(AB177,'Histórico'!$A$1:$DD$990,MATCH($B$6,'Histórico'!$A:$A),FALSE))),"")</f>
        <v/>
      </c>
      <c r="AF177" s="243" t="str">
        <f t="shared" si="21"/>
        <v/>
      </c>
      <c r="AG177" s="53"/>
      <c r="AH177" s="245"/>
      <c r="AI177" s="242" t="str">
        <f>IF(ISTEXT(AH177),VLOOKUP(AH177,'Cadastro dos Ativos'!$A$2:$C$1000,3,0),"")</f>
        <v/>
      </c>
      <c r="AJ177" s="242" t="str">
        <f>IF(AH177 &lt;&gt; "",IF(AI177="Futuros", (SUMIFS('Alocação'!$O$3:$O$1002,'Alocação'!$C$3:$C$1002,AH177,'Alocação'!$F$3:$F$1002,AH$9,'Alocação'!$B$3:$B$1002,"&lt;="&amp;$B$4)), (SUMIFS('Alocação'!$O$3:$O$1002,'Alocação'!$C$3:$C$1002,AH177,'Alocação'!$F$3:$F$1002,AH$9,'Alocação'!$B$3:$B$1002,"&lt;="&amp;$B$6))),"")</f>
        <v/>
      </c>
      <c r="AK177" s="243" t="str">
        <f>iferror(IF(AI177="Ações Americanas", HLOOKUP(AH177,'Histórico'!$A$1:$DD$990,MATCH($B$6,'Histórico'!$A:$A),FALSE)*HLOOKUP("PTAX",'Histórico'!$A$1:$FG$983,MATCH($B$6,'Histórico'!$A:$A),FALSE),IF(AI177="Ações Europeias", HLOOKUP(AH177,'Histórico'!$A$1:$DD$990,MATCH($B$6,'Histórico'!$A:$A),FALSE)*HLOOKUP("EUR/BRL",'Histórico'!$A$1:$FG$983,MATCH($B$6,'Histórico'!$A:$A),FALSE),  HLOOKUP(AH177,'Histórico'!$A$1:$DD$990,MATCH($B$6,'Histórico'!$A:$A),FALSE))),"")</f>
        <v/>
      </c>
      <c r="AL177" s="243" t="str">
        <f t="shared" si="17"/>
        <v/>
      </c>
      <c r="AM177" s="53"/>
      <c r="AN177" s="245"/>
      <c r="AO177" s="242" t="str">
        <f>IF(ISTEXT(AN177),VLOOKUP(AN177,'Cadastro dos Ativos'!$A$2:$C$1000,3,0),"")</f>
        <v/>
      </c>
      <c r="AP177" s="242" t="str">
        <f>IF(AN177 &lt;&gt; "",IF(AO177="Futuros", (SUMIFS('Alocação'!$O$3:$O$1002,'Alocação'!$C$3:$C$1002,AN177,'Alocação'!$F$3:$F$1002,AN$9,'Alocação'!$B$3:$B$1002,"&lt;="&amp;$B$4)), (SUMIFS('Alocação'!$O$3:$O$1002,'Alocação'!$C$3:$C$1002,AN177,'Alocação'!$F$3:$F$1002,AN$9,'Alocação'!$B$3:$B$1002,"&lt;="&amp;$B$6))),"")</f>
        <v/>
      </c>
      <c r="AQ177" s="243" t="str">
        <f>iferror(IF(AO177="Ações Americanas", HLOOKUP(AN177,'Histórico'!$A$1:$DD$990,MATCH($B$6,'Histórico'!$A:$A),FALSE)*HLOOKUP("PTAX",'Histórico'!$A$1:$FG$983,MATCH($B$6,'Histórico'!$A:$A),FALSE),IF(AO177="Ações Europeias", HLOOKUP(AN177,'Histórico'!$A$1:$DD$990,MATCH($B$6,'Histórico'!$A:$A),FALSE)*HLOOKUP("EUR/BRL",'Histórico'!$A$1:$FG$983,MATCH($B$6,'Histórico'!$A:$A),FALSE),  HLOOKUP(AN177,'Histórico'!$A$1:$DD$990,MATCH($B$6,'Histórico'!$A:$A),FALSE))),"")</f>
        <v/>
      </c>
      <c r="AR177" s="243" t="str">
        <f t="shared" si="18"/>
        <v/>
      </c>
      <c r="AS177" s="53"/>
      <c r="AT177" s="245"/>
      <c r="AU177" s="242" t="str">
        <f>IF(ISTEXT(AT177),VLOOKUP(AT177,'Cadastro dos Ativos'!$A$2:$C$1000,3,0),"")</f>
        <v/>
      </c>
      <c r="AV177" s="242" t="str">
        <f>IF(AT177 &lt;&gt; "",IF(AU177="Futuros", (SUMIFS('Alocação'!$O$3:$O$1002,'Alocação'!$C$3:$C$1002,AT177,'Alocação'!$F$3:$F$1002,AT$9,'Alocação'!$B$3:$B$1002,"&lt;="&amp;$B$4)), (SUMIFS('Alocação'!$O$3:$O$1002,'Alocação'!$C$3:$C$1002,AT177,'Alocação'!$F$3:$F$1002,AT$9,'Alocação'!$B$3:$B$1002,"&lt;="&amp;$B$6))),"")</f>
        <v/>
      </c>
      <c r="AW177" s="243" t="str">
        <f>iferror(IF(AU177="Ações Americanas", HLOOKUP(AT177,'Histórico'!$A$1:$DD$990,MATCH($B$6,'Histórico'!$A:$A),FALSE)*HLOOKUP("PTAX",'Histórico'!$A$1:$FG$983,MATCH($B$6,'Histórico'!$A:$A),FALSE),IF(AU177="Ações Europeias", HLOOKUP(AT177,'Histórico'!$A$1:$DD$990,MATCH($B$6,'Histórico'!$A:$A),FALSE)*HLOOKUP("EUR/BRL",'Histórico'!$A$1:$FG$983,MATCH($B$6,'Histórico'!$A:$A),FALSE),  HLOOKUP(AT177,'Histórico'!$A$1:$DD$990,MATCH($B$6,'Histórico'!$A:$A),FALSE))),"")</f>
        <v/>
      </c>
      <c r="AX177" s="243" t="str">
        <f t="shared" si="27"/>
        <v/>
      </c>
      <c r="AY177" s="183"/>
    </row>
    <row r="178" ht="15.75" customHeight="1">
      <c r="A178" s="176"/>
      <c r="B178" s="232">
        <v>45251.0</v>
      </c>
      <c r="C178" s="233"/>
      <c r="D178" s="233"/>
      <c r="E178" s="234"/>
      <c r="F178" s="233"/>
      <c r="G178" s="233"/>
      <c r="H178" s="234"/>
      <c r="I178" s="233"/>
      <c r="J178" s="233"/>
      <c r="K178" s="234"/>
      <c r="L178" s="233"/>
      <c r="M178" s="233"/>
      <c r="N178" s="240" t="str">
        <f t="shared" si="9"/>
        <v/>
      </c>
      <c r="O178" s="240" t="str">
        <f t="shared" si="10"/>
        <v/>
      </c>
      <c r="P178" s="240" t="str">
        <f t="shared" si="11"/>
        <v/>
      </c>
      <c r="Q178" s="240" t="str">
        <f t="shared" si="12"/>
        <v/>
      </c>
      <c r="R178" s="236" t="str">
        <f t="shared" si="13"/>
        <v/>
      </c>
      <c r="S178" s="177"/>
      <c r="T178" s="233" t="str">
        <f t="shared" ref="T178:U178" si="188">IF(AND(C178&lt;&gt;"",F178&lt;&gt;"",I178&lt;&gt;""), SUM(I178,F178,C178,L178),"")</f>
        <v/>
      </c>
      <c r="U178" s="233" t="str">
        <f t="shared" si="188"/>
        <v/>
      </c>
      <c r="V178" s="233" t="str">
        <f t="shared" si="6"/>
        <v/>
      </c>
      <c r="W178" s="241" t="str">
        <f t="shared" si="15"/>
        <v/>
      </c>
      <c r="X178" s="241" t="str">
        <f t="shared" si="16"/>
        <v/>
      </c>
      <c r="Y178" s="241" t="str">
        <f t="shared" si="25"/>
        <v/>
      </c>
      <c r="Z178" s="233" t="str">
        <f t="shared" si="7"/>
        <v/>
      </c>
      <c r="AA178" s="165"/>
      <c r="AB178" s="245"/>
      <c r="AC178" s="242" t="str">
        <f>IF(ISTEXT(AB178),VLOOKUP(AB178,'Cadastro dos Ativos'!$A$2:$C$1000,3,0),"")</f>
        <v/>
      </c>
      <c r="AD178" s="242" t="str">
        <f>IF(AB178 &lt;&gt; "",IF(AC178="Futuros", (SUMIFS('Alocação'!$O$3:$O$1002,'Alocação'!$C$3:$C$1002,AB178,'Alocação'!$F$3:$F$1002,AB$9,'Alocação'!$B$3:$B$1002,"&lt;="&amp;$B$4)), (SUMIFS('Alocação'!$O$3:$O$1002,'Alocação'!$C$3:$C$1002,AB178,'Alocação'!$F$3:$F$1002,AB$9,'Alocação'!$B$3:$B$1002,"&lt;="&amp;$B$6))),"")</f>
        <v/>
      </c>
      <c r="AE178" s="243" t="str">
        <f>iferror(IF(AC178="Ações Americanas", HLOOKUP(AB178,'Histórico'!$A$1:$DD$990,MATCH($B$6,'Histórico'!$A:$A),FALSE)*HLOOKUP("PTAX",'Histórico'!$A$1:$FG$983,MATCH($B$6,'Histórico'!$A:$A),FALSE),IF(AC178="Ações Europeias", HLOOKUP(AB178,'Histórico'!$A$1:$DD$990,MATCH($B$6,'Histórico'!$A:$A),FALSE)*HLOOKUP("EUR/BRL",'Histórico'!$A$1:$FG$983,MATCH($B$6,'Histórico'!$A:$A),FALSE), HLOOKUP(AB178,'Histórico'!$A$1:$DD$990,MATCH($B$6,'Histórico'!$A:$A),FALSE))),"")</f>
        <v/>
      </c>
      <c r="AF178" s="243" t="str">
        <f t="shared" si="21"/>
        <v/>
      </c>
      <c r="AG178" s="53"/>
      <c r="AH178" s="245"/>
      <c r="AI178" s="242" t="str">
        <f>IF(ISTEXT(AH178),VLOOKUP(AH178,'Cadastro dos Ativos'!$A$2:$C$1000,3,0),"")</f>
        <v/>
      </c>
      <c r="AJ178" s="242" t="str">
        <f>IF(AH178 &lt;&gt; "",IF(AI178="Futuros", (SUMIFS('Alocação'!$O$3:$O$1002,'Alocação'!$C$3:$C$1002,AH178,'Alocação'!$F$3:$F$1002,AH$9,'Alocação'!$B$3:$B$1002,"&lt;="&amp;$B$4)), (SUMIFS('Alocação'!$O$3:$O$1002,'Alocação'!$C$3:$C$1002,AH178,'Alocação'!$F$3:$F$1002,AH$9,'Alocação'!$B$3:$B$1002,"&lt;="&amp;$B$6))),"")</f>
        <v/>
      </c>
      <c r="AK178" s="243" t="str">
        <f>iferror(IF(AI178="Ações Americanas", HLOOKUP(AH178,'Histórico'!$A$1:$DD$990,MATCH($B$6,'Histórico'!$A:$A),FALSE)*HLOOKUP("PTAX",'Histórico'!$A$1:$FG$983,MATCH($B$6,'Histórico'!$A:$A),FALSE),IF(AI178="Ações Europeias", HLOOKUP(AH178,'Histórico'!$A$1:$DD$990,MATCH($B$6,'Histórico'!$A:$A),FALSE)*HLOOKUP("EUR/BRL",'Histórico'!$A$1:$FG$983,MATCH($B$6,'Histórico'!$A:$A),FALSE),  HLOOKUP(AH178,'Histórico'!$A$1:$DD$990,MATCH($B$6,'Histórico'!$A:$A),FALSE))),"")</f>
        <v/>
      </c>
      <c r="AL178" s="243" t="str">
        <f t="shared" si="17"/>
        <v/>
      </c>
      <c r="AM178" s="53"/>
      <c r="AN178" s="245"/>
      <c r="AO178" s="242" t="str">
        <f>IF(ISTEXT(AN178),VLOOKUP(AN178,'Cadastro dos Ativos'!$A$2:$C$1000,3,0),"")</f>
        <v/>
      </c>
      <c r="AP178" s="242" t="str">
        <f>IF(AN178 &lt;&gt; "",IF(AO178="Futuros", (SUMIFS('Alocação'!$O$3:$O$1002,'Alocação'!$C$3:$C$1002,AN178,'Alocação'!$F$3:$F$1002,AN$9,'Alocação'!$B$3:$B$1002,"&lt;="&amp;$B$4)), (SUMIFS('Alocação'!$O$3:$O$1002,'Alocação'!$C$3:$C$1002,AN178,'Alocação'!$F$3:$F$1002,AN$9,'Alocação'!$B$3:$B$1002,"&lt;="&amp;$B$6))),"")</f>
        <v/>
      </c>
      <c r="AQ178" s="243" t="str">
        <f>iferror(IF(AO178="Ações Americanas", HLOOKUP(AN178,'Histórico'!$A$1:$DD$990,MATCH($B$6,'Histórico'!$A:$A),FALSE)*HLOOKUP("PTAX",'Histórico'!$A$1:$FG$983,MATCH($B$6,'Histórico'!$A:$A),FALSE),IF(AO178="Ações Europeias", HLOOKUP(AN178,'Histórico'!$A$1:$DD$990,MATCH($B$6,'Histórico'!$A:$A),FALSE)*HLOOKUP("EUR/BRL",'Histórico'!$A$1:$FG$983,MATCH($B$6,'Histórico'!$A:$A),FALSE),  HLOOKUP(AN178,'Histórico'!$A$1:$DD$990,MATCH($B$6,'Histórico'!$A:$A),FALSE))),"")</f>
        <v/>
      </c>
      <c r="AR178" s="243" t="str">
        <f t="shared" si="18"/>
        <v/>
      </c>
      <c r="AS178" s="53"/>
      <c r="AT178" s="245"/>
      <c r="AU178" s="242" t="str">
        <f>IF(ISTEXT(AT178),VLOOKUP(AT178,'Cadastro dos Ativos'!$A$2:$C$1000,3,0),"")</f>
        <v/>
      </c>
      <c r="AV178" s="242" t="str">
        <f>IF(AT178 &lt;&gt; "",IF(AU178="Futuros", (SUMIFS('Alocação'!$O$3:$O$1002,'Alocação'!$C$3:$C$1002,AT178,'Alocação'!$F$3:$F$1002,AT$9,'Alocação'!$B$3:$B$1002,"&lt;="&amp;$B$4)), (SUMIFS('Alocação'!$O$3:$O$1002,'Alocação'!$C$3:$C$1002,AT178,'Alocação'!$F$3:$F$1002,AT$9,'Alocação'!$B$3:$B$1002,"&lt;="&amp;$B$6))),"")</f>
        <v/>
      </c>
      <c r="AW178" s="243" t="str">
        <f>iferror(IF(AU178="Ações Americanas", HLOOKUP(AT178,'Histórico'!$A$1:$DD$990,MATCH($B$6,'Histórico'!$A:$A),FALSE)*HLOOKUP("PTAX",'Histórico'!$A$1:$FG$983,MATCH($B$6,'Histórico'!$A:$A),FALSE),IF(AU178="Ações Europeias", HLOOKUP(AT178,'Histórico'!$A$1:$DD$990,MATCH($B$6,'Histórico'!$A:$A),FALSE)*HLOOKUP("EUR/BRL",'Histórico'!$A$1:$FG$983,MATCH($B$6,'Histórico'!$A:$A),FALSE),  HLOOKUP(AT178,'Histórico'!$A$1:$DD$990,MATCH($B$6,'Histórico'!$A:$A),FALSE))),"")</f>
        <v/>
      </c>
      <c r="AX178" s="243" t="str">
        <f t="shared" si="27"/>
        <v/>
      </c>
      <c r="AY178" s="183"/>
    </row>
    <row r="179" ht="15.75" customHeight="1">
      <c r="A179" s="176"/>
      <c r="B179" s="232">
        <v>45252.0</v>
      </c>
      <c r="C179" s="233"/>
      <c r="D179" s="233"/>
      <c r="E179" s="234"/>
      <c r="F179" s="233"/>
      <c r="G179" s="233"/>
      <c r="H179" s="234"/>
      <c r="I179" s="233"/>
      <c r="J179" s="233"/>
      <c r="K179" s="234"/>
      <c r="L179" s="233"/>
      <c r="M179" s="233"/>
      <c r="N179" s="240" t="str">
        <f t="shared" si="9"/>
        <v/>
      </c>
      <c r="O179" s="240" t="str">
        <f t="shared" si="10"/>
        <v/>
      </c>
      <c r="P179" s="240" t="str">
        <f t="shared" si="11"/>
        <v/>
      </c>
      <c r="Q179" s="240" t="str">
        <f t="shared" si="12"/>
        <v/>
      </c>
      <c r="R179" s="236" t="str">
        <f t="shared" si="13"/>
        <v/>
      </c>
      <c r="S179" s="177"/>
      <c r="T179" s="233" t="str">
        <f t="shared" ref="T179:U179" si="189">IF(AND(C179&lt;&gt;"",F179&lt;&gt;"",I179&lt;&gt;""), SUM(I179,F179,C179,L179),"")</f>
        <v/>
      </c>
      <c r="U179" s="233" t="str">
        <f t="shared" si="189"/>
        <v/>
      </c>
      <c r="V179" s="233" t="str">
        <f t="shared" si="6"/>
        <v/>
      </c>
      <c r="W179" s="241" t="str">
        <f t="shared" si="15"/>
        <v/>
      </c>
      <c r="X179" s="241" t="str">
        <f t="shared" si="16"/>
        <v/>
      </c>
      <c r="Y179" s="241" t="str">
        <f t="shared" si="25"/>
        <v/>
      </c>
      <c r="Z179" s="233" t="str">
        <f t="shared" si="7"/>
        <v/>
      </c>
      <c r="AA179" s="165"/>
      <c r="AB179" s="245"/>
      <c r="AC179" s="242" t="str">
        <f>IF(ISTEXT(AB179),VLOOKUP(AB179,'Cadastro dos Ativos'!$A$2:$C$1000,3,0),"")</f>
        <v/>
      </c>
      <c r="AD179" s="242" t="str">
        <f>IF(AB179 &lt;&gt; "",IF(AC179="Futuros", (SUMIFS('Alocação'!$O$3:$O$1002,'Alocação'!$C$3:$C$1002,AB179,'Alocação'!$F$3:$F$1002,AB$9,'Alocação'!$B$3:$B$1002,"&lt;="&amp;$B$4)), (SUMIFS('Alocação'!$O$3:$O$1002,'Alocação'!$C$3:$C$1002,AB179,'Alocação'!$F$3:$F$1002,AB$9,'Alocação'!$B$3:$B$1002,"&lt;="&amp;$B$6))),"")</f>
        <v/>
      </c>
      <c r="AE179" s="243" t="str">
        <f>iferror(IF(AC179="Ações Americanas", HLOOKUP(AB179,'Histórico'!$A$1:$DD$990,MATCH($B$6,'Histórico'!$A:$A),FALSE)*HLOOKUP("PTAX",'Histórico'!$A$1:$FG$983,MATCH($B$6,'Histórico'!$A:$A),FALSE),IF(AC179="Ações Europeias", HLOOKUP(AB179,'Histórico'!$A$1:$DD$990,MATCH($B$6,'Histórico'!$A:$A),FALSE)*HLOOKUP("EUR/BRL",'Histórico'!$A$1:$FG$983,MATCH($B$6,'Histórico'!$A:$A),FALSE), HLOOKUP(AB179,'Histórico'!$A$1:$DD$990,MATCH($B$6,'Histórico'!$A:$A),FALSE))),"")</f>
        <v/>
      </c>
      <c r="AF179" s="243" t="str">
        <f t="shared" si="21"/>
        <v/>
      </c>
      <c r="AG179" s="53"/>
      <c r="AH179" s="245"/>
      <c r="AI179" s="242" t="str">
        <f>IF(ISTEXT(AH179),VLOOKUP(AH179,'Cadastro dos Ativos'!$A$2:$C$1000,3,0),"")</f>
        <v/>
      </c>
      <c r="AJ179" s="242" t="str">
        <f>IF(AH179 &lt;&gt; "",IF(AI179="Futuros", (SUMIFS('Alocação'!$O$3:$O$1002,'Alocação'!$C$3:$C$1002,AH179,'Alocação'!$F$3:$F$1002,AH$9,'Alocação'!$B$3:$B$1002,"&lt;="&amp;$B$4)), (SUMIFS('Alocação'!$O$3:$O$1002,'Alocação'!$C$3:$C$1002,AH179,'Alocação'!$F$3:$F$1002,AH$9,'Alocação'!$B$3:$B$1002,"&lt;="&amp;$B$6))),"")</f>
        <v/>
      </c>
      <c r="AK179" s="243" t="str">
        <f>iferror(IF(AI179="Ações Americanas", HLOOKUP(AH179,'Histórico'!$A$1:$DD$990,MATCH($B$6,'Histórico'!$A:$A),FALSE)*HLOOKUP("PTAX",'Histórico'!$A$1:$FG$983,MATCH($B$6,'Histórico'!$A:$A),FALSE),IF(AI179="Ações Europeias", HLOOKUP(AH179,'Histórico'!$A$1:$DD$990,MATCH($B$6,'Histórico'!$A:$A),FALSE)*HLOOKUP("EUR/BRL",'Histórico'!$A$1:$FG$983,MATCH($B$6,'Histórico'!$A:$A),FALSE),  HLOOKUP(AH179,'Histórico'!$A$1:$DD$990,MATCH($B$6,'Histórico'!$A:$A),FALSE))),"")</f>
        <v/>
      </c>
      <c r="AL179" s="243" t="str">
        <f t="shared" si="17"/>
        <v/>
      </c>
      <c r="AM179" s="53"/>
      <c r="AN179" s="245"/>
      <c r="AO179" s="242" t="str">
        <f>IF(ISTEXT(AN179),VLOOKUP(AN179,'Cadastro dos Ativos'!$A$2:$C$1000,3,0),"")</f>
        <v/>
      </c>
      <c r="AP179" s="242" t="str">
        <f>IF(AN179 &lt;&gt; "",IF(AO179="Futuros", (SUMIFS('Alocação'!$O$3:$O$1002,'Alocação'!$C$3:$C$1002,AN179,'Alocação'!$F$3:$F$1002,AN$9,'Alocação'!$B$3:$B$1002,"&lt;="&amp;$B$4)), (SUMIFS('Alocação'!$O$3:$O$1002,'Alocação'!$C$3:$C$1002,AN179,'Alocação'!$F$3:$F$1002,AN$9,'Alocação'!$B$3:$B$1002,"&lt;="&amp;$B$6))),"")</f>
        <v/>
      </c>
      <c r="AQ179" s="243" t="str">
        <f>iferror(IF(AO179="Ações Americanas", HLOOKUP(AN179,'Histórico'!$A$1:$DD$990,MATCH($B$6,'Histórico'!$A:$A),FALSE)*HLOOKUP("PTAX",'Histórico'!$A$1:$FG$983,MATCH($B$6,'Histórico'!$A:$A),FALSE),IF(AO179="Ações Europeias", HLOOKUP(AN179,'Histórico'!$A$1:$DD$990,MATCH($B$6,'Histórico'!$A:$A),FALSE)*HLOOKUP("EUR/BRL",'Histórico'!$A$1:$FG$983,MATCH($B$6,'Histórico'!$A:$A),FALSE),  HLOOKUP(AN179,'Histórico'!$A$1:$DD$990,MATCH($B$6,'Histórico'!$A:$A),FALSE))),"")</f>
        <v/>
      </c>
      <c r="AR179" s="243" t="str">
        <f t="shared" si="18"/>
        <v/>
      </c>
      <c r="AS179" s="53"/>
      <c r="AT179" s="245"/>
      <c r="AU179" s="242" t="str">
        <f>IF(ISTEXT(AT179),VLOOKUP(AT179,'Cadastro dos Ativos'!$A$2:$C$1000,3,0),"")</f>
        <v/>
      </c>
      <c r="AV179" s="242" t="str">
        <f>IF(AT179 &lt;&gt; "",IF(AU179="Futuros", (SUMIFS('Alocação'!$O$3:$O$1002,'Alocação'!$C$3:$C$1002,AT179,'Alocação'!$F$3:$F$1002,AT$9,'Alocação'!$B$3:$B$1002,"&lt;="&amp;$B$4)), (SUMIFS('Alocação'!$O$3:$O$1002,'Alocação'!$C$3:$C$1002,AT179,'Alocação'!$F$3:$F$1002,AT$9,'Alocação'!$B$3:$B$1002,"&lt;="&amp;$B$6))),"")</f>
        <v/>
      </c>
      <c r="AW179" s="243" t="str">
        <f>iferror(IF(AU179="Ações Americanas", HLOOKUP(AT179,'Histórico'!$A$1:$DD$990,MATCH($B$6,'Histórico'!$A:$A),FALSE)*HLOOKUP("PTAX",'Histórico'!$A$1:$FG$983,MATCH($B$6,'Histórico'!$A:$A),FALSE),IF(AU179="Ações Europeias", HLOOKUP(AT179,'Histórico'!$A$1:$DD$990,MATCH($B$6,'Histórico'!$A:$A),FALSE)*HLOOKUP("EUR/BRL",'Histórico'!$A$1:$FG$983,MATCH($B$6,'Histórico'!$A:$A),FALSE),  HLOOKUP(AT179,'Histórico'!$A$1:$DD$990,MATCH($B$6,'Histórico'!$A:$A),FALSE))),"")</f>
        <v/>
      </c>
      <c r="AX179" s="243" t="str">
        <f t="shared" si="27"/>
        <v/>
      </c>
      <c r="AY179" s="183"/>
    </row>
    <row r="180" ht="15.75" customHeight="1">
      <c r="A180" s="176"/>
      <c r="B180" s="232">
        <v>45253.0</v>
      </c>
      <c r="C180" s="233"/>
      <c r="D180" s="233"/>
      <c r="E180" s="234"/>
      <c r="F180" s="233"/>
      <c r="G180" s="233"/>
      <c r="H180" s="234"/>
      <c r="I180" s="233"/>
      <c r="J180" s="233"/>
      <c r="K180" s="234"/>
      <c r="L180" s="233"/>
      <c r="M180" s="233"/>
      <c r="N180" s="240" t="str">
        <f t="shared" si="9"/>
        <v/>
      </c>
      <c r="O180" s="240" t="str">
        <f t="shared" si="10"/>
        <v/>
      </c>
      <c r="P180" s="240" t="str">
        <f t="shared" si="11"/>
        <v/>
      </c>
      <c r="Q180" s="240" t="str">
        <f t="shared" si="12"/>
        <v/>
      </c>
      <c r="R180" s="236" t="str">
        <f t="shared" si="13"/>
        <v/>
      </c>
      <c r="S180" s="177"/>
      <c r="T180" s="233" t="str">
        <f t="shared" ref="T180:U180" si="190">IF(AND(C180&lt;&gt;"",F180&lt;&gt;"",I180&lt;&gt;""), SUM(I180,F180,C180,L180),"")</f>
        <v/>
      </c>
      <c r="U180" s="233" t="str">
        <f t="shared" si="190"/>
        <v/>
      </c>
      <c r="V180" s="233" t="str">
        <f t="shared" si="6"/>
        <v/>
      </c>
      <c r="W180" s="241" t="str">
        <f t="shared" si="15"/>
        <v/>
      </c>
      <c r="X180" s="241" t="str">
        <f t="shared" si="16"/>
        <v/>
      </c>
      <c r="Y180" s="241" t="str">
        <f t="shared" si="25"/>
        <v/>
      </c>
      <c r="Z180" s="233" t="str">
        <f t="shared" si="7"/>
        <v/>
      </c>
      <c r="AA180" s="165"/>
      <c r="AB180" s="245"/>
      <c r="AC180" s="242" t="str">
        <f>IF(ISTEXT(AB180),VLOOKUP(AB180,'Cadastro dos Ativos'!$A$2:$C$1000,3,0),"")</f>
        <v/>
      </c>
      <c r="AD180" s="242" t="str">
        <f>IF(AB180 &lt;&gt; "",IF(AC180="Futuros", (SUMIFS('Alocação'!$O$3:$O$1002,'Alocação'!$C$3:$C$1002,AB180,'Alocação'!$F$3:$F$1002,AB$9,'Alocação'!$B$3:$B$1002,"&lt;="&amp;$B$4)), (SUMIFS('Alocação'!$O$3:$O$1002,'Alocação'!$C$3:$C$1002,AB180,'Alocação'!$F$3:$F$1002,AB$9,'Alocação'!$B$3:$B$1002,"&lt;="&amp;$B$6))),"")</f>
        <v/>
      </c>
      <c r="AE180" s="243" t="str">
        <f>iferror(IF(AC180="Ações Americanas", HLOOKUP(AB180,'Histórico'!$A$1:$DD$990,MATCH($B$6,'Histórico'!$A:$A),FALSE)*HLOOKUP("PTAX",'Histórico'!$A$1:$FG$983,MATCH($B$6,'Histórico'!$A:$A),FALSE),IF(AC180="Ações Europeias", HLOOKUP(AB180,'Histórico'!$A$1:$DD$990,MATCH($B$6,'Histórico'!$A:$A),FALSE)*HLOOKUP("EUR/BRL",'Histórico'!$A$1:$FG$983,MATCH($B$6,'Histórico'!$A:$A),FALSE), HLOOKUP(AB180,'Histórico'!$A$1:$DD$990,MATCH($B$6,'Histórico'!$A:$A),FALSE))),"")</f>
        <v/>
      </c>
      <c r="AF180" s="243" t="str">
        <f t="shared" si="21"/>
        <v/>
      </c>
      <c r="AG180" s="53"/>
      <c r="AH180" s="245"/>
      <c r="AI180" s="242" t="str">
        <f>IF(ISTEXT(AH180),VLOOKUP(AH180,'Cadastro dos Ativos'!$A$2:$C$1000,3,0),"")</f>
        <v/>
      </c>
      <c r="AJ180" s="242" t="str">
        <f>IF(AH180 &lt;&gt; "",IF(AI180="Futuros", (SUMIFS('Alocação'!$O$3:$O$1002,'Alocação'!$C$3:$C$1002,AH180,'Alocação'!$F$3:$F$1002,AH$9,'Alocação'!$B$3:$B$1002,"&lt;="&amp;$B$4)), (SUMIFS('Alocação'!$O$3:$O$1002,'Alocação'!$C$3:$C$1002,AH180,'Alocação'!$F$3:$F$1002,AH$9,'Alocação'!$B$3:$B$1002,"&lt;="&amp;$B$6))),"")</f>
        <v/>
      </c>
      <c r="AK180" s="243" t="str">
        <f>iferror(IF(AI180="Ações Americanas", HLOOKUP(AH180,'Histórico'!$A$1:$DD$990,MATCH($B$6,'Histórico'!$A:$A),FALSE)*HLOOKUP("PTAX",'Histórico'!$A$1:$FG$983,MATCH($B$6,'Histórico'!$A:$A),FALSE),IF(AI180="Ações Europeias", HLOOKUP(AH180,'Histórico'!$A$1:$DD$990,MATCH($B$6,'Histórico'!$A:$A),FALSE)*HLOOKUP("EUR/BRL",'Histórico'!$A$1:$FG$983,MATCH($B$6,'Histórico'!$A:$A),FALSE),  HLOOKUP(AH180,'Histórico'!$A$1:$DD$990,MATCH($B$6,'Histórico'!$A:$A),FALSE))),"")</f>
        <v/>
      </c>
      <c r="AL180" s="243" t="str">
        <f t="shared" si="17"/>
        <v/>
      </c>
      <c r="AM180" s="53"/>
      <c r="AN180" s="245"/>
      <c r="AO180" s="242" t="str">
        <f>IF(ISTEXT(AN180),VLOOKUP(AN180,'Cadastro dos Ativos'!$A$2:$C$1000,3,0),"")</f>
        <v/>
      </c>
      <c r="AP180" s="242" t="str">
        <f>IF(AN180 &lt;&gt; "",IF(AO180="Futuros", (SUMIFS('Alocação'!$O$3:$O$1002,'Alocação'!$C$3:$C$1002,AN180,'Alocação'!$F$3:$F$1002,AN$9,'Alocação'!$B$3:$B$1002,"&lt;="&amp;$B$4)), (SUMIFS('Alocação'!$O$3:$O$1002,'Alocação'!$C$3:$C$1002,AN180,'Alocação'!$F$3:$F$1002,AN$9,'Alocação'!$B$3:$B$1002,"&lt;="&amp;$B$6))),"")</f>
        <v/>
      </c>
      <c r="AQ180" s="243" t="str">
        <f>iferror(IF(AO180="Ações Americanas", HLOOKUP(AN180,'Histórico'!$A$1:$DD$990,MATCH($B$6,'Histórico'!$A:$A),FALSE)*HLOOKUP("PTAX",'Histórico'!$A$1:$FG$983,MATCH($B$6,'Histórico'!$A:$A),FALSE),IF(AO180="Ações Europeias", HLOOKUP(AN180,'Histórico'!$A$1:$DD$990,MATCH($B$6,'Histórico'!$A:$A),FALSE)*HLOOKUP("EUR/BRL",'Histórico'!$A$1:$FG$983,MATCH($B$6,'Histórico'!$A:$A),FALSE),  HLOOKUP(AN180,'Histórico'!$A$1:$DD$990,MATCH($B$6,'Histórico'!$A:$A),FALSE))),"")</f>
        <v/>
      </c>
      <c r="AR180" s="243" t="str">
        <f t="shared" si="18"/>
        <v/>
      </c>
      <c r="AS180" s="53"/>
      <c r="AT180" s="245"/>
      <c r="AU180" s="242" t="str">
        <f>IF(ISTEXT(AT180),VLOOKUP(AT180,'Cadastro dos Ativos'!$A$2:$C$1000,3,0),"")</f>
        <v/>
      </c>
      <c r="AV180" s="242" t="str">
        <f>IF(AT180 &lt;&gt; "",IF(AU180="Futuros", (SUMIFS('Alocação'!$O$3:$O$1002,'Alocação'!$C$3:$C$1002,AT180,'Alocação'!$F$3:$F$1002,AT$9,'Alocação'!$B$3:$B$1002,"&lt;="&amp;$B$4)), (SUMIFS('Alocação'!$O$3:$O$1002,'Alocação'!$C$3:$C$1002,AT180,'Alocação'!$F$3:$F$1002,AT$9,'Alocação'!$B$3:$B$1002,"&lt;="&amp;$B$6))),"")</f>
        <v/>
      </c>
      <c r="AW180" s="243" t="str">
        <f>iferror(IF(AU180="Ações Americanas", HLOOKUP(AT180,'Histórico'!$A$1:$DD$990,MATCH($B$6,'Histórico'!$A:$A),FALSE)*HLOOKUP("PTAX",'Histórico'!$A$1:$FG$983,MATCH($B$6,'Histórico'!$A:$A),FALSE),IF(AU180="Ações Europeias", HLOOKUP(AT180,'Histórico'!$A$1:$DD$990,MATCH($B$6,'Histórico'!$A:$A),FALSE)*HLOOKUP("EUR/BRL",'Histórico'!$A$1:$FG$983,MATCH($B$6,'Histórico'!$A:$A),FALSE),  HLOOKUP(AT180,'Histórico'!$A$1:$DD$990,MATCH($B$6,'Histórico'!$A:$A),FALSE))),"")</f>
        <v/>
      </c>
      <c r="AX180" s="243" t="str">
        <f t="shared" si="27"/>
        <v/>
      </c>
      <c r="AY180" s="183"/>
    </row>
    <row r="181" ht="15.75" customHeight="1">
      <c r="A181" s="176"/>
      <c r="B181" s="232">
        <v>45254.0</v>
      </c>
      <c r="C181" s="233"/>
      <c r="D181" s="233"/>
      <c r="E181" s="234"/>
      <c r="F181" s="233"/>
      <c r="G181" s="233"/>
      <c r="H181" s="234"/>
      <c r="I181" s="233"/>
      <c r="J181" s="233"/>
      <c r="K181" s="234"/>
      <c r="L181" s="233"/>
      <c r="M181" s="233"/>
      <c r="N181" s="240" t="str">
        <f t="shared" si="9"/>
        <v/>
      </c>
      <c r="O181" s="240" t="str">
        <f t="shared" si="10"/>
        <v/>
      </c>
      <c r="P181" s="240" t="str">
        <f t="shared" si="11"/>
        <v/>
      </c>
      <c r="Q181" s="240" t="str">
        <f t="shared" si="12"/>
        <v/>
      </c>
      <c r="R181" s="236" t="str">
        <f t="shared" si="13"/>
        <v/>
      </c>
      <c r="S181" s="177"/>
      <c r="T181" s="233" t="str">
        <f t="shared" ref="T181:U181" si="191">IF(AND(C181&lt;&gt;"",F181&lt;&gt;"",I181&lt;&gt;""), SUM(I181,F181,C181,L181),"")</f>
        <v/>
      </c>
      <c r="U181" s="233" t="str">
        <f t="shared" si="191"/>
        <v/>
      </c>
      <c r="V181" s="233" t="str">
        <f t="shared" si="6"/>
        <v/>
      </c>
      <c r="W181" s="241" t="str">
        <f t="shared" si="15"/>
        <v/>
      </c>
      <c r="X181" s="241" t="str">
        <f t="shared" si="16"/>
        <v/>
      </c>
      <c r="Y181" s="241" t="str">
        <f t="shared" si="25"/>
        <v/>
      </c>
      <c r="Z181" s="233" t="str">
        <f t="shared" si="7"/>
        <v/>
      </c>
      <c r="AA181" s="165"/>
      <c r="AB181" s="245"/>
      <c r="AC181" s="242" t="str">
        <f>IF(ISTEXT(AB181),VLOOKUP(AB181,'Cadastro dos Ativos'!$A$2:$C$1000,3,0),"")</f>
        <v/>
      </c>
      <c r="AD181" s="242" t="str">
        <f>IF(AB181 &lt;&gt; "",IF(AC181="Futuros", (SUMIFS('Alocação'!$O$3:$O$1002,'Alocação'!$C$3:$C$1002,AB181,'Alocação'!$F$3:$F$1002,AB$9,'Alocação'!$B$3:$B$1002,"&lt;="&amp;$B$4)), (SUMIFS('Alocação'!$O$3:$O$1002,'Alocação'!$C$3:$C$1002,AB181,'Alocação'!$F$3:$F$1002,AB$9,'Alocação'!$B$3:$B$1002,"&lt;="&amp;$B$6))),"")</f>
        <v/>
      </c>
      <c r="AE181" s="243" t="str">
        <f>iferror(IF(AC181="Ações Americanas", HLOOKUP(AB181,'Histórico'!$A$1:$DD$990,MATCH($B$6,'Histórico'!$A:$A),FALSE)*HLOOKUP("PTAX",'Histórico'!$A$1:$FG$983,MATCH($B$6,'Histórico'!$A:$A),FALSE),IF(AC181="Ações Europeias", HLOOKUP(AB181,'Histórico'!$A$1:$DD$990,MATCH($B$6,'Histórico'!$A:$A),FALSE)*HLOOKUP("EUR/BRL",'Histórico'!$A$1:$FG$983,MATCH($B$6,'Histórico'!$A:$A),FALSE), HLOOKUP(AB181,'Histórico'!$A$1:$DD$990,MATCH($B$6,'Histórico'!$A:$A),FALSE))),"")</f>
        <v/>
      </c>
      <c r="AF181" s="243" t="str">
        <f t="shared" si="21"/>
        <v/>
      </c>
      <c r="AG181" s="53"/>
      <c r="AH181" s="245"/>
      <c r="AI181" s="242" t="str">
        <f>IF(ISTEXT(AH181),VLOOKUP(AH181,'Cadastro dos Ativos'!$A$2:$C$1000,3,0),"")</f>
        <v/>
      </c>
      <c r="AJ181" s="242" t="str">
        <f>IF(AH181 &lt;&gt; "",IF(AI181="Futuros", (SUMIFS('Alocação'!$O$3:$O$1002,'Alocação'!$C$3:$C$1002,AH181,'Alocação'!$F$3:$F$1002,AH$9,'Alocação'!$B$3:$B$1002,"&lt;="&amp;$B$4)), (SUMIFS('Alocação'!$O$3:$O$1002,'Alocação'!$C$3:$C$1002,AH181,'Alocação'!$F$3:$F$1002,AH$9,'Alocação'!$B$3:$B$1002,"&lt;="&amp;$B$6))),"")</f>
        <v/>
      </c>
      <c r="AK181" s="243" t="str">
        <f>iferror(IF(AI181="Ações Americanas", HLOOKUP(AH181,'Histórico'!$A$1:$DD$990,MATCH($B$6,'Histórico'!$A:$A),FALSE)*HLOOKUP("PTAX",'Histórico'!$A$1:$FG$983,MATCH($B$6,'Histórico'!$A:$A),FALSE),IF(AI181="Ações Europeias", HLOOKUP(AH181,'Histórico'!$A$1:$DD$990,MATCH($B$6,'Histórico'!$A:$A),FALSE)*HLOOKUP("EUR/BRL",'Histórico'!$A$1:$FG$983,MATCH($B$6,'Histórico'!$A:$A),FALSE),  HLOOKUP(AH181,'Histórico'!$A$1:$DD$990,MATCH($B$6,'Histórico'!$A:$A),FALSE))),"")</f>
        <v/>
      </c>
      <c r="AL181" s="243" t="str">
        <f t="shared" si="17"/>
        <v/>
      </c>
      <c r="AM181" s="53"/>
      <c r="AN181" s="245"/>
      <c r="AO181" s="242" t="str">
        <f>IF(ISTEXT(AN181),VLOOKUP(AN181,'Cadastro dos Ativos'!$A$2:$C$1000,3,0),"")</f>
        <v/>
      </c>
      <c r="AP181" s="242" t="str">
        <f>IF(AN181 &lt;&gt; "",IF(AO181="Futuros", (SUMIFS('Alocação'!$O$3:$O$1002,'Alocação'!$C$3:$C$1002,AN181,'Alocação'!$F$3:$F$1002,AN$9,'Alocação'!$B$3:$B$1002,"&lt;="&amp;$B$4)), (SUMIFS('Alocação'!$O$3:$O$1002,'Alocação'!$C$3:$C$1002,AN181,'Alocação'!$F$3:$F$1002,AN$9,'Alocação'!$B$3:$B$1002,"&lt;="&amp;$B$6))),"")</f>
        <v/>
      </c>
      <c r="AQ181" s="243" t="str">
        <f>iferror(IF(AO181="Ações Americanas", HLOOKUP(AN181,'Histórico'!$A$1:$DD$990,MATCH($B$6,'Histórico'!$A:$A),FALSE)*HLOOKUP("PTAX",'Histórico'!$A$1:$FG$983,MATCH($B$6,'Histórico'!$A:$A),FALSE),IF(AO181="Ações Europeias", HLOOKUP(AN181,'Histórico'!$A$1:$DD$990,MATCH($B$6,'Histórico'!$A:$A),FALSE)*HLOOKUP("EUR/BRL",'Histórico'!$A$1:$FG$983,MATCH($B$6,'Histórico'!$A:$A),FALSE),  HLOOKUP(AN181,'Histórico'!$A$1:$DD$990,MATCH($B$6,'Histórico'!$A:$A),FALSE))),"")</f>
        <v/>
      </c>
      <c r="AR181" s="243" t="str">
        <f t="shared" si="18"/>
        <v/>
      </c>
      <c r="AS181" s="53"/>
      <c r="AT181" s="245"/>
      <c r="AU181" s="242" t="str">
        <f>IF(ISTEXT(AT181),VLOOKUP(AT181,'Cadastro dos Ativos'!$A$2:$C$1000,3,0),"")</f>
        <v/>
      </c>
      <c r="AV181" s="242" t="str">
        <f>IF(AT181 &lt;&gt; "",IF(AU181="Futuros", (SUMIFS('Alocação'!$O$3:$O$1002,'Alocação'!$C$3:$C$1002,AT181,'Alocação'!$F$3:$F$1002,AT$9,'Alocação'!$B$3:$B$1002,"&lt;="&amp;$B$4)), (SUMIFS('Alocação'!$O$3:$O$1002,'Alocação'!$C$3:$C$1002,AT181,'Alocação'!$F$3:$F$1002,AT$9,'Alocação'!$B$3:$B$1002,"&lt;="&amp;$B$6))),"")</f>
        <v/>
      </c>
      <c r="AW181" s="243" t="str">
        <f>iferror(IF(AU181="Ações Americanas", HLOOKUP(AT181,'Histórico'!$A$1:$DD$990,MATCH($B$6,'Histórico'!$A:$A),FALSE)*HLOOKUP("PTAX",'Histórico'!$A$1:$FG$983,MATCH($B$6,'Histórico'!$A:$A),FALSE),IF(AU181="Ações Europeias", HLOOKUP(AT181,'Histórico'!$A$1:$DD$990,MATCH($B$6,'Histórico'!$A:$A),FALSE)*HLOOKUP("EUR/BRL",'Histórico'!$A$1:$FG$983,MATCH($B$6,'Histórico'!$A:$A),FALSE),  HLOOKUP(AT181,'Histórico'!$A$1:$DD$990,MATCH($B$6,'Histórico'!$A:$A),FALSE))),"")</f>
        <v/>
      </c>
      <c r="AX181" s="243" t="str">
        <f t="shared" si="27"/>
        <v/>
      </c>
      <c r="AY181" s="183"/>
    </row>
    <row r="182" ht="15.75" customHeight="1">
      <c r="A182" s="176"/>
      <c r="B182" s="232">
        <v>45257.0</v>
      </c>
      <c r="C182" s="233"/>
      <c r="D182" s="233"/>
      <c r="E182" s="234"/>
      <c r="F182" s="233"/>
      <c r="G182" s="233"/>
      <c r="H182" s="234"/>
      <c r="I182" s="233"/>
      <c r="J182" s="233"/>
      <c r="K182" s="234"/>
      <c r="L182" s="233"/>
      <c r="M182" s="233"/>
      <c r="N182" s="240" t="str">
        <f t="shared" si="9"/>
        <v/>
      </c>
      <c r="O182" s="240" t="str">
        <f t="shared" si="10"/>
        <v/>
      </c>
      <c r="P182" s="240" t="str">
        <f t="shared" si="11"/>
        <v/>
      </c>
      <c r="Q182" s="240" t="str">
        <f t="shared" si="12"/>
        <v/>
      </c>
      <c r="R182" s="236" t="str">
        <f t="shared" si="13"/>
        <v/>
      </c>
      <c r="S182" s="177"/>
      <c r="T182" s="233" t="str">
        <f t="shared" ref="T182:U182" si="192">IF(AND(C182&lt;&gt;"",F182&lt;&gt;"",I182&lt;&gt;""), SUM(I182,F182,C182,L182),"")</f>
        <v/>
      </c>
      <c r="U182" s="233" t="str">
        <f t="shared" si="192"/>
        <v/>
      </c>
      <c r="V182" s="233" t="str">
        <f t="shared" si="6"/>
        <v/>
      </c>
      <c r="W182" s="241" t="str">
        <f t="shared" si="15"/>
        <v/>
      </c>
      <c r="X182" s="241" t="str">
        <f t="shared" si="16"/>
        <v/>
      </c>
      <c r="Y182" s="241" t="str">
        <f t="shared" si="25"/>
        <v/>
      </c>
      <c r="Z182" s="233" t="str">
        <f t="shared" si="7"/>
        <v/>
      </c>
      <c r="AA182" s="165"/>
      <c r="AB182" s="245"/>
      <c r="AC182" s="242" t="str">
        <f>IF(ISTEXT(AB182),VLOOKUP(AB182,'Cadastro dos Ativos'!$A$2:$C$1000,3,0),"")</f>
        <v/>
      </c>
      <c r="AD182" s="242" t="str">
        <f>IF(AB182 &lt;&gt; "",IF(AC182="Futuros", (SUMIFS('Alocação'!$O$3:$O$1002,'Alocação'!$C$3:$C$1002,AB182,'Alocação'!$F$3:$F$1002,AB$9,'Alocação'!$B$3:$B$1002,"&lt;="&amp;$B$4)), (SUMIFS('Alocação'!$O$3:$O$1002,'Alocação'!$C$3:$C$1002,AB182,'Alocação'!$F$3:$F$1002,AB$9,'Alocação'!$B$3:$B$1002,"&lt;="&amp;$B$6))),"")</f>
        <v/>
      </c>
      <c r="AE182" s="243" t="str">
        <f>iferror(IF(AC182="Ações Americanas", HLOOKUP(AB182,'Histórico'!$A$1:$DD$990,MATCH($B$6,'Histórico'!$A:$A),FALSE)*HLOOKUP("PTAX",'Histórico'!$A$1:$FG$983,MATCH($B$6,'Histórico'!$A:$A),FALSE),IF(AC182="Ações Europeias", HLOOKUP(AB182,'Histórico'!$A$1:$DD$990,MATCH($B$6,'Histórico'!$A:$A),FALSE)*HLOOKUP("EUR/BRL",'Histórico'!$A$1:$FG$983,MATCH($B$6,'Histórico'!$A:$A),FALSE), HLOOKUP(AB182,'Histórico'!$A$1:$DD$990,MATCH($B$6,'Histórico'!$A:$A),FALSE))),"")</f>
        <v/>
      </c>
      <c r="AF182" s="243" t="str">
        <f t="shared" si="21"/>
        <v/>
      </c>
      <c r="AG182" s="53"/>
      <c r="AH182" s="245"/>
      <c r="AI182" s="242" t="str">
        <f>IF(ISTEXT(AH182),VLOOKUP(AH182,'Cadastro dos Ativos'!$A$2:$C$1000,3,0),"")</f>
        <v/>
      </c>
      <c r="AJ182" s="242" t="str">
        <f>IF(AH182 &lt;&gt; "",IF(AI182="Futuros", (SUMIFS('Alocação'!$O$3:$O$1002,'Alocação'!$C$3:$C$1002,AH182,'Alocação'!$F$3:$F$1002,AH$9,'Alocação'!$B$3:$B$1002,"&lt;="&amp;$B$4)), (SUMIFS('Alocação'!$O$3:$O$1002,'Alocação'!$C$3:$C$1002,AH182,'Alocação'!$F$3:$F$1002,AH$9,'Alocação'!$B$3:$B$1002,"&lt;="&amp;$B$6))),"")</f>
        <v/>
      </c>
      <c r="AK182" s="243" t="str">
        <f>iferror(IF(AI182="Ações Americanas", HLOOKUP(AH182,'Histórico'!$A$1:$DD$990,MATCH($B$6,'Histórico'!$A:$A),FALSE)*HLOOKUP("PTAX",'Histórico'!$A$1:$FG$983,MATCH($B$6,'Histórico'!$A:$A),FALSE),IF(AI182="Ações Europeias", HLOOKUP(AH182,'Histórico'!$A$1:$DD$990,MATCH($B$6,'Histórico'!$A:$A),FALSE)*HLOOKUP("EUR/BRL",'Histórico'!$A$1:$FG$983,MATCH($B$6,'Histórico'!$A:$A),FALSE),  HLOOKUP(AH182,'Histórico'!$A$1:$DD$990,MATCH($B$6,'Histórico'!$A:$A),FALSE))),"")</f>
        <v/>
      </c>
      <c r="AL182" s="243" t="str">
        <f t="shared" si="17"/>
        <v/>
      </c>
      <c r="AM182" s="53"/>
      <c r="AN182" s="245"/>
      <c r="AO182" s="242" t="str">
        <f>IF(ISTEXT(AN182),VLOOKUP(AN182,'Cadastro dos Ativos'!$A$2:$C$1000,3,0),"")</f>
        <v/>
      </c>
      <c r="AP182" s="242" t="str">
        <f>IF(AN182 &lt;&gt; "",IF(AO182="Futuros", (SUMIFS('Alocação'!$O$3:$O$1002,'Alocação'!$C$3:$C$1002,AN182,'Alocação'!$F$3:$F$1002,AN$9,'Alocação'!$B$3:$B$1002,"&lt;="&amp;$B$4)), (SUMIFS('Alocação'!$O$3:$O$1002,'Alocação'!$C$3:$C$1002,AN182,'Alocação'!$F$3:$F$1002,AN$9,'Alocação'!$B$3:$B$1002,"&lt;="&amp;$B$6))),"")</f>
        <v/>
      </c>
      <c r="AQ182" s="243" t="str">
        <f>iferror(IF(AO182="Ações Americanas", HLOOKUP(AN182,'Histórico'!$A$1:$DD$990,MATCH($B$6,'Histórico'!$A:$A),FALSE)*HLOOKUP("PTAX",'Histórico'!$A$1:$FG$983,MATCH($B$6,'Histórico'!$A:$A),FALSE),IF(AO182="Ações Europeias", HLOOKUP(AN182,'Histórico'!$A$1:$DD$990,MATCH($B$6,'Histórico'!$A:$A),FALSE)*HLOOKUP("EUR/BRL",'Histórico'!$A$1:$FG$983,MATCH($B$6,'Histórico'!$A:$A),FALSE),  HLOOKUP(AN182,'Histórico'!$A$1:$DD$990,MATCH($B$6,'Histórico'!$A:$A),FALSE))),"")</f>
        <v/>
      </c>
      <c r="AR182" s="243" t="str">
        <f t="shared" si="18"/>
        <v/>
      </c>
      <c r="AS182" s="53"/>
      <c r="AT182" s="245"/>
      <c r="AU182" s="242" t="str">
        <f>IF(ISTEXT(AT182),VLOOKUP(AT182,'Cadastro dos Ativos'!$A$2:$C$1000,3,0),"")</f>
        <v/>
      </c>
      <c r="AV182" s="242" t="str">
        <f>IF(AT182 &lt;&gt; "",IF(AU182="Futuros", (SUMIFS('Alocação'!$O$3:$O$1002,'Alocação'!$C$3:$C$1002,AT182,'Alocação'!$F$3:$F$1002,AT$9,'Alocação'!$B$3:$B$1002,"&lt;="&amp;$B$4)), (SUMIFS('Alocação'!$O$3:$O$1002,'Alocação'!$C$3:$C$1002,AT182,'Alocação'!$F$3:$F$1002,AT$9,'Alocação'!$B$3:$B$1002,"&lt;="&amp;$B$6))),"")</f>
        <v/>
      </c>
      <c r="AW182" s="243" t="str">
        <f>iferror(IF(AU182="Ações Americanas", HLOOKUP(AT182,'Histórico'!$A$1:$DD$990,MATCH($B$6,'Histórico'!$A:$A),FALSE)*HLOOKUP("PTAX",'Histórico'!$A$1:$FG$983,MATCH($B$6,'Histórico'!$A:$A),FALSE),IF(AU182="Ações Europeias", HLOOKUP(AT182,'Histórico'!$A$1:$DD$990,MATCH($B$6,'Histórico'!$A:$A),FALSE)*HLOOKUP("EUR/BRL",'Histórico'!$A$1:$FG$983,MATCH($B$6,'Histórico'!$A:$A),FALSE),  HLOOKUP(AT182,'Histórico'!$A$1:$DD$990,MATCH($B$6,'Histórico'!$A:$A),FALSE))),"")</f>
        <v/>
      </c>
      <c r="AX182" s="243" t="str">
        <f t="shared" si="27"/>
        <v/>
      </c>
      <c r="AY182" s="183"/>
    </row>
    <row r="183" ht="15.75" customHeight="1">
      <c r="A183" s="176"/>
      <c r="B183" s="232">
        <v>45258.0</v>
      </c>
      <c r="C183" s="233"/>
      <c r="D183" s="233"/>
      <c r="E183" s="234"/>
      <c r="F183" s="233"/>
      <c r="G183" s="233"/>
      <c r="H183" s="234"/>
      <c r="I183" s="233"/>
      <c r="J183" s="233"/>
      <c r="K183" s="234"/>
      <c r="L183" s="233"/>
      <c r="M183" s="233"/>
      <c r="N183" s="240" t="str">
        <f t="shared" si="9"/>
        <v/>
      </c>
      <c r="O183" s="240" t="str">
        <f t="shared" si="10"/>
        <v/>
      </c>
      <c r="P183" s="240" t="str">
        <f t="shared" si="11"/>
        <v/>
      </c>
      <c r="Q183" s="240" t="str">
        <f t="shared" si="12"/>
        <v/>
      </c>
      <c r="R183" s="236" t="str">
        <f t="shared" si="13"/>
        <v/>
      </c>
      <c r="S183" s="177"/>
      <c r="T183" s="233" t="str">
        <f t="shared" ref="T183:U183" si="193">IF(AND(C183&lt;&gt;"",F183&lt;&gt;"",I183&lt;&gt;""), SUM(I183,F183,C183,L183),"")</f>
        <v/>
      </c>
      <c r="U183" s="233" t="str">
        <f t="shared" si="193"/>
        <v/>
      </c>
      <c r="V183" s="233" t="str">
        <f t="shared" si="6"/>
        <v/>
      </c>
      <c r="W183" s="241" t="str">
        <f t="shared" si="15"/>
        <v/>
      </c>
      <c r="X183" s="241" t="str">
        <f t="shared" si="16"/>
        <v/>
      </c>
      <c r="Y183" s="241" t="str">
        <f t="shared" si="25"/>
        <v/>
      </c>
      <c r="Z183" s="233" t="str">
        <f t="shared" si="7"/>
        <v/>
      </c>
      <c r="AA183" s="165"/>
      <c r="AB183" s="245"/>
      <c r="AC183" s="242" t="str">
        <f>IF(ISTEXT(AB183),VLOOKUP(AB183,'Cadastro dos Ativos'!$A$2:$C$1000,3,0),"")</f>
        <v/>
      </c>
      <c r="AD183" s="242" t="str">
        <f>IF(AB183 &lt;&gt; "",IF(AC183="Futuros", (SUMIFS('Alocação'!$O$3:$O$1002,'Alocação'!$C$3:$C$1002,AB183,'Alocação'!$F$3:$F$1002,AB$9,'Alocação'!$B$3:$B$1002,"&lt;="&amp;$B$4)), (SUMIFS('Alocação'!$O$3:$O$1002,'Alocação'!$C$3:$C$1002,AB183,'Alocação'!$F$3:$F$1002,AB$9,'Alocação'!$B$3:$B$1002,"&lt;="&amp;$B$6))),"")</f>
        <v/>
      </c>
      <c r="AE183" s="243" t="str">
        <f>iferror(IF(AC183="Ações Americanas", HLOOKUP(AB183,'Histórico'!$A$1:$DD$990,MATCH($B$6,'Histórico'!$A:$A),FALSE)*HLOOKUP("PTAX",'Histórico'!$A$1:$FG$983,MATCH($B$6,'Histórico'!$A:$A),FALSE),IF(AC183="Ações Europeias", HLOOKUP(AB183,'Histórico'!$A$1:$DD$990,MATCH($B$6,'Histórico'!$A:$A),FALSE)*HLOOKUP("EUR/BRL",'Histórico'!$A$1:$FG$983,MATCH($B$6,'Histórico'!$A:$A),FALSE), HLOOKUP(AB183,'Histórico'!$A$1:$DD$990,MATCH($B$6,'Histórico'!$A:$A),FALSE))),"")</f>
        <v/>
      </c>
      <c r="AF183" s="243" t="str">
        <f t="shared" si="21"/>
        <v/>
      </c>
      <c r="AG183" s="53"/>
      <c r="AH183" s="245"/>
      <c r="AI183" s="242" t="str">
        <f>IF(ISTEXT(AH183),VLOOKUP(AH183,'Cadastro dos Ativos'!$A$2:$C$1000,3,0),"")</f>
        <v/>
      </c>
      <c r="AJ183" s="242" t="str">
        <f>IF(AH183 &lt;&gt; "",IF(AI183="Futuros", (SUMIFS('Alocação'!$O$3:$O$1002,'Alocação'!$C$3:$C$1002,AH183,'Alocação'!$F$3:$F$1002,AH$9,'Alocação'!$B$3:$B$1002,"&lt;="&amp;$B$4)), (SUMIFS('Alocação'!$O$3:$O$1002,'Alocação'!$C$3:$C$1002,AH183,'Alocação'!$F$3:$F$1002,AH$9,'Alocação'!$B$3:$B$1002,"&lt;="&amp;$B$6))),"")</f>
        <v/>
      </c>
      <c r="AK183" s="243" t="str">
        <f>iferror(IF(AI183="Ações Americanas", HLOOKUP(AH183,'Histórico'!$A$1:$DD$990,MATCH($B$6,'Histórico'!$A:$A),FALSE)*HLOOKUP("PTAX",'Histórico'!$A$1:$FG$983,MATCH($B$6,'Histórico'!$A:$A),FALSE),IF(AI183="Ações Europeias", HLOOKUP(AH183,'Histórico'!$A$1:$DD$990,MATCH($B$6,'Histórico'!$A:$A),FALSE)*HLOOKUP("EUR/BRL",'Histórico'!$A$1:$FG$983,MATCH($B$6,'Histórico'!$A:$A),FALSE),  HLOOKUP(AH183,'Histórico'!$A$1:$DD$990,MATCH($B$6,'Histórico'!$A:$A),FALSE))),"")</f>
        <v/>
      </c>
      <c r="AL183" s="243" t="str">
        <f t="shared" si="17"/>
        <v/>
      </c>
      <c r="AM183" s="53"/>
      <c r="AN183" s="245"/>
      <c r="AO183" s="242" t="str">
        <f>IF(ISTEXT(AN183),VLOOKUP(AN183,'Cadastro dos Ativos'!$A$2:$C$1000,3,0),"")</f>
        <v/>
      </c>
      <c r="AP183" s="242" t="str">
        <f>IF(AN183 &lt;&gt; "",IF(AO183="Futuros", (SUMIFS('Alocação'!$O$3:$O$1002,'Alocação'!$C$3:$C$1002,AN183,'Alocação'!$F$3:$F$1002,AN$9,'Alocação'!$B$3:$B$1002,"&lt;="&amp;$B$4)), (SUMIFS('Alocação'!$O$3:$O$1002,'Alocação'!$C$3:$C$1002,AN183,'Alocação'!$F$3:$F$1002,AN$9,'Alocação'!$B$3:$B$1002,"&lt;="&amp;$B$6))),"")</f>
        <v/>
      </c>
      <c r="AQ183" s="243" t="str">
        <f>iferror(IF(AO183="Ações Americanas", HLOOKUP(AN183,'Histórico'!$A$1:$DD$990,MATCH($B$6,'Histórico'!$A:$A),FALSE)*HLOOKUP("PTAX",'Histórico'!$A$1:$FG$983,MATCH($B$6,'Histórico'!$A:$A),FALSE),IF(AO183="Ações Europeias", HLOOKUP(AN183,'Histórico'!$A$1:$DD$990,MATCH($B$6,'Histórico'!$A:$A),FALSE)*HLOOKUP("EUR/BRL",'Histórico'!$A$1:$FG$983,MATCH($B$6,'Histórico'!$A:$A),FALSE),  HLOOKUP(AN183,'Histórico'!$A$1:$DD$990,MATCH($B$6,'Histórico'!$A:$A),FALSE))),"")</f>
        <v/>
      </c>
      <c r="AR183" s="243" t="str">
        <f t="shared" si="18"/>
        <v/>
      </c>
      <c r="AS183" s="53"/>
      <c r="AT183" s="245"/>
      <c r="AU183" s="242" t="str">
        <f>IF(ISTEXT(AT183),VLOOKUP(AT183,'Cadastro dos Ativos'!$A$2:$C$1000,3,0),"")</f>
        <v/>
      </c>
      <c r="AV183" s="242" t="str">
        <f>IF(AT183 &lt;&gt; "",IF(AU183="Futuros", (SUMIFS('Alocação'!$O$3:$O$1002,'Alocação'!$C$3:$C$1002,AT183,'Alocação'!$F$3:$F$1002,AT$9,'Alocação'!$B$3:$B$1002,"&lt;="&amp;$B$4)), (SUMIFS('Alocação'!$O$3:$O$1002,'Alocação'!$C$3:$C$1002,AT183,'Alocação'!$F$3:$F$1002,AT$9,'Alocação'!$B$3:$B$1002,"&lt;="&amp;$B$6))),"")</f>
        <v/>
      </c>
      <c r="AW183" s="243" t="str">
        <f>iferror(IF(AU183="Ações Americanas", HLOOKUP(AT183,'Histórico'!$A$1:$DD$990,MATCH($B$6,'Histórico'!$A:$A),FALSE)*HLOOKUP("PTAX",'Histórico'!$A$1:$FG$983,MATCH($B$6,'Histórico'!$A:$A),FALSE),IF(AU183="Ações Europeias", HLOOKUP(AT183,'Histórico'!$A$1:$DD$990,MATCH($B$6,'Histórico'!$A:$A),FALSE)*HLOOKUP("EUR/BRL",'Histórico'!$A$1:$FG$983,MATCH($B$6,'Histórico'!$A:$A),FALSE),  HLOOKUP(AT183,'Histórico'!$A$1:$DD$990,MATCH($B$6,'Histórico'!$A:$A),FALSE))),"")</f>
        <v/>
      </c>
      <c r="AX183" s="243" t="str">
        <f t="shared" si="27"/>
        <v/>
      </c>
      <c r="AY183" s="183"/>
    </row>
    <row r="184" ht="15.75" customHeight="1">
      <c r="A184" s="176"/>
      <c r="B184" s="232">
        <v>45259.0</v>
      </c>
      <c r="C184" s="233"/>
      <c r="D184" s="233"/>
      <c r="E184" s="234"/>
      <c r="F184" s="233"/>
      <c r="G184" s="233"/>
      <c r="H184" s="234"/>
      <c r="I184" s="233"/>
      <c r="J184" s="233"/>
      <c r="K184" s="234"/>
      <c r="L184" s="233"/>
      <c r="M184" s="233"/>
      <c r="N184" s="240" t="str">
        <f t="shared" si="9"/>
        <v/>
      </c>
      <c r="O184" s="240" t="str">
        <f t="shared" si="10"/>
        <v/>
      </c>
      <c r="P184" s="240" t="str">
        <f t="shared" si="11"/>
        <v/>
      </c>
      <c r="Q184" s="240" t="str">
        <f t="shared" si="12"/>
        <v/>
      </c>
      <c r="R184" s="236" t="str">
        <f t="shared" si="13"/>
        <v/>
      </c>
      <c r="S184" s="177"/>
      <c r="T184" s="233" t="str">
        <f t="shared" ref="T184:U184" si="194">IF(AND(C184&lt;&gt;"",F184&lt;&gt;"",I184&lt;&gt;""), SUM(I184,F184,C184,L184),"")</f>
        <v/>
      </c>
      <c r="U184" s="233" t="str">
        <f t="shared" si="194"/>
        <v/>
      </c>
      <c r="V184" s="233" t="str">
        <f t="shared" si="6"/>
        <v/>
      </c>
      <c r="W184" s="241" t="str">
        <f t="shared" si="15"/>
        <v/>
      </c>
      <c r="X184" s="241" t="str">
        <f t="shared" si="16"/>
        <v/>
      </c>
      <c r="Y184" s="241" t="str">
        <f t="shared" si="25"/>
        <v/>
      </c>
      <c r="Z184" s="233" t="str">
        <f t="shared" si="7"/>
        <v/>
      </c>
      <c r="AA184" s="165"/>
      <c r="AB184" s="245"/>
      <c r="AC184" s="242" t="str">
        <f>IF(ISTEXT(AB184),VLOOKUP(AB184,'Cadastro dos Ativos'!$A$2:$C$1000,3,0),"")</f>
        <v/>
      </c>
      <c r="AD184" s="242" t="str">
        <f>IF(AB184 &lt;&gt; "",IF(AC184="Futuros", (SUMIFS('Alocação'!$O$3:$O$1002,'Alocação'!$C$3:$C$1002,AB184,'Alocação'!$F$3:$F$1002,AB$9,'Alocação'!$B$3:$B$1002,"&lt;="&amp;$B$4)), (SUMIFS('Alocação'!$O$3:$O$1002,'Alocação'!$C$3:$C$1002,AB184,'Alocação'!$F$3:$F$1002,AB$9,'Alocação'!$B$3:$B$1002,"&lt;="&amp;$B$6))),"")</f>
        <v/>
      </c>
      <c r="AE184" s="243" t="str">
        <f>iferror(IF(AC184="Ações Americanas", HLOOKUP(AB184,'Histórico'!$A$1:$DD$990,MATCH($B$6,'Histórico'!$A:$A),FALSE)*HLOOKUP("PTAX",'Histórico'!$A$1:$FG$983,MATCH($B$6,'Histórico'!$A:$A),FALSE),IF(AC184="Ações Europeias", HLOOKUP(AB184,'Histórico'!$A$1:$DD$990,MATCH($B$6,'Histórico'!$A:$A),FALSE)*HLOOKUP("EUR/BRL",'Histórico'!$A$1:$FG$983,MATCH($B$6,'Histórico'!$A:$A),FALSE), HLOOKUP(AB184,'Histórico'!$A$1:$DD$990,MATCH($B$6,'Histórico'!$A:$A),FALSE))),"")</f>
        <v/>
      </c>
      <c r="AF184" s="243" t="str">
        <f t="shared" si="21"/>
        <v/>
      </c>
      <c r="AG184" s="53"/>
      <c r="AH184" s="245"/>
      <c r="AI184" s="242" t="str">
        <f>IF(ISTEXT(AH184),VLOOKUP(AH184,'Cadastro dos Ativos'!$A$2:$C$1000,3,0),"")</f>
        <v/>
      </c>
      <c r="AJ184" s="242" t="str">
        <f>IF(AH184 &lt;&gt; "",IF(AI184="Futuros", (SUMIFS('Alocação'!$O$3:$O$1002,'Alocação'!$C$3:$C$1002,AH184,'Alocação'!$F$3:$F$1002,AH$9,'Alocação'!$B$3:$B$1002,"&lt;="&amp;$B$4)), (SUMIFS('Alocação'!$O$3:$O$1002,'Alocação'!$C$3:$C$1002,AH184,'Alocação'!$F$3:$F$1002,AH$9,'Alocação'!$B$3:$B$1002,"&lt;="&amp;$B$6))),"")</f>
        <v/>
      </c>
      <c r="AK184" s="243" t="str">
        <f>iferror(IF(AI184="Ações Americanas", HLOOKUP(AH184,'Histórico'!$A$1:$DD$990,MATCH($B$6,'Histórico'!$A:$A),FALSE)*HLOOKUP("PTAX",'Histórico'!$A$1:$FG$983,MATCH($B$6,'Histórico'!$A:$A),FALSE),IF(AI184="Ações Europeias", HLOOKUP(AH184,'Histórico'!$A$1:$DD$990,MATCH($B$6,'Histórico'!$A:$A),FALSE)*HLOOKUP("EUR/BRL",'Histórico'!$A$1:$FG$983,MATCH($B$6,'Histórico'!$A:$A),FALSE),  HLOOKUP(AH184,'Histórico'!$A$1:$DD$990,MATCH($B$6,'Histórico'!$A:$A),FALSE))),"")</f>
        <v/>
      </c>
      <c r="AL184" s="243" t="str">
        <f t="shared" si="17"/>
        <v/>
      </c>
      <c r="AM184" s="53"/>
      <c r="AN184" s="245"/>
      <c r="AO184" s="242" t="str">
        <f>IF(ISTEXT(AN184),VLOOKUP(AN184,'Cadastro dos Ativos'!$A$2:$C$1000,3,0),"")</f>
        <v/>
      </c>
      <c r="AP184" s="242" t="str">
        <f>IF(AN184 &lt;&gt; "",IF(AO184="Futuros", (SUMIFS('Alocação'!$O$3:$O$1002,'Alocação'!$C$3:$C$1002,AN184,'Alocação'!$F$3:$F$1002,AN$9,'Alocação'!$B$3:$B$1002,"&lt;="&amp;$B$4)), (SUMIFS('Alocação'!$O$3:$O$1002,'Alocação'!$C$3:$C$1002,AN184,'Alocação'!$F$3:$F$1002,AN$9,'Alocação'!$B$3:$B$1002,"&lt;="&amp;$B$6))),"")</f>
        <v/>
      </c>
      <c r="AQ184" s="243" t="str">
        <f>iferror(IF(AO184="Ações Americanas", HLOOKUP(AN184,'Histórico'!$A$1:$DD$990,MATCH($B$6,'Histórico'!$A:$A),FALSE)*HLOOKUP("PTAX",'Histórico'!$A$1:$FG$983,MATCH($B$6,'Histórico'!$A:$A),FALSE),IF(AO184="Ações Europeias", HLOOKUP(AN184,'Histórico'!$A$1:$DD$990,MATCH($B$6,'Histórico'!$A:$A),FALSE)*HLOOKUP("EUR/BRL",'Histórico'!$A$1:$FG$983,MATCH($B$6,'Histórico'!$A:$A),FALSE),  HLOOKUP(AN184,'Histórico'!$A$1:$DD$990,MATCH($B$6,'Histórico'!$A:$A),FALSE))),"")</f>
        <v/>
      </c>
      <c r="AR184" s="243" t="str">
        <f t="shared" si="18"/>
        <v/>
      </c>
      <c r="AS184" s="53"/>
      <c r="AT184" s="245"/>
      <c r="AU184" s="242" t="str">
        <f>IF(ISTEXT(AT184),VLOOKUP(AT184,'Cadastro dos Ativos'!$A$2:$C$1000,3,0),"")</f>
        <v/>
      </c>
      <c r="AV184" s="242" t="str">
        <f>IF(AT184 &lt;&gt; "",IF(AU184="Futuros", (SUMIFS('Alocação'!$O$3:$O$1002,'Alocação'!$C$3:$C$1002,AT184,'Alocação'!$F$3:$F$1002,AT$9,'Alocação'!$B$3:$B$1002,"&lt;="&amp;$B$4)), (SUMIFS('Alocação'!$O$3:$O$1002,'Alocação'!$C$3:$C$1002,AT184,'Alocação'!$F$3:$F$1002,AT$9,'Alocação'!$B$3:$B$1002,"&lt;="&amp;$B$6))),"")</f>
        <v/>
      </c>
      <c r="AW184" s="243" t="str">
        <f>iferror(IF(AU184="Ações Americanas", HLOOKUP(AT184,'Histórico'!$A$1:$DD$990,MATCH($B$6,'Histórico'!$A:$A),FALSE)*HLOOKUP("PTAX",'Histórico'!$A$1:$FG$983,MATCH($B$6,'Histórico'!$A:$A),FALSE),IF(AU184="Ações Europeias", HLOOKUP(AT184,'Histórico'!$A$1:$DD$990,MATCH($B$6,'Histórico'!$A:$A),FALSE)*HLOOKUP("EUR/BRL",'Histórico'!$A$1:$FG$983,MATCH($B$6,'Histórico'!$A:$A),FALSE),  HLOOKUP(AT184,'Histórico'!$A$1:$DD$990,MATCH($B$6,'Histórico'!$A:$A),FALSE))),"")</f>
        <v/>
      </c>
      <c r="AX184" s="243" t="str">
        <f t="shared" si="27"/>
        <v/>
      </c>
      <c r="AY184" s="183"/>
    </row>
    <row r="185" ht="15.75" customHeight="1">
      <c r="A185" s="176"/>
      <c r="B185" s="232">
        <v>45260.0</v>
      </c>
      <c r="C185" s="233"/>
      <c r="D185" s="233"/>
      <c r="E185" s="234"/>
      <c r="F185" s="233"/>
      <c r="G185" s="233"/>
      <c r="H185" s="234"/>
      <c r="I185" s="233"/>
      <c r="J185" s="233"/>
      <c r="K185" s="234"/>
      <c r="L185" s="233"/>
      <c r="M185" s="233"/>
      <c r="N185" s="240" t="str">
        <f t="shared" si="9"/>
        <v/>
      </c>
      <c r="O185" s="240" t="str">
        <f t="shared" si="10"/>
        <v/>
      </c>
      <c r="P185" s="240" t="str">
        <f t="shared" si="11"/>
        <v/>
      </c>
      <c r="Q185" s="240" t="str">
        <f t="shared" si="12"/>
        <v/>
      </c>
      <c r="R185" s="236" t="str">
        <f t="shared" si="13"/>
        <v/>
      </c>
      <c r="S185" s="177"/>
      <c r="T185" s="233" t="str">
        <f t="shared" ref="T185:U185" si="195">IF(AND(C185&lt;&gt;"",F185&lt;&gt;"",I185&lt;&gt;""), SUM(I185,F185,C185,L185),"")</f>
        <v/>
      </c>
      <c r="U185" s="233" t="str">
        <f t="shared" si="195"/>
        <v/>
      </c>
      <c r="V185" s="233" t="str">
        <f t="shared" si="6"/>
        <v/>
      </c>
      <c r="W185" s="241" t="str">
        <f t="shared" si="15"/>
        <v/>
      </c>
      <c r="X185" s="241" t="str">
        <f t="shared" si="16"/>
        <v/>
      </c>
      <c r="Y185" s="241" t="str">
        <f t="shared" si="25"/>
        <v/>
      </c>
      <c r="Z185" s="233" t="str">
        <f t="shared" si="7"/>
        <v/>
      </c>
      <c r="AA185" s="165"/>
      <c r="AB185" s="245"/>
      <c r="AC185" s="242" t="str">
        <f>IF(ISTEXT(AB185),VLOOKUP(AB185,'Cadastro dos Ativos'!$A$2:$C$1000,3,0),"")</f>
        <v/>
      </c>
      <c r="AD185" s="242" t="str">
        <f>IF(AB185 &lt;&gt; "",IF(AC185="Futuros", (SUMIFS('Alocação'!$O$3:$O$1002,'Alocação'!$C$3:$C$1002,AB185,'Alocação'!$F$3:$F$1002,AB$9,'Alocação'!$B$3:$B$1002,"&lt;="&amp;$B$4)), (SUMIFS('Alocação'!$O$3:$O$1002,'Alocação'!$C$3:$C$1002,AB185,'Alocação'!$F$3:$F$1002,AB$9,'Alocação'!$B$3:$B$1002,"&lt;="&amp;$B$6))),"")</f>
        <v/>
      </c>
      <c r="AE185" s="243" t="str">
        <f>iferror(IF(AC185="Ações Americanas", HLOOKUP(AB185,'Histórico'!$A$1:$DD$990,MATCH($B$6,'Histórico'!$A:$A),FALSE)*HLOOKUP("PTAX",'Histórico'!$A$1:$FG$983,MATCH($B$6,'Histórico'!$A:$A),FALSE),IF(AC185="Ações Europeias", HLOOKUP(AB185,'Histórico'!$A$1:$DD$990,MATCH($B$6,'Histórico'!$A:$A),FALSE)*HLOOKUP("EUR/BRL",'Histórico'!$A$1:$FG$983,MATCH($B$6,'Histórico'!$A:$A),FALSE), HLOOKUP(AB185,'Histórico'!$A$1:$DD$990,MATCH($B$6,'Histórico'!$A:$A),FALSE))),"")</f>
        <v/>
      </c>
      <c r="AF185" s="243" t="str">
        <f t="shared" si="21"/>
        <v/>
      </c>
      <c r="AG185" s="53"/>
      <c r="AH185" s="245"/>
      <c r="AI185" s="242" t="str">
        <f>IF(ISTEXT(AH185),VLOOKUP(AH185,'Cadastro dos Ativos'!$A$2:$C$1000,3,0),"")</f>
        <v/>
      </c>
      <c r="AJ185" s="242" t="str">
        <f>IF(AH185 &lt;&gt; "",IF(AI185="Futuros", (SUMIFS('Alocação'!$O$3:$O$1002,'Alocação'!$C$3:$C$1002,AH185,'Alocação'!$F$3:$F$1002,AH$9,'Alocação'!$B$3:$B$1002,"&lt;="&amp;$B$4)), (SUMIFS('Alocação'!$O$3:$O$1002,'Alocação'!$C$3:$C$1002,AH185,'Alocação'!$F$3:$F$1002,AH$9,'Alocação'!$B$3:$B$1002,"&lt;="&amp;$B$6))),"")</f>
        <v/>
      </c>
      <c r="AK185" s="243" t="str">
        <f>iferror(IF(AI185="Ações Americanas", HLOOKUP(AH185,'Histórico'!$A$1:$DD$990,MATCH($B$6,'Histórico'!$A:$A),FALSE)*HLOOKUP("PTAX",'Histórico'!$A$1:$FG$983,MATCH($B$6,'Histórico'!$A:$A),FALSE),IF(AI185="Ações Europeias", HLOOKUP(AH185,'Histórico'!$A$1:$DD$990,MATCH($B$6,'Histórico'!$A:$A),FALSE)*HLOOKUP("EUR/BRL",'Histórico'!$A$1:$FG$983,MATCH($B$6,'Histórico'!$A:$A),FALSE),  HLOOKUP(AH185,'Histórico'!$A$1:$DD$990,MATCH($B$6,'Histórico'!$A:$A),FALSE))),"")</f>
        <v/>
      </c>
      <c r="AL185" s="243" t="str">
        <f t="shared" si="17"/>
        <v/>
      </c>
      <c r="AM185" s="53"/>
      <c r="AN185" s="245"/>
      <c r="AO185" s="242" t="str">
        <f>IF(ISTEXT(AN185),VLOOKUP(AN185,'Cadastro dos Ativos'!$A$2:$C$1000,3,0),"")</f>
        <v/>
      </c>
      <c r="AP185" s="242" t="str">
        <f>IF(AN185 &lt;&gt; "",IF(AO185="Futuros", (SUMIFS('Alocação'!$O$3:$O$1002,'Alocação'!$C$3:$C$1002,AN185,'Alocação'!$F$3:$F$1002,AN$9,'Alocação'!$B$3:$B$1002,"&lt;="&amp;$B$4)), (SUMIFS('Alocação'!$O$3:$O$1002,'Alocação'!$C$3:$C$1002,AN185,'Alocação'!$F$3:$F$1002,AN$9,'Alocação'!$B$3:$B$1002,"&lt;="&amp;$B$6))),"")</f>
        <v/>
      </c>
      <c r="AQ185" s="243" t="str">
        <f>iferror(IF(AO185="Ações Americanas", HLOOKUP(AN185,'Histórico'!$A$1:$DD$990,MATCH($B$6,'Histórico'!$A:$A),FALSE)*HLOOKUP("PTAX",'Histórico'!$A$1:$FG$983,MATCH($B$6,'Histórico'!$A:$A),FALSE),IF(AO185="Ações Europeias", HLOOKUP(AN185,'Histórico'!$A$1:$DD$990,MATCH($B$6,'Histórico'!$A:$A),FALSE)*HLOOKUP("EUR/BRL",'Histórico'!$A$1:$FG$983,MATCH($B$6,'Histórico'!$A:$A),FALSE),  HLOOKUP(AN185,'Histórico'!$A$1:$DD$990,MATCH($B$6,'Histórico'!$A:$A),FALSE))),"")</f>
        <v/>
      </c>
      <c r="AR185" s="243" t="str">
        <f t="shared" si="18"/>
        <v/>
      </c>
      <c r="AS185" s="53"/>
      <c r="AT185" s="245"/>
      <c r="AU185" s="242" t="str">
        <f>IF(ISTEXT(AT185),VLOOKUP(AT185,'Cadastro dos Ativos'!$A$2:$C$1000,3,0),"")</f>
        <v/>
      </c>
      <c r="AV185" s="242" t="str">
        <f>IF(AT185 &lt;&gt; "",IF(AU185="Futuros", (SUMIFS('Alocação'!$O$3:$O$1002,'Alocação'!$C$3:$C$1002,AT185,'Alocação'!$F$3:$F$1002,AT$9,'Alocação'!$B$3:$B$1002,"&lt;="&amp;$B$4)), (SUMIFS('Alocação'!$O$3:$O$1002,'Alocação'!$C$3:$C$1002,AT185,'Alocação'!$F$3:$F$1002,AT$9,'Alocação'!$B$3:$B$1002,"&lt;="&amp;$B$6))),"")</f>
        <v/>
      </c>
      <c r="AW185" s="243" t="str">
        <f>iferror(IF(AU185="Ações Americanas", HLOOKUP(AT185,'Histórico'!$A$1:$DD$990,MATCH($B$6,'Histórico'!$A:$A),FALSE)*HLOOKUP("PTAX",'Histórico'!$A$1:$FG$983,MATCH($B$6,'Histórico'!$A:$A),FALSE),IF(AU185="Ações Europeias", HLOOKUP(AT185,'Histórico'!$A$1:$DD$990,MATCH($B$6,'Histórico'!$A:$A),FALSE)*HLOOKUP("EUR/BRL",'Histórico'!$A$1:$FG$983,MATCH($B$6,'Histórico'!$A:$A),FALSE),  HLOOKUP(AT185,'Histórico'!$A$1:$DD$990,MATCH($B$6,'Histórico'!$A:$A),FALSE))),"")</f>
        <v/>
      </c>
      <c r="AX185" s="243" t="str">
        <f t="shared" si="27"/>
        <v/>
      </c>
      <c r="AY185" s="183"/>
    </row>
    <row r="186" ht="15.75" customHeight="1">
      <c r="A186" s="176"/>
      <c r="B186" s="232">
        <v>45261.0</v>
      </c>
      <c r="C186" s="233"/>
      <c r="D186" s="233"/>
      <c r="E186" s="234"/>
      <c r="F186" s="233"/>
      <c r="G186" s="233"/>
      <c r="H186" s="234"/>
      <c r="I186" s="233"/>
      <c r="J186" s="233"/>
      <c r="K186" s="234"/>
      <c r="L186" s="233"/>
      <c r="M186" s="233"/>
      <c r="N186" s="240" t="str">
        <f t="shared" si="9"/>
        <v/>
      </c>
      <c r="O186" s="240" t="str">
        <f t="shared" si="10"/>
        <v/>
      </c>
      <c r="P186" s="240" t="str">
        <f t="shared" si="11"/>
        <v/>
      </c>
      <c r="Q186" s="240" t="str">
        <f t="shared" si="12"/>
        <v/>
      </c>
      <c r="R186" s="236" t="str">
        <f t="shared" si="13"/>
        <v/>
      </c>
      <c r="S186" s="177"/>
      <c r="T186" s="233" t="str">
        <f t="shared" ref="T186:U186" si="196">IF(AND(C186&lt;&gt;"",F186&lt;&gt;"",I186&lt;&gt;""), SUM(I186,F186,C186,L186),"")</f>
        <v/>
      </c>
      <c r="U186" s="233" t="str">
        <f t="shared" si="196"/>
        <v/>
      </c>
      <c r="V186" s="233" t="str">
        <f t="shared" si="6"/>
        <v/>
      </c>
      <c r="W186" s="241" t="str">
        <f t="shared" si="15"/>
        <v/>
      </c>
      <c r="X186" s="241" t="str">
        <f t="shared" si="16"/>
        <v/>
      </c>
      <c r="Y186" s="241" t="str">
        <f t="shared" si="25"/>
        <v/>
      </c>
      <c r="Z186" s="233" t="str">
        <f t="shared" si="7"/>
        <v/>
      </c>
      <c r="AA186" s="165"/>
      <c r="AB186" s="245"/>
      <c r="AC186" s="242" t="str">
        <f>IF(ISTEXT(AB186),VLOOKUP(AB186,'Cadastro dos Ativos'!$A$2:$C$1000,3,0),"")</f>
        <v/>
      </c>
      <c r="AD186" s="242" t="str">
        <f>IF(AB186 &lt;&gt; "",IF(AC186="Futuros", (SUMIFS('Alocação'!$O$3:$O$1002,'Alocação'!$C$3:$C$1002,AB186,'Alocação'!$F$3:$F$1002,AB$9,'Alocação'!$B$3:$B$1002,"&lt;="&amp;$B$4)), (SUMIFS('Alocação'!$O$3:$O$1002,'Alocação'!$C$3:$C$1002,AB186,'Alocação'!$F$3:$F$1002,AB$9,'Alocação'!$B$3:$B$1002,"&lt;="&amp;$B$6))),"")</f>
        <v/>
      </c>
      <c r="AE186" s="243" t="str">
        <f>iferror(IF(AC186="Ações Americanas", HLOOKUP(AB186,'Histórico'!$A$1:$DD$990,MATCH($B$6,'Histórico'!$A:$A),FALSE)*HLOOKUP("PTAX",'Histórico'!$A$1:$FG$983,MATCH($B$6,'Histórico'!$A:$A),FALSE),IF(AC186="Ações Europeias", HLOOKUP(AB186,'Histórico'!$A$1:$DD$990,MATCH($B$6,'Histórico'!$A:$A),FALSE)*HLOOKUP("EUR/BRL",'Histórico'!$A$1:$FG$983,MATCH($B$6,'Histórico'!$A:$A),FALSE), HLOOKUP(AB186,'Histórico'!$A$1:$DD$990,MATCH($B$6,'Histórico'!$A:$A),FALSE))),"")</f>
        <v/>
      </c>
      <c r="AF186" s="243" t="str">
        <f t="shared" si="21"/>
        <v/>
      </c>
      <c r="AG186" s="53"/>
      <c r="AH186" s="245"/>
      <c r="AI186" s="242" t="str">
        <f>IF(ISTEXT(AH186),VLOOKUP(AH186,'Cadastro dos Ativos'!$A$2:$C$1000,3,0),"")</f>
        <v/>
      </c>
      <c r="AJ186" s="242" t="str">
        <f>IF(AH186 &lt;&gt; "",IF(AI186="Futuros", (SUMIFS('Alocação'!$O$3:$O$1002,'Alocação'!$C$3:$C$1002,AH186,'Alocação'!$F$3:$F$1002,AH$9,'Alocação'!$B$3:$B$1002,"&lt;="&amp;$B$4)), (SUMIFS('Alocação'!$O$3:$O$1002,'Alocação'!$C$3:$C$1002,AH186,'Alocação'!$F$3:$F$1002,AH$9,'Alocação'!$B$3:$B$1002,"&lt;="&amp;$B$6))),"")</f>
        <v/>
      </c>
      <c r="AK186" s="243" t="str">
        <f>iferror(IF(AI186="Ações Americanas", HLOOKUP(AH186,'Histórico'!$A$1:$DD$990,MATCH($B$6,'Histórico'!$A:$A),FALSE)*HLOOKUP("PTAX",'Histórico'!$A$1:$FG$983,MATCH($B$6,'Histórico'!$A:$A),FALSE),IF(AI186="Ações Europeias", HLOOKUP(AH186,'Histórico'!$A$1:$DD$990,MATCH($B$6,'Histórico'!$A:$A),FALSE)*HLOOKUP("EUR/BRL",'Histórico'!$A$1:$FG$983,MATCH($B$6,'Histórico'!$A:$A),FALSE),  HLOOKUP(AH186,'Histórico'!$A$1:$DD$990,MATCH($B$6,'Histórico'!$A:$A),FALSE))),"")</f>
        <v/>
      </c>
      <c r="AL186" s="243" t="str">
        <f t="shared" si="17"/>
        <v/>
      </c>
      <c r="AM186" s="53"/>
      <c r="AN186" s="245"/>
      <c r="AO186" s="242" t="str">
        <f>IF(ISTEXT(AN186),VLOOKUP(AN186,'Cadastro dos Ativos'!$A$2:$C$1000,3,0),"")</f>
        <v/>
      </c>
      <c r="AP186" s="242" t="str">
        <f>IF(AN186 &lt;&gt; "",IF(AO186="Futuros", (SUMIFS('Alocação'!$O$3:$O$1002,'Alocação'!$C$3:$C$1002,AN186,'Alocação'!$F$3:$F$1002,AN$9,'Alocação'!$B$3:$B$1002,"&lt;="&amp;$B$4)), (SUMIFS('Alocação'!$O$3:$O$1002,'Alocação'!$C$3:$C$1002,AN186,'Alocação'!$F$3:$F$1002,AN$9,'Alocação'!$B$3:$B$1002,"&lt;="&amp;$B$6))),"")</f>
        <v/>
      </c>
      <c r="AQ186" s="243" t="str">
        <f>iferror(IF(AO186="Ações Americanas", HLOOKUP(AN186,'Histórico'!$A$1:$DD$990,MATCH($B$6,'Histórico'!$A:$A),FALSE)*HLOOKUP("PTAX",'Histórico'!$A$1:$FG$983,MATCH($B$6,'Histórico'!$A:$A),FALSE),IF(AO186="Ações Europeias", HLOOKUP(AN186,'Histórico'!$A$1:$DD$990,MATCH($B$6,'Histórico'!$A:$A),FALSE)*HLOOKUP("EUR/BRL",'Histórico'!$A$1:$FG$983,MATCH($B$6,'Histórico'!$A:$A),FALSE),  HLOOKUP(AN186,'Histórico'!$A$1:$DD$990,MATCH($B$6,'Histórico'!$A:$A),FALSE))),"")</f>
        <v/>
      </c>
      <c r="AR186" s="243" t="str">
        <f t="shared" si="18"/>
        <v/>
      </c>
      <c r="AS186" s="53"/>
      <c r="AT186" s="245"/>
      <c r="AU186" s="242" t="str">
        <f>IF(ISTEXT(AT186),VLOOKUP(AT186,'Cadastro dos Ativos'!$A$2:$C$1000,3,0),"")</f>
        <v/>
      </c>
      <c r="AV186" s="242" t="str">
        <f>IF(AT186 &lt;&gt; "",IF(AU186="Futuros", (SUMIFS('Alocação'!$O$3:$O$1002,'Alocação'!$C$3:$C$1002,AT186,'Alocação'!$F$3:$F$1002,AT$9,'Alocação'!$B$3:$B$1002,"&lt;="&amp;$B$4)), (SUMIFS('Alocação'!$O$3:$O$1002,'Alocação'!$C$3:$C$1002,AT186,'Alocação'!$F$3:$F$1002,AT$9,'Alocação'!$B$3:$B$1002,"&lt;="&amp;$B$6))),"")</f>
        <v/>
      </c>
      <c r="AW186" s="243" t="str">
        <f>iferror(IF(AU186="Ações Americanas", HLOOKUP(AT186,'Histórico'!$A$1:$DD$990,MATCH($B$6,'Histórico'!$A:$A),FALSE)*HLOOKUP("PTAX",'Histórico'!$A$1:$FG$983,MATCH($B$6,'Histórico'!$A:$A),FALSE),IF(AU186="Ações Europeias", HLOOKUP(AT186,'Histórico'!$A$1:$DD$990,MATCH($B$6,'Histórico'!$A:$A),FALSE)*HLOOKUP("EUR/BRL",'Histórico'!$A$1:$FG$983,MATCH($B$6,'Histórico'!$A:$A),FALSE),  HLOOKUP(AT186,'Histórico'!$A$1:$DD$990,MATCH($B$6,'Histórico'!$A:$A),FALSE))),"")</f>
        <v/>
      </c>
      <c r="AX186" s="243" t="str">
        <f t="shared" si="27"/>
        <v/>
      </c>
      <c r="AY186" s="183"/>
    </row>
    <row r="187" ht="15.75" customHeight="1">
      <c r="A187" s="176"/>
      <c r="B187" s="232">
        <v>45264.0</v>
      </c>
      <c r="C187" s="233"/>
      <c r="D187" s="233"/>
      <c r="E187" s="234"/>
      <c r="F187" s="233"/>
      <c r="G187" s="233"/>
      <c r="H187" s="234"/>
      <c r="I187" s="233"/>
      <c r="J187" s="233"/>
      <c r="K187" s="234"/>
      <c r="L187" s="233"/>
      <c r="M187" s="233"/>
      <c r="N187" s="240" t="str">
        <f t="shared" si="9"/>
        <v/>
      </c>
      <c r="O187" s="240" t="str">
        <f t="shared" si="10"/>
        <v/>
      </c>
      <c r="P187" s="240" t="str">
        <f t="shared" si="11"/>
        <v/>
      </c>
      <c r="Q187" s="240" t="str">
        <f t="shared" si="12"/>
        <v/>
      </c>
      <c r="R187" s="236" t="str">
        <f t="shared" si="13"/>
        <v/>
      </c>
      <c r="S187" s="177"/>
      <c r="T187" s="233" t="str">
        <f t="shared" ref="T187:U187" si="197">IF(AND(C187&lt;&gt;"",F187&lt;&gt;"",I187&lt;&gt;""), SUM(I187,F187,C187,L187),"")</f>
        <v/>
      </c>
      <c r="U187" s="233" t="str">
        <f t="shared" si="197"/>
        <v/>
      </c>
      <c r="V187" s="233" t="str">
        <f t="shared" si="6"/>
        <v/>
      </c>
      <c r="W187" s="241" t="str">
        <f t="shared" si="15"/>
        <v/>
      </c>
      <c r="X187" s="241" t="str">
        <f t="shared" si="16"/>
        <v/>
      </c>
      <c r="Y187" s="241" t="str">
        <f t="shared" si="25"/>
        <v/>
      </c>
      <c r="Z187" s="233" t="str">
        <f t="shared" si="7"/>
        <v/>
      </c>
      <c r="AA187" s="165"/>
      <c r="AB187" s="245"/>
      <c r="AC187" s="242" t="str">
        <f>IF(ISTEXT(AB187),VLOOKUP(AB187,'Cadastro dos Ativos'!$A$2:$C$1000,3,0),"")</f>
        <v/>
      </c>
      <c r="AD187" s="242" t="str">
        <f>IF(AB187 &lt;&gt; "",IF(AC187="Futuros", (SUMIFS('Alocação'!$O$3:$O$1002,'Alocação'!$C$3:$C$1002,AB187,'Alocação'!$F$3:$F$1002,AB$9,'Alocação'!$B$3:$B$1002,"&lt;="&amp;$B$4)), (SUMIFS('Alocação'!$O$3:$O$1002,'Alocação'!$C$3:$C$1002,AB187,'Alocação'!$F$3:$F$1002,AB$9,'Alocação'!$B$3:$B$1002,"&lt;="&amp;$B$6))),"")</f>
        <v/>
      </c>
      <c r="AE187" s="243" t="str">
        <f>iferror(IF(AC187="Ações Americanas", HLOOKUP(AB187,'Histórico'!$A$1:$DD$990,MATCH($B$6,'Histórico'!$A:$A),FALSE)*HLOOKUP("PTAX",'Histórico'!$A$1:$FG$983,MATCH($B$6,'Histórico'!$A:$A),FALSE),IF(AC187="Ações Europeias", HLOOKUP(AB187,'Histórico'!$A$1:$DD$990,MATCH($B$6,'Histórico'!$A:$A),FALSE)*HLOOKUP("EUR/BRL",'Histórico'!$A$1:$FG$983,MATCH($B$6,'Histórico'!$A:$A),FALSE), HLOOKUP(AB187,'Histórico'!$A$1:$DD$990,MATCH($B$6,'Histórico'!$A:$A),FALSE))),"")</f>
        <v/>
      </c>
      <c r="AF187" s="243" t="str">
        <f t="shared" si="21"/>
        <v/>
      </c>
      <c r="AG187" s="53"/>
      <c r="AH187" s="245"/>
      <c r="AI187" s="242" t="str">
        <f>IF(ISTEXT(AH187),VLOOKUP(AH187,'Cadastro dos Ativos'!$A$2:$C$1000,3,0),"")</f>
        <v/>
      </c>
      <c r="AJ187" s="242" t="str">
        <f>IF(AH187 &lt;&gt; "",IF(AI187="Futuros", (SUMIFS('Alocação'!$O$3:$O$1002,'Alocação'!$C$3:$C$1002,AH187,'Alocação'!$F$3:$F$1002,AH$9,'Alocação'!$B$3:$B$1002,"&lt;="&amp;$B$4)), (SUMIFS('Alocação'!$O$3:$O$1002,'Alocação'!$C$3:$C$1002,AH187,'Alocação'!$F$3:$F$1002,AH$9,'Alocação'!$B$3:$B$1002,"&lt;="&amp;$B$6))),"")</f>
        <v/>
      </c>
      <c r="AK187" s="243" t="str">
        <f>iferror(IF(AI187="Ações Americanas", HLOOKUP(AH187,'Histórico'!$A$1:$DD$990,MATCH($B$6,'Histórico'!$A:$A),FALSE)*HLOOKUP("PTAX",'Histórico'!$A$1:$FG$983,MATCH($B$6,'Histórico'!$A:$A),FALSE),IF(AI187="Ações Europeias", HLOOKUP(AH187,'Histórico'!$A$1:$DD$990,MATCH($B$6,'Histórico'!$A:$A),FALSE)*HLOOKUP("EUR/BRL",'Histórico'!$A$1:$FG$983,MATCH($B$6,'Histórico'!$A:$A),FALSE),  HLOOKUP(AH187,'Histórico'!$A$1:$DD$990,MATCH($B$6,'Histórico'!$A:$A),FALSE))),"")</f>
        <v/>
      </c>
      <c r="AL187" s="243" t="str">
        <f t="shared" si="17"/>
        <v/>
      </c>
      <c r="AM187" s="53"/>
      <c r="AN187" s="245"/>
      <c r="AO187" s="242" t="str">
        <f>IF(ISTEXT(AN187),VLOOKUP(AN187,'Cadastro dos Ativos'!$A$2:$C$1000,3,0),"")</f>
        <v/>
      </c>
      <c r="AP187" s="242" t="str">
        <f>IF(AN187 &lt;&gt; "",IF(AO187="Futuros", (SUMIFS('Alocação'!$O$3:$O$1002,'Alocação'!$C$3:$C$1002,AN187,'Alocação'!$F$3:$F$1002,AN$9,'Alocação'!$B$3:$B$1002,"&lt;="&amp;$B$4)), (SUMIFS('Alocação'!$O$3:$O$1002,'Alocação'!$C$3:$C$1002,AN187,'Alocação'!$F$3:$F$1002,AN$9,'Alocação'!$B$3:$B$1002,"&lt;="&amp;$B$6))),"")</f>
        <v/>
      </c>
      <c r="AQ187" s="243" t="str">
        <f>iferror(IF(AO187="Ações Americanas", HLOOKUP(AN187,'Histórico'!$A$1:$DD$990,MATCH($B$6,'Histórico'!$A:$A),FALSE)*HLOOKUP("PTAX",'Histórico'!$A$1:$FG$983,MATCH($B$6,'Histórico'!$A:$A),FALSE),IF(AO187="Ações Europeias", HLOOKUP(AN187,'Histórico'!$A$1:$DD$990,MATCH($B$6,'Histórico'!$A:$A),FALSE)*HLOOKUP("EUR/BRL",'Histórico'!$A$1:$FG$983,MATCH($B$6,'Histórico'!$A:$A),FALSE),  HLOOKUP(AN187,'Histórico'!$A$1:$DD$990,MATCH($B$6,'Histórico'!$A:$A),FALSE))),"")</f>
        <v/>
      </c>
      <c r="AR187" s="243" t="str">
        <f t="shared" si="18"/>
        <v/>
      </c>
      <c r="AS187" s="53"/>
      <c r="AT187" s="245"/>
      <c r="AU187" s="242" t="str">
        <f>IF(ISTEXT(AT187),VLOOKUP(AT187,'Cadastro dos Ativos'!$A$2:$C$1000,3,0),"")</f>
        <v/>
      </c>
      <c r="AV187" s="242" t="str">
        <f>IF(AT187 &lt;&gt; "",IF(AU187="Futuros", (SUMIFS('Alocação'!$O$3:$O$1002,'Alocação'!$C$3:$C$1002,AT187,'Alocação'!$F$3:$F$1002,AT$9,'Alocação'!$B$3:$B$1002,"&lt;="&amp;$B$4)), (SUMIFS('Alocação'!$O$3:$O$1002,'Alocação'!$C$3:$C$1002,AT187,'Alocação'!$F$3:$F$1002,AT$9,'Alocação'!$B$3:$B$1002,"&lt;="&amp;$B$6))),"")</f>
        <v/>
      </c>
      <c r="AW187" s="243" t="str">
        <f>iferror(IF(AU187="Ações Americanas", HLOOKUP(AT187,'Histórico'!$A$1:$DD$990,MATCH($B$6,'Histórico'!$A:$A),FALSE)*HLOOKUP("PTAX",'Histórico'!$A$1:$FG$983,MATCH($B$6,'Histórico'!$A:$A),FALSE),IF(AU187="Ações Europeias", HLOOKUP(AT187,'Histórico'!$A$1:$DD$990,MATCH($B$6,'Histórico'!$A:$A),FALSE)*HLOOKUP("EUR/BRL",'Histórico'!$A$1:$FG$983,MATCH($B$6,'Histórico'!$A:$A),FALSE),  HLOOKUP(AT187,'Histórico'!$A$1:$DD$990,MATCH($B$6,'Histórico'!$A:$A),FALSE))),"")</f>
        <v/>
      </c>
      <c r="AX187" s="243" t="str">
        <f t="shared" si="27"/>
        <v/>
      </c>
      <c r="AY187" s="183"/>
    </row>
    <row r="188" ht="15.75" customHeight="1">
      <c r="A188" s="176"/>
      <c r="B188" s="232">
        <v>45265.0</v>
      </c>
      <c r="C188" s="233"/>
      <c r="D188" s="233"/>
      <c r="E188" s="234"/>
      <c r="F188" s="233"/>
      <c r="G188" s="233"/>
      <c r="H188" s="234"/>
      <c r="I188" s="233"/>
      <c r="J188" s="233"/>
      <c r="K188" s="234"/>
      <c r="L188" s="233"/>
      <c r="M188" s="233"/>
      <c r="N188" s="240" t="str">
        <f t="shared" si="9"/>
        <v/>
      </c>
      <c r="O188" s="240" t="str">
        <f t="shared" si="10"/>
        <v/>
      </c>
      <c r="P188" s="240" t="str">
        <f t="shared" si="11"/>
        <v/>
      </c>
      <c r="Q188" s="240" t="str">
        <f t="shared" si="12"/>
        <v/>
      </c>
      <c r="R188" s="236" t="str">
        <f t="shared" si="13"/>
        <v/>
      </c>
      <c r="S188" s="177"/>
      <c r="T188" s="233" t="str">
        <f t="shared" ref="T188:U188" si="198">IF(AND(C188&lt;&gt;"",F188&lt;&gt;"",I188&lt;&gt;""), SUM(I188,F188,C188,L188),"")</f>
        <v/>
      </c>
      <c r="U188" s="233" t="str">
        <f t="shared" si="198"/>
        <v/>
      </c>
      <c r="V188" s="233" t="str">
        <f t="shared" si="6"/>
        <v/>
      </c>
      <c r="W188" s="241" t="str">
        <f t="shared" si="15"/>
        <v/>
      </c>
      <c r="X188" s="241" t="str">
        <f t="shared" si="16"/>
        <v/>
      </c>
      <c r="Y188" s="241" t="str">
        <f t="shared" si="25"/>
        <v/>
      </c>
      <c r="Z188" s="233" t="str">
        <f t="shared" si="7"/>
        <v/>
      </c>
      <c r="AA188" s="165"/>
      <c r="AB188" s="245"/>
      <c r="AC188" s="242" t="str">
        <f>IF(ISTEXT(AB188),VLOOKUP(AB188,'Cadastro dos Ativos'!$A$2:$C$1000,3,0),"")</f>
        <v/>
      </c>
      <c r="AD188" s="242" t="str">
        <f>IF(AB188 &lt;&gt; "",IF(AC188="Futuros", (SUMIFS('Alocação'!$O$3:$O$1002,'Alocação'!$C$3:$C$1002,AB188,'Alocação'!$F$3:$F$1002,AB$9,'Alocação'!$B$3:$B$1002,"&lt;="&amp;$B$4)), (SUMIFS('Alocação'!$O$3:$O$1002,'Alocação'!$C$3:$C$1002,AB188,'Alocação'!$F$3:$F$1002,AB$9,'Alocação'!$B$3:$B$1002,"&lt;="&amp;$B$6))),"")</f>
        <v/>
      </c>
      <c r="AE188" s="243" t="str">
        <f>iferror(IF(AC188="Ações Americanas", HLOOKUP(AB188,'Histórico'!$A$1:$DD$990,MATCH($B$6,'Histórico'!$A:$A),FALSE)*HLOOKUP("PTAX",'Histórico'!$A$1:$FG$983,MATCH($B$6,'Histórico'!$A:$A),FALSE),IF(AC188="Ações Europeias", HLOOKUP(AB188,'Histórico'!$A$1:$DD$990,MATCH($B$6,'Histórico'!$A:$A),FALSE)*HLOOKUP("EUR/BRL",'Histórico'!$A$1:$FG$983,MATCH($B$6,'Histórico'!$A:$A),FALSE), HLOOKUP(AB188,'Histórico'!$A$1:$DD$990,MATCH($B$6,'Histórico'!$A:$A),FALSE))),"")</f>
        <v/>
      </c>
      <c r="AF188" s="243" t="str">
        <f t="shared" si="21"/>
        <v/>
      </c>
      <c r="AG188" s="53"/>
      <c r="AH188" s="245"/>
      <c r="AI188" s="242" t="str">
        <f>IF(ISTEXT(AH188),VLOOKUP(AH188,'Cadastro dos Ativos'!$A$2:$C$1000,3,0),"")</f>
        <v/>
      </c>
      <c r="AJ188" s="242" t="str">
        <f>IF(AH188 &lt;&gt; "",IF(AI188="Futuros", (SUMIFS('Alocação'!$O$3:$O$1002,'Alocação'!$C$3:$C$1002,AH188,'Alocação'!$F$3:$F$1002,AH$9,'Alocação'!$B$3:$B$1002,"&lt;="&amp;$B$4)), (SUMIFS('Alocação'!$O$3:$O$1002,'Alocação'!$C$3:$C$1002,AH188,'Alocação'!$F$3:$F$1002,AH$9,'Alocação'!$B$3:$B$1002,"&lt;="&amp;$B$6))),"")</f>
        <v/>
      </c>
      <c r="AK188" s="243" t="str">
        <f>iferror(IF(AI188="Ações Americanas", HLOOKUP(AH188,'Histórico'!$A$1:$DD$990,MATCH($B$6,'Histórico'!$A:$A),FALSE)*HLOOKUP("PTAX",'Histórico'!$A$1:$FG$983,MATCH($B$6,'Histórico'!$A:$A),FALSE),IF(AI188="Ações Europeias", HLOOKUP(AH188,'Histórico'!$A$1:$DD$990,MATCH($B$6,'Histórico'!$A:$A),FALSE)*HLOOKUP("EUR/BRL",'Histórico'!$A$1:$FG$983,MATCH($B$6,'Histórico'!$A:$A),FALSE),  HLOOKUP(AH188,'Histórico'!$A$1:$DD$990,MATCH($B$6,'Histórico'!$A:$A),FALSE))),"")</f>
        <v/>
      </c>
      <c r="AL188" s="243" t="str">
        <f t="shared" si="17"/>
        <v/>
      </c>
      <c r="AM188" s="53"/>
      <c r="AN188" s="245"/>
      <c r="AO188" s="242" t="str">
        <f>IF(ISTEXT(AN188),VLOOKUP(AN188,'Cadastro dos Ativos'!$A$2:$C$1000,3,0),"")</f>
        <v/>
      </c>
      <c r="AP188" s="242" t="str">
        <f>IF(AN188 &lt;&gt; "",IF(AO188="Futuros", (SUMIFS('Alocação'!$O$3:$O$1002,'Alocação'!$C$3:$C$1002,AN188,'Alocação'!$F$3:$F$1002,AN$9,'Alocação'!$B$3:$B$1002,"&lt;="&amp;$B$4)), (SUMIFS('Alocação'!$O$3:$O$1002,'Alocação'!$C$3:$C$1002,AN188,'Alocação'!$F$3:$F$1002,AN$9,'Alocação'!$B$3:$B$1002,"&lt;="&amp;$B$6))),"")</f>
        <v/>
      </c>
      <c r="AQ188" s="243" t="str">
        <f>iferror(IF(AO188="Ações Americanas", HLOOKUP(AN188,'Histórico'!$A$1:$DD$990,MATCH($B$6,'Histórico'!$A:$A),FALSE)*HLOOKUP("PTAX",'Histórico'!$A$1:$FG$983,MATCH($B$6,'Histórico'!$A:$A),FALSE),IF(AO188="Ações Europeias", HLOOKUP(AN188,'Histórico'!$A$1:$DD$990,MATCH($B$6,'Histórico'!$A:$A),FALSE)*HLOOKUP("EUR/BRL",'Histórico'!$A$1:$FG$983,MATCH($B$6,'Histórico'!$A:$A),FALSE),  HLOOKUP(AN188,'Histórico'!$A$1:$DD$990,MATCH($B$6,'Histórico'!$A:$A),FALSE))),"")</f>
        <v/>
      </c>
      <c r="AR188" s="243" t="str">
        <f t="shared" si="18"/>
        <v/>
      </c>
      <c r="AS188" s="53"/>
      <c r="AT188" s="245"/>
      <c r="AU188" s="242" t="str">
        <f>IF(ISTEXT(AT188),VLOOKUP(AT188,'Cadastro dos Ativos'!$A$2:$C$1000,3,0),"")</f>
        <v/>
      </c>
      <c r="AV188" s="242" t="str">
        <f>IF(AT188 &lt;&gt; "",IF(AU188="Futuros", (SUMIFS('Alocação'!$O$3:$O$1002,'Alocação'!$C$3:$C$1002,AT188,'Alocação'!$F$3:$F$1002,AT$9,'Alocação'!$B$3:$B$1002,"&lt;="&amp;$B$4)), (SUMIFS('Alocação'!$O$3:$O$1002,'Alocação'!$C$3:$C$1002,AT188,'Alocação'!$F$3:$F$1002,AT$9,'Alocação'!$B$3:$B$1002,"&lt;="&amp;$B$6))),"")</f>
        <v/>
      </c>
      <c r="AW188" s="243" t="str">
        <f>iferror(IF(AU188="Ações Americanas", HLOOKUP(AT188,'Histórico'!$A$1:$DD$990,MATCH($B$6,'Histórico'!$A:$A),FALSE)*HLOOKUP("PTAX",'Histórico'!$A$1:$FG$983,MATCH($B$6,'Histórico'!$A:$A),FALSE),IF(AU188="Ações Europeias", HLOOKUP(AT188,'Histórico'!$A$1:$DD$990,MATCH($B$6,'Histórico'!$A:$A),FALSE)*HLOOKUP("EUR/BRL",'Histórico'!$A$1:$FG$983,MATCH($B$6,'Histórico'!$A:$A),FALSE),  HLOOKUP(AT188,'Histórico'!$A$1:$DD$990,MATCH($B$6,'Histórico'!$A:$A),FALSE))),"")</f>
        <v/>
      </c>
      <c r="AX188" s="243" t="str">
        <f t="shared" si="27"/>
        <v/>
      </c>
      <c r="AY188" s="183"/>
    </row>
    <row r="189" ht="15.75" customHeight="1">
      <c r="A189" s="176"/>
      <c r="B189" s="232">
        <v>45266.0</v>
      </c>
      <c r="C189" s="233"/>
      <c r="D189" s="233"/>
      <c r="E189" s="234"/>
      <c r="F189" s="233"/>
      <c r="G189" s="233"/>
      <c r="H189" s="234"/>
      <c r="I189" s="233"/>
      <c r="J189" s="233"/>
      <c r="K189" s="234"/>
      <c r="L189" s="233"/>
      <c r="M189" s="233"/>
      <c r="N189" s="240" t="str">
        <f t="shared" si="9"/>
        <v/>
      </c>
      <c r="O189" s="240" t="str">
        <f t="shared" si="10"/>
        <v/>
      </c>
      <c r="P189" s="240" t="str">
        <f t="shared" si="11"/>
        <v/>
      </c>
      <c r="Q189" s="240" t="str">
        <f t="shared" si="12"/>
        <v/>
      </c>
      <c r="R189" s="236" t="str">
        <f t="shared" si="13"/>
        <v/>
      </c>
      <c r="S189" s="177"/>
      <c r="T189" s="233" t="str">
        <f t="shared" ref="T189:U189" si="199">IF(AND(C189&lt;&gt;"",F189&lt;&gt;"",I189&lt;&gt;""), SUM(I189,F189,C189,L189),"")</f>
        <v/>
      </c>
      <c r="U189" s="233" t="str">
        <f t="shared" si="199"/>
        <v/>
      </c>
      <c r="V189" s="233" t="str">
        <f t="shared" si="6"/>
        <v/>
      </c>
      <c r="W189" s="241" t="str">
        <f t="shared" si="15"/>
        <v/>
      </c>
      <c r="X189" s="241" t="str">
        <f t="shared" si="16"/>
        <v/>
      </c>
      <c r="Y189" s="241" t="str">
        <f t="shared" si="25"/>
        <v/>
      </c>
      <c r="Z189" s="233" t="str">
        <f t="shared" si="7"/>
        <v/>
      </c>
      <c r="AA189" s="165"/>
      <c r="AB189" s="245"/>
      <c r="AC189" s="242" t="str">
        <f>IF(ISTEXT(AB189),VLOOKUP(AB189,'Cadastro dos Ativos'!$A$2:$C$1000,3,0),"")</f>
        <v/>
      </c>
      <c r="AD189" s="242" t="str">
        <f>IF(AB189 &lt;&gt; "",IF(AC189="Futuros", (SUMIFS('Alocação'!$O$3:$O$1002,'Alocação'!$C$3:$C$1002,AB189,'Alocação'!$F$3:$F$1002,AB$9,'Alocação'!$B$3:$B$1002,"&lt;="&amp;$B$4)), (SUMIFS('Alocação'!$O$3:$O$1002,'Alocação'!$C$3:$C$1002,AB189,'Alocação'!$F$3:$F$1002,AB$9,'Alocação'!$B$3:$B$1002,"&lt;="&amp;$B$6))),"")</f>
        <v/>
      </c>
      <c r="AE189" s="243" t="str">
        <f>iferror(IF(AC189="Ações Americanas", HLOOKUP(AB189,'Histórico'!$A$1:$DD$990,MATCH($B$6,'Histórico'!$A:$A),FALSE)*HLOOKUP("PTAX",'Histórico'!$A$1:$FG$983,MATCH($B$6,'Histórico'!$A:$A),FALSE),IF(AC189="Ações Europeias", HLOOKUP(AB189,'Histórico'!$A$1:$DD$990,MATCH($B$6,'Histórico'!$A:$A),FALSE)*HLOOKUP("EUR/BRL",'Histórico'!$A$1:$FG$983,MATCH($B$6,'Histórico'!$A:$A),FALSE), HLOOKUP(AB189,'Histórico'!$A$1:$DD$990,MATCH($B$6,'Histórico'!$A:$A),FALSE))),"")</f>
        <v/>
      </c>
      <c r="AF189" s="243" t="str">
        <f t="shared" si="21"/>
        <v/>
      </c>
      <c r="AG189" s="53"/>
      <c r="AH189" s="245"/>
      <c r="AI189" s="242" t="str">
        <f>IF(ISTEXT(AH189),VLOOKUP(AH189,'Cadastro dos Ativos'!$A$2:$C$1000,3,0),"")</f>
        <v/>
      </c>
      <c r="AJ189" s="242" t="str">
        <f>IF(AH189 &lt;&gt; "",IF(AI189="Futuros", (SUMIFS('Alocação'!$O$3:$O$1002,'Alocação'!$C$3:$C$1002,AH189,'Alocação'!$F$3:$F$1002,AH$9,'Alocação'!$B$3:$B$1002,"&lt;="&amp;$B$4)), (SUMIFS('Alocação'!$O$3:$O$1002,'Alocação'!$C$3:$C$1002,AH189,'Alocação'!$F$3:$F$1002,AH$9,'Alocação'!$B$3:$B$1002,"&lt;="&amp;$B$6))),"")</f>
        <v/>
      </c>
      <c r="AK189" s="243" t="str">
        <f>iferror(IF(AI189="Ações Americanas", HLOOKUP(AH189,'Histórico'!$A$1:$DD$990,MATCH($B$6,'Histórico'!$A:$A),FALSE)*HLOOKUP("PTAX",'Histórico'!$A$1:$FG$983,MATCH($B$6,'Histórico'!$A:$A),FALSE),IF(AI189="Ações Europeias", HLOOKUP(AH189,'Histórico'!$A$1:$DD$990,MATCH($B$6,'Histórico'!$A:$A),FALSE)*HLOOKUP("EUR/BRL",'Histórico'!$A$1:$FG$983,MATCH($B$6,'Histórico'!$A:$A),FALSE),  HLOOKUP(AH189,'Histórico'!$A$1:$DD$990,MATCH($B$6,'Histórico'!$A:$A),FALSE))),"")</f>
        <v/>
      </c>
      <c r="AL189" s="243" t="str">
        <f t="shared" si="17"/>
        <v/>
      </c>
      <c r="AM189" s="53"/>
      <c r="AN189" s="245"/>
      <c r="AO189" s="242" t="str">
        <f>IF(ISTEXT(AN189),VLOOKUP(AN189,'Cadastro dos Ativos'!$A$2:$C$1000,3,0),"")</f>
        <v/>
      </c>
      <c r="AP189" s="242" t="str">
        <f>IF(AN189 &lt;&gt; "",IF(AO189="Futuros", (SUMIFS('Alocação'!$O$3:$O$1002,'Alocação'!$C$3:$C$1002,AN189,'Alocação'!$F$3:$F$1002,AN$9,'Alocação'!$B$3:$B$1002,"&lt;="&amp;$B$4)), (SUMIFS('Alocação'!$O$3:$O$1002,'Alocação'!$C$3:$C$1002,AN189,'Alocação'!$F$3:$F$1002,AN$9,'Alocação'!$B$3:$B$1002,"&lt;="&amp;$B$6))),"")</f>
        <v/>
      </c>
      <c r="AQ189" s="243" t="str">
        <f>iferror(IF(AO189="Ações Americanas", HLOOKUP(AN189,'Histórico'!$A$1:$DD$990,MATCH($B$6,'Histórico'!$A:$A),FALSE)*HLOOKUP("PTAX",'Histórico'!$A$1:$FG$983,MATCH($B$6,'Histórico'!$A:$A),FALSE),IF(AO189="Ações Europeias", HLOOKUP(AN189,'Histórico'!$A$1:$DD$990,MATCH($B$6,'Histórico'!$A:$A),FALSE)*HLOOKUP("EUR/BRL",'Histórico'!$A$1:$FG$983,MATCH($B$6,'Histórico'!$A:$A),FALSE),  HLOOKUP(AN189,'Histórico'!$A$1:$DD$990,MATCH($B$6,'Histórico'!$A:$A),FALSE))),"")</f>
        <v/>
      </c>
      <c r="AR189" s="243" t="str">
        <f t="shared" si="18"/>
        <v/>
      </c>
      <c r="AS189" s="53"/>
      <c r="AT189" s="245"/>
      <c r="AU189" s="242" t="str">
        <f>IF(ISTEXT(AT189),VLOOKUP(AT189,'Cadastro dos Ativos'!$A$2:$C$1000,3,0),"")</f>
        <v/>
      </c>
      <c r="AV189" s="242" t="str">
        <f>IF(AT189 &lt;&gt; "",IF(AU189="Futuros", (SUMIFS('Alocação'!$O$3:$O$1002,'Alocação'!$C$3:$C$1002,AT189,'Alocação'!$F$3:$F$1002,AT$9,'Alocação'!$B$3:$B$1002,"&lt;="&amp;$B$4)), (SUMIFS('Alocação'!$O$3:$O$1002,'Alocação'!$C$3:$C$1002,AT189,'Alocação'!$F$3:$F$1002,AT$9,'Alocação'!$B$3:$B$1002,"&lt;="&amp;$B$6))),"")</f>
        <v/>
      </c>
      <c r="AW189" s="243" t="str">
        <f>iferror(IF(AU189="Ações Americanas", HLOOKUP(AT189,'Histórico'!$A$1:$DD$990,MATCH($B$6,'Histórico'!$A:$A),FALSE)*HLOOKUP("PTAX",'Histórico'!$A$1:$FG$983,MATCH($B$6,'Histórico'!$A:$A),FALSE),IF(AU189="Ações Europeias", HLOOKUP(AT189,'Histórico'!$A$1:$DD$990,MATCH($B$6,'Histórico'!$A:$A),FALSE)*HLOOKUP("EUR/BRL",'Histórico'!$A$1:$FG$983,MATCH($B$6,'Histórico'!$A:$A),FALSE),  HLOOKUP(AT189,'Histórico'!$A$1:$DD$990,MATCH($B$6,'Histórico'!$A:$A),FALSE))),"")</f>
        <v/>
      </c>
      <c r="AX189" s="243" t="str">
        <f t="shared" si="27"/>
        <v/>
      </c>
      <c r="AY189" s="183"/>
    </row>
    <row r="190" ht="15.75" customHeight="1">
      <c r="A190" s="176"/>
      <c r="B190" s="232">
        <v>45267.0</v>
      </c>
      <c r="C190" s="233"/>
      <c r="D190" s="233"/>
      <c r="E190" s="234"/>
      <c r="F190" s="233"/>
      <c r="G190" s="233"/>
      <c r="H190" s="234"/>
      <c r="I190" s="233"/>
      <c r="J190" s="233"/>
      <c r="K190" s="234"/>
      <c r="L190" s="233"/>
      <c r="M190" s="233"/>
      <c r="N190" s="240" t="str">
        <f t="shared" si="9"/>
        <v/>
      </c>
      <c r="O190" s="240" t="str">
        <f t="shared" si="10"/>
        <v/>
      </c>
      <c r="P190" s="240" t="str">
        <f t="shared" si="11"/>
        <v/>
      </c>
      <c r="Q190" s="240" t="str">
        <f t="shared" si="12"/>
        <v/>
      </c>
      <c r="R190" s="236" t="str">
        <f t="shared" si="13"/>
        <v/>
      </c>
      <c r="S190" s="177"/>
      <c r="T190" s="233" t="str">
        <f t="shared" ref="T190:U190" si="200">IF(AND(C190&lt;&gt;"",F190&lt;&gt;"",I190&lt;&gt;""), SUM(I190,F190,C190,L190),"")</f>
        <v/>
      </c>
      <c r="U190" s="233" t="str">
        <f t="shared" si="200"/>
        <v/>
      </c>
      <c r="V190" s="233" t="str">
        <f t="shared" si="6"/>
        <v/>
      </c>
      <c r="W190" s="241" t="str">
        <f t="shared" si="15"/>
        <v/>
      </c>
      <c r="X190" s="241" t="str">
        <f t="shared" si="16"/>
        <v/>
      </c>
      <c r="Y190" s="241" t="str">
        <f t="shared" si="25"/>
        <v/>
      </c>
      <c r="Z190" s="233" t="str">
        <f t="shared" si="7"/>
        <v/>
      </c>
      <c r="AA190" s="165"/>
      <c r="AB190" s="245"/>
      <c r="AC190" s="242" t="str">
        <f>IF(ISTEXT(AB190),VLOOKUP(AB190,'Cadastro dos Ativos'!$A$2:$C$1000,3,0),"")</f>
        <v/>
      </c>
      <c r="AD190" s="242" t="str">
        <f>IF(AB190 &lt;&gt; "",IF(AC190="Futuros", (SUMIFS('Alocação'!$O$3:$O$1002,'Alocação'!$C$3:$C$1002,AB190,'Alocação'!$F$3:$F$1002,AB$9,'Alocação'!$B$3:$B$1002,"&lt;="&amp;$B$4)), (SUMIFS('Alocação'!$O$3:$O$1002,'Alocação'!$C$3:$C$1002,AB190,'Alocação'!$F$3:$F$1002,AB$9,'Alocação'!$B$3:$B$1002,"&lt;="&amp;$B$6))),"")</f>
        <v/>
      </c>
      <c r="AE190" s="243" t="str">
        <f>iferror(IF(AC190="Ações Americanas", HLOOKUP(AB190,'Histórico'!$A$1:$DD$990,MATCH($B$6,'Histórico'!$A:$A),FALSE)*HLOOKUP("PTAX",'Histórico'!$A$1:$FG$983,MATCH($B$6,'Histórico'!$A:$A),FALSE),IF(AC190="Ações Europeias", HLOOKUP(AB190,'Histórico'!$A$1:$DD$990,MATCH($B$6,'Histórico'!$A:$A),FALSE)*HLOOKUP("EUR/BRL",'Histórico'!$A$1:$FG$983,MATCH($B$6,'Histórico'!$A:$A),FALSE), HLOOKUP(AB190,'Histórico'!$A$1:$DD$990,MATCH($B$6,'Histórico'!$A:$A),FALSE))),"")</f>
        <v/>
      </c>
      <c r="AF190" s="243" t="str">
        <f t="shared" si="21"/>
        <v/>
      </c>
      <c r="AG190" s="53"/>
      <c r="AH190" s="245"/>
      <c r="AI190" s="242" t="str">
        <f>IF(ISTEXT(AH190),VLOOKUP(AH190,'Cadastro dos Ativos'!$A$2:$C$1000,3,0),"")</f>
        <v/>
      </c>
      <c r="AJ190" s="242" t="str">
        <f>IF(AH190 &lt;&gt; "",IF(AI190="Futuros", (SUMIFS('Alocação'!$O$3:$O$1002,'Alocação'!$C$3:$C$1002,AH190,'Alocação'!$F$3:$F$1002,AH$9,'Alocação'!$B$3:$B$1002,"&lt;="&amp;$B$4)), (SUMIFS('Alocação'!$O$3:$O$1002,'Alocação'!$C$3:$C$1002,AH190,'Alocação'!$F$3:$F$1002,AH$9,'Alocação'!$B$3:$B$1002,"&lt;="&amp;$B$6))),"")</f>
        <v/>
      </c>
      <c r="AK190" s="243" t="str">
        <f>iferror(IF(AI190="Ações Americanas", HLOOKUP(AH190,'Histórico'!$A$1:$DD$990,MATCH($B$6,'Histórico'!$A:$A),FALSE)*HLOOKUP("PTAX",'Histórico'!$A$1:$FG$983,MATCH($B$6,'Histórico'!$A:$A),FALSE),IF(AI190="Ações Europeias", HLOOKUP(AH190,'Histórico'!$A$1:$DD$990,MATCH($B$6,'Histórico'!$A:$A),FALSE)*HLOOKUP("EUR/BRL",'Histórico'!$A$1:$FG$983,MATCH($B$6,'Histórico'!$A:$A),FALSE),  HLOOKUP(AH190,'Histórico'!$A$1:$DD$990,MATCH($B$6,'Histórico'!$A:$A),FALSE))),"")</f>
        <v/>
      </c>
      <c r="AL190" s="243" t="str">
        <f t="shared" si="17"/>
        <v/>
      </c>
      <c r="AM190" s="53"/>
      <c r="AN190" s="245"/>
      <c r="AO190" s="242" t="str">
        <f>IF(ISTEXT(AN190),VLOOKUP(AN190,'Cadastro dos Ativos'!$A$2:$C$1000,3,0),"")</f>
        <v/>
      </c>
      <c r="AP190" s="242" t="str">
        <f>IF(AN190 &lt;&gt; "",IF(AO190="Futuros", (SUMIFS('Alocação'!$O$3:$O$1002,'Alocação'!$C$3:$C$1002,AN190,'Alocação'!$F$3:$F$1002,AN$9,'Alocação'!$B$3:$B$1002,"&lt;="&amp;$B$4)), (SUMIFS('Alocação'!$O$3:$O$1002,'Alocação'!$C$3:$C$1002,AN190,'Alocação'!$F$3:$F$1002,AN$9,'Alocação'!$B$3:$B$1002,"&lt;="&amp;$B$6))),"")</f>
        <v/>
      </c>
      <c r="AQ190" s="243" t="str">
        <f>iferror(IF(AO190="Ações Americanas", HLOOKUP(AN190,'Histórico'!$A$1:$DD$990,MATCH($B$6,'Histórico'!$A:$A),FALSE)*HLOOKUP("PTAX",'Histórico'!$A$1:$FG$983,MATCH($B$6,'Histórico'!$A:$A),FALSE),IF(AO190="Ações Europeias", HLOOKUP(AN190,'Histórico'!$A$1:$DD$990,MATCH($B$6,'Histórico'!$A:$A),FALSE)*HLOOKUP("EUR/BRL",'Histórico'!$A$1:$FG$983,MATCH($B$6,'Histórico'!$A:$A),FALSE),  HLOOKUP(AN190,'Histórico'!$A$1:$DD$990,MATCH($B$6,'Histórico'!$A:$A),FALSE))),"")</f>
        <v/>
      </c>
      <c r="AR190" s="243" t="str">
        <f t="shared" si="18"/>
        <v/>
      </c>
      <c r="AS190" s="53"/>
      <c r="AT190" s="245"/>
      <c r="AU190" s="242" t="str">
        <f>IF(ISTEXT(AT190),VLOOKUP(AT190,'Cadastro dos Ativos'!$A$2:$C$1000,3,0),"")</f>
        <v/>
      </c>
      <c r="AV190" s="242" t="str">
        <f>IF(AT190 &lt;&gt; "",IF(AU190="Futuros", (SUMIFS('Alocação'!$O$3:$O$1002,'Alocação'!$C$3:$C$1002,AT190,'Alocação'!$F$3:$F$1002,AT$9,'Alocação'!$B$3:$B$1002,"&lt;="&amp;$B$4)), (SUMIFS('Alocação'!$O$3:$O$1002,'Alocação'!$C$3:$C$1002,AT190,'Alocação'!$F$3:$F$1002,AT$9,'Alocação'!$B$3:$B$1002,"&lt;="&amp;$B$6))),"")</f>
        <v/>
      </c>
      <c r="AW190" s="243" t="str">
        <f>iferror(IF(AU190="Ações Americanas", HLOOKUP(AT190,'Histórico'!$A$1:$DD$990,MATCH($B$6,'Histórico'!$A:$A),FALSE)*HLOOKUP("PTAX",'Histórico'!$A$1:$FG$983,MATCH($B$6,'Histórico'!$A:$A),FALSE),IF(AU190="Ações Europeias", HLOOKUP(AT190,'Histórico'!$A$1:$DD$990,MATCH($B$6,'Histórico'!$A:$A),FALSE)*HLOOKUP("EUR/BRL",'Histórico'!$A$1:$FG$983,MATCH($B$6,'Histórico'!$A:$A),FALSE),  HLOOKUP(AT190,'Histórico'!$A$1:$DD$990,MATCH($B$6,'Histórico'!$A:$A),FALSE))),"")</f>
        <v/>
      </c>
      <c r="AX190" s="243" t="str">
        <f t="shared" si="27"/>
        <v/>
      </c>
      <c r="AY190" s="183"/>
    </row>
    <row r="191" ht="15.75" customHeight="1">
      <c r="A191" s="176"/>
      <c r="B191" s="232">
        <v>45268.0</v>
      </c>
      <c r="C191" s="233"/>
      <c r="D191" s="233"/>
      <c r="E191" s="234"/>
      <c r="F191" s="233"/>
      <c r="G191" s="233"/>
      <c r="H191" s="234"/>
      <c r="I191" s="233"/>
      <c r="J191" s="233"/>
      <c r="K191" s="234"/>
      <c r="L191" s="233"/>
      <c r="M191" s="233"/>
      <c r="N191" s="240" t="str">
        <f t="shared" si="9"/>
        <v/>
      </c>
      <c r="O191" s="240" t="str">
        <f t="shared" si="10"/>
        <v/>
      </c>
      <c r="P191" s="240" t="str">
        <f t="shared" si="11"/>
        <v/>
      </c>
      <c r="Q191" s="240" t="str">
        <f t="shared" si="12"/>
        <v/>
      </c>
      <c r="R191" s="236" t="str">
        <f t="shared" si="13"/>
        <v/>
      </c>
      <c r="S191" s="177"/>
      <c r="T191" s="233" t="str">
        <f t="shared" ref="T191:U191" si="201">IF(AND(C191&lt;&gt;"",F191&lt;&gt;"",I191&lt;&gt;""), SUM(I191,F191,C191,L191),"")</f>
        <v/>
      </c>
      <c r="U191" s="233" t="str">
        <f t="shared" si="201"/>
        <v/>
      </c>
      <c r="V191" s="233" t="str">
        <f t="shared" si="6"/>
        <v/>
      </c>
      <c r="W191" s="241" t="str">
        <f t="shared" si="15"/>
        <v/>
      </c>
      <c r="X191" s="241" t="str">
        <f t="shared" si="16"/>
        <v/>
      </c>
      <c r="Y191" s="241" t="str">
        <f t="shared" si="25"/>
        <v/>
      </c>
      <c r="Z191" s="233" t="str">
        <f t="shared" si="7"/>
        <v/>
      </c>
      <c r="AA191" s="165"/>
      <c r="AB191" s="245"/>
      <c r="AC191" s="242" t="str">
        <f>IF(ISTEXT(AB191),VLOOKUP(AB191,'Cadastro dos Ativos'!$A$2:$C$1000,3,0),"")</f>
        <v/>
      </c>
      <c r="AD191" s="242" t="str">
        <f>IF(AB191 &lt;&gt; "",IF(AC191="Futuros", (SUMIFS('Alocação'!$O$3:$O$1002,'Alocação'!$C$3:$C$1002,AB191,'Alocação'!$F$3:$F$1002,AB$9,'Alocação'!$B$3:$B$1002,"&lt;="&amp;$B$4)), (SUMIFS('Alocação'!$O$3:$O$1002,'Alocação'!$C$3:$C$1002,AB191,'Alocação'!$F$3:$F$1002,AB$9,'Alocação'!$B$3:$B$1002,"&lt;="&amp;$B$6))),"")</f>
        <v/>
      </c>
      <c r="AE191" s="243" t="str">
        <f>iferror(IF(AC191="Ações Americanas", HLOOKUP(AB191,'Histórico'!$A$1:$DD$990,MATCH($B$6,'Histórico'!$A:$A),FALSE)*HLOOKUP("PTAX",'Histórico'!$A$1:$FG$983,MATCH($B$6,'Histórico'!$A:$A),FALSE),IF(AC191="Ações Europeias", HLOOKUP(AB191,'Histórico'!$A$1:$DD$990,MATCH($B$6,'Histórico'!$A:$A),FALSE)*HLOOKUP("EUR/BRL",'Histórico'!$A$1:$FG$983,MATCH($B$6,'Histórico'!$A:$A),FALSE), HLOOKUP(AB191,'Histórico'!$A$1:$DD$990,MATCH($B$6,'Histórico'!$A:$A),FALSE))),"")</f>
        <v/>
      </c>
      <c r="AF191" s="243" t="str">
        <f t="shared" si="21"/>
        <v/>
      </c>
      <c r="AG191" s="53"/>
      <c r="AH191" s="245"/>
      <c r="AI191" s="242" t="str">
        <f>IF(ISTEXT(AH191),VLOOKUP(AH191,'Cadastro dos Ativos'!$A$2:$C$1000,3,0),"")</f>
        <v/>
      </c>
      <c r="AJ191" s="242" t="str">
        <f>IF(AH191 &lt;&gt; "",IF(AI191="Futuros", (SUMIFS('Alocação'!$O$3:$O$1002,'Alocação'!$C$3:$C$1002,AH191,'Alocação'!$F$3:$F$1002,AH$9,'Alocação'!$B$3:$B$1002,"&lt;="&amp;$B$4)), (SUMIFS('Alocação'!$O$3:$O$1002,'Alocação'!$C$3:$C$1002,AH191,'Alocação'!$F$3:$F$1002,AH$9,'Alocação'!$B$3:$B$1002,"&lt;="&amp;$B$6))),"")</f>
        <v/>
      </c>
      <c r="AK191" s="243" t="str">
        <f>iferror(IF(AI191="Ações Americanas", HLOOKUP(AH191,'Histórico'!$A$1:$DD$990,MATCH($B$6,'Histórico'!$A:$A),FALSE)*HLOOKUP("PTAX",'Histórico'!$A$1:$FG$983,MATCH($B$6,'Histórico'!$A:$A),FALSE),IF(AI191="Ações Europeias", HLOOKUP(AH191,'Histórico'!$A$1:$DD$990,MATCH($B$6,'Histórico'!$A:$A),FALSE)*HLOOKUP("EUR/BRL",'Histórico'!$A$1:$FG$983,MATCH($B$6,'Histórico'!$A:$A),FALSE),  HLOOKUP(AH191,'Histórico'!$A$1:$DD$990,MATCH($B$6,'Histórico'!$A:$A),FALSE))),"")</f>
        <v/>
      </c>
      <c r="AL191" s="243" t="str">
        <f t="shared" si="17"/>
        <v/>
      </c>
      <c r="AM191" s="53"/>
      <c r="AN191" s="245"/>
      <c r="AO191" s="242" t="str">
        <f>IF(ISTEXT(AN191),VLOOKUP(AN191,'Cadastro dos Ativos'!$A$2:$C$1000,3,0),"")</f>
        <v/>
      </c>
      <c r="AP191" s="242" t="str">
        <f>IF(AN191 &lt;&gt; "",IF(AO191="Futuros", (SUMIFS('Alocação'!$O$3:$O$1002,'Alocação'!$C$3:$C$1002,AN191,'Alocação'!$F$3:$F$1002,AN$9,'Alocação'!$B$3:$B$1002,"&lt;="&amp;$B$4)), (SUMIFS('Alocação'!$O$3:$O$1002,'Alocação'!$C$3:$C$1002,AN191,'Alocação'!$F$3:$F$1002,AN$9,'Alocação'!$B$3:$B$1002,"&lt;="&amp;$B$6))),"")</f>
        <v/>
      </c>
      <c r="AQ191" s="243" t="str">
        <f>iferror(IF(AO191="Ações Americanas", HLOOKUP(AN191,'Histórico'!$A$1:$DD$990,MATCH($B$6,'Histórico'!$A:$A),FALSE)*HLOOKUP("PTAX",'Histórico'!$A$1:$FG$983,MATCH($B$6,'Histórico'!$A:$A),FALSE),IF(AO191="Ações Europeias", HLOOKUP(AN191,'Histórico'!$A$1:$DD$990,MATCH($B$6,'Histórico'!$A:$A),FALSE)*HLOOKUP("EUR/BRL",'Histórico'!$A$1:$FG$983,MATCH($B$6,'Histórico'!$A:$A),FALSE),  HLOOKUP(AN191,'Histórico'!$A$1:$DD$990,MATCH($B$6,'Histórico'!$A:$A),FALSE))),"")</f>
        <v/>
      </c>
      <c r="AR191" s="243" t="str">
        <f t="shared" si="18"/>
        <v/>
      </c>
      <c r="AS191" s="53"/>
      <c r="AT191" s="245"/>
      <c r="AU191" s="242" t="str">
        <f>IF(ISTEXT(AT191),VLOOKUP(AT191,'Cadastro dos Ativos'!$A$2:$C$1000,3,0),"")</f>
        <v/>
      </c>
      <c r="AV191" s="242" t="str">
        <f>IF(AT191 &lt;&gt; "",IF(AU191="Futuros", (SUMIFS('Alocação'!$O$3:$O$1002,'Alocação'!$C$3:$C$1002,AT191,'Alocação'!$F$3:$F$1002,AT$9,'Alocação'!$B$3:$B$1002,"&lt;="&amp;$B$4)), (SUMIFS('Alocação'!$O$3:$O$1002,'Alocação'!$C$3:$C$1002,AT191,'Alocação'!$F$3:$F$1002,AT$9,'Alocação'!$B$3:$B$1002,"&lt;="&amp;$B$6))),"")</f>
        <v/>
      </c>
      <c r="AW191" s="243" t="str">
        <f>iferror(IF(AU191="Ações Americanas", HLOOKUP(AT191,'Histórico'!$A$1:$DD$990,MATCH($B$6,'Histórico'!$A:$A),FALSE)*HLOOKUP("PTAX",'Histórico'!$A$1:$FG$983,MATCH($B$6,'Histórico'!$A:$A),FALSE),IF(AU191="Ações Europeias", HLOOKUP(AT191,'Histórico'!$A$1:$DD$990,MATCH($B$6,'Histórico'!$A:$A),FALSE)*HLOOKUP("EUR/BRL",'Histórico'!$A$1:$FG$983,MATCH($B$6,'Histórico'!$A:$A),FALSE),  HLOOKUP(AT191,'Histórico'!$A$1:$DD$990,MATCH($B$6,'Histórico'!$A:$A),FALSE))),"")</f>
        <v/>
      </c>
      <c r="AX191" s="243" t="str">
        <f t="shared" si="27"/>
        <v/>
      </c>
      <c r="AY191" s="183"/>
    </row>
    <row r="192" ht="15.75" customHeight="1">
      <c r="A192" s="176"/>
      <c r="B192" s="232">
        <v>45271.0</v>
      </c>
      <c r="C192" s="233"/>
      <c r="D192" s="233"/>
      <c r="E192" s="234"/>
      <c r="F192" s="233"/>
      <c r="G192" s="233"/>
      <c r="H192" s="234"/>
      <c r="I192" s="233"/>
      <c r="J192" s="233"/>
      <c r="K192" s="234"/>
      <c r="L192" s="233"/>
      <c r="M192" s="233"/>
      <c r="N192" s="240" t="str">
        <f t="shared" si="9"/>
        <v/>
      </c>
      <c r="O192" s="240" t="str">
        <f t="shared" si="10"/>
        <v/>
      </c>
      <c r="P192" s="240" t="str">
        <f t="shared" si="11"/>
        <v/>
      </c>
      <c r="Q192" s="240" t="str">
        <f t="shared" si="12"/>
        <v/>
      </c>
      <c r="R192" s="236" t="str">
        <f t="shared" si="13"/>
        <v/>
      </c>
      <c r="S192" s="177"/>
      <c r="T192" s="233" t="str">
        <f t="shared" ref="T192:U192" si="202">IF(AND(C192&lt;&gt;"",F192&lt;&gt;"",I192&lt;&gt;""), SUM(I192,F192,C192,L192),"")</f>
        <v/>
      </c>
      <c r="U192" s="233" t="str">
        <f t="shared" si="202"/>
        <v/>
      </c>
      <c r="V192" s="233" t="str">
        <f t="shared" si="6"/>
        <v/>
      </c>
      <c r="W192" s="241" t="str">
        <f t="shared" si="15"/>
        <v/>
      </c>
      <c r="X192" s="241" t="str">
        <f t="shared" si="16"/>
        <v/>
      </c>
      <c r="Y192" s="241" t="str">
        <f t="shared" si="25"/>
        <v/>
      </c>
      <c r="Z192" s="233" t="str">
        <f t="shared" si="7"/>
        <v/>
      </c>
      <c r="AA192" s="165"/>
      <c r="AB192" s="245"/>
      <c r="AC192" s="242" t="str">
        <f>IF(ISTEXT(AB192),VLOOKUP(AB192,'Cadastro dos Ativos'!$A$2:$C$1000,3,0),"")</f>
        <v/>
      </c>
      <c r="AD192" s="242" t="str">
        <f>IF(AB192 &lt;&gt; "",IF(AC192="Futuros", (SUMIFS('Alocação'!$O$3:$O$1002,'Alocação'!$C$3:$C$1002,AB192,'Alocação'!$F$3:$F$1002,AB$9,'Alocação'!$B$3:$B$1002,"&lt;="&amp;$B$4)), (SUMIFS('Alocação'!$O$3:$O$1002,'Alocação'!$C$3:$C$1002,AB192,'Alocação'!$F$3:$F$1002,AB$9,'Alocação'!$B$3:$B$1002,"&lt;="&amp;$B$6))),"")</f>
        <v/>
      </c>
      <c r="AE192" s="243" t="str">
        <f>iferror(IF(AC192="Ações Americanas", HLOOKUP(AB192,'Histórico'!$A$1:$DD$990,MATCH($B$6,'Histórico'!$A:$A),FALSE)*HLOOKUP("PTAX",'Histórico'!$A$1:$FG$983,MATCH($B$6,'Histórico'!$A:$A),FALSE),IF(AC192="Ações Europeias", HLOOKUP(AB192,'Histórico'!$A$1:$DD$990,MATCH($B$6,'Histórico'!$A:$A),FALSE)*HLOOKUP("EUR/BRL",'Histórico'!$A$1:$FG$983,MATCH($B$6,'Histórico'!$A:$A),FALSE), HLOOKUP(AB192,'Histórico'!$A$1:$DD$990,MATCH($B$6,'Histórico'!$A:$A),FALSE))),"")</f>
        <v/>
      </c>
      <c r="AF192" s="243" t="str">
        <f t="shared" si="21"/>
        <v/>
      </c>
      <c r="AG192" s="53"/>
      <c r="AH192" s="245"/>
      <c r="AI192" s="242" t="str">
        <f>IF(ISTEXT(AH192),VLOOKUP(AH192,'Cadastro dos Ativos'!$A$2:$C$1000,3,0),"")</f>
        <v/>
      </c>
      <c r="AJ192" s="242" t="str">
        <f>IF(AH192 &lt;&gt; "",IF(AI192="Futuros", (SUMIFS('Alocação'!$O$3:$O$1002,'Alocação'!$C$3:$C$1002,AH192,'Alocação'!$F$3:$F$1002,AH$9,'Alocação'!$B$3:$B$1002,"&lt;="&amp;$B$4)), (SUMIFS('Alocação'!$O$3:$O$1002,'Alocação'!$C$3:$C$1002,AH192,'Alocação'!$F$3:$F$1002,AH$9,'Alocação'!$B$3:$B$1002,"&lt;="&amp;$B$6))),"")</f>
        <v/>
      </c>
      <c r="AK192" s="243" t="str">
        <f>iferror(IF(AI192="Ações Americanas", HLOOKUP(AH192,'Histórico'!$A$1:$DD$990,MATCH($B$6,'Histórico'!$A:$A),FALSE)*HLOOKUP("PTAX",'Histórico'!$A$1:$FG$983,MATCH($B$6,'Histórico'!$A:$A),FALSE),IF(AI192="Ações Europeias", HLOOKUP(AH192,'Histórico'!$A$1:$DD$990,MATCH($B$6,'Histórico'!$A:$A),FALSE)*HLOOKUP("EUR/BRL",'Histórico'!$A$1:$FG$983,MATCH($B$6,'Histórico'!$A:$A),FALSE),  HLOOKUP(AH192,'Histórico'!$A$1:$DD$990,MATCH($B$6,'Histórico'!$A:$A),FALSE))),"")</f>
        <v/>
      </c>
      <c r="AL192" s="243" t="str">
        <f t="shared" si="17"/>
        <v/>
      </c>
      <c r="AM192" s="53"/>
      <c r="AN192" s="245"/>
      <c r="AO192" s="242" t="str">
        <f>IF(ISTEXT(AN192),VLOOKUP(AN192,'Cadastro dos Ativos'!$A$2:$C$1000,3,0),"")</f>
        <v/>
      </c>
      <c r="AP192" s="242" t="str">
        <f>IF(AN192 &lt;&gt; "",IF(AO192="Futuros", (SUMIFS('Alocação'!$O$3:$O$1002,'Alocação'!$C$3:$C$1002,AN192,'Alocação'!$F$3:$F$1002,AN$9,'Alocação'!$B$3:$B$1002,"&lt;="&amp;$B$4)), (SUMIFS('Alocação'!$O$3:$O$1002,'Alocação'!$C$3:$C$1002,AN192,'Alocação'!$F$3:$F$1002,AN$9,'Alocação'!$B$3:$B$1002,"&lt;="&amp;$B$6))),"")</f>
        <v/>
      </c>
      <c r="AQ192" s="243" t="str">
        <f>iferror(IF(AO192="Ações Americanas", HLOOKUP(AN192,'Histórico'!$A$1:$DD$990,MATCH($B$6,'Histórico'!$A:$A),FALSE)*HLOOKUP("PTAX",'Histórico'!$A$1:$FG$983,MATCH($B$6,'Histórico'!$A:$A),FALSE),IF(AO192="Ações Europeias", HLOOKUP(AN192,'Histórico'!$A$1:$DD$990,MATCH($B$6,'Histórico'!$A:$A),FALSE)*HLOOKUP("EUR/BRL",'Histórico'!$A$1:$FG$983,MATCH($B$6,'Histórico'!$A:$A),FALSE),  HLOOKUP(AN192,'Histórico'!$A$1:$DD$990,MATCH($B$6,'Histórico'!$A:$A),FALSE))),"")</f>
        <v/>
      </c>
      <c r="AR192" s="243" t="str">
        <f t="shared" si="18"/>
        <v/>
      </c>
      <c r="AS192" s="53"/>
      <c r="AT192" s="245"/>
      <c r="AU192" s="242" t="str">
        <f>IF(ISTEXT(AT192),VLOOKUP(AT192,'Cadastro dos Ativos'!$A$2:$C$1000,3,0),"")</f>
        <v/>
      </c>
      <c r="AV192" s="242" t="str">
        <f>IF(AT192 &lt;&gt; "",IF(AU192="Futuros", (SUMIFS('Alocação'!$O$3:$O$1002,'Alocação'!$C$3:$C$1002,AT192,'Alocação'!$F$3:$F$1002,AT$9,'Alocação'!$B$3:$B$1002,"&lt;="&amp;$B$4)), (SUMIFS('Alocação'!$O$3:$O$1002,'Alocação'!$C$3:$C$1002,AT192,'Alocação'!$F$3:$F$1002,AT$9,'Alocação'!$B$3:$B$1002,"&lt;="&amp;$B$6))),"")</f>
        <v/>
      </c>
      <c r="AW192" s="243" t="str">
        <f>iferror(IF(AU192="Ações Americanas", HLOOKUP(AT192,'Histórico'!$A$1:$DD$990,MATCH($B$6,'Histórico'!$A:$A),FALSE)*HLOOKUP("PTAX",'Histórico'!$A$1:$FG$983,MATCH($B$6,'Histórico'!$A:$A),FALSE),IF(AU192="Ações Europeias", HLOOKUP(AT192,'Histórico'!$A$1:$DD$990,MATCH($B$6,'Histórico'!$A:$A),FALSE)*HLOOKUP("EUR/BRL",'Histórico'!$A$1:$FG$983,MATCH($B$6,'Histórico'!$A:$A),FALSE),  HLOOKUP(AT192,'Histórico'!$A$1:$DD$990,MATCH($B$6,'Histórico'!$A:$A),FALSE))),"")</f>
        <v/>
      </c>
      <c r="AX192" s="243" t="str">
        <f t="shared" si="27"/>
        <v/>
      </c>
      <c r="AY192" s="183"/>
    </row>
    <row r="193" ht="15.75" customHeight="1">
      <c r="A193" s="176"/>
      <c r="B193" s="232">
        <v>45272.0</v>
      </c>
      <c r="C193" s="233"/>
      <c r="D193" s="233"/>
      <c r="E193" s="234"/>
      <c r="F193" s="233"/>
      <c r="G193" s="233"/>
      <c r="H193" s="234"/>
      <c r="I193" s="233"/>
      <c r="J193" s="233"/>
      <c r="K193" s="234"/>
      <c r="L193" s="233"/>
      <c r="M193" s="233"/>
      <c r="N193" s="240" t="str">
        <f t="shared" si="9"/>
        <v/>
      </c>
      <c r="O193" s="240" t="str">
        <f t="shared" si="10"/>
        <v/>
      </c>
      <c r="P193" s="240" t="str">
        <f t="shared" si="11"/>
        <v/>
      </c>
      <c r="Q193" s="240" t="str">
        <f t="shared" si="12"/>
        <v/>
      </c>
      <c r="R193" s="236" t="str">
        <f t="shared" si="13"/>
        <v/>
      </c>
      <c r="S193" s="177"/>
      <c r="T193" s="233" t="str">
        <f t="shared" ref="T193:U193" si="203">IF(AND(C193&lt;&gt;"",F193&lt;&gt;"",I193&lt;&gt;""), SUM(I193,F193,C193,L193),"")</f>
        <v/>
      </c>
      <c r="U193" s="233" t="str">
        <f t="shared" si="203"/>
        <v/>
      </c>
      <c r="V193" s="233" t="str">
        <f t="shared" si="6"/>
        <v/>
      </c>
      <c r="W193" s="241" t="str">
        <f t="shared" si="15"/>
        <v/>
      </c>
      <c r="X193" s="241" t="str">
        <f t="shared" si="16"/>
        <v/>
      </c>
      <c r="Y193" s="241" t="str">
        <f t="shared" si="25"/>
        <v/>
      </c>
      <c r="Z193" s="233" t="str">
        <f t="shared" si="7"/>
        <v/>
      </c>
      <c r="AA193" s="165"/>
      <c r="AB193" s="245"/>
      <c r="AC193" s="242" t="str">
        <f>IF(ISTEXT(AB193),VLOOKUP(AB193,'Cadastro dos Ativos'!$A$2:$C$1000,3,0),"")</f>
        <v/>
      </c>
      <c r="AD193" s="242" t="str">
        <f>IF(AB193 &lt;&gt; "",IF(AC193="Futuros", (SUMIFS('Alocação'!$O$3:$O$1002,'Alocação'!$C$3:$C$1002,AB193,'Alocação'!$F$3:$F$1002,AB$9,'Alocação'!$B$3:$B$1002,"&lt;="&amp;$B$4)), (SUMIFS('Alocação'!$O$3:$O$1002,'Alocação'!$C$3:$C$1002,AB193,'Alocação'!$F$3:$F$1002,AB$9,'Alocação'!$B$3:$B$1002,"&lt;="&amp;$B$6))),"")</f>
        <v/>
      </c>
      <c r="AE193" s="243" t="str">
        <f>iferror(IF(AC193="Ações Americanas", HLOOKUP(AB193,'Histórico'!$A$1:$DD$990,MATCH($B$6,'Histórico'!$A:$A),FALSE)*HLOOKUP("PTAX",'Histórico'!$A$1:$FG$983,MATCH($B$6,'Histórico'!$A:$A),FALSE),IF(AC193="Ações Europeias", HLOOKUP(AB193,'Histórico'!$A$1:$DD$990,MATCH($B$6,'Histórico'!$A:$A),FALSE)*HLOOKUP("EUR/BRL",'Histórico'!$A$1:$FG$983,MATCH($B$6,'Histórico'!$A:$A),FALSE), HLOOKUP(AB193,'Histórico'!$A$1:$DD$990,MATCH($B$6,'Histórico'!$A:$A),FALSE))),"")</f>
        <v/>
      </c>
      <c r="AF193" s="243" t="str">
        <f t="shared" si="21"/>
        <v/>
      </c>
      <c r="AG193" s="53"/>
      <c r="AH193" s="245"/>
      <c r="AI193" s="242" t="str">
        <f>IF(ISTEXT(AH193),VLOOKUP(AH193,'Cadastro dos Ativos'!$A$2:$C$1000,3,0),"")</f>
        <v/>
      </c>
      <c r="AJ193" s="242" t="str">
        <f>IF(AH193 &lt;&gt; "",IF(AI193="Futuros", (SUMIFS('Alocação'!$O$3:$O$1002,'Alocação'!$C$3:$C$1002,AH193,'Alocação'!$F$3:$F$1002,AH$9,'Alocação'!$B$3:$B$1002,"&lt;="&amp;$B$4)), (SUMIFS('Alocação'!$O$3:$O$1002,'Alocação'!$C$3:$C$1002,AH193,'Alocação'!$F$3:$F$1002,AH$9,'Alocação'!$B$3:$B$1002,"&lt;="&amp;$B$6))),"")</f>
        <v/>
      </c>
      <c r="AK193" s="243" t="str">
        <f>iferror(IF(AI193="Ações Americanas", HLOOKUP(AH193,'Histórico'!$A$1:$DD$990,MATCH($B$6,'Histórico'!$A:$A),FALSE)*HLOOKUP("PTAX",'Histórico'!$A$1:$FG$983,MATCH($B$6,'Histórico'!$A:$A),FALSE),IF(AI193="Ações Europeias", HLOOKUP(AH193,'Histórico'!$A$1:$DD$990,MATCH($B$6,'Histórico'!$A:$A),FALSE)*HLOOKUP("EUR/BRL",'Histórico'!$A$1:$FG$983,MATCH($B$6,'Histórico'!$A:$A),FALSE),  HLOOKUP(AH193,'Histórico'!$A$1:$DD$990,MATCH($B$6,'Histórico'!$A:$A),FALSE))),"")</f>
        <v/>
      </c>
      <c r="AL193" s="243" t="str">
        <f t="shared" si="17"/>
        <v/>
      </c>
      <c r="AM193" s="53"/>
      <c r="AN193" s="245"/>
      <c r="AO193" s="242" t="str">
        <f>IF(ISTEXT(AN193),VLOOKUP(AN193,'Cadastro dos Ativos'!$A$2:$C$1000,3,0),"")</f>
        <v/>
      </c>
      <c r="AP193" s="242" t="str">
        <f>IF(AN193 &lt;&gt; "",IF(AO193="Futuros", (SUMIFS('Alocação'!$O$3:$O$1002,'Alocação'!$C$3:$C$1002,AN193,'Alocação'!$F$3:$F$1002,AN$9,'Alocação'!$B$3:$B$1002,"&lt;="&amp;$B$4)), (SUMIFS('Alocação'!$O$3:$O$1002,'Alocação'!$C$3:$C$1002,AN193,'Alocação'!$F$3:$F$1002,AN$9,'Alocação'!$B$3:$B$1002,"&lt;="&amp;$B$6))),"")</f>
        <v/>
      </c>
      <c r="AQ193" s="243" t="str">
        <f>iferror(IF(AO193="Ações Americanas", HLOOKUP(AN193,'Histórico'!$A$1:$DD$990,MATCH($B$6,'Histórico'!$A:$A),FALSE)*HLOOKUP("PTAX",'Histórico'!$A$1:$FG$983,MATCH($B$6,'Histórico'!$A:$A),FALSE),IF(AO193="Ações Europeias", HLOOKUP(AN193,'Histórico'!$A$1:$DD$990,MATCH($B$6,'Histórico'!$A:$A),FALSE)*HLOOKUP("EUR/BRL",'Histórico'!$A$1:$FG$983,MATCH($B$6,'Histórico'!$A:$A),FALSE),  HLOOKUP(AN193,'Histórico'!$A$1:$DD$990,MATCH($B$6,'Histórico'!$A:$A),FALSE))),"")</f>
        <v/>
      </c>
      <c r="AR193" s="243" t="str">
        <f t="shared" si="18"/>
        <v/>
      </c>
      <c r="AS193" s="53"/>
      <c r="AT193" s="245"/>
      <c r="AU193" s="242" t="str">
        <f>IF(ISTEXT(AT193),VLOOKUP(AT193,'Cadastro dos Ativos'!$A$2:$C$1000,3,0),"")</f>
        <v/>
      </c>
      <c r="AV193" s="242" t="str">
        <f>IF(AT193 &lt;&gt; "",IF(AU193="Futuros", (SUMIFS('Alocação'!$O$3:$O$1002,'Alocação'!$C$3:$C$1002,AT193,'Alocação'!$F$3:$F$1002,AT$9,'Alocação'!$B$3:$B$1002,"&lt;="&amp;$B$4)), (SUMIFS('Alocação'!$O$3:$O$1002,'Alocação'!$C$3:$C$1002,AT193,'Alocação'!$F$3:$F$1002,AT$9,'Alocação'!$B$3:$B$1002,"&lt;="&amp;$B$6))),"")</f>
        <v/>
      </c>
      <c r="AW193" s="243" t="str">
        <f>iferror(IF(AU193="Ações Americanas", HLOOKUP(AT193,'Histórico'!$A$1:$DD$990,MATCH($B$6,'Histórico'!$A:$A),FALSE)*HLOOKUP("PTAX",'Histórico'!$A$1:$FG$983,MATCH($B$6,'Histórico'!$A:$A),FALSE),IF(AU193="Ações Europeias", HLOOKUP(AT193,'Histórico'!$A$1:$DD$990,MATCH($B$6,'Histórico'!$A:$A),FALSE)*HLOOKUP("EUR/BRL",'Histórico'!$A$1:$FG$983,MATCH($B$6,'Histórico'!$A:$A),FALSE),  HLOOKUP(AT193,'Histórico'!$A$1:$DD$990,MATCH($B$6,'Histórico'!$A:$A),FALSE))),"")</f>
        <v/>
      </c>
      <c r="AX193" s="243" t="str">
        <f t="shared" si="27"/>
        <v/>
      </c>
      <c r="AY193" s="183"/>
    </row>
    <row r="194" ht="15.75" customHeight="1">
      <c r="A194" s="176"/>
      <c r="B194" s="232">
        <v>45273.0</v>
      </c>
      <c r="C194" s="233"/>
      <c r="D194" s="233"/>
      <c r="E194" s="234"/>
      <c r="F194" s="233"/>
      <c r="G194" s="233"/>
      <c r="H194" s="234"/>
      <c r="I194" s="233"/>
      <c r="J194" s="233"/>
      <c r="K194" s="234"/>
      <c r="L194" s="233"/>
      <c r="M194" s="233"/>
      <c r="N194" s="240" t="str">
        <f t="shared" si="9"/>
        <v/>
      </c>
      <c r="O194" s="240" t="str">
        <f t="shared" si="10"/>
        <v/>
      </c>
      <c r="P194" s="240" t="str">
        <f t="shared" si="11"/>
        <v/>
      </c>
      <c r="Q194" s="240" t="str">
        <f t="shared" si="12"/>
        <v/>
      </c>
      <c r="R194" s="236" t="str">
        <f t="shared" si="13"/>
        <v/>
      </c>
      <c r="S194" s="177"/>
      <c r="T194" s="233" t="str">
        <f t="shared" ref="T194:U194" si="204">IF(AND(C194&lt;&gt;"",F194&lt;&gt;"",I194&lt;&gt;""), SUM(I194,F194,C194,L194),"")</f>
        <v/>
      </c>
      <c r="U194" s="233" t="str">
        <f t="shared" si="204"/>
        <v/>
      </c>
      <c r="V194" s="233" t="str">
        <f t="shared" si="6"/>
        <v/>
      </c>
      <c r="W194" s="241" t="str">
        <f t="shared" si="15"/>
        <v/>
      </c>
      <c r="X194" s="241" t="str">
        <f t="shared" si="16"/>
        <v/>
      </c>
      <c r="Y194" s="241" t="str">
        <f t="shared" si="25"/>
        <v/>
      </c>
      <c r="Z194" s="233" t="str">
        <f t="shared" si="7"/>
        <v/>
      </c>
      <c r="AA194" s="165"/>
      <c r="AB194" s="245"/>
      <c r="AC194" s="242" t="str">
        <f>IF(ISTEXT(AB194),VLOOKUP(AB194,'Cadastro dos Ativos'!$A$2:$C$1000,3,0),"")</f>
        <v/>
      </c>
      <c r="AD194" s="242" t="str">
        <f>IF(AB194 &lt;&gt; "",IF(AC194="Futuros", (SUMIFS('Alocação'!$O$3:$O$1002,'Alocação'!$C$3:$C$1002,AB194,'Alocação'!$F$3:$F$1002,AB$9,'Alocação'!$B$3:$B$1002,"&lt;="&amp;$B$4)), (SUMIFS('Alocação'!$O$3:$O$1002,'Alocação'!$C$3:$C$1002,AB194,'Alocação'!$F$3:$F$1002,AB$9,'Alocação'!$B$3:$B$1002,"&lt;="&amp;$B$6))),"")</f>
        <v/>
      </c>
      <c r="AE194" s="243" t="str">
        <f>iferror(IF(AC194="Ações Americanas", HLOOKUP(AB194,'Histórico'!$A$1:$DD$990,MATCH($B$6,'Histórico'!$A:$A),FALSE)*HLOOKUP("PTAX",'Histórico'!$A$1:$FG$983,MATCH($B$6,'Histórico'!$A:$A),FALSE),IF(AC194="Ações Europeias", HLOOKUP(AB194,'Histórico'!$A$1:$DD$990,MATCH($B$6,'Histórico'!$A:$A),FALSE)*HLOOKUP("EUR/BRL",'Histórico'!$A$1:$FG$983,MATCH($B$6,'Histórico'!$A:$A),FALSE), HLOOKUP(AB194,'Histórico'!$A$1:$DD$990,MATCH($B$6,'Histórico'!$A:$A),FALSE))),"")</f>
        <v/>
      </c>
      <c r="AF194" s="243" t="str">
        <f t="shared" si="21"/>
        <v/>
      </c>
      <c r="AG194" s="53"/>
      <c r="AH194" s="245"/>
      <c r="AI194" s="242" t="str">
        <f>IF(ISTEXT(AH194),VLOOKUP(AH194,'Cadastro dos Ativos'!$A$2:$C$1000,3,0),"")</f>
        <v/>
      </c>
      <c r="AJ194" s="242" t="str">
        <f>IF(AH194 &lt;&gt; "",IF(AI194="Futuros", (SUMIFS('Alocação'!$O$3:$O$1002,'Alocação'!$C$3:$C$1002,AH194,'Alocação'!$F$3:$F$1002,AH$9,'Alocação'!$B$3:$B$1002,"&lt;="&amp;$B$4)), (SUMIFS('Alocação'!$O$3:$O$1002,'Alocação'!$C$3:$C$1002,AH194,'Alocação'!$F$3:$F$1002,AH$9,'Alocação'!$B$3:$B$1002,"&lt;="&amp;$B$6))),"")</f>
        <v/>
      </c>
      <c r="AK194" s="243" t="str">
        <f>iferror(IF(AI194="Ações Americanas", HLOOKUP(AH194,'Histórico'!$A$1:$DD$990,MATCH($B$6,'Histórico'!$A:$A),FALSE)*HLOOKUP("PTAX",'Histórico'!$A$1:$FG$983,MATCH($B$6,'Histórico'!$A:$A),FALSE),IF(AI194="Ações Europeias", HLOOKUP(AH194,'Histórico'!$A$1:$DD$990,MATCH($B$6,'Histórico'!$A:$A),FALSE)*HLOOKUP("EUR/BRL",'Histórico'!$A$1:$FG$983,MATCH($B$6,'Histórico'!$A:$A),FALSE),  HLOOKUP(AH194,'Histórico'!$A$1:$DD$990,MATCH($B$6,'Histórico'!$A:$A),FALSE))),"")</f>
        <v/>
      </c>
      <c r="AL194" s="243" t="str">
        <f t="shared" si="17"/>
        <v/>
      </c>
      <c r="AM194" s="53"/>
      <c r="AN194" s="245"/>
      <c r="AO194" s="242" t="str">
        <f>IF(ISTEXT(AN194),VLOOKUP(AN194,'Cadastro dos Ativos'!$A$2:$C$1000,3,0),"")</f>
        <v/>
      </c>
      <c r="AP194" s="242" t="str">
        <f>IF(AN194 &lt;&gt; "",IF(AO194="Futuros", (SUMIFS('Alocação'!$O$3:$O$1002,'Alocação'!$C$3:$C$1002,AN194,'Alocação'!$F$3:$F$1002,AN$9,'Alocação'!$B$3:$B$1002,"&lt;="&amp;$B$4)), (SUMIFS('Alocação'!$O$3:$O$1002,'Alocação'!$C$3:$C$1002,AN194,'Alocação'!$F$3:$F$1002,AN$9,'Alocação'!$B$3:$B$1002,"&lt;="&amp;$B$6))),"")</f>
        <v/>
      </c>
      <c r="AQ194" s="243" t="str">
        <f>iferror(IF(AO194="Ações Americanas", HLOOKUP(AN194,'Histórico'!$A$1:$DD$990,MATCH($B$6,'Histórico'!$A:$A),FALSE)*HLOOKUP("PTAX",'Histórico'!$A$1:$FG$983,MATCH($B$6,'Histórico'!$A:$A),FALSE),IF(AO194="Ações Europeias", HLOOKUP(AN194,'Histórico'!$A$1:$DD$990,MATCH($B$6,'Histórico'!$A:$A),FALSE)*HLOOKUP("EUR/BRL",'Histórico'!$A$1:$FG$983,MATCH($B$6,'Histórico'!$A:$A),FALSE),  HLOOKUP(AN194,'Histórico'!$A$1:$DD$990,MATCH($B$6,'Histórico'!$A:$A),FALSE))),"")</f>
        <v/>
      </c>
      <c r="AR194" s="243" t="str">
        <f t="shared" si="18"/>
        <v/>
      </c>
      <c r="AS194" s="53"/>
      <c r="AT194" s="245"/>
      <c r="AU194" s="242" t="str">
        <f>IF(ISTEXT(AT194),VLOOKUP(AT194,'Cadastro dos Ativos'!$A$2:$C$1000,3,0),"")</f>
        <v/>
      </c>
      <c r="AV194" s="242" t="str">
        <f>IF(AT194 &lt;&gt; "",IF(AU194="Futuros", (SUMIFS('Alocação'!$O$3:$O$1002,'Alocação'!$C$3:$C$1002,AT194,'Alocação'!$F$3:$F$1002,AT$9,'Alocação'!$B$3:$B$1002,"&lt;="&amp;$B$4)), (SUMIFS('Alocação'!$O$3:$O$1002,'Alocação'!$C$3:$C$1002,AT194,'Alocação'!$F$3:$F$1002,AT$9,'Alocação'!$B$3:$B$1002,"&lt;="&amp;$B$6))),"")</f>
        <v/>
      </c>
      <c r="AW194" s="243" t="str">
        <f>iferror(IF(AU194="Ações Americanas", HLOOKUP(AT194,'Histórico'!$A$1:$DD$990,MATCH($B$6,'Histórico'!$A:$A),FALSE)*HLOOKUP("PTAX",'Histórico'!$A$1:$FG$983,MATCH($B$6,'Histórico'!$A:$A),FALSE),IF(AU194="Ações Europeias", HLOOKUP(AT194,'Histórico'!$A$1:$DD$990,MATCH($B$6,'Histórico'!$A:$A),FALSE)*HLOOKUP("EUR/BRL",'Histórico'!$A$1:$FG$983,MATCH($B$6,'Histórico'!$A:$A),FALSE),  HLOOKUP(AT194,'Histórico'!$A$1:$DD$990,MATCH($B$6,'Histórico'!$A:$A),FALSE))),"")</f>
        <v/>
      </c>
      <c r="AX194" s="243" t="str">
        <f t="shared" si="27"/>
        <v/>
      </c>
      <c r="AY194" s="183"/>
    </row>
    <row r="195" ht="15.75" customHeight="1">
      <c r="A195" s="176"/>
      <c r="B195" s="232">
        <v>45274.0</v>
      </c>
      <c r="C195" s="233"/>
      <c r="D195" s="233"/>
      <c r="E195" s="234"/>
      <c r="F195" s="233"/>
      <c r="G195" s="233"/>
      <c r="H195" s="234"/>
      <c r="I195" s="233"/>
      <c r="J195" s="233"/>
      <c r="K195" s="234"/>
      <c r="L195" s="233"/>
      <c r="M195" s="233"/>
      <c r="N195" s="240" t="str">
        <f t="shared" si="9"/>
        <v/>
      </c>
      <c r="O195" s="240" t="str">
        <f t="shared" si="10"/>
        <v/>
      </c>
      <c r="P195" s="240" t="str">
        <f t="shared" si="11"/>
        <v/>
      </c>
      <c r="Q195" s="240" t="str">
        <f t="shared" si="12"/>
        <v/>
      </c>
      <c r="R195" s="236" t="str">
        <f t="shared" si="13"/>
        <v/>
      </c>
      <c r="S195" s="177"/>
      <c r="T195" s="233" t="str">
        <f t="shared" ref="T195:U195" si="205">IF(AND(C195&lt;&gt;"",F195&lt;&gt;"",I195&lt;&gt;""), SUM(I195,F195,C195,L195),"")</f>
        <v/>
      </c>
      <c r="U195" s="233" t="str">
        <f t="shared" si="205"/>
        <v/>
      </c>
      <c r="V195" s="233" t="str">
        <f t="shared" si="6"/>
        <v/>
      </c>
      <c r="W195" s="241" t="str">
        <f t="shared" si="15"/>
        <v/>
      </c>
      <c r="X195" s="241" t="str">
        <f t="shared" si="16"/>
        <v/>
      </c>
      <c r="Y195" s="241" t="str">
        <f t="shared" si="25"/>
        <v/>
      </c>
      <c r="Z195" s="233" t="str">
        <f t="shared" si="7"/>
        <v/>
      </c>
      <c r="AA195" s="165"/>
      <c r="AB195" s="245"/>
      <c r="AC195" s="242" t="str">
        <f>IF(ISTEXT(AB195),VLOOKUP(AB195,'Cadastro dos Ativos'!$A$2:$C$1000,3,0),"")</f>
        <v/>
      </c>
      <c r="AD195" s="242" t="str">
        <f>IF(AB195 &lt;&gt; "",IF(AC195="Futuros", (SUMIFS('Alocação'!$O$3:$O$1002,'Alocação'!$C$3:$C$1002,AB195,'Alocação'!$F$3:$F$1002,AB$9,'Alocação'!$B$3:$B$1002,"&lt;="&amp;$B$4)), (SUMIFS('Alocação'!$O$3:$O$1002,'Alocação'!$C$3:$C$1002,AB195,'Alocação'!$F$3:$F$1002,AB$9,'Alocação'!$B$3:$B$1002,"&lt;="&amp;$B$6))),"")</f>
        <v/>
      </c>
      <c r="AE195" s="243" t="str">
        <f>iferror(IF(AC195="Ações Americanas", HLOOKUP(AB195,'Histórico'!$A$1:$DD$990,MATCH($B$6,'Histórico'!$A:$A),FALSE)*HLOOKUP("PTAX",'Histórico'!$A$1:$FG$983,MATCH($B$6,'Histórico'!$A:$A),FALSE),IF(AC195="Ações Europeias", HLOOKUP(AB195,'Histórico'!$A$1:$DD$990,MATCH($B$6,'Histórico'!$A:$A),FALSE)*HLOOKUP("EUR/BRL",'Histórico'!$A$1:$FG$983,MATCH($B$6,'Histórico'!$A:$A),FALSE), HLOOKUP(AB195,'Histórico'!$A$1:$DD$990,MATCH($B$6,'Histórico'!$A:$A),FALSE))),"")</f>
        <v/>
      </c>
      <c r="AF195" s="243" t="str">
        <f t="shared" si="21"/>
        <v/>
      </c>
      <c r="AG195" s="53"/>
      <c r="AH195" s="245"/>
      <c r="AI195" s="242" t="str">
        <f>IF(ISTEXT(AH195),VLOOKUP(AH195,'Cadastro dos Ativos'!$A$2:$C$1000,3,0),"")</f>
        <v/>
      </c>
      <c r="AJ195" s="242" t="str">
        <f>IF(AH195 &lt;&gt; "",IF(AI195="Futuros", (SUMIFS('Alocação'!$O$3:$O$1002,'Alocação'!$C$3:$C$1002,AH195,'Alocação'!$F$3:$F$1002,AH$9,'Alocação'!$B$3:$B$1002,"&lt;="&amp;$B$4)), (SUMIFS('Alocação'!$O$3:$O$1002,'Alocação'!$C$3:$C$1002,AH195,'Alocação'!$F$3:$F$1002,AH$9,'Alocação'!$B$3:$B$1002,"&lt;="&amp;$B$6))),"")</f>
        <v/>
      </c>
      <c r="AK195" s="243" t="str">
        <f>iferror(IF(AI195="Ações Americanas", HLOOKUP(AH195,'Histórico'!$A$1:$DD$990,MATCH($B$6,'Histórico'!$A:$A),FALSE)*HLOOKUP("PTAX",'Histórico'!$A$1:$FG$983,MATCH($B$6,'Histórico'!$A:$A),FALSE),IF(AI195="Ações Europeias", HLOOKUP(AH195,'Histórico'!$A$1:$DD$990,MATCH($B$6,'Histórico'!$A:$A),FALSE)*HLOOKUP("EUR/BRL",'Histórico'!$A$1:$FG$983,MATCH($B$6,'Histórico'!$A:$A),FALSE),  HLOOKUP(AH195,'Histórico'!$A$1:$DD$990,MATCH($B$6,'Histórico'!$A:$A),FALSE))),"")</f>
        <v/>
      </c>
      <c r="AL195" s="243" t="str">
        <f t="shared" si="17"/>
        <v/>
      </c>
      <c r="AM195" s="53"/>
      <c r="AN195" s="245"/>
      <c r="AO195" s="242" t="str">
        <f>IF(ISTEXT(AN195),VLOOKUP(AN195,'Cadastro dos Ativos'!$A$2:$C$1000,3,0),"")</f>
        <v/>
      </c>
      <c r="AP195" s="242" t="str">
        <f>IF(AN195 &lt;&gt; "",IF(AO195="Futuros", (SUMIFS('Alocação'!$O$3:$O$1002,'Alocação'!$C$3:$C$1002,AN195,'Alocação'!$F$3:$F$1002,AN$9,'Alocação'!$B$3:$B$1002,"&lt;="&amp;$B$4)), (SUMIFS('Alocação'!$O$3:$O$1002,'Alocação'!$C$3:$C$1002,AN195,'Alocação'!$F$3:$F$1002,AN$9,'Alocação'!$B$3:$B$1002,"&lt;="&amp;$B$6))),"")</f>
        <v/>
      </c>
      <c r="AQ195" s="243" t="str">
        <f>iferror(IF(AO195="Ações Americanas", HLOOKUP(AN195,'Histórico'!$A$1:$DD$990,MATCH($B$6,'Histórico'!$A:$A),FALSE)*HLOOKUP("PTAX",'Histórico'!$A$1:$FG$983,MATCH($B$6,'Histórico'!$A:$A),FALSE),IF(AO195="Ações Europeias", HLOOKUP(AN195,'Histórico'!$A$1:$DD$990,MATCH($B$6,'Histórico'!$A:$A),FALSE)*HLOOKUP("EUR/BRL",'Histórico'!$A$1:$FG$983,MATCH($B$6,'Histórico'!$A:$A),FALSE),  HLOOKUP(AN195,'Histórico'!$A$1:$DD$990,MATCH($B$6,'Histórico'!$A:$A),FALSE))),"")</f>
        <v/>
      </c>
      <c r="AR195" s="243" t="str">
        <f t="shared" si="18"/>
        <v/>
      </c>
      <c r="AS195" s="53"/>
      <c r="AT195" s="245"/>
      <c r="AU195" s="242" t="str">
        <f>IF(ISTEXT(AT195),VLOOKUP(AT195,'Cadastro dos Ativos'!$A$2:$C$1000,3,0),"")</f>
        <v/>
      </c>
      <c r="AV195" s="242" t="str">
        <f>IF(AT195 &lt;&gt; "",IF(AU195="Futuros", (SUMIFS('Alocação'!$O$3:$O$1002,'Alocação'!$C$3:$C$1002,AT195,'Alocação'!$F$3:$F$1002,AT$9,'Alocação'!$B$3:$B$1002,"&lt;="&amp;$B$4)), (SUMIFS('Alocação'!$O$3:$O$1002,'Alocação'!$C$3:$C$1002,AT195,'Alocação'!$F$3:$F$1002,AT$9,'Alocação'!$B$3:$B$1002,"&lt;="&amp;$B$6))),"")</f>
        <v/>
      </c>
      <c r="AW195" s="243" t="str">
        <f>iferror(IF(AU195="Ações Americanas", HLOOKUP(AT195,'Histórico'!$A$1:$DD$990,MATCH($B$6,'Histórico'!$A:$A),FALSE)*HLOOKUP("PTAX",'Histórico'!$A$1:$FG$983,MATCH($B$6,'Histórico'!$A:$A),FALSE),IF(AU195="Ações Europeias", HLOOKUP(AT195,'Histórico'!$A$1:$DD$990,MATCH($B$6,'Histórico'!$A:$A),FALSE)*HLOOKUP("EUR/BRL",'Histórico'!$A$1:$FG$983,MATCH($B$6,'Histórico'!$A:$A),FALSE),  HLOOKUP(AT195,'Histórico'!$A$1:$DD$990,MATCH($B$6,'Histórico'!$A:$A),FALSE))),"")</f>
        <v/>
      </c>
      <c r="AX195" s="243" t="str">
        <f t="shared" si="27"/>
        <v/>
      </c>
      <c r="AY195" s="183"/>
    </row>
    <row r="196" ht="15.75" customHeight="1">
      <c r="A196" s="176"/>
      <c r="B196" s="232">
        <v>45275.0</v>
      </c>
      <c r="C196" s="233"/>
      <c r="D196" s="233"/>
      <c r="E196" s="234"/>
      <c r="F196" s="233"/>
      <c r="G196" s="233"/>
      <c r="H196" s="234"/>
      <c r="I196" s="233"/>
      <c r="J196" s="233"/>
      <c r="K196" s="234"/>
      <c r="L196" s="233"/>
      <c r="M196" s="233"/>
      <c r="N196" s="240" t="str">
        <f t="shared" si="9"/>
        <v/>
      </c>
      <c r="O196" s="240" t="str">
        <f t="shared" si="10"/>
        <v/>
      </c>
      <c r="P196" s="240" t="str">
        <f t="shared" si="11"/>
        <v/>
      </c>
      <c r="Q196" s="240" t="str">
        <f t="shared" si="12"/>
        <v/>
      </c>
      <c r="R196" s="236" t="str">
        <f t="shared" si="13"/>
        <v/>
      </c>
      <c r="S196" s="177"/>
      <c r="T196" s="233" t="str">
        <f t="shared" ref="T196:U196" si="206">IF(AND(C196&lt;&gt;"",F196&lt;&gt;"",I196&lt;&gt;""), SUM(I196,F196,C196,L196),"")</f>
        <v/>
      </c>
      <c r="U196" s="233" t="str">
        <f t="shared" si="206"/>
        <v/>
      </c>
      <c r="V196" s="233" t="str">
        <f t="shared" si="6"/>
        <v/>
      </c>
      <c r="W196" s="241" t="str">
        <f t="shared" si="15"/>
        <v/>
      </c>
      <c r="X196" s="241" t="str">
        <f t="shared" si="16"/>
        <v/>
      </c>
      <c r="Y196" s="241" t="str">
        <f t="shared" si="25"/>
        <v/>
      </c>
      <c r="Z196" s="233" t="str">
        <f t="shared" si="7"/>
        <v/>
      </c>
      <c r="AA196" s="165"/>
      <c r="AB196" s="245"/>
      <c r="AC196" s="242" t="str">
        <f>IF(ISTEXT(AB196),VLOOKUP(AB196,'Cadastro dos Ativos'!$A$2:$C$1000,3,0),"")</f>
        <v/>
      </c>
      <c r="AD196" s="242" t="str">
        <f>IF(AB196 &lt;&gt; "",IF(AC196="Futuros", (SUMIFS('Alocação'!$O$3:$O$1002,'Alocação'!$C$3:$C$1002,AB196,'Alocação'!$F$3:$F$1002,AB$9,'Alocação'!$B$3:$B$1002,"&lt;="&amp;$B$4)), (SUMIFS('Alocação'!$O$3:$O$1002,'Alocação'!$C$3:$C$1002,AB196,'Alocação'!$F$3:$F$1002,AB$9,'Alocação'!$B$3:$B$1002,"&lt;="&amp;$B$6))),"")</f>
        <v/>
      </c>
      <c r="AE196" s="243" t="str">
        <f>iferror(IF(AC196="Ações Americanas", HLOOKUP(AB196,'Histórico'!$A$1:$DD$990,MATCH($B$6,'Histórico'!$A:$A),FALSE)*HLOOKUP("PTAX",'Histórico'!$A$1:$FG$983,MATCH($B$6,'Histórico'!$A:$A),FALSE),IF(AC196="Ações Europeias", HLOOKUP(AB196,'Histórico'!$A$1:$DD$990,MATCH($B$6,'Histórico'!$A:$A),FALSE)*HLOOKUP("EUR/BRL",'Histórico'!$A$1:$FG$983,MATCH($B$6,'Histórico'!$A:$A),FALSE), HLOOKUP(AB196,'Histórico'!$A$1:$DD$990,MATCH($B$6,'Histórico'!$A:$A),FALSE))),"")</f>
        <v/>
      </c>
      <c r="AF196" s="243" t="str">
        <f t="shared" si="21"/>
        <v/>
      </c>
      <c r="AG196" s="53"/>
      <c r="AH196" s="245"/>
      <c r="AI196" s="242" t="str">
        <f>IF(ISTEXT(AH196),VLOOKUP(AH196,'Cadastro dos Ativos'!$A$2:$C$1000,3,0),"")</f>
        <v/>
      </c>
      <c r="AJ196" s="242" t="str">
        <f>IF(AH196 &lt;&gt; "",IF(AI196="Futuros", (SUMIFS('Alocação'!$O$3:$O$1002,'Alocação'!$C$3:$C$1002,AH196,'Alocação'!$F$3:$F$1002,AH$9,'Alocação'!$B$3:$B$1002,"&lt;="&amp;$B$4)), (SUMIFS('Alocação'!$O$3:$O$1002,'Alocação'!$C$3:$C$1002,AH196,'Alocação'!$F$3:$F$1002,AH$9,'Alocação'!$B$3:$B$1002,"&lt;="&amp;$B$6))),"")</f>
        <v/>
      </c>
      <c r="AK196" s="243" t="str">
        <f>iferror(IF(AI196="Ações Americanas", HLOOKUP(AH196,'Histórico'!$A$1:$DD$990,MATCH($B$6,'Histórico'!$A:$A),FALSE)*HLOOKUP("PTAX",'Histórico'!$A$1:$FG$983,MATCH($B$6,'Histórico'!$A:$A),FALSE),IF(AI196="Ações Europeias", HLOOKUP(AH196,'Histórico'!$A$1:$DD$990,MATCH($B$6,'Histórico'!$A:$A),FALSE)*HLOOKUP("EUR/BRL",'Histórico'!$A$1:$FG$983,MATCH($B$6,'Histórico'!$A:$A),FALSE),  HLOOKUP(AH196,'Histórico'!$A$1:$DD$990,MATCH($B$6,'Histórico'!$A:$A),FALSE))),"")</f>
        <v/>
      </c>
      <c r="AL196" s="243" t="str">
        <f t="shared" si="17"/>
        <v/>
      </c>
      <c r="AM196" s="53"/>
      <c r="AN196" s="245"/>
      <c r="AO196" s="242" t="str">
        <f>IF(ISTEXT(AN196),VLOOKUP(AN196,'Cadastro dos Ativos'!$A$2:$C$1000,3,0),"")</f>
        <v/>
      </c>
      <c r="AP196" s="242" t="str">
        <f>IF(AN196 &lt;&gt; "",IF(AO196="Futuros", (SUMIFS('Alocação'!$O$3:$O$1002,'Alocação'!$C$3:$C$1002,AN196,'Alocação'!$F$3:$F$1002,AN$9,'Alocação'!$B$3:$B$1002,"&lt;="&amp;$B$4)), (SUMIFS('Alocação'!$O$3:$O$1002,'Alocação'!$C$3:$C$1002,AN196,'Alocação'!$F$3:$F$1002,AN$9,'Alocação'!$B$3:$B$1002,"&lt;="&amp;$B$6))),"")</f>
        <v/>
      </c>
      <c r="AQ196" s="243" t="str">
        <f>iferror(IF(AO196="Ações Americanas", HLOOKUP(AN196,'Histórico'!$A$1:$DD$990,MATCH($B$6,'Histórico'!$A:$A),FALSE)*HLOOKUP("PTAX",'Histórico'!$A$1:$FG$983,MATCH($B$6,'Histórico'!$A:$A),FALSE),IF(AO196="Ações Europeias", HLOOKUP(AN196,'Histórico'!$A$1:$DD$990,MATCH($B$6,'Histórico'!$A:$A),FALSE)*HLOOKUP("EUR/BRL",'Histórico'!$A$1:$FG$983,MATCH($B$6,'Histórico'!$A:$A),FALSE),  HLOOKUP(AN196,'Histórico'!$A$1:$DD$990,MATCH($B$6,'Histórico'!$A:$A),FALSE))),"")</f>
        <v/>
      </c>
      <c r="AR196" s="243" t="str">
        <f t="shared" si="18"/>
        <v/>
      </c>
      <c r="AS196" s="53"/>
      <c r="AT196" s="245"/>
      <c r="AU196" s="242" t="str">
        <f>IF(ISTEXT(AT196),VLOOKUP(AT196,'Cadastro dos Ativos'!$A$2:$C$1000,3,0),"")</f>
        <v/>
      </c>
      <c r="AV196" s="242" t="str">
        <f>IF(AT196 &lt;&gt; "",IF(AU196="Futuros", (SUMIFS('Alocação'!$O$3:$O$1002,'Alocação'!$C$3:$C$1002,AT196,'Alocação'!$F$3:$F$1002,AT$9,'Alocação'!$B$3:$B$1002,"&lt;="&amp;$B$4)), (SUMIFS('Alocação'!$O$3:$O$1002,'Alocação'!$C$3:$C$1002,AT196,'Alocação'!$F$3:$F$1002,AT$9,'Alocação'!$B$3:$B$1002,"&lt;="&amp;$B$6))),"")</f>
        <v/>
      </c>
      <c r="AW196" s="243" t="str">
        <f>iferror(IF(AU196="Ações Americanas", HLOOKUP(AT196,'Histórico'!$A$1:$DD$990,MATCH($B$6,'Histórico'!$A:$A),FALSE)*HLOOKUP("PTAX",'Histórico'!$A$1:$FG$983,MATCH($B$6,'Histórico'!$A:$A),FALSE),IF(AU196="Ações Europeias", HLOOKUP(AT196,'Histórico'!$A$1:$DD$990,MATCH($B$6,'Histórico'!$A:$A),FALSE)*HLOOKUP("EUR/BRL",'Histórico'!$A$1:$FG$983,MATCH($B$6,'Histórico'!$A:$A),FALSE),  HLOOKUP(AT196,'Histórico'!$A$1:$DD$990,MATCH($B$6,'Histórico'!$A:$A),FALSE))),"")</f>
        <v/>
      </c>
      <c r="AX196" s="243" t="str">
        <f t="shared" si="27"/>
        <v/>
      </c>
      <c r="AY196" s="183"/>
    </row>
    <row r="197" ht="15.75" customHeight="1">
      <c r="A197" s="176"/>
      <c r="B197" s="232">
        <v>45278.0</v>
      </c>
      <c r="C197" s="233"/>
      <c r="D197" s="233"/>
      <c r="E197" s="234"/>
      <c r="F197" s="233"/>
      <c r="G197" s="233"/>
      <c r="H197" s="234"/>
      <c r="I197" s="233"/>
      <c r="J197" s="233"/>
      <c r="K197" s="234"/>
      <c r="L197" s="233"/>
      <c r="M197" s="233"/>
      <c r="N197" s="240" t="str">
        <f t="shared" si="9"/>
        <v/>
      </c>
      <c r="O197" s="240" t="str">
        <f t="shared" si="10"/>
        <v/>
      </c>
      <c r="P197" s="240" t="str">
        <f t="shared" si="11"/>
        <v/>
      </c>
      <c r="Q197" s="240" t="str">
        <f t="shared" si="12"/>
        <v/>
      </c>
      <c r="R197" s="236" t="str">
        <f t="shared" si="13"/>
        <v/>
      </c>
      <c r="S197" s="177"/>
      <c r="T197" s="233" t="str">
        <f t="shared" ref="T197:U197" si="207">IF(AND(C197&lt;&gt;"",F197&lt;&gt;"",I197&lt;&gt;""), SUM(I197,F197,C197,L197),"")</f>
        <v/>
      </c>
      <c r="U197" s="233" t="str">
        <f t="shared" si="207"/>
        <v/>
      </c>
      <c r="V197" s="233" t="str">
        <f t="shared" si="6"/>
        <v/>
      </c>
      <c r="W197" s="241" t="str">
        <f t="shared" si="15"/>
        <v/>
      </c>
      <c r="X197" s="241" t="str">
        <f t="shared" si="16"/>
        <v/>
      </c>
      <c r="Y197" s="241" t="str">
        <f t="shared" si="25"/>
        <v/>
      </c>
      <c r="Z197" s="233" t="str">
        <f t="shared" si="7"/>
        <v/>
      </c>
      <c r="AA197" s="165"/>
      <c r="AB197" s="245"/>
      <c r="AC197" s="242" t="str">
        <f>IF(ISTEXT(AB197),VLOOKUP(AB197,'Cadastro dos Ativos'!$A$2:$C$1000,3,0),"")</f>
        <v/>
      </c>
      <c r="AD197" s="242" t="str">
        <f>IF(AB197 &lt;&gt; "",IF(AC197="Futuros", (SUMIFS('Alocação'!$O$3:$O$1002,'Alocação'!$C$3:$C$1002,AB197,'Alocação'!$F$3:$F$1002,AB$9,'Alocação'!$B$3:$B$1002,"&lt;="&amp;$B$4)), (SUMIFS('Alocação'!$O$3:$O$1002,'Alocação'!$C$3:$C$1002,AB197,'Alocação'!$F$3:$F$1002,AB$9,'Alocação'!$B$3:$B$1002,"&lt;="&amp;$B$6))),"")</f>
        <v/>
      </c>
      <c r="AE197" s="243" t="str">
        <f>iferror(IF(AC197="Ações Americanas", HLOOKUP(AB197,'Histórico'!$A$1:$DD$990,MATCH($B$6,'Histórico'!$A:$A),FALSE)*HLOOKUP("PTAX",'Histórico'!$A$1:$FG$983,MATCH($B$6,'Histórico'!$A:$A),FALSE),IF(AC197="Ações Europeias", HLOOKUP(AB197,'Histórico'!$A$1:$DD$990,MATCH($B$6,'Histórico'!$A:$A),FALSE)*HLOOKUP("EUR/BRL",'Histórico'!$A$1:$FG$983,MATCH($B$6,'Histórico'!$A:$A),FALSE), HLOOKUP(AB197,'Histórico'!$A$1:$DD$990,MATCH($B$6,'Histórico'!$A:$A),FALSE))),"")</f>
        <v/>
      </c>
      <c r="AF197" s="243" t="str">
        <f t="shared" si="21"/>
        <v/>
      </c>
      <c r="AG197" s="53"/>
      <c r="AH197" s="245"/>
      <c r="AI197" s="242" t="str">
        <f>IF(ISTEXT(AH197),VLOOKUP(AH197,'Cadastro dos Ativos'!$A$2:$C$1000,3,0),"")</f>
        <v/>
      </c>
      <c r="AJ197" s="242" t="str">
        <f>IF(AH197 &lt;&gt; "",IF(AI197="Futuros", (SUMIFS('Alocação'!$O$3:$O$1002,'Alocação'!$C$3:$C$1002,AH197,'Alocação'!$F$3:$F$1002,AH$9,'Alocação'!$B$3:$B$1002,"&lt;="&amp;$B$4)), (SUMIFS('Alocação'!$O$3:$O$1002,'Alocação'!$C$3:$C$1002,AH197,'Alocação'!$F$3:$F$1002,AH$9,'Alocação'!$B$3:$B$1002,"&lt;="&amp;$B$6))),"")</f>
        <v/>
      </c>
      <c r="AK197" s="243" t="str">
        <f>iferror(IF(AI197="Ações Americanas", HLOOKUP(AH197,'Histórico'!$A$1:$DD$990,MATCH($B$6,'Histórico'!$A:$A),FALSE)*HLOOKUP("PTAX",'Histórico'!$A$1:$FG$983,MATCH($B$6,'Histórico'!$A:$A),FALSE),IF(AI197="Ações Europeias", HLOOKUP(AH197,'Histórico'!$A$1:$DD$990,MATCH($B$6,'Histórico'!$A:$A),FALSE)*HLOOKUP("EUR/BRL",'Histórico'!$A$1:$FG$983,MATCH($B$6,'Histórico'!$A:$A),FALSE),  HLOOKUP(AH197,'Histórico'!$A$1:$DD$990,MATCH($B$6,'Histórico'!$A:$A),FALSE))),"")</f>
        <v/>
      </c>
      <c r="AL197" s="243" t="str">
        <f t="shared" si="17"/>
        <v/>
      </c>
      <c r="AM197" s="53"/>
      <c r="AN197" s="245"/>
      <c r="AO197" s="242" t="str">
        <f>IF(ISTEXT(AN197),VLOOKUP(AN197,'Cadastro dos Ativos'!$A$2:$C$1000,3,0),"")</f>
        <v/>
      </c>
      <c r="AP197" s="242" t="str">
        <f>IF(AN197 &lt;&gt; "",IF(AO197="Futuros", (SUMIFS('Alocação'!$O$3:$O$1002,'Alocação'!$C$3:$C$1002,AN197,'Alocação'!$F$3:$F$1002,AN$9,'Alocação'!$B$3:$B$1002,"&lt;="&amp;$B$4)), (SUMIFS('Alocação'!$O$3:$O$1002,'Alocação'!$C$3:$C$1002,AN197,'Alocação'!$F$3:$F$1002,AN$9,'Alocação'!$B$3:$B$1002,"&lt;="&amp;$B$6))),"")</f>
        <v/>
      </c>
      <c r="AQ197" s="243" t="str">
        <f>iferror(IF(AO197="Ações Americanas", HLOOKUP(AN197,'Histórico'!$A$1:$DD$990,MATCH($B$6,'Histórico'!$A:$A),FALSE)*HLOOKUP("PTAX",'Histórico'!$A$1:$FG$983,MATCH($B$6,'Histórico'!$A:$A),FALSE),IF(AO197="Ações Europeias", HLOOKUP(AN197,'Histórico'!$A$1:$DD$990,MATCH($B$6,'Histórico'!$A:$A),FALSE)*HLOOKUP("EUR/BRL",'Histórico'!$A$1:$FG$983,MATCH($B$6,'Histórico'!$A:$A),FALSE),  HLOOKUP(AN197,'Histórico'!$A$1:$DD$990,MATCH($B$6,'Histórico'!$A:$A),FALSE))),"")</f>
        <v/>
      </c>
      <c r="AR197" s="243" t="str">
        <f t="shared" si="18"/>
        <v/>
      </c>
      <c r="AS197" s="53"/>
      <c r="AT197" s="245"/>
      <c r="AU197" s="242" t="str">
        <f>IF(ISTEXT(AT197),VLOOKUP(AT197,'Cadastro dos Ativos'!$A$2:$C$1000,3,0),"")</f>
        <v/>
      </c>
      <c r="AV197" s="242" t="str">
        <f>IF(AT197 &lt;&gt; "",IF(AU197="Futuros", (SUMIFS('Alocação'!$O$3:$O$1002,'Alocação'!$C$3:$C$1002,AT197,'Alocação'!$F$3:$F$1002,AT$9,'Alocação'!$B$3:$B$1002,"&lt;="&amp;$B$4)), (SUMIFS('Alocação'!$O$3:$O$1002,'Alocação'!$C$3:$C$1002,AT197,'Alocação'!$F$3:$F$1002,AT$9,'Alocação'!$B$3:$B$1002,"&lt;="&amp;$B$6))),"")</f>
        <v/>
      </c>
      <c r="AW197" s="243" t="str">
        <f>iferror(IF(AU197="Ações Americanas", HLOOKUP(AT197,'Histórico'!$A$1:$DD$990,MATCH($B$6,'Histórico'!$A:$A),FALSE)*HLOOKUP("PTAX",'Histórico'!$A$1:$FG$983,MATCH($B$6,'Histórico'!$A:$A),FALSE),IF(AU197="Ações Europeias", HLOOKUP(AT197,'Histórico'!$A$1:$DD$990,MATCH($B$6,'Histórico'!$A:$A),FALSE)*HLOOKUP("EUR/BRL",'Histórico'!$A$1:$FG$983,MATCH($B$6,'Histórico'!$A:$A),FALSE),  HLOOKUP(AT197,'Histórico'!$A$1:$DD$990,MATCH($B$6,'Histórico'!$A:$A),FALSE))),"")</f>
        <v/>
      </c>
      <c r="AX197" s="243" t="str">
        <f t="shared" si="27"/>
        <v/>
      </c>
      <c r="AY197" s="183"/>
    </row>
    <row r="198" ht="15.75" customHeight="1">
      <c r="A198" s="176"/>
      <c r="B198" s="232">
        <v>45279.0</v>
      </c>
      <c r="C198" s="233"/>
      <c r="D198" s="233"/>
      <c r="E198" s="234"/>
      <c r="F198" s="233"/>
      <c r="G198" s="233"/>
      <c r="H198" s="234"/>
      <c r="I198" s="233"/>
      <c r="J198" s="233"/>
      <c r="K198" s="234"/>
      <c r="L198" s="233"/>
      <c r="M198" s="233"/>
      <c r="N198" s="240" t="str">
        <f t="shared" si="9"/>
        <v/>
      </c>
      <c r="O198" s="240" t="str">
        <f t="shared" si="10"/>
        <v/>
      </c>
      <c r="P198" s="240" t="str">
        <f t="shared" si="11"/>
        <v/>
      </c>
      <c r="Q198" s="240" t="str">
        <f t="shared" si="12"/>
        <v/>
      </c>
      <c r="R198" s="236" t="str">
        <f t="shared" si="13"/>
        <v/>
      </c>
      <c r="S198" s="177"/>
      <c r="T198" s="233" t="str">
        <f t="shared" ref="T198:U198" si="208">IF(AND(C198&lt;&gt;"",F198&lt;&gt;"",I198&lt;&gt;""), SUM(I198,F198,C198,L198),"")</f>
        <v/>
      </c>
      <c r="U198" s="233" t="str">
        <f t="shared" si="208"/>
        <v/>
      </c>
      <c r="V198" s="233" t="str">
        <f t="shared" si="6"/>
        <v/>
      </c>
      <c r="W198" s="241" t="str">
        <f t="shared" si="15"/>
        <v/>
      </c>
      <c r="X198" s="241" t="str">
        <f t="shared" si="16"/>
        <v/>
      </c>
      <c r="Y198" s="241" t="str">
        <f t="shared" si="25"/>
        <v/>
      </c>
      <c r="Z198" s="233" t="str">
        <f t="shared" si="7"/>
        <v/>
      </c>
      <c r="AA198" s="165"/>
      <c r="AB198" s="245"/>
      <c r="AC198" s="242" t="str">
        <f>IF(ISTEXT(AB198),VLOOKUP(AB198,'Cadastro dos Ativos'!$A$2:$C$1000,3,0),"")</f>
        <v/>
      </c>
      <c r="AD198" s="242" t="str">
        <f>IF(AB198 &lt;&gt; "",IF(AC198="Futuros", (SUMIFS('Alocação'!$O$3:$O$1002,'Alocação'!$C$3:$C$1002,AB198,'Alocação'!$F$3:$F$1002,AB$9,'Alocação'!$B$3:$B$1002,"&lt;="&amp;$B$4)), (SUMIFS('Alocação'!$O$3:$O$1002,'Alocação'!$C$3:$C$1002,AB198,'Alocação'!$F$3:$F$1002,AB$9,'Alocação'!$B$3:$B$1002,"&lt;="&amp;$B$6))),"")</f>
        <v/>
      </c>
      <c r="AE198" s="243" t="str">
        <f>iferror(IF(AC198="Ações Americanas", HLOOKUP(AB198,'Histórico'!$A$1:$DD$990,MATCH($B$6,'Histórico'!$A:$A),FALSE)*HLOOKUP("PTAX",'Histórico'!$A$1:$FG$983,MATCH($B$6,'Histórico'!$A:$A),FALSE),IF(AC198="Ações Europeias", HLOOKUP(AB198,'Histórico'!$A$1:$DD$990,MATCH($B$6,'Histórico'!$A:$A),FALSE)*HLOOKUP("EUR/BRL",'Histórico'!$A$1:$FG$983,MATCH($B$6,'Histórico'!$A:$A),FALSE), HLOOKUP(AB198,'Histórico'!$A$1:$DD$990,MATCH($B$6,'Histórico'!$A:$A),FALSE))),"")</f>
        <v/>
      </c>
      <c r="AF198" s="243" t="str">
        <f t="shared" si="21"/>
        <v/>
      </c>
      <c r="AG198" s="53"/>
      <c r="AH198" s="245"/>
      <c r="AI198" s="242" t="str">
        <f>IF(ISTEXT(AH198),VLOOKUP(AH198,'Cadastro dos Ativos'!$A$2:$C$1000,3,0),"")</f>
        <v/>
      </c>
      <c r="AJ198" s="242" t="str">
        <f>IF(AH198 &lt;&gt; "",IF(AI198="Futuros", (SUMIFS('Alocação'!$O$3:$O$1002,'Alocação'!$C$3:$C$1002,AH198,'Alocação'!$F$3:$F$1002,AH$9,'Alocação'!$B$3:$B$1002,"&lt;="&amp;$B$4)), (SUMIFS('Alocação'!$O$3:$O$1002,'Alocação'!$C$3:$C$1002,AH198,'Alocação'!$F$3:$F$1002,AH$9,'Alocação'!$B$3:$B$1002,"&lt;="&amp;$B$6))),"")</f>
        <v/>
      </c>
      <c r="AK198" s="243" t="str">
        <f>iferror(IF(AI198="Ações Americanas", HLOOKUP(AH198,'Histórico'!$A$1:$DD$990,MATCH($B$6,'Histórico'!$A:$A),FALSE)*HLOOKUP("PTAX",'Histórico'!$A$1:$FG$983,MATCH($B$6,'Histórico'!$A:$A),FALSE),IF(AI198="Ações Europeias", HLOOKUP(AH198,'Histórico'!$A$1:$DD$990,MATCH($B$6,'Histórico'!$A:$A),FALSE)*HLOOKUP("EUR/BRL",'Histórico'!$A$1:$FG$983,MATCH($B$6,'Histórico'!$A:$A),FALSE),  HLOOKUP(AH198,'Histórico'!$A$1:$DD$990,MATCH($B$6,'Histórico'!$A:$A),FALSE))),"")</f>
        <v/>
      </c>
      <c r="AL198" s="243" t="str">
        <f t="shared" si="17"/>
        <v/>
      </c>
      <c r="AM198" s="53"/>
      <c r="AN198" s="245"/>
      <c r="AO198" s="242" t="str">
        <f>IF(ISTEXT(AN198),VLOOKUP(AN198,'Cadastro dos Ativos'!$A$2:$C$1000,3,0),"")</f>
        <v/>
      </c>
      <c r="AP198" s="242" t="str">
        <f>IF(AN198 &lt;&gt; "",IF(AO198="Futuros", (SUMIFS('Alocação'!$O$3:$O$1002,'Alocação'!$C$3:$C$1002,AN198,'Alocação'!$F$3:$F$1002,AN$9,'Alocação'!$B$3:$B$1002,"&lt;="&amp;$B$4)), (SUMIFS('Alocação'!$O$3:$O$1002,'Alocação'!$C$3:$C$1002,AN198,'Alocação'!$F$3:$F$1002,AN$9,'Alocação'!$B$3:$B$1002,"&lt;="&amp;$B$6))),"")</f>
        <v/>
      </c>
      <c r="AQ198" s="243" t="str">
        <f>iferror(IF(AO198="Ações Americanas", HLOOKUP(AN198,'Histórico'!$A$1:$DD$990,MATCH($B$6,'Histórico'!$A:$A),FALSE)*HLOOKUP("PTAX",'Histórico'!$A$1:$FG$983,MATCH($B$6,'Histórico'!$A:$A),FALSE),IF(AO198="Ações Europeias", HLOOKUP(AN198,'Histórico'!$A$1:$DD$990,MATCH($B$6,'Histórico'!$A:$A),FALSE)*HLOOKUP("EUR/BRL",'Histórico'!$A$1:$FG$983,MATCH($B$6,'Histórico'!$A:$A),FALSE),  HLOOKUP(AN198,'Histórico'!$A$1:$DD$990,MATCH($B$6,'Histórico'!$A:$A),FALSE))),"")</f>
        <v/>
      </c>
      <c r="AR198" s="243" t="str">
        <f t="shared" si="18"/>
        <v/>
      </c>
      <c r="AS198" s="53"/>
      <c r="AT198" s="245"/>
      <c r="AU198" s="242" t="str">
        <f>IF(ISTEXT(AT198),VLOOKUP(AT198,'Cadastro dos Ativos'!$A$2:$C$1000,3,0),"")</f>
        <v/>
      </c>
      <c r="AV198" s="242" t="str">
        <f>IF(AT198 &lt;&gt; "",IF(AU198="Futuros", (SUMIFS('Alocação'!$O$3:$O$1002,'Alocação'!$C$3:$C$1002,AT198,'Alocação'!$F$3:$F$1002,AT$9,'Alocação'!$B$3:$B$1002,"&lt;="&amp;$B$4)), (SUMIFS('Alocação'!$O$3:$O$1002,'Alocação'!$C$3:$C$1002,AT198,'Alocação'!$F$3:$F$1002,AT$9,'Alocação'!$B$3:$B$1002,"&lt;="&amp;$B$6))),"")</f>
        <v/>
      </c>
      <c r="AW198" s="243" t="str">
        <f>iferror(IF(AU198="Ações Americanas", HLOOKUP(AT198,'Histórico'!$A$1:$DD$990,MATCH($B$6,'Histórico'!$A:$A),FALSE)*HLOOKUP("PTAX",'Histórico'!$A$1:$FG$983,MATCH($B$6,'Histórico'!$A:$A),FALSE),IF(AU198="Ações Europeias", HLOOKUP(AT198,'Histórico'!$A$1:$DD$990,MATCH($B$6,'Histórico'!$A:$A),FALSE)*HLOOKUP("EUR/BRL",'Histórico'!$A$1:$FG$983,MATCH($B$6,'Histórico'!$A:$A),FALSE),  HLOOKUP(AT198,'Histórico'!$A$1:$DD$990,MATCH($B$6,'Histórico'!$A:$A),FALSE))),"")</f>
        <v/>
      </c>
      <c r="AX198" s="243" t="str">
        <f t="shared" si="27"/>
        <v/>
      </c>
      <c r="AY198" s="183"/>
    </row>
    <row r="199" ht="15.75" customHeight="1">
      <c r="A199" s="176"/>
      <c r="B199" s="232">
        <v>45280.0</v>
      </c>
      <c r="C199" s="233"/>
      <c r="D199" s="233"/>
      <c r="E199" s="234"/>
      <c r="F199" s="233"/>
      <c r="G199" s="233"/>
      <c r="H199" s="234"/>
      <c r="I199" s="233"/>
      <c r="J199" s="233"/>
      <c r="K199" s="234"/>
      <c r="L199" s="233"/>
      <c r="M199" s="233"/>
      <c r="N199" s="240" t="str">
        <f t="shared" si="9"/>
        <v/>
      </c>
      <c r="O199" s="240" t="str">
        <f t="shared" si="10"/>
        <v/>
      </c>
      <c r="P199" s="240" t="str">
        <f t="shared" si="11"/>
        <v/>
      </c>
      <c r="Q199" s="240" t="str">
        <f t="shared" si="12"/>
        <v/>
      </c>
      <c r="R199" s="236" t="str">
        <f t="shared" si="13"/>
        <v/>
      </c>
      <c r="S199" s="177"/>
      <c r="T199" s="233" t="str">
        <f t="shared" ref="T199:U199" si="209">IF(AND(C199&lt;&gt;"",F199&lt;&gt;"",I199&lt;&gt;""), SUM(I199,F199,C199,L199),"")</f>
        <v/>
      </c>
      <c r="U199" s="233" t="str">
        <f t="shared" si="209"/>
        <v/>
      </c>
      <c r="V199" s="233" t="str">
        <f t="shared" si="6"/>
        <v/>
      </c>
      <c r="W199" s="241" t="str">
        <f t="shared" si="15"/>
        <v/>
      </c>
      <c r="X199" s="241" t="str">
        <f t="shared" si="16"/>
        <v/>
      </c>
      <c r="Y199" s="241" t="str">
        <f t="shared" si="25"/>
        <v/>
      </c>
      <c r="Z199" s="233" t="str">
        <f t="shared" si="7"/>
        <v/>
      </c>
      <c r="AA199" s="165"/>
      <c r="AB199" s="245"/>
      <c r="AC199" s="242" t="str">
        <f>IF(ISTEXT(AB199),VLOOKUP(AB199,'Cadastro dos Ativos'!$A$2:$C$1000,3,0),"")</f>
        <v/>
      </c>
      <c r="AD199" s="242" t="str">
        <f>IF(AB199 &lt;&gt; "",IF(AC199="Futuros", (SUMIFS('Alocação'!$O$3:$O$1002,'Alocação'!$C$3:$C$1002,AB199,'Alocação'!$F$3:$F$1002,AB$9,'Alocação'!$B$3:$B$1002,"&lt;="&amp;$B$4)), (SUMIFS('Alocação'!$O$3:$O$1002,'Alocação'!$C$3:$C$1002,AB199,'Alocação'!$F$3:$F$1002,AB$9,'Alocação'!$B$3:$B$1002,"&lt;="&amp;$B$6))),"")</f>
        <v/>
      </c>
      <c r="AE199" s="243" t="str">
        <f>iferror(IF(AC199="Ações Americanas", HLOOKUP(AB199,'Histórico'!$A$1:$DD$990,MATCH($B$6,'Histórico'!$A:$A),FALSE)*HLOOKUP("PTAX",'Histórico'!$A$1:$FG$983,MATCH($B$6,'Histórico'!$A:$A),FALSE),IF(AC199="Ações Europeias", HLOOKUP(AB199,'Histórico'!$A$1:$DD$990,MATCH($B$6,'Histórico'!$A:$A),FALSE)*HLOOKUP("EUR/BRL",'Histórico'!$A$1:$FG$983,MATCH($B$6,'Histórico'!$A:$A),FALSE), HLOOKUP(AB199,'Histórico'!$A$1:$DD$990,MATCH($B$6,'Histórico'!$A:$A),FALSE))),"")</f>
        <v/>
      </c>
      <c r="AF199" s="243" t="str">
        <f t="shared" si="21"/>
        <v/>
      </c>
      <c r="AG199" s="53"/>
      <c r="AH199" s="245"/>
      <c r="AI199" s="242" t="str">
        <f>IF(ISTEXT(AH199),VLOOKUP(AH199,'Cadastro dos Ativos'!$A$2:$C$1000,3,0),"")</f>
        <v/>
      </c>
      <c r="AJ199" s="242" t="str">
        <f>IF(AH199 &lt;&gt; "",IF(AI199="Futuros", (SUMIFS('Alocação'!$O$3:$O$1002,'Alocação'!$C$3:$C$1002,AH199,'Alocação'!$F$3:$F$1002,AH$9,'Alocação'!$B$3:$B$1002,"&lt;="&amp;$B$4)), (SUMIFS('Alocação'!$O$3:$O$1002,'Alocação'!$C$3:$C$1002,AH199,'Alocação'!$F$3:$F$1002,AH$9,'Alocação'!$B$3:$B$1002,"&lt;="&amp;$B$6))),"")</f>
        <v/>
      </c>
      <c r="AK199" s="243" t="str">
        <f>iferror(IF(AI199="Ações Americanas", HLOOKUP(AH199,'Histórico'!$A$1:$DD$990,MATCH($B$6,'Histórico'!$A:$A),FALSE)*HLOOKUP("PTAX",'Histórico'!$A$1:$FG$983,MATCH($B$6,'Histórico'!$A:$A),FALSE),IF(AI199="Ações Europeias", HLOOKUP(AH199,'Histórico'!$A$1:$DD$990,MATCH($B$6,'Histórico'!$A:$A),FALSE)*HLOOKUP("EUR/BRL",'Histórico'!$A$1:$FG$983,MATCH($B$6,'Histórico'!$A:$A),FALSE),  HLOOKUP(AH199,'Histórico'!$A$1:$DD$990,MATCH($B$6,'Histórico'!$A:$A),FALSE))),"")</f>
        <v/>
      </c>
      <c r="AL199" s="243" t="str">
        <f t="shared" si="17"/>
        <v/>
      </c>
      <c r="AM199" s="53"/>
      <c r="AN199" s="245"/>
      <c r="AO199" s="242" t="str">
        <f>IF(ISTEXT(AN199),VLOOKUP(AN199,'Cadastro dos Ativos'!$A$2:$C$1000,3,0),"")</f>
        <v/>
      </c>
      <c r="AP199" s="242" t="str">
        <f>IF(AN199 &lt;&gt; "",IF(AO199="Futuros", (SUMIFS('Alocação'!$O$3:$O$1002,'Alocação'!$C$3:$C$1002,AN199,'Alocação'!$F$3:$F$1002,AN$9,'Alocação'!$B$3:$B$1002,"&lt;="&amp;$B$4)), (SUMIFS('Alocação'!$O$3:$O$1002,'Alocação'!$C$3:$C$1002,AN199,'Alocação'!$F$3:$F$1002,AN$9,'Alocação'!$B$3:$B$1002,"&lt;="&amp;$B$6))),"")</f>
        <v/>
      </c>
      <c r="AQ199" s="243" t="str">
        <f>iferror(IF(AO199="Ações Americanas", HLOOKUP(AN199,'Histórico'!$A$1:$DD$990,MATCH($B$6,'Histórico'!$A:$A),FALSE)*HLOOKUP("PTAX",'Histórico'!$A$1:$FG$983,MATCH($B$6,'Histórico'!$A:$A),FALSE),IF(AO199="Ações Europeias", HLOOKUP(AN199,'Histórico'!$A$1:$DD$990,MATCH($B$6,'Histórico'!$A:$A),FALSE)*HLOOKUP("EUR/BRL",'Histórico'!$A$1:$FG$983,MATCH($B$6,'Histórico'!$A:$A),FALSE),  HLOOKUP(AN199,'Histórico'!$A$1:$DD$990,MATCH($B$6,'Histórico'!$A:$A),FALSE))),"")</f>
        <v/>
      </c>
      <c r="AR199" s="243" t="str">
        <f t="shared" si="18"/>
        <v/>
      </c>
      <c r="AS199" s="53"/>
      <c r="AT199" s="245"/>
      <c r="AU199" s="242" t="str">
        <f>IF(ISTEXT(AT199),VLOOKUP(AT199,'Cadastro dos Ativos'!$A$2:$C$1000,3,0),"")</f>
        <v/>
      </c>
      <c r="AV199" s="242" t="str">
        <f>IF(AT199 &lt;&gt; "",IF(AU199="Futuros", (SUMIFS('Alocação'!$O$3:$O$1002,'Alocação'!$C$3:$C$1002,AT199,'Alocação'!$F$3:$F$1002,AT$9,'Alocação'!$B$3:$B$1002,"&lt;="&amp;$B$4)), (SUMIFS('Alocação'!$O$3:$O$1002,'Alocação'!$C$3:$C$1002,AT199,'Alocação'!$F$3:$F$1002,AT$9,'Alocação'!$B$3:$B$1002,"&lt;="&amp;$B$6))),"")</f>
        <v/>
      </c>
      <c r="AW199" s="243" t="str">
        <f>iferror(IF(AU199="Ações Americanas", HLOOKUP(AT199,'Histórico'!$A$1:$DD$990,MATCH($B$6,'Histórico'!$A:$A),FALSE)*HLOOKUP("PTAX",'Histórico'!$A$1:$FG$983,MATCH($B$6,'Histórico'!$A:$A),FALSE),IF(AU199="Ações Europeias", HLOOKUP(AT199,'Histórico'!$A$1:$DD$990,MATCH($B$6,'Histórico'!$A:$A),FALSE)*HLOOKUP("EUR/BRL",'Histórico'!$A$1:$FG$983,MATCH($B$6,'Histórico'!$A:$A),FALSE),  HLOOKUP(AT199,'Histórico'!$A$1:$DD$990,MATCH($B$6,'Histórico'!$A:$A),FALSE))),"")</f>
        <v/>
      </c>
      <c r="AX199" s="243" t="str">
        <f t="shared" si="27"/>
        <v/>
      </c>
      <c r="AY199" s="183"/>
    </row>
    <row r="200" ht="15.75" customHeight="1">
      <c r="A200" s="176"/>
      <c r="B200" s="232">
        <v>45281.0</v>
      </c>
      <c r="C200" s="233"/>
      <c r="D200" s="233"/>
      <c r="E200" s="234"/>
      <c r="F200" s="233"/>
      <c r="G200" s="233"/>
      <c r="H200" s="234"/>
      <c r="I200" s="233"/>
      <c r="J200" s="233"/>
      <c r="K200" s="234"/>
      <c r="L200" s="233"/>
      <c r="M200" s="233"/>
      <c r="N200" s="240" t="str">
        <f t="shared" si="9"/>
        <v/>
      </c>
      <c r="O200" s="240" t="str">
        <f t="shared" si="10"/>
        <v/>
      </c>
      <c r="P200" s="240" t="str">
        <f t="shared" si="11"/>
        <v/>
      </c>
      <c r="Q200" s="240" t="str">
        <f t="shared" si="12"/>
        <v/>
      </c>
      <c r="R200" s="236" t="str">
        <f t="shared" si="13"/>
        <v/>
      </c>
      <c r="S200" s="177"/>
      <c r="T200" s="233" t="str">
        <f t="shared" ref="T200:U200" si="210">IF(AND(C200&lt;&gt;"",F200&lt;&gt;"",I200&lt;&gt;""), SUM(I200,F200,C200,L200),"")</f>
        <v/>
      </c>
      <c r="U200" s="233" t="str">
        <f t="shared" si="210"/>
        <v/>
      </c>
      <c r="V200" s="233" t="str">
        <f t="shared" si="6"/>
        <v/>
      </c>
      <c r="W200" s="241" t="str">
        <f t="shared" si="15"/>
        <v/>
      </c>
      <c r="X200" s="241" t="str">
        <f t="shared" si="16"/>
        <v/>
      </c>
      <c r="Y200" s="241" t="str">
        <f t="shared" si="25"/>
        <v/>
      </c>
      <c r="Z200" s="233" t="str">
        <f t="shared" si="7"/>
        <v/>
      </c>
      <c r="AA200" s="165"/>
      <c r="AB200" s="245"/>
      <c r="AC200" s="242" t="str">
        <f>IF(ISTEXT(AB200),VLOOKUP(AB200,'Cadastro dos Ativos'!$A$2:$C$1000,3,0),"")</f>
        <v/>
      </c>
      <c r="AD200" s="242" t="str">
        <f>IF(AB200 &lt;&gt; "",IF(AC200="Futuros", (SUMIFS('Alocação'!$O$3:$O$1002,'Alocação'!$C$3:$C$1002,AB200,'Alocação'!$F$3:$F$1002,AB$9,'Alocação'!$B$3:$B$1002,"&lt;="&amp;$B$4)), (SUMIFS('Alocação'!$O$3:$O$1002,'Alocação'!$C$3:$C$1002,AB200,'Alocação'!$F$3:$F$1002,AB$9,'Alocação'!$B$3:$B$1002,"&lt;="&amp;$B$6))),"")</f>
        <v/>
      </c>
      <c r="AE200" s="243" t="str">
        <f>iferror(IF(AC200="Ações Americanas", HLOOKUP(AB200,'Histórico'!$A$1:$DD$990,MATCH($B$6,'Histórico'!$A:$A),FALSE)*HLOOKUP("PTAX",'Histórico'!$A$1:$FG$983,MATCH($B$6,'Histórico'!$A:$A),FALSE),IF(AC200="Ações Europeias", HLOOKUP(AB200,'Histórico'!$A$1:$DD$990,MATCH($B$6,'Histórico'!$A:$A),FALSE)*HLOOKUP("EUR/BRL",'Histórico'!$A$1:$FG$983,MATCH($B$6,'Histórico'!$A:$A),FALSE), HLOOKUP(AB200,'Histórico'!$A$1:$DD$990,MATCH($B$6,'Histórico'!$A:$A),FALSE))),"")</f>
        <v/>
      </c>
      <c r="AF200" s="243" t="str">
        <f t="shared" si="21"/>
        <v/>
      </c>
      <c r="AG200" s="53"/>
      <c r="AH200" s="245"/>
      <c r="AI200" s="242" t="str">
        <f>IF(ISTEXT(AH200),VLOOKUP(AH200,'Cadastro dos Ativos'!$A$2:$C$1000,3,0),"")</f>
        <v/>
      </c>
      <c r="AJ200" s="242" t="str">
        <f>IF(AH200 &lt;&gt; "",IF(AI200="Futuros", (SUMIFS('Alocação'!$O$3:$O$1002,'Alocação'!$C$3:$C$1002,AH200,'Alocação'!$F$3:$F$1002,AH$9,'Alocação'!$B$3:$B$1002,"&lt;="&amp;$B$4)), (SUMIFS('Alocação'!$O$3:$O$1002,'Alocação'!$C$3:$C$1002,AH200,'Alocação'!$F$3:$F$1002,AH$9,'Alocação'!$B$3:$B$1002,"&lt;="&amp;$B$6))),"")</f>
        <v/>
      </c>
      <c r="AK200" s="243" t="str">
        <f>iferror(IF(AI200="Ações Americanas", HLOOKUP(AH200,'Histórico'!$A$1:$DD$990,MATCH($B$6,'Histórico'!$A:$A),FALSE)*HLOOKUP("PTAX",'Histórico'!$A$1:$FG$983,MATCH($B$6,'Histórico'!$A:$A),FALSE),IF(AI200="Ações Europeias", HLOOKUP(AH200,'Histórico'!$A$1:$DD$990,MATCH($B$6,'Histórico'!$A:$A),FALSE)*HLOOKUP("EUR/BRL",'Histórico'!$A$1:$FG$983,MATCH($B$6,'Histórico'!$A:$A),FALSE),  HLOOKUP(AH200,'Histórico'!$A$1:$DD$990,MATCH($B$6,'Histórico'!$A:$A),FALSE))),"")</f>
        <v/>
      </c>
      <c r="AL200" s="243" t="str">
        <f t="shared" si="17"/>
        <v/>
      </c>
      <c r="AM200" s="53"/>
      <c r="AN200" s="245"/>
      <c r="AO200" s="242" t="str">
        <f>IF(ISTEXT(AN200),VLOOKUP(AN200,'Cadastro dos Ativos'!$A$2:$C$1000,3,0),"")</f>
        <v/>
      </c>
      <c r="AP200" s="242" t="str">
        <f>IF(AN200 &lt;&gt; "",IF(AO200="Futuros", (SUMIFS('Alocação'!$O$3:$O$1002,'Alocação'!$C$3:$C$1002,AN200,'Alocação'!$F$3:$F$1002,AN$9,'Alocação'!$B$3:$B$1002,"&lt;="&amp;$B$4)), (SUMIFS('Alocação'!$O$3:$O$1002,'Alocação'!$C$3:$C$1002,AN200,'Alocação'!$F$3:$F$1002,AN$9,'Alocação'!$B$3:$B$1002,"&lt;="&amp;$B$6))),"")</f>
        <v/>
      </c>
      <c r="AQ200" s="243" t="str">
        <f>iferror(IF(AO200="Ações Americanas", HLOOKUP(AN200,'Histórico'!$A$1:$DD$990,MATCH($B$6,'Histórico'!$A:$A),FALSE)*HLOOKUP("PTAX",'Histórico'!$A$1:$FG$983,MATCH($B$6,'Histórico'!$A:$A),FALSE),IF(AO200="Ações Europeias", HLOOKUP(AN200,'Histórico'!$A$1:$DD$990,MATCH($B$6,'Histórico'!$A:$A),FALSE)*HLOOKUP("EUR/BRL",'Histórico'!$A$1:$FG$983,MATCH($B$6,'Histórico'!$A:$A),FALSE),  HLOOKUP(AN200,'Histórico'!$A$1:$DD$990,MATCH($B$6,'Histórico'!$A:$A),FALSE))),"")</f>
        <v/>
      </c>
      <c r="AR200" s="243" t="str">
        <f t="shared" si="18"/>
        <v/>
      </c>
      <c r="AS200" s="53"/>
      <c r="AT200" s="245"/>
      <c r="AU200" s="242" t="str">
        <f>IF(ISTEXT(AT200),VLOOKUP(AT200,'Cadastro dos Ativos'!$A$2:$C$1000,3,0),"")</f>
        <v/>
      </c>
      <c r="AV200" s="242" t="str">
        <f>IF(AT200 &lt;&gt; "",IF(AU200="Futuros", (SUMIFS('Alocação'!$O$3:$O$1002,'Alocação'!$C$3:$C$1002,AT200,'Alocação'!$F$3:$F$1002,AT$9,'Alocação'!$B$3:$B$1002,"&lt;="&amp;$B$4)), (SUMIFS('Alocação'!$O$3:$O$1002,'Alocação'!$C$3:$C$1002,AT200,'Alocação'!$F$3:$F$1002,AT$9,'Alocação'!$B$3:$B$1002,"&lt;="&amp;$B$6))),"")</f>
        <v/>
      </c>
      <c r="AW200" s="243" t="str">
        <f>iferror(IF(AU200="Ações Americanas", HLOOKUP(AT200,'Histórico'!$A$1:$DD$990,MATCH($B$6,'Histórico'!$A:$A),FALSE)*HLOOKUP("PTAX",'Histórico'!$A$1:$FG$983,MATCH($B$6,'Histórico'!$A:$A),FALSE),IF(AU200="Ações Europeias", HLOOKUP(AT200,'Histórico'!$A$1:$DD$990,MATCH($B$6,'Histórico'!$A:$A),FALSE)*HLOOKUP("EUR/BRL",'Histórico'!$A$1:$FG$983,MATCH($B$6,'Histórico'!$A:$A),FALSE),  HLOOKUP(AT200,'Histórico'!$A$1:$DD$990,MATCH($B$6,'Histórico'!$A:$A),FALSE))),"")</f>
        <v/>
      </c>
      <c r="AX200" s="243" t="str">
        <f t="shared" si="27"/>
        <v/>
      </c>
      <c r="AY200" s="183"/>
    </row>
    <row r="201" ht="15.75" customHeight="1">
      <c r="A201" s="176"/>
      <c r="B201" s="232">
        <v>45282.0</v>
      </c>
      <c r="C201" s="233"/>
      <c r="D201" s="233"/>
      <c r="E201" s="234"/>
      <c r="F201" s="233"/>
      <c r="G201" s="233"/>
      <c r="H201" s="234"/>
      <c r="I201" s="233"/>
      <c r="J201" s="233"/>
      <c r="K201" s="234"/>
      <c r="L201" s="233"/>
      <c r="M201" s="233"/>
      <c r="N201" s="240" t="str">
        <f t="shared" si="9"/>
        <v/>
      </c>
      <c r="O201" s="240" t="str">
        <f t="shared" si="10"/>
        <v/>
      </c>
      <c r="P201" s="240" t="str">
        <f t="shared" si="11"/>
        <v/>
      </c>
      <c r="Q201" s="240" t="str">
        <f t="shared" si="12"/>
        <v/>
      </c>
      <c r="R201" s="236" t="str">
        <f t="shared" si="13"/>
        <v/>
      </c>
      <c r="S201" s="177"/>
      <c r="T201" s="233" t="str">
        <f t="shared" ref="T201:U201" si="211">IF(AND(C201&lt;&gt;"",F201&lt;&gt;"",I201&lt;&gt;""), SUM(I201,F201,C201,L201),"")</f>
        <v/>
      </c>
      <c r="U201" s="233" t="str">
        <f t="shared" si="211"/>
        <v/>
      </c>
      <c r="V201" s="233" t="str">
        <f t="shared" si="6"/>
        <v/>
      </c>
      <c r="W201" s="241" t="str">
        <f t="shared" si="15"/>
        <v/>
      </c>
      <c r="X201" s="241" t="str">
        <f t="shared" si="16"/>
        <v/>
      </c>
      <c r="Y201" s="241" t="str">
        <f t="shared" si="25"/>
        <v/>
      </c>
      <c r="Z201" s="233" t="str">
        <f t="shared" si="7"/>
        <v/>
      </c>
      <c r="AA201" s="165"/>
      <c r="AB201" s="245"/>
      <c r="AC201" s="242" t="str">
        <f>IF(ISTEXT(AB201),VLOOKUP(AB201,'Cadastro dos Ativos'!$A$2:$C$1000,3,0),"")</f>
        <v/>
      </c>
      <c r="AD201" s="242" t="str">
        <f>IF(AB201 &lt;&gt; "",IF(AC201="Futuros", (SUMIFS('Alocação'!$O$3:$O$1002,'Alocação'!$C$3:$C$1002,AB201,'Alocação'!$F$3:$F$1002,AB$9,'Alocação'!$B$3:$B$1002,"&lt;="&amp;$B$4)), (SUMIFS('Alocação'!$O$3:$O$1002,'Alocação'!$C$3:$C$1002,AB201,'Alocação'!$F$3:$F$1002,AB$9,'Alocação'!$B$3:$B$1002,"&lt;="&amp;$B$6))),"")</f>
        <v/>
      </c>
      <c r="AE201" s="243" t="str">
        <f>iferror(IF(AC201="Ações Americanas", HLOOKUP(AB201,'Histórico'!$A$1:$DD$990,MATCH($B$6,'Histórico'!$A:$A),FALSE)*HLOOKUP("PTAX",'Histórico'!$A$1:$FG$983,MATCH($B$6,'Histórico'!$A:$A),FALSE),IF(AC201="Ações Europeias", HLOOKUP(AB201,'Histórico'!$A$1:$DD$990,MATCH($B$6,'Histórico'!$A:$A),FALSE)*HLOOKUP("EUR/BRL",'Histórico'!$A$1:$FG$983,MATCH($B$6,'Histórico'!$A:$A),FALSE), HLOOKUP(AB201,'Histórico'!$A$1:$DD$990,MATCH($B$6,'Histórico'!$A:$A),FALSE))),"")</f>
        <v/>
      </c>
      <c r="AF201" s="243" t="str">
        <f t="shared" si="21"/>
        <v/>
      </c>
      <c r="AG201" s="53"/>
      <c r="AH201" s="245"/>
      <c r="AI201" s="242" t="str">
        <f>IF(ISTEXT(AH201),VLOOKUP(AH201,'Cadastro dos Ativos'!$A$2:$C$1000,3,0),"")</f>
        <v/>
      </c>
      <c r="AJ201" s="242" t="str">
        <f>IF(AH201 &lt;&gt; "",IF(AI201="Futuros", (SUMIFS('Alocação'!$O$3:$O$1002,'Alocação'!$C$3:$C$1002,AH201,'Alocação'!$F$3:$F$1002,AH$9,'Alocação'!$B$3:$B$1002,"&lt;="&amp;$B$4)), (SUMIFS('Alocação'!$O$3:$O$1002,'Alocação'!$C$3:$C$1002,AH201,'Alocação'!$F$3:$F$1002,AH$9,'Alocação'!$B$3:$B$1002,"&lt;="&amp;$B$6))),"")</f>
        <v/>
      </c>
      <c r="AK201" s="243" t="str">
        <f>iferror(IF(AI201="Ações Americanas", HLOOKUP(AH201,'Histórico'!$A$1:$DD$990,MATCH($B$6,'Histórico'!$A:$A),FALSE)*HLOOKUP("PTAX",'Histórico'!$A$1:$FG$983,MATCH($B$6,'Histórico'!$A:$A),FALSE),IF(AI201="Ações Europeias", HLOOKUP(AH201,'Histórico'!$A$1:$DD$990,MATCH($B$6,'Histórico'!$A:$A),FALSE)*HLOOKUP("EUR/BRL",'Histórico'!$A$1:$FG$983,MATCH($B$6,'Histórico'!$A:$A),FALSE),  HLOOKUP(AH201,'Histórico'!$A$1:$DD$990,MATCH($B$6,'Histórico'!$A:$A),FALSE))),"")</f>
        <v/>
      </c>
      <c r="AL201" s="243" t="str">
        <f t="shared" si="17"/>
        <v/>
      </c>
      <c r="AM201" s="53"/>
      <c r="AN201" s="245"/>
      <c r="AO201" s="242" t="str">
        <f>IF(ISTEXT(AN201),VLOOKUP(AN201,'Cadastro dos Ativos'!$A$2:$C$1000,3,0),"")</f>
        <v/>
      </c>
      <c r="AP201" s="242" t="str">
        <f>IF(AN201 &lt;&gt; "",IF(AO201="Futuros", (SUMIFS('Alocação'!$O$3:$O$1002,'Alocação'!$C$3:$C$1002,AN201,'Alocação'!$F$3:$F$1002,AN$9,'Alocação'!$B$3:$B$1002,"&lt;="&amp;$B$4)), (SUMIFS('Alocação'!$O$3:$O$1002,'Alocação'!$C$3:$C$1002,AN201,'Alocação'!$F$3:$F$1002,AN$9,'Alocação'!$B$3:$B$1002,"&lt;="&amp;$B$6))),"")</f>
        <v/>
      </c>
      <c r="AQ201" s="243" t="str">
        <f>iferror(IF(AO201="Ações Americanas", HLOOKUP(AN201,'Histórico'!$A$1:$DD$990,MATCH($B$6,'Histórico'!$A:$A),FALSE)*HLOOKUP("PTAX",'Histórico'!$A$1:$FG$983,MATCH($B$6,'Histórico'!$A:$A),FALSE),IF(AO201="Ações Europeias", HLOOKUP(AN201,'Histórico'!$A$1:$DD$990,MATCH($B$6,'Histórico'!$A:$A),FALSE)*HLOOKUP("EUR/BRL",'Histórico'!$A$1:$FG$983,MATCH($B$6,'Histórico'!$A:$A),FALSE),  HLOOKUP(AN201,'Histórico'!$A$1:$DD$990,MATCH($B$6,'Histórico'!$A:$A),FALSE))),"")</f>
        <v/>
      </c>
      <c r="AR201" s="243" t="str">
        <f t="shared" si="18"/>
        <v/>
      </c>
      <c r="AS201" s="53"/>
      <c r="AT201" s="245"/>
      <c r="AU201" s="242" t="str">
        <f>IF(ISTEXT(AT201),VLOOKUP(AT201,'Cadastro dos Ativos'!$A$2:$C$1000,3,0),"")</f>
        <v/>
      </c>
      <c r="AV201" s="242" t="str">
        <f>IF(AT201 &lt;&gt; "",IF(AU201="Futuros", (SUMIFS('Alocação'!$O$3:$O$1002,'Alocação'!$C$3:$C$1002,AT201,'Alocação'!$F$3:$F$1002,AT$9,'Alocação'!$B$3:$B$1002,"&lt;="&amp;$B$4)), (SUMIFS('Alocação'!$O$3:$O$1002,'Alocação'!$C$3:$C$1002,AT201,'Alocação'!$F$3:$F$1002,AT$9,'Alocação'!$B$3:$B$1002,"&lt;="&amp;$B$6))),"")</f>
        <v/>
      </c>
      <c r="AW201" s="243" t="str">
        <f>iferror(IF(AU201="Ações Americanas", HLOOKUP(AT201,'Histórico'!$A$1:$DD$990,MATCH($B$6,'Histórico'!$A:$A),FALSE)*HLOOKUP("PTAX",'Histórico'!$A$1:$FG$983,MATCH($B$6,'Histórico'!$A:$A),FALSE),IF(AU201="Ações Europeias", HLOOKUP(AT201,'Histórico'!$A$1:$DD$990,MATCH($B$6,'Histórico'!$A:$A),FALSE)*HLOOKUP("EUR/BRL",'Histórico'!$A$1:$FG$983,MATCH($B$6,'Histórico'!$A:$A),FALSE),  HLOOKUP(AT201,'Histórico'!$A$1:$DD$990,MATCH($B$6,'Histórico'!$A:$A),FALSE))),"")</f>
        <v/>
      </c>
      <c r="AX201" s="243" t="str">
        <f t="shared" si="27"/>
        <v/>
      </c>
      <c r="AY201" s="183"/>
    </row>
    <row r="202" ht="15.75" customHeight="1">
      <c r="A202" s="176"/>
      <c r="B202" s="232">
        <v>45286.0</v>
      </c>
      <c r="C202" s="233"/>
      <c r="D202" s="233"/>
      <c r="E202" s="234"/>
      <c r="F202" s="233"/>
      <c r="G202" s="233"/>
      <c r="H202" s="234"/>
      <c r="I202" s="233"/>
      <c r="J202" s="233"/>
      <c r="K202" s="234"/>
      <c r="L202" s="233"/>
      <c r="M202" s="233"/>
      <c r="N202" s="240" t="str">
        <f t="shared" si="9"/>
        <v/>
      </c>
      <c r="O202" s="240" t="str">
        <f t="shared" si="10"/>
        <v/>
      </c>
      <c r="P202" s="240" t="str">
        <f t="shared" si="11"/>
        <v/>
      </c>
      <c r="Q202" s="240" t="str">
        <f t="shared" si="12"/>
        <v/>
      </c>
      <c r="R202" s="236" t="str">
        <f t="shared" si="13"/>
        <v/>
      </c>
      <c r="S202" s="177"/>
      <c r="T202" s="233" t="str">
        <f t="shared" ref="T202:U202" si="212">IF(AND(C202&lt;&gt;"",F202&lt;&gt;"",I202&lt;&gt;""), SUM(I202,F202,C202,L202),"")</f>
        <v/>
      </c>
      <c r="U202" s="233" t="str">
        <f t="shared" si="212"/>
        <v/>
      </c>
      <c r="V202" s="233" t="str">
        <f t="shared" si="6"/>
        <v/>
      </c>
      <c r="W202" s="241" t="str">
        <f t="shared" si="15"/>
        <v/>
      </c>
      <c r="X202" s="241" t="str">
        <f t="shared" si="16"/>
        <v/>
      </c>
      <c r="Y202" s="241" t="str">
        <f t="shared" si="25"/>
        <v/>
      </c>
      <c r="Z202" s="233" t="str">
        <f t="shared" si="7"/>
        <v/>
      </c>
      <c r="AA202" s="165"/>
      <c r="AB202" s="245"/>
      <c r="AC202" s="242" t="str">
        <f>IF(ISTEXT(AB202),VLOOKUP(AB202,'Cadastro dos Ativos'!$A$2:$C$1000,3,0),"")</f>
        <v/>
      </c>
      <c r="AD202" s="242" t="str">
        <f>IF(AB202 &lt;&gt; "",IF(AC202="Futuros", (SUMIFS('Alocação'!$O$3:$O$1002,'Alocação'!$C$3:$C$1002,AB202,'Alocação'!$F$3:$F$1002,AB$9,'Alocação'!$B$3:$B$1002,"&lt;="&amp;$B$4)), (SUMIFS('Alocação'!$O$3:$O$1002,'Alocação'!$C$3:$C$1002,AB202,'Alocação'!$F$3:$F$1002,AB$9,'Alocação'!$B$3:$B$1002,"&lt;="&amp;$B$6))),"")</f>
        <v/>
      </c>
      <c r="AE202" s="243" t="str">
        <f>iferror(IF(AC202="Ações Americanas", HLOOKUP(AB202,'Histórico'!$A$1:$DD$990,MATCH($B$6,'Histórico'!$A:$A),FALSE)*HLOOKUP("PTAX",'Histórico'!$A$1:$FG$983,MATCH($B$6,'Histórico'!$A:$A),FALSE),IF(AC202="Ações Europeias", HLOOKUP(AB202,'Histórico'!$A$1:$DD$990,MATCH($B$6,'Histórico'!$A:$A),FALSE)*HLOOKUP("EUR/BRL",'Histórico'!$A$1:$FG$983,MATCH($B$6,'Histórico'!$A:$A),FALSE), HLOOKUP(AB202,'Histórico'!$A$1:$DD$990,MATCH($B$6,'Histórico'!$A:$A),FALSE))),"")</f>
        <v/>
      </c>
      <c r="AF202" s="243" t="str">
        <f t="shared" si="21"/>
        <v/>
      </c>
      <c r="AG202" s="53"/>
      <c r="AH202" s="245"/>
      <c r="AI202" s="242" t="str">
        <f>IF(ISTEXT(AH202),VLOOKUP(AH202,'Cadastro dos Ativos'!$A$2:$C$1000,3,0),"")</f>
        <v/>
      </c>
      <c r="AJ202" s="242" t="str">
        <f>IF(AH202 &lt;&gt; "",IF(AI202="Futuros", (SUMIFS('Alocação'!$O$3:$O$1002,'Alocação'!$C$3:$C$1002,AH202,'Alocação'!$F$3:$F$1002,AH$9,'Alocação'!$B$3:$B$1002,"&lt;="&amp;$B$4)), (SUMIFS('Alocação'!$O$3:$O$1002,'Alocação'!$C$3:$C$1002,AH202,'Alocação'!$F$3:$F$1002,AH$9,'Alocação'!$B$3:$B$1002,"&lt;="&amp;$B$6))),"")</f>
        <v/>
      </c>
      <c r="AK202" s="243" t="str">
        <f>iferror(IF(AI202="Ações Americanas", HLOOKUP(AH202,'Histórico'!$A$1:$DD$990,MATCH($B$6,'Histórico'!$A:$A),FALSE)*HLOOKUP("PTAX",'Histórico'!$A$1:$FG$983,MATCH($B$6,'Histórico'!$A:$A),FALSE),IF(AI202="Ações Europeias", HLOOKUP(AH202,'Histórico'!$A$1:$DD$990,MATCH($B$6,'Histórico'!$A:$A),FALSE)*HLOOKUP("EUR/BRL",'Histórico'!$A$1:$FG$983,MATCH($B$6,'Histórico'!$A:$A),FALSE),  HLOOKUP(AH202,'Histórico'!$A$1:$DD$990,MATCH($B$6,'Histórico'!$A:$A),FALSE))),"")</f>
        <v/>
      </c>
      <c r="AL202" s="243" t="str">
        <f t="shared" si="17"/>
        <v/>
      </c>
      <c r="AM202" s="53"/>
      <c r="AN202" s="245"/>
      <c r="AO202" s="242" t="str">
        <f>IF(ISTEXT(AN202),VLOOKUP(AN202,'Cadastro dos Ativos'!$A$2:$C$1000,3,0),"")</f>
        <v/>
      </c>
      <c r="AP202" s="242" t="str">
        <f>IF(AN202 &lt;&gt; "",IF(AO202="Futuros", (SUMIFS('Alocação'!$O$3:$O$1002,'Alocação'!$C$3:$C$1002,AN202,'Alocação'!$F$3:$F$1002,AN$9,'Alocação'!$B$3:$B$1002,"&lt;="&amp;$B$4)), (SUMIFS('Alocação'!$O$3:$O$1002,'Alocação'!$C$3:$C$1002,AN202,'Alocação'!$F$3:$F$1002,AN$9,'Alocação'!$B$3:$B$1002,"&lt;="&amp;$B$6))),"")</f>
        <v/>
      </c>
      <c r="AQ202" s="243" t="str">
        <f>iferror(IF(AO202="Ações Americanas", HLOOKUP(AN202,'Histórico'!$A$1:$DD$990,MATCH($B$6,'Histórico'!$A:$A),FALSE)*HLOOKUP("PTAX",'Histórico'!$A$1:$FG$983,MATCH($B$6,'Histórico'!$A:$A),FALSE),IF(AO202="Ações Europeias", HLOOKUP(AN202,'Histórico'!$A$1:$DD$990,MATCH($B$6,'Histórico'!$A:$A),FALSE)*HLOOKUP("EUR/BRL",'Histórico'!$A$1:$FG$983,MATCH($B$6,'Histórico'!$A:$A),FALSE),  HLOOKUP(AN202,'Histórico'!$A$1:$DD$990,MATCH($B$6,'Histórico'!$A:$A),FALSE))),"")</f>
        <v/>
      </c>
      <c r="AR202" s="243" t="str">
        <f t="shared" si="18"/>
        <v/>
      </c>
      <c r="AS202" s="53"/>
      <c r="AT202" s="245"/>
      <c r="AU202" s="242" t="str">
        <f>IF(ISTEXT(AT202),VLOOKUP(AT202,'Cadastro dos Ativos'!$A$2:$C$1000,3,0),"")</f>
        <v/>
      </c>
      <c r="AV202" s="242" t="str">
        <f>IF(AT202 &lt;&gt; "",IF(AU202="Futuros", (SUMIFS('Alocação'!$O$3:$O$1002,'Alocação'!$C$3:$C$1002,AT202,'Alocação'!$F$3:$F$1002,AT$9,'Alocação'!$B$3:$B$1002,"&lt;="&amp;$B$4)), (SUMIFS('Alocação'!$O$3:$O$1002,'Alocação'!$C$3:$C$1002,AT202,'Alocação'!$F$3:$F$1002,AT$9,'Alocação'!$B$3:$B$1002,"&lt;="&amp;$B$6))),"")</f>
        <v/>
      </c>
      <c r="AW202" s="243" t="str">
        <f>iferror(IF(AU202="Ações Americanas", HLOOKUP(AT202,'Histórico'!$A$1:$DD$990,MATCH($B$6,'Histórico'!$A:$A),FALSE)*HLOOKUP("PTAX",'Histórico'!$A$1:$FG$983,MATCH($B$6,'Histórico'!$A:$A),FALSE),IF(AU202="Ações Europeias", HLOOKUP(AT202,'Histórico'!$A$1:$DD$990,MATCH($B$6,'Histórico'!$A:$A),FALSE)*HLOOKUP("EUR/BRL",'Histórico'!$A$1:$FG$983,MATCH($B$6,'Histórico'!$A:$A),FALSE),  HLOOKUP(AT202,'Histórico'!$A$1:$DD$990,MATCH($B$6,'Histórico'!$A:$A),FALSE))),"")</f>
        <v/>
      </c>
      <c r="AX202" s="243" t="str">
        <f t="shared" si="27"/>
        <v/>
      </c>
      <c r="AY202" s="183"/>
    </row>
    <row r="203" ht="15.75" customHeight="1">
      <c r="A203" s="176"/>
      <c r="B203" s="232">
        <v>45287.0</v>
      </c>
      <c r="C203" s="233"/>
      <c r="D203" s="233"/>
      <c r="E203" s="234"/>
      <c r="F203" s="233"/>
      <c r="G203" s="233"/>
      <c r="H203" s="234"/>
      <c r="I203" s="233"/>
      <c r="J203" s="233"/>
      <c r="K203" s="234"/>
      <c r="L203" s="233"/>
      <c r="M203" s="233"/>
      <c r="N203" s="240" t="str">
        <f t="shared" si="9"/>
        <v/>
      </c>
      <c r="O203" s="240" t="str">
        <f t="shared" si="10"/>
        <v/>
      </c>
      <c r="P203" s="240" t="str">
        <f t="shared" si="11"/>
        <v/>
      </c>
      <c r="Q203" s="240" t="str">
        <f t="shared" si="12"/>
        <v/>
      </c>
      <c r="R203" s="236" t="str">
        <f t="shared" si="13"/>
        <v/>
      </c>
      <c r="S203" s="177"/>
      <c r="T203" s="233" t="str">
        <f t="shared" ref="T203:U203" si="213">IF(AND(C203&lt;&gt;"",F203&lt;&gt;"",I203&lt;&gt;""), SUM(I203,F203,C203,L203),"")</f>
        <v/>
      </c>
      <c r="U203" s="233" t="str">
        <f t="shared" si="213"/>
        <v/>
      </c>
      <c r="V203" s="233" t="str">
        <f t="shared" si="6"/>
        <v/>
      </c>
      <c r="W203" s="241" t="str">
        <f t="shared" si="15"/>
        <v/>
      </c>
      <c r="X203" s="241" t="str">
        <f t="shared" si="16"/>
        <v/>
      </c>
      <c r="Y203" s="241" t="str">
        <f t="shared" si="25"/>
        <v/>
      </c>
      <c r="Z203" s="233" t="str">
        <f t="shared" si="7"/>
        <v/>
      </c>
      <c r="AA203" s="165"/>
      <c r="AB203" s="245"/>
      <c r="AC203" s="242" t="str">
        <f>IF(ISTEXT(AB203),VLOOKUP(AB203,'Cadastro dos Ativos'!$A$2:$C$1000,3,0),"")</f>
        <v/>
      </c>
      <c r="AD203" s="242" t="str">
        <f>IF(AB203 &lt;&gt; "",IF(AC203="Futuros", (SUMIFS('Alocação'!$O$3:$O$1002,'Alocação'!$C$3:$C$1002,AB203,'Alocação'!$F$3:$F$1002,AB$9,'Alocação'!$B$3:$B$1002,"&lt;="&amp;$B$4)), (SUMIFS('Alocação'!$O$3:$O$1002,'Alocação'!$C$3:$C$1002,AB203,'Alocação'!$F$3:$F$1002,AB$9,'Alocação'!$B$3:$B$1002,"&lt;="&amp;$B$6))),"")</f>
        <v/>
      </c>
      <c r="AE203" s="243" t="str">
        <f>iferror(IF(AC203="Ações Americanas", HLOOKUP(AB203,'Histórico'!$A$1:$DD$990,MATCH($B$6,'Histórico'!$A:$A),FALSE)*HLOOKUP("PTAX",'Histórico'!$A$1:$FG$983,MATCH($B$6,'Histórico'!$A:$A),FALSE),IF(AC203="Ações Europeias", HLOOKUP(AB203,'Histórico'!$A$1:$DD$990,MATCH($B$6,'Histórico'!$A:$A),FALSE)*HLOOKUP("EUR/BRL",'Histórico'!$A$1:$FG$983,MATCH($B$6,'Histórico'!$A:$A),FALSE), HLOOKUP(AB203,'Histórico'!$A$1:$DD$990,MATCH($B$6,'Histórico'!$A:$A),FALSE))),"")</f>
        <v/>
      </c>
      <c r="AF203" s="243" t="str">
        <f t="shared" si="21"/>
        <v/>
      </c>
      <c r="AG203" s="53"/>
      <c r="AH203" s="245"/>
      <c r="AI203" s="242" t="str">
        <f>IF(ISTEXT(AH203),VLOOKUP(AH203,'Cadastro dos Ativos'!$A$2:$C$1000,3,0),"")</f>
        <v/>
      </c>
      <c r="AJ203" s="242" t="str">
        <f>IF(AH203 &lt;&gt; "",IF(AI203="Futuros", (SUMIFS('Alocação'!$O$3:$O$1002,'Alocação'!$C$3:$C$1002,AH203,'Alocação'!$F$3:$F$1002,AH$9,'Alocação'!$B$3:$B$1002,"&lt;="&amp;$B$4)), (SUMIFS('Alocação'!$O$3:$O$1002,'Alocação'!$C$3:$C$1002,AH203,'Alocação'!$F$3:$F$1002,AH$9,'Alocação'!$B$3:$B$1002,"&lt;="&amp;$B$6))),"")</f>
        <v/>
      </c>
      <c r="AK203" s="243" t="str">
        <f>iferror(IF(AI203="Ações Americanas", HLOOKUP(AH203,'Histórico'!$A$1:$DD$990,MATCH($B$6,'Histórico'!$A:$A),FALSE)*HLOOKUP("PTAX",'Histórico'!$A$1:$FG$983,MATCH($B$6,'Histórico'!$A:$A),FALSE),IF(AI203="Ações Europeias", HLOOKUP(AH203,'Histórico'!$A$1:$DD$990,MATCH($B$6,'Histórico'!$A:$A),FALSE)*HLOOKUP("EUR/BRL",'Histórico'!$A$1:$FG$983,MATCH($B$6,'Histórico'!$A:$A),FALSE),  HLOOKUP(AH203,'Histórico'!$A$1:$DD$990,MATCH($B$6,'Histórico'!$A:$A),FALSE))),"")</f>
        <v/>
      </c>
      <c r="AL203" s="243" t="str">
        <f t="shared" si="17"/>
        <v/>
      </c>
      <c r="AM203" s="53"/>
      <c r="AN203" s="245"/>
      <c r="AO203" s="242" t="str">
        <f>IF(ISTEXT(AN203),VLOOKUP(AN203,'Cadastro dos Ativos'!$A$2:$C$1000,3,0),"")</f>
        <v/>
      </c>
      <c r="AP203" s="242" t="str">
        <f>IF(AN203 &lt;&gt; "",IF(AO203="Futuros", (SUMIFS('Alocação'!$O$3:$O$1002,'Alocação'!$C$3:$C$1002,AN203,'Alocação'!$F$3:$F$1002,AN$9,'Alocação'!$B$3:$B$1002,"&lt;="&amp;$B$4)), (SUMIFS('Alocação'!$O$3:$O$1002,'Alocação'!$C$3:$C$1002,AN203,'Alocação'!$F$3:$F$1002,AN$9,'Alocação'!$B$3:$B$1002,"&lt;="&amp;$B$6))),"")</f>
        <v/>
      </c>
      <c r="AQ203" s="243" t="str">
        <f>iferror(IF(AO203="Ações Americanas", HLOOKUP(AN203,'Histórico'!$A$1:$DD$990,MATCH($B$6,'Histórico'!$A:$A),FALSE)*HLOOKUP("PTAX",'Histórico'!$A$1:$FG$983,MATCH($B$6,'Histórico'!$A:$A),FALSE),IF(AO203="Ações Europeias", HLOOKUP(AN203,'Histórico'!$A$1:$DD$990,MATCH($B$6,'Histórico'!$A:$A),FALSE)*HLOOKUP("EUR/BRL",'Histórico'!$A$1:$FG$983,MATCH($B$6,'Histórico'!$A:$A),FALSE),  HLOOKUP(AN203,'Histórico'!$A$1:$DD$990,MATCH($B$6,'Histórico'!$A:$A),FALSE))),"")</f>
        <v/>
      </c>
      <c r="AR203" s="243" t="str">
        <f t="shared" si="18"/>
        <v/>
      </c>
      <c r="AS203" s="53"/>
      <c r="AT203" s="245"/>
      <c r="AU203" s="242" t="str">
        <f>IF(ISTEXT(AT203),VLOOKUP(AT203,'Cadastro dos Ativos'!$A$2:$C$1000,3,0),"")</f>
        <v/>
      </c>
      <c r="AV203" s="242" t="str">
        <f>IF(AT203 &lt;&gt; "",IF(AU203="Futuros", (SUMIFS('Alocação'!$O$3:$O$1002,'Alocação'!$C$3:$C$1002,AT203,'Alocação'!$F$3:$F$1002,AT$9,'Alocação'!$B$3:$B$1002,"&lt;="&amp;$B$4)), (SUMIFS('Alocação'!$O$3:$O$1002,'Alocação'!$C$3:$C$1002,AT203,'Alocação'!$F$3:$F$1002,AT$9,'Alocação'!$B$3:$B$1002,"&lt;="&amp;$B$6))),"")</f>
        <v/>
      </c>
      <c r="AW203" s="243" t="str">
        <f>iferror(IF(AU203="Ações Americanas", HLOOKUP(AT203,'Histórico'!$A$1:$DD$990,MATCH($B$6,'Histórico'!$A:$A),FALSE)*HLOOKUP("PTAX",'Histórico'!$A$1:$FG$983,MATCH($B$6,'Histórico'!$A:$A),FALSE),IF(AU203="Ações Europeias", HLOOKUP(AT203,'Histórico'!$A$1:$DD$990,MATCH($B$6,'Histórico'!$A:$A),FALSE)*HLOOKUP("EUR/BRL",'Histórico'!$A$1:$FG$983,MATCH($B$6,'Histórico'!$A:$A),FALSE),  HLOOKUP(AT203,'Histórico'!$A$1:$DD$990,MATCH($B$6,'Histórico'!$A:$A),FALSE))),"")</f>
        <v/>
      </c>
      <c r="AX203" s="243" t="str">
        <f t="shared" si="27"/>
        <v/>
      </c>
      <c r="AY203" s="183"/>
    </row>
    <row r="204" ht="15.75" customHeight="1">
      <c r="A204" s="176"/>
      <c r="B204" s="232">
        <v>45288.0</v>
      </c>
      <c r="C204" s="233"/>
      <c r="D204" s="233"/>
      <c r="E204" s="234"/>
      <c r="F204" s="233"/>
      <c r="G204" s="233"/>
      <c r="H204" s="234"/>
      <c r="I204" s="233"/>
      <c r="J204" s="233"/>
      <c r="K204" s="234"/>
      <c r="L204" s="233"/>
      <c r="M204" s="233"/>
      <c r="N204" s="240" t="str">
        <f t="shared" si="9"/>
        <v/>
      </c>
      <c r="O204" s="240" t="str">
        <f t="shared" si="10"/>
        <v/>
      </c>
      <c r="P204" s="240" t="str">
        <f t="shared" si="11"/>
        <v/>
      </c>
      <c r="Q204" s="240" t="str">
        <f t="shared" si="12"/>
        <v/>
      </c>
      <c r="R204" s="236" t="str">
        <f t="shared" si="13"/>
        <v/>
      </c>
      <c r="S204" s="177"/>
      <c r="T204" s="233" t="str">
        <f t="shared" ref="T204:U204" si="214">IF(AND(C204&lt;&gt;"",F204&lt;&gt;"",I204&lt;&gt;""), SUM(I204,F204,C204,L204),"")</f>
        <v/>
      </c>
      <c r="U204" s="233" t="str">
        <f t="shared" si="214"/>
        <v/>
      </c>
      <c r="V204" s="233" t="str">
        <f t="shared" si="6"/>
        <v/>
      </c>
      <c r="W204" s="241" t="str">
        <f t="shared" si="15"/>
        <v/>
      </c>
      <c r="X204" s="241" t="str">
        <f t="shared" si="16"/>
        <v/>
      </c>
      <c r="Y204" s="241" t="str">
        <f t="shared" si="25"/>
        <v/>
      </c>
      <c r="Z204" s="233" t="str">
        <f t="shared" si="7"/>
        <v/>
      </c>
      <c r="AA204" s="165"/>
      <c r="AB204" s="245"/>
      <c r="AC204" s="242" t="str">
        <f>IF(ISTEXT(AB204),VLOOKUP(AB204,'Cadastro dos Ativos'!$A$2:$C$1000,3,0),"")</f>
        <v/>
      </c>
      <c r="AD204" s="242" t="str">
        <f>IF(AB204 &lt;&gt; "",IF(AC204="Futuros", (SUMIFS('Alocação'!$O$3:$O$1002,'Alocação'!$C$3:$C$1002,AB204,'Alocação'!$F$3:$F$1002,AB$9,'Alocação'!$B$3:$B$1002,"&lt;="&amp;$B$4)), (SUMIFS('Alocação'!$O$3:$O$1002,'Alocação'!$C$3:$C$1002,AB204,'Alocação'!$F$3:$F$1002,AB$9,'Alocação'!$B$3:$B$1002,"&lt;="&amp;$B$6))),"")</f>
        <v/>
      </c>
      <c r="AE204" s="243" t="str">
        <f>iferror(IF(AC204="Ações Americanas", HLOOKUP(AB204,'Histórico'!$A$1:$DD$990,MATCH($B$6,'Histórico'!$A:$A),FALSE)*HLOOKUP("PTAX",'Histórico'!$A$1:$FG$983,MATCH($B$6,'Histórico'!$A:$A),FALSE),IF(AC204="Ações Europeias", HLOOKUP(AB204,'Histórico'!$A$1:$DD$990,MATCH($B$6,'Histórico'!$A:$A),FALSE)*HLOOKUP("EUR/BRL",'Histórico'!$A$1:$FG$983,MATCH($B$6,'Histórico'!$A:$A),FALSE), HLOOKUP(AB204,'Histórico'!$A$1:$DD$990,MATCH($B$6,'Histórico'!$A:$A),FALSE))),"")</f>
        <v/>
      </c>
      <c r="AF204" s="243" t="str">
        <f t="shared" si="21"/>
        <v/>
      </c>
      <c r="AG204" s="53"/>
      <c r="AH204" s="245"/>
      <c r="AI204" s="242" t="str">
        <f>IF(ISTEXT(AH204),VLOOKUP(AH204,'Cadastro dos Ativos'!$A$2:$C$1000,3,0),"")</f>
        <v/>
      </c>
      <c r="AJ204" s="242" t="str">
        <f>IF(AH204 &lt;&gt; "",IF(AI204="Futuros", (SUMIFS('Alocação'!$O$3:$O$1002,'Alocação'!$C$3:$C$1002,AH204,'Alocação'!$F$3:$F$1002,AH$9,'Alocação'!$B$3:$B$1002,"&lt;="&amp;$B$4)), (SUMIFS('Alocação'!$O$3:$O$1002,'Alocação'!$C$3:$C$1002,AH204,'Alocação'!$F$3:$F$1002,AH$9,'Alocação'!$B$3:$B$1002,"&lt;="&amp;$B$6))),"")</f>
        <v/>
      </c>
      <c r="AK204" s="243" t="str">
        <f>iferror(IF(AI204="Ações Americanas", HLOOKUP(AH204,'Histórico'!$A$1:$DD$990,MATCH($B$6,'Histórico'!$A:$A),FALSE)*HLOOKUP("PTAX",'Histórico'!$A$1:$FG$983,MATCH($B$6,'Histórico'!$A:$A),FALSE),IF(AI204="Ações Europeias", HLOOKUP(AH204,'Histórico'!$A$1:$DD$990,MATCH($B$6,'Histórico'!$A:$A),FALSE)*HLOOKUP("EUR/BRL",'Histórico'!$A$1:$FG$983,MATCH($B$6,'Histórico'!$A:$A),FALSE),  HLOOKUP(AH204,'Histórico'!$A$1:$DD$990,MATCH($B$6,'Histórico'!$A:$A),FALSE))),"")</f>
        <v/>
      </c>
      <c r="AL204" s="243" t="str">
        <f t="shared" si="17"/>
        <v/>
      </c>
      <c r="AM204" s="53"/>
      <c r="AN204" s="245"/>
      <c r="AO204" s="242" t="str">
        <f>IF(ISTEXT(AN204),VLOOKUP(AN204,'Cadastro dos Ativos'!$A$2:$C$1000,3,0),"")</f>
        <v/>
      </c>
      <c r="AP204" s="242" t="str">
        <f>IF(AN204 &lt;&gt; "",IF(AO204="Futuros", (SUMIFS('Alocação'!$O$3:$O$1002,'Alocação'!$C$3:$C$1002,AN204,'Alocação'!$F$3:$F$1002,AN$9,'Alocação'!$B$3:$B$1002,"&lt;="&amp;$B$4)), (SUMIFS('Alocação'!$O$3:$O$1002,'Alocação'!$C$3:$C$1002,AN204,'Alocação'!$F$3:$F$1002,AN$9,'Alocação'!$B$3:$B$1002,"&lt;="&amp;$B$6))),"")</f>
        <v/>
      </c>
      <c r="AQ204" s="243" t="str">
        <f>iferror(IF(AO204="Ações Americanas", HLOOKUP(AN204,'Histórico'!$A$1:$DD$990,MATCH($B$6,'Histórico'!$A:$A),FALSE)*HLOOKUP("PTAX",'Histórico'!$A$1:$FG$983,MATCH($B$6,'Histórico'!$A:$A),FALSE),IF(AO204="Ações Europeias", HLOOKUP(AN204,'Histórico'!$A$1:$DD$990,MATCH($B$6,'Histórico'!$A:$A),FALSE)*HLOOKUP("EUR/BRL",'Histórico'!$A$1:$FG$983,MATCH($B$6,'Histórico'!$A:$A),FALSE),  HLOOKUP(AN204,'Histórico'!$A$1:$DD$990,MATCH($B$6,'Histórico'!$A:$A),FALSE))),"")</f>
        <v/>
      </c>
      <c r="AR204" s="243" t="str">
        <f t="shared" si="18"/>
        <v/>
      </c>
      <c r="AS204" s="53"/>
      <c r="AT204" s="245"/>
      <c r="AU204" s="242" t="str">
        <f>IF(ISTEXT(AT204),VLOOKUP(AT204,'Cadastro dos Ativos'!$A$2:$C$1000,3,0),"")</f>
        <v/>
      </c>
      <c r="AV204" s="242" t="str">
        <f>IF(AT204 &lt;&gt; "",IF(AU204="Futuros", (SUMIFS('Alocação'!$O$3:$O$1002,'Alocação'!$C$3:$C$1002,AT204,'Alocação'!$F$3:$F$1002,AT$9,'Alocação'!$B$3:$B$1002,"&lt;="&amp;$B$4)), (SUMIFS('Alocação'!$O$3:$O$1002,'Alocação'!$C$3:$C$1002,AT204,'Alocação'!$F$3:$F$1002,AT$9,'Alocação'!$B$3:$B$1002,"&lt;="&amp;$B$6))),"")</f>
        <v/>
      </c>
      <c r="AW204" s="243" t="str">
        <f>iferror(IF(AU204="Ações Americanas", HLOOKUP(AT204,'Histórico'!$A$1:$DD$990,MATCH($B$6,'Histórico'!$A:$A),FALSE)*HLOOKUP("PTAX",'Histórico'!$A$1:$FG$983,MATCH($B$6,'Histórico'!$A:$A),FALSE),IF(AU204="Ações Europeias", HLOOKUP(AT204,'Histórico'!$A$1:$DD$990,MATCH($B$6,'Histórico'!$A:$A),FALSE)*HLOOKUP("EUR/BRL",'Histórico'!$A$1:$FG$983,MATCH($B$6,'Histórico'!$A:$A),FALSE),  HLOOKUP(AT204,'Histórico'!$A$1:$DD$990,MATCH($B$6,'Histórico'!$A:$A),FALSE))),"")</f>
        <v/>
      </c>
      <c r="AX204" s="243" t="str">
        <f t="shared" si="27"/>
        <v/>
      </c>
      <c r="AY204" s="183"/>
    </row>
    <row r="205" ht="15.75" customHeight="1">
      <c r="A205" s="176"/>
      <c r="B205" s="232">
        <v>45289.0</v>
      </c>
      <c r="C205" s="233"/>
      <c r="D205" s="233"/>
      <c r="E205" s="234"/>
      <c r="F205" s="233"/>
      <c r="G205" s="233"/>
      <c r="H205" s="234"/>
      <c r="I205" s="233"/>
      <c r="J205" s="233"/>
      <c r="K205" s="234"/>
      <c r="L205" s="233"/>
      <c r="M205" s="233"/>
      <c r="N205" s="240" t="str">
        <f t="shared" si="9"/>
        <v/>
      </c>
      <c r="O205" s="240" t="str">
        <f t="shared" si="10"/>
        <v/>
      </c>
      <c r="P205" s="240" t="str">
        <f t="shared" si="11"/>
        <v/>
      </c>
      <c r="Q205" s="240" t="str">
        <f t="shared" si="12"/>
        <v/>
      </c>
      <c r="R205" s="236" t="str">
        <f t="shared" si="13"/>
        <v/>
      </c>
      <c r="S205" s="177"/>
      <c r="T205" s="233" t="str">
        <f t="shared" ref="T205:U205" si="215">IF(AND(C205&lt;&gt;"",F205&lt;&gt;"",I205&lt;&gt;""), SUM(I205,F205,C205,L205),"")</f>
        <v/>
      </c>
      <c r="U205" s="233" t="str">
        <f t="shared" si="215"/>
        <v/>
      </c>
      <c r="V205" s="233" t="str">
        <f t="shared" si="6"/>
        <v/>
      </c>
      <c r="W205" s="241" t="str">
        <f t="shared" si="15"/>
        <v/>
      </c>
      <c r="X205" s="241" t="str">
        <f t="shared" si="16"/>
        <v/>
      </c>
      <c r="Y205" s="241" t="str">
        <f t="shared" si="25"/>
        <v/>
      </c>
      <c r="Z205" s="233" t="str">
        <f t="shared" si="7"/>
        <v/>
      </c>
      <c r="AA205" s="165"/>
      <c r="AB205" s="245"/>
      <c r="AC205" s="242" t="str">
        <f>IF(ISTEXT(AB205),VLOOKUP(AB205,'Cadastro dos Ativos'!$A$2:$C$1000,3,0),"")</f>
        <v/>
      </c>
      <c r="AD205" s="242" t="str">
        <f>IF(AB205 &lt;&gt; "",IF(AC205="Futuros", (SUMIFS('Alocação'!$O$3:$O$1002,'Alocação'!$C$3:$C$1002,AB205,'Alocação'!$F$3:$F$1002,AB$9,'Alocação'!$B$3:$B$1002,"&lt;="&amp;$B$4)), (SUMIFS('Alocação'!$O$3:$O$1002,'Alocação'!$C$3:$C$1002,AB205,'Alocação'!$F$3:$F$1002,AB$9,'Alocação'!$B$3:$B$1002,"&lt;="&amp;$B$6))),"")</f>
        <v/>
      </c>
      <c r="AE205" s="243" t="str">
        <f>iferror(IF(AC205="Ações Americanas", HLOOKUP(AB205,'Histórico'!$A$1:$DD$990,MATCH($B$6,'Histórico'!$A:$A),FALSE)*HLOOKUP("PTAX",'Histórico'!$A$1:$FG$983,MATCH($B$6,'Histórico'!$A:$A),FALSE),IF(AC205="Ações Europeias", HLOOKUP(AB205,'Histórico'!$A$1:$DD$990,MATCH($B$6,'Histórico'!$A:$A),FALSE)*HLOOKUP("EUR/BRL",'Histórico'!$A$1:$FG$983,MATCH($B$6,'Histórico'!$A:$A),FALSE), HLOOKUP(AB205,'Histórico'!$A$1:$DD$990,MATCH($B$6,'Histórico'!$A:$A),FALSE))),"")</f>
        <v/>
      </c>
      <c r="AF205" s="243" t="str">
        <f t="shared" si="21"/>
        <v/>
      </c>
      <c r="AG205" s="53"/>
      <c r="AH205" s="245"/>
      <c r="AI205" s="242" t="str">
        <f>IF(ISTEXT(AH205),VLOOKUP(AH205,'Cadastro dos Ativos'!$A$2:$C$1000,3,0),"")</f>
        <v/>
      </c>
      <c r="AJ205" s="242" t="str">
        <f>IF(AH205 &lt;&gt; "",IF(AI205="Futuros", (SUMIFS('Alocação'!$O$3:$O$1002,'Alocação'!$C$3:$C$1002,AH205,'Alocação'!$F$3:$F$1002,AH$9,'Alocação'!$B$3:$B$1002,"&lt;="&amp;$B$4)), (SUMIFS('Alocação'!$O$3:$O$1002,'Alocação'!$C$3:$C$1002,AH205,'Alocação'!$F$3:$F$1002,AH$9,'Alocação'!$B$3:$B$1002,"&lt;="&amp;$B$6))),"")</f>
        <v/>
      </c>
      <c r="AK205" s="243" t="str">
        <f>iferror(IF(AI205="Ações Americanas", HLOOKUP(AH205,'Histórico'!$A$1:$DD$990,MATCH($B$6,'Histórico'!$A:$A),FALSE)*HLOOKUP("PTAX",'Histórico'!$A$1:$FG$983,MATCH($B$6,'Histórico'!$A:$A),FALSE),IF(AI205="Ações Europeias", HLOOKUP(AH205,'Histórico'!$A$1:$DD$990,MATCH($B$6,'Histórico'!$A:$A),FALSE)*HLOOKUP("EUR/BRL",'Histórico'!$A$1:$FG$983,MATCH($B$6,'Histórico'!$A:$A),FALSE),  HLOOKUP(AH205,'Histórico'!$A$1:$DD$990,MATCH($B$6,'Histórico'!$A:$A),FALSE))),"")</f>
        <v/>
      </c>
      <c r="AL205" s="243" t="str">
        <f t="shared" si="17"/>
        <v/>
      </c>
      <c r="AM205" s="53"/>
      <c r="AN205" s="245"/>
      <c r="AO205" s="242" t="str">
        <f>IF(ISTEXT(AN205),VLOOKUP(AN205,'Cadastro dos Ativos'!$A$2:$C$1000,3,0),"")</f>
        <v/>
      </c>
      <c r="AP205" s="242" t="str">
        <f>IF(AN205 &lt;&gt; "",IF(AO205="Futuros", (SUMIFS('Alocação'!$O$3:$O$1002,'Alocação'!$C$3:$C$1002,AN205,'Alocação'!$F$3:$F$1002,AN$9,'Alocação'!$B$3:$B$1002,"&lt;="&amp;$B$4)), (SUMIFS('Alocação'!$O$3:$O$1002,'Alocação'!$C$3:$C$1002,AN205,'Alocação'!$F$3:$F$1002,AN$9,'Alocação'!$B$3:$B$1002,"&lt;="&amp;$B$6))),"")</f>
        <v/>
      </c>
      <c r="AQ205" s="243" t="str">
        <f>iferror(IF(AO205="Ações Americanas", HLOOKUP(AN205,'Histórico'!$A$1:$DD$990,MATCH($B$6,'Histórico'!$A:$A),FALSE)*HLOOKUP("PTAX",'Histórico'!$A$1:$FG$983,MATCH($B$6,'Histórico'!$A:$A),FALSE),IF(AO205="Ações Europeias", HLOOKUP(AN205,'Histórico'!$A$1:$DD$990,MATCH($B$6,'Histórico'!$A:$A),FALSE)*HLOOKUP("EUR/BRL",'Histórico'!$A$1:$FG$983,MATCH($B$6,'Histórico'!$A:$A),FALSE),  HLOOKUP(AN205,'Histórico'!$A$1:$DD$990,MATCH($B$6,'Histórico'!$A:$A),FALSE))),"")</f>
        <v/>
      </c>
      <c r="AR205" s="243" t="str">
        <f t="shared" si="18"/>
        <v/>
      </c>
      <c r="AS205" s="53"/>
      <c r="AT205" s="245"/>
      <c r="AU205" s="242" t="str">
        <f>IF(ISTEXT(AT205),VLOOKUP(AT205,'Cadastro dos Ativos'!$A$2:$C$1000,3,0),"")</f>
        <v/>
      </c>
      <c r="AV205" s="242" t="str">
        <f>IF(AT205 &lt;&gt; "",IF(AU205="Futuros", (SUMIFS('Alocação'!$O$3:$O$1002,'Alocação'!$C$3:$C$1002,AT205,'Alocação'!$F$3:$F$1002,AT$9,'Alocação'!$B$3:$B$1002,"&lt;="&amp;$B$4)), (SUMIFS('Alocação'!$O$3:$O$1002,'Alocação'!$C$3:$C$1002,AT205,'Alocação'!$F$3:$F$1002,AT$9,'Alocação'!$B$3:$B$1002,"&lt;="&amp;$B$6))),"")</f>
        <v/>
      </c>
      <c r="AW205" s="243" t="str">
        <f>iferror(IF(AU205="Ações Americanas", HLOOKUP(AT205,'Histórico'!$A$1:$DD$990,MATCH($B$6,'Histórico'!$A:$A),FALSE)*HLOOKUP("PTAX",'Histórico'!$A$1:$FG$983,MATCH($B$6,'Histórico'!$A:$A),FALSE),IF(AU205="Ações Europeias", HLOOKUP(AT205,'Histórico'!$A$1:$DD$990,MATCH($B$6,'Histórico'!$A:$A),FALSE)*HLOOKUP("EUR/BRL",'Histórico'!$A$1:$FG$983,MATCH($B$6,'Histórico'!$A:$A),FALSE),  HLOOKUP(AT205,'Histórico'!$A$1:$DD$990,MATCH($B$6,'Histórico'!$A:$A),FALSE))),"")</f>
        <v/>
      </c>
      <c r="AX205" s="243" t="str">
        <f t="shared" si="27"/>
        <v/>
      </c>
      <c r="AY205" s="183"/>
    </row>
    <row r="206" ht="15.75" customHeight="1">
      <c r="A206" s="176"/>
      <c r="B206" s="232">
        <v>45293.0</v>
      </c>
      <c r="C206" s="233"/>
      <c r="D206" s="233"/>
      <c r="E206" s="234"/>
      <c r="F206" s="233"/>
      <c r="G206" s="233"/>
      <c r="H206" s="234"/>
      <c r="I206" s="233"/>
      <c r="J206" s="233"/>
      <c r="K206" s="234"/>
      <c r="L206" s="233"/>
      <c r="M206" s="233"/>
      <c r="N206" s="240" t="str">
        <f t="shared" si="9"/>
        <v/>
      </c>
      <c r="O206" s="240" t="str">
        <f t="shared" si="10"/>
        <v/>
      </c>
      <c r="P206" s="240" t="str">
        <f t="shared" si="11"/>
        <v/>
      </c>
      <c r="Q206" s="240" t="str">
        <f t="shared" si="12"/>
        <v/>
      </c>
      <c r="R206" s="236" t="str">
        <f t="shared" si="13"/>
        <v/>
      </c>
      <c r="S206" s="177"/>
      <c r="T206" s="233" t="str">
        <f t="shared" ref="T206:U206" si="216">IF(AND(C206&lt;&gt;"",F206&lt;&gt;"",I206&lt;&gt;""), SUM(I206,F206,C206,L206),"")</f>
        <v/>
      </c>
      <c r="U206" s="233" t="str">
        <f t="shared" si="216"/>
        <v/>
      </c>
      <c r="V206" s="233" t="str">
        <f t="shared" si="6"/>
        <v/>
      </c>
      <c r="W206" s="241" t="str">
        <f t="shared" si="15"/>
        <v/>
      </c>
      <c r="X206" s="241" t="str">
        <f t="shared" si="16"/>
        <v/>
      </c>
      <c r="Y206" s="241" t="str">
        <f t="shared" si="25"/>
        <v/>
      </c>
      <c r="Z206" s="233" t="str">
        <f t="shared" si="7"/>
        <v/>
      </c>
      <c r="AA206" s="165"/>
      <c r="AB206" s="245"/>
      <c r="AC206" s="242" t="str">
        <f>IF(ISTEXT(AB206),VLOOKUP(AB206,'Cadastro dos Ativos'!$A$2:$C$1000,3,0),"")</f>
        <v/>
      </c>
      <c r="AD206" s="242" t="str">
        <f>IF(AB206 &lt;&gt; "",IF(AC206="Futuros", (SUMIFS('Alocação'!$O$3:$O$1002,'Alocação'!$C$3:$C$1002,AB206,'Alocação'!$F$3:$F$1002,AB$9,'Alocação'!$B$3:$B$1002,"&lt;="&amp;$B$4)), (SUMIFS('Alocação'!$O$3:$O$1002,'Alocação'!$C$3:$C$1002,AB206,'Alocação'!$F$3:$F$1002,AB$9,'Alocação'!$B$3:$B$1002,"&lt;="&amp;$B$6))),"")</f>
        <v/>
      </c>
      <c r="AE206" s="243" t="str">
        <f>iferror(IF(AC206="Ações Americanas", HLOOKUP(AB206,'Histórico'!$A$1:$DD$990,MATCH($B$6,'Histórico'!$A:$A),FALSE)*HLOOKUP("PTAX",'Histórico'!$A$1:$FG$983,MATCH($B$6,'Histórico'!$A:$A),FALSE),IF(AC206="Ações Europeias", HLOOKUP(AB206,'Histórico'!$A$1:$DD$990,MATCH($B$6,'Histórico'!$A:$A),FALSE)*HLOOKUP("EUR/BRL",'Histórico'!$A$1:$FG$983,MATCH($B$6,'Histórico'!$A:$A),FALSE), HLOOKUP(AB206,'Histórico'!$A$1:$DD$990,MATCH($B$6,'Histórico'!$A:$A),FALSE))),"")</f>
        <v/>
      </c>
      <c r="AF206" s="243" t="str">
        <f t="shared" si="21"/>
        <v/>
      </c>
      <c r="AG206" s="53"/>
      <c r="AH206" s="245"/>
      <c r="AI206" s="242" t="str">
        <f>IF(ISTEXT(AH206),VLOOKUP(AH206,'Cadastro dos Ativos'!$A$2:$C$1000,3,0),"")</f>
        <v/>
      </c>
      <c r="AJ206" s="242" t="str">
        <f>IF(AH206 &lt;&gt; "",IF(AI206="Futuros", (SUMIFS('Alocação'!$O$3:$O$1002,'Alocação'!$C$3:$C$1002,AH206,'Alocação'!$F$3:$F$1002,AH$9,'Alocação'!$B$3:$B$1002,"&lt;="&amp;$B$4)), (SUMIFS('Alocação'!$O$3:$O$1002,'Alocação'!$C$3:$C$1002,AH206,'Alocação'!$F$3:$F$1002,AH$9,'Alocação'!$B$3:$B$1002,"&lt;="&amp;$B$6))),"")</f>
        <v/>
      </c>
      <c r="AK206" s="243" t="str">
        <f>iferror(IF(AI206="Ações Americanas", HLOOKUP(AH206,'Histórico'!$A$1:$DD$990,MATCH($B$6,'Histórico'!$A:$A),FALSE)*HLOOKUP("PTAX",'Histórico'!$A$1:$FG$983,MATCH($B$6,'Histórico'!$A:$A),FALSE),IF(AI206="Ações Europeias", HLOOKUP(AH206,'Histórico'!$A$1:$DD$990,MATCH($B$6,'Histórico'!$A:$A),FALSE)*HLOOKUP("EUR/BRL",'Histórico'!$A$1:$FG$983,MATCH($B$6,'Histórico'!$A:$A),FALSE),  HLOOKUP(AH206,'Histórico'!$A$1:$DD$990,MATCH($B$6,'Histórico'!$A:$A),FALSE))),"")</f>
        <v/>
      </c>
      <c r="AL206" s="243" t="str">
        <f t="shared" si="17"/>
        <v/>
      </c>
      <c r="AM206" s="53"/>
      <c r="AN206" s="245"/>
      <c r="AO206" s="242" t="str">
        <f>IF(ISTEXT(AN206),VLOOKUP(AN206,'Cadastro dos Ativos'!$A$2:$C$1000,3,0),"")</f>
        <v/>
      </c>
      <c r="AP206" s="242" t="str">
        <f>IF(AN206 &lt;&gt; "",IF(AO206="Futuros", (SUMIFS('Alocação'!$O$3:$O$1002,'Alocação'!$C$3:$C$1002,AN206,'Alocação'!$F$3:$F$1002,AN$9,'Alocação'!$B$3:$B$1002,"&lt;="&amp;$B$4)), (SUMIFS('Alocação'!$O$3:$O$1002,'Alocação'!$C$3:$C$1002,AN206,'Alocação'!$F$3:$F$1002,AN$9,'Alocação'!$B$3:$B$1002,"&lt;="&amp;$B$6))),"")</f>
        <v/>
      </c>
      <c r="AQ206" s="243" t="str">
        <f>iferror(IF(AO206="Ações Americanas", HLOOKUP(AN206,'Histórico'!$A$1:$DD$990,MATCH($B$6,'Histórico'!$A:$A),FALSE)*HLOOKUP("PTAX",'Histórico'!$A$1:$FG$983,MATCH($B$6,'Histórico'!$A:$A),FALSE),IF(AO206="Ações Europeias", HLOOKUP(AN206,'Histórico'!$A$1:$DD$990,MATCH($B$6,'Histórico'!$A:$A),FALSE)*HLOOKUP("EUR/BRL",'Histórico'!$A$1:$FG$983,MATCH($B$6,'Histórico'!$A:$A),FALSE),  HLOOKUP(AN206,'Histórico'!$A$1:$DD$990,MATCH($B$6,'Histórico'!$A:$A),FALSE))),"")</f>
        <v/>
      </c>
      <c r="AR206" s="243" t="str">
        <f t="shared" si="18"/>
        <v/>
      </c>
      <c r="AS206" s="53"/>
      <c r="AT206" s="245"/>
      <c r="AU206" s="242" t="str">
        <f>IF(ISTEXT(AT206),VLOOKUP(AT206,'Cadastro dos Ativos'!$A$2:$C$1000,3,0),"")</f>
        <v/>
      </c>
      <c r="AV206" s="242" t="str">
        <f>IF(AT206 &lt;&gt; "",IF(AU206="Futuros", (SUMIFS('Alocação'!$O$3:$O$1002,'Alocação'!$C$3:$C$1002,AT206,'Alocação'!$F$3:$F$1002,AT$9,'Alocação'!$B$3:$B$1002,"&lt;="&amp;$B$4)), (SUMIFS('Alocação'!$O$3:$O$1002,'Alocação'!$C$3:$C$1002,AT206,'Alocação'!$F$3:$F$1002,AT$9,'Alocação'!$B$3:$B$1002,"&lt;="&amp;$B$6))),"")</f>
        <v/>
      </c>
      <c r="AW206" s="243" t="str">
        <f>iferror(IF(AU206="Ações Americanas", HLOOKUP(AT206,'Histórico'!$A$1:$DD$990,MATCH($B$6,'Histórico'!$A:$A),FALSE)*HLOOKUP("PTAX",'Histórico'!$A$1:$FG$983,MATCH($B$6,'Histórico'!$A:$A),FALSE),IF(AU206="Ações Europeias", HLOOKUP(AT206,'Histórico'!$A$1:$DD$990,MATCH($B$6,'Histórico'!$A:$A),FALSE)*HLOOKUP("EUR/BRL",'Histórico'!$A$1:$FG$983,MATCH($B$6,'Histórico'!$A:$A),FALSE),  HLOOKUP(AT206,'Histórico'!$A$1:$DD$990,MATCH($B$6,'Histórico'!$A:$A),FALSE))),"")</f>
        <v/>
      </c>
      <c r="AX206" s="243" t="str">
        <f t="shared" si="27"/>
        <v/>
      </c>
      <c r="AY206" s="183"/>
    </row>
    <row r="207" ht="15.75" customHeight="1">
      <c r="A207" s="176"/>
      <c r="B207" s="232">
        <v>45294.0</v>
      </c>
      <c r="C207" s="233"/>
      <c r="D207" s="233"/>
      <c r="E207" s="234"/>
      <c r="F207" s="233"/>
      <c r="G207" s="233"/>
      <c r="H207" s="234"/>
      <c r="I207" s="233"/>
      <c r="J207" s="233"/>
      <c r="K207" s="234"/>
      <c r="L207" s="233"/>
      <c r="M207" s="233"/>
      <c r="N207" s="240" t="str">
        <f t="shared" si="9"/>
        <v/>
      </c>
      <c r="O207" s="240" t="str">
        <f t="shared" si="10"/>
        <v/>
      </c>
      <c r="P207" s="240" t="str">
        <f t="shared" si="11"/>
        <v/>
      </c>
      <c r="Q207" s="240" t="str">
        <f t="shared" si="12"/>
        <v/>
      </c>
      <c r="R207" s="236" t="str">
        <f t="shared" si="13"/>
        <v/>
      </c>
      <c r="S207" s="177"/>
      <c r="T207" s="233" t="str">
        <f t="shared" ref="T207:U207" si="217">IF(AND(C207&lt;&gt;"",F207&lt;&gt;"",I207&lt;&gt;""), SUM(I207,F207,C207,L207),"")</f>
        <v/>
      </c>
      <c r="U207" s="233" t="str">
        <f t="shared" si="217"/>
        <v/>
      </c>
      <c r="V207" s="233" t="str">
        <f t="shared" si="6"/>
        <v/>
      </c>
      <c r="W207" s="241" t="str">
        <f t="shared" si="15"/>
        <v/>
      </c>
      <c r="X207" s="241" t="str">
        <f t="shared" si="16"/>
        <v/>
      </c>
      <c r="Y207" s="241" t="str">
        <f t="shared" si="25"/>
        <v/>
      </c>
      <c r="Z207" s="233" t="str">
        <f t="shared" si="7"/>
        <v/>
      </c>
      <c r="AA207" s="165"/>
      <c r="AB207" s="245"/>
      <c r="AC207" s="242" t="str">
        <f>IF(ISTEXT(AB207),VLOOKUP(AB207,'Cadastro dos Ativos'!$A$2:$C$1000,3,0),"")</f>
        <v/>
      </c>
      <c r="AD207" s="242" t="str">
        <f>IF(AB207 &lt;&gt; "",IF(AC207="Futuros", (SUMIFS('Alocação'!$O$3:$O$1002,'Alocação'!$C$3:$C$1002,AB207,'Alocação'!$F$3:$F$1002,AB$9,'Alocação'!$B$3:$B$1002,"&lt;="&amp;$B$4)), (SUMIFS('Alocação'!$O$3:$O$1002,'Alocação'!$C$3:$C$1002,AB207,'Alocação'!$F$3:$F$1002,AB$9,'Alocação'!$B$3:$B$1002,"&lt;="&amp;$B$6))),"")</f>
        <v/>
      </c>
      <c r="AE207" s="243" t="str">
        <f>iferror(IF(AC207="Ações Americanas", HLOOKUP(AB207,'Histórico'!$A$1:$DD$990,MATCH($B$6,'Histórico'!$A:$A),FALSE)*HLOOKUP("PTAX",'Histórico'!$A$1:$FG$983,MATCH($B$6,'Histórico'!$A:$A),FALSE),IF(AC207="Ações Europeias", HLOOKUP(AB207,'Histórico'!$A$1:$DD$990,MATCH($B$6,'Histórico'!$A:$A),FALSE)*HLOOKUP("EUR/BRL",'Histórico'!$A$1:$FG$983,MATCH($B$6,'Histórico'!$A:$A),FALSE), HLOOKUP(AB207,'Histórico'!$A$1:$DD$990,MATCH($B$6,'Histórico'!$A:$A),FALSE))),"")</f>
        <v/>
      </c>
      <c r="AF207" s="243" t="str">
        <f t="shared" si="21"/>
        <v/>
      </c>
      <c r="AG207" s="53"/>
      <c r="AH207" s="245"/>
      <c r="AI207" s="242" t="str">
        <f>IF(ISTEXT(AH207),VLOOKUP(AH207,'Cadastro dos Ativos'!$A$2:$C$1000,3,0),"")</f>
        <v/>
      </c>
      <c r="AJ207" s="242" t="str">
        <f>IF(AH207 &lt;&gt; "",IF(AI207="Futuros", (SUMIFS('Alocação'!$O$3:$O$1002,'Alocação'!$C$3:$C$1002,AH207,'Alocação'!$F$3:$F$1002,AH$9,'Alocação'!$B$3:$B$1002,"&lt;="&amp;$B$4)), (SUMIFS('Alocação'!$O$3:$O$1002,'Alocação'!$C$3:$C$1002,AH207,'Alocação'!$F$3:$F$1002,AH$9,'Alocação'!$B$3:$B$1002,"&lt;="&amp;$B$6))),"")</f>
        <v/>
      </c>
      <c r="AK207" s="243" t="str">
        <f>iferror(IF(AI207="Ações Americanas", HLOOKUP(AH207,'Histórico'!$A$1:$DD$990,MATCH($B$6,'Histórico'!$A:$A),FALSE)*HLOOKUP("PTAX",'Histórico'!$A$1:$FG$983,MATCH($B$6,'Histórico'!$A:$A),FALSE),IF(AI207="Ações Europeias", HLOOKUP(AH207,'Histórico'!$A$1:$DD$990,MATCH($B$6,'Histórico'!$A:$A),FALSE)*HLOOKUP("EUR/BRL",'Histórico'!$A$1:$FG$983,MATCH($B$6,'Histórico'!$A:$A),FALSE),  HLOOKUP(AH207,'Histórico'!$A$1:$DD$990,MATCH($B$6,'Histórico'!$A:$A),FALSE))),"")</f>
        <v/>
      </c>
      <c r="AL207" s="243" t="str">
        <f t="shared" si="17"/>
        <v/>
      </c>
      <c r="AM207" s="53"/>
      <c r="AN207" s="245"/>
      <c r="AO207" s="242" t="str">
        <f>IF(ISTEXT(AN207),VLOOKUP(AN207,'Cadastro dos Ativos'!$A$2:$C$1000,3,0),"")</f>
        <v/>
      </c>
      <c r="AP207" s="242" t="str">
        <f>IF(AN207 &lt;&gt; "",IF(AO207="Futuros", (SUMIFS('Alocação'!$O$3:$O$1002,'Alocação'!$C$3:$C$1002,AN207,'Alocação'!$F$3:$F$1002,AN$9,'Alocação'!$B$3:$B$1002,"&lt;="&amp;$B$4)), (SUMIFS('Alocação'!$O$3:$O$1002,'Alocação'!$C$3:$C$1002,AN207,'Alocação'!$F$3:$F$1002,AN$9,'Alocação'!$B$3:$B$1002,"&lt;="&amp;$B$6))),"")</f>
        <v/>
      </c>
      <c r="AQ207" s="243" t="str">
        <f>iferror(IF(AO207="Ações Americanas", HLOOKUP(AN207,'Histórico'!$A$1:$DD$990,MATCH($B$6,'Histórico'!$A:$A),FALSE)*HLOOKUP("PTAX",'Histórico'!$A$1:$FG$983,MATCH($B$6,'Histórico'!$A:$A),FALSE),IF(AO207="Ações Europeias", HLOOKUP(AN207,'Histórico'!$A$1:$DD$990,MATCH($B$6,'Histórico'!$A:$A),FALSE)*HLOOKUP("EUR/BRL",'Histórico'!$A$1:$FG$983,MATCH($B$6,'Histórico'!$A:$A),FALSE),  HLOOKUP(AN207,'Histórico'!$A$1:$DD$990,MATCH($B$6,'Histórico'!$A:$A),FALSE))),"")</f>
        <v/>
      </c>
      <c r="AR207" s="243" t="str">
        <f t="shared" si="18"/>
        <v/>
      </c>
      <c r="AS207" s="53"/>
      <c r="AT207" s="245"/>
      <c r="AU207" s="242" t="str">
        <f>IF(ISTEXT(AT207),VLOOKUP(AT207,'Cadastro dos Ativos'!$A$2:$C$1000,3,0),"")</f>
        <v/>
      </c>
      <c r="AV207" s="242" t="str">
        <f>IF(AT207 &lt;&gt; "",IF(AU207="Futuros", (SUMIFS('Alocação'!$O$3:$O$1002,'Alocação'!$C$3:$C$1002,AT207,'Alocação'!$F$3:$F$1002,AT$9,'Alocação'!$B$3:$B$1002,"&lt;="&amp;$B$4)), (SUMIFS('Alocação'!$O$3:$O$1002,'Alocação'!$C$3:$C$1002,AT207,'Alocação'!$F$3:$F$1002,AT$9,'Alocação'!$B$3:$B$1002,"&lt;="&amp;$B$6))),"")</f>
        <v/>
      </c>
      <c r="AW207" s="243" t="str">
        <f>iferror(IF(AU207="Ações Americanas", HLOOKUP(AT207,'Histórico'!$A$1:$DD$990,MATCH($B$6,'Histórico'!$A:$A),FALSE)*HLOOKUP("PTAX",'Histórico'!$A$1:$FG$983,MATCH($B$6,'Histórico'!$A:$A),FALSE),IF(AU207="Ações Europeias", HLOOKUP(AT207,'Histórico'!$A$1:$DD$990,MATCH($B$6,'Histórico'!$A:$A),FALSE)*HLOOKUP("EUR/BRL",'Histórico'!$A$1:$FG$983,MATCH($B$6,'Histórico'!$A:$A),FALSE),  HLOOKUP(AT207,'Histórico'!$A$1:$DD$990,MATCH($B$6,'Histórico'!$A:$A),FALSE))),"")</f>
        <v/>
      </c>
      <c r="AX207" s="243" t="str">
        <f t="shared" si="27"/>
        <v/>
      </c>
      <c r="AY207" s="183"/>
    </row>
    <row r="208" ht="15.75" customHeight="1">
      <c r="A208" s="176"/>
      <c r="B208" s="232">
        <v>45295.0</v>
      </c>
      <c r="C208" s="233"/>
      <c r="D208" s="233"/>
      <c r="E208" s="234"/>
      <c r="F208" s="233"/>
      <c r="G208" s="233"/>
      <c r="H208" s="234"/>
      <c r="I208" s="233"/>
      <c r="J208" s="233"/>
      <c r="K208" s="234"/>
      <c r="L208" s="233"/>
      <c r="M208" s="233"/>
      <c r="N208" s="240" t="str">
        <f t="shared" si="9"/>
        <v/>
      </c>
      <c r="O208" s="240" t="str">
        <f t="shared" si="10"/>
        <v/>
      </c>
      <c r="P208" s="240" t="str">
        <f t="shared" si="11"/>
        <v/>
      </c>
      <c r="Q208" s="240" t="str">
        <f t="shared" si="12"/>
        <v/>
      </c>
      <c r="R208" s="236" t="str">
        <f t="shared" si="13"/>
        <v/>
      </c>
      <c r="S208" s="177"/>
      <c r="T208" s="233" t="str">
        <f t="shared" ref="T208:U208" si="218">IF(AND(C208&lt;&gt;"",F208&lt;&gt;"",I208&lt;&gt;""), SUM(I208,F208,C208,L208),"")</f>
        <v/>
      </c>
      <c r="U208" s="233" t="str">
        <f t="shared" si="218"/>
        <v/>
      </c>
      <c r="V208" s="233" t="str">
        <f t="shared" si="6"/>
        <v/>
      </c>
      <c r="W208" s="241" t="str">
        <f t="shared" si="15"/>
        <v/>
      </c>
      <c r="X208" s="241" t="str">
        <f t="shared" si="16"/>
        <v/>
      </c>
      <c r="Y208" s="241" t="str">
        <f t="shared" si="25"/>
        <v/>
      </c>
      <c r="Z208" s="233" t="str">
        <f t="shared" si="7"/>
        <v/>
      </c>
      <c r="AA208" s="165"/>
      <c r="AB208" s="245"/>
      <c r="AC208" s="242" t="str">
        <f>IF(ISTEXT(AB208),VLOOKUP(AB208,'Cadastro dos Ativos'!$A$2:$C$1000,3,0),"")</f>
        <v/>
      </c>
      <c r="AD208" s="242" t="str">
        <f>IF(AB208 &lt;&gt; "",IF(AC208="Futuros", (SUMIFS('Alocação'!$O$3:$O$1002,'Alocação'!$C$3:$C$1002,AB208,'Alocação'!$F$3:$F$1002,AB$9,'Alocação'!$B$3:$B$1002,"&lt;="&amp;$B$4)), (SUMIFS('Alocação'!$O$3:$O$1002,'Alocação'!$C$3:$C$1002,AB208,'Alocação'!$F$3:$F$1002,AB$9,'Alocação'!$B$3:$B$1002,"&lt;="&amp;$B$6))),"")</f>
        <v/>
      </c>
      <c r="AE208" s="243" t="str">
        <f>iferror(IF(AC208="Ações Americanas", HLOOKUP(AB208,'Histórico'!$A$1:$DD$990,MATCH($B$6,'Histórico'!$A:$A),FALSE)*HLOOKUP("PTAX",'Histórico'!$A$1:$FG$983,MATCH($B$6,'Histórico'!$A:$A),FALSE),IF(AC208="Ações Europeias", HLOOKUP(AB208,'Histórico'!$A$1:$DD$990,MATCH($B$6,'Histórico'!$A:$A),FALSE)*HLOOKUP("EUR/BRL",'Histórico'!$A$1:$FG$983,MATCH($B$6,'Histórico'!$A:$A),FALSE), HLOOKUP(AB208,'Histórico'!$A$1:$DD$990,MATCH($B$6,'Histórico'!$A:$A),FALSE))),"")</f>
        <v/>
      </c>
      <c r="AF208" s="243" t="str">
        <f t="shared" si="21"/>
        <v/>
      </c>
      <c r="AG208" s="53"/>
      <c r="AH208" s="245"/>
      <c r="AI208" s="242" t="str">
        <f>IF(ISTEXT(AH208),VLOOKUP(AH208,'Cadastro dos Ativos'!$A$2:$C$1000,3,0),"")</f>
        <v/>
      </c>
      <c r="AJ208" s="242" t="str">
        <f>IF(AH208 &lt;&gt; "",IF(AI208="Futuros", (SUMIFS('Alocação'!$O$3:$O$1002,'Alocação'!$C$3:$C$1002,AH208,'Alocação'!$F$3:$F$1002,AH$9,'Alocação'!$B$3:$B$1002,"&lt;="&amp;$B$4)), (SUMIFS('Alocação'!$O$3:$O$1002,'Alocação'!$C$3:$C$1002,AH208,'Alocação'!$F$3:$F$1002,AH$9,'Alocação'!$B$3:$B$1002,"&lt;="&amp;$B$6))),"")</f>
        <v/>
      </c>
      <c r="AK208" s="243" t="str">
        <f>iferror(IF(AI208="Ações Americanas", HLOOKUP(AH208,'Histórico'!$A$1:$DD$990,MATCH($B$6,'Histórico'!$A:$A),FALSE)*HLOOKUP("PTAX",'Histórico'!$A$1:$FG$983,MATCH($B$6,'Histórico'!$A:$A),FALSE),IF(AI208="Ações Europeias", HLOOKUP(AH208,'Histórico'!$A$1:$DD$990,MATCH($B$6,'Histórico'!$A:$A),FALSE)*HLOOKUP("EUR/BRL",'Histórico'!$A$1:$FG$983,MATCH($B$6,'Histórico'!$A:$A),FALSE),  HLOOKUP(AH208,'Histórico'!$A$1:$DD$990,MATCH($B$6,'Histórico'!$A:$A),FALSE))),"")</f>
        <v/>
      </c>
      <c r="AL208" s="243" t="str">
        <f t="shared" si="17"/>
        <v/>
      </c>
      <c r="AM208" s="53"/>
      <c r="AN208" s="245"/>
      <c r="AO208" s="242" t="str">
        <f>IF(ISTEXT(AN208),VLOOKUP(AN208,'Cadastro dos Ativos'!$A$2:$C$1000,3,0),"")</f>
        <v/>
      </c>
      <c r="AP208" s="242" t="str">
        <f>IF(AN208 &lt;&gt; "",IF(AO208="Futuros", (SUMIFS('Alocação'!$O$3:$O$1002,'Alocação'!$C$3:$C$1002,AN208,'Alocação'!$F$3:$F$1002,AN$9,'Alocação'!$B$3:$B$1002,"&lt;="&amp;$B$4)), (SUMIFS('Alocação'!$O$3:$O$1002,'Alocação'!$C$3:$C$1002,AN208,'Alocação'!$F$3:$F$1002,AN$9,'Alocação'!$B$3:$B$1002,"&lt;="&amp;$B$6))),"")</f>
        <v/>
      </c>
      <c r="AQ208" s="243" t="str">
        <f>iferror(IF(AO208="Ações Americanas", HLOOKUP(AN208,'Histórico'!$A$1:$DD$990,MATCH($B$6,'Histórico'!$A:$A),FALSE)*HLOOKUP("PTAX",'Histórico'!$A$1:$FG$983,MATCH($B$6,'Histórico'!$A:$A),FALSE),IF(AO208="Ações Europeias", HLOOKUP(AN208,'Histórico'!$A$1:$DD$990,MATCH($B$6,'Histórico'!$A:$A),FALSE)*HLOOKUP("EUR/BRL",'Histórico'!$A$1:$FG$983,MATCH($B$6,'Histórico'!$A:$A),FALSE),  HLOOKUP(AN208,'Histórico'!$A$1:$DD$990,MATCH($B$6,'Histórico'!$A:$A),FALSE))),"")</f>
        <v/>
      </c>
      <c r="AR208" s="243" t="str">
        <f t="shared" si="18"/>
        <v/>
      </c>
      <c r="AS208" s="53"/>
      <c r="AT208" s="245"/>
      <c r="AU208" s="242" t="str">
        <f>IF(ISTEXT(AT208),VLOOKUP(AT208,'Cadastro dos Ativos'!$A$2:$C$1000,3,0),"")</f>
        <v/>
      </c>
      <c r="AV208" s="242" t="str">
        <f>IF(AT208 &lt;&gt; "",IF(AU208="Futuros", (SUMIFS('Alocação'!$O$3:$O$1002,'Alocação'!$C$3:$C$1002,AT208,'Alocação'!$F$3:$F$1002,AT$9,'Alocação'!$B$3:$B$1002,"&lt;="&amp;$B$4)), (SUMIFS('Alocação'!$O$3:$O$1002,'Alocação'!$C$3:$C$1002,AT208,'Alocação'!$F$3:$F$1002,AT$9,'Alocação'!$B$3:$B$1002,"&lt;="&amp;$B$6))),"")</f>
        <v/>
      </c>
      <c r="AW208" s="243" t="str">
        <f>iferror(IF(AU208="Ações Americanas", HLOOKUP(AT208,'Histórico'!$A$1:$DD$990,MATCH($B$6,'Histórico'!$A:$A),FALSE)*HLOOKUP("PTAX",'Histórico'!$A$1:$FG$983,MATCH($B$6,'Histórico'!$A:$A),FALSE),IF(AU208="Ações Europeias", HLOOKUP(AT208,'Histórico'!$A$1:$DD$990,MATCH($B$6,'Histórico'!$A:$A),FALSE)*HLOOKUP("EUR/BRL",'Histórico'!$A$1:$FG$983,MATCH($B$6,'Histórico'!$A:$A),FALSE),  HLOOKUP(AT208,'Histórico'!$A$1:$DD$990,MATCH($B$6,'Histórico'!$A:$A),FALSE))),"")</f>
        <v/>
      </c>
      <c r="AX208" s="243" t="str">
        <f t="shared" si="27"/>
        <v/>
      </c>
      <c r="AY208" s="183"/>
    </row>
    <row r="209" ht="15.75" customHeight="1">
      <c r="A209" s="176"/>
      <c r="B209" s="232">
        <v>45296.0</v>
      </c>
      <c r="C209" s="233"/>
      <c r="D209" s="233"/>
      <c r="E209" s="234"/>
      <c r="F209" s="233"/>
      <c r="G209" s="233"/>
      <c r="H209" s="234"/>
      <c r="I209" s="233"/>
      <c r="J209" s="233"/>
      <c r="K209" s="234"/>
      <c r="L209" s="233"/>
      <c r="M209" s="233"/>
      <c r="N209" s="240" t="str">
        <f t="shared" si="9"/>
        <v/>
      </c>
      <c r="O209" s="240" t="str">
        <f t="shared" si="10"/>
        <v/>
      </c>
      <c r="P209" s="240" t="str">
        <f t="shared" si="11"/>
        <v/>
      </c>
      <c r="Q209" s="240" t="str">
        <f t="shared" si="12"/>
        <v/>
      </c>
      <c r="R209" s="236" t="str">
        <f t="shared" si="13"/>
        <v/>
      </c>
      <c r="S209" s="177"/>
      <c r="T209" s="233" t="str">
        <f t="shared" ref="T209:U209" si="219">IF(AND(C209&lt;&gt;"",F209&lt;&gt;"",I209&lt;&gt;""), SUM(I209,F209,C209,L209),"")</f>
        <v/>
      </c>
      <c r="U209" s="233" t="str">
        <f t="shared" si="219"/>
        <v/>
      </c>
      <c r="V209" s="233" t="str">
        <f t="shared" si="6"/>
        <v/>
      </c>
      <c r="W209" s="241" t="str">
        <f t="shared" si="15"/>
        <v/>
      </c>
      <c r="X209" s="241" t="str">
        <f t="shared" si="16"/>
        <v/>
      </c>
      <c r="Y209" s="241" t="str">
        <f t="shared" si="25"/>
        <v/>
      </c>
      <c r="Z209" s="233" t="str">
        <f t="shared" si="7"/>
        <v/>
      </c>
      <c r="AA209" s="165"/>
      <c r="AB209" s="245"/>
      <c r="AC209" s="242" t="str">
        <f>IF(ISTEXT(AB209),VLOOKUP(AB209,'Cadastro dos Ativos'!$A$2:$C$1000,3,0),"")</f>
        <v/>
      </c>
      <c r="AD209" s="242" t="str">
        <f>IF(AB209 &lt;&gt; "",IF(AC209="Futuros", (SUMIFS('Alocação'!$O$3:$O$1002,'Alocação'!$C$3:$C$1002,AB209,'Alocação'!$F$3:$F$1002,AB$9,'Alocação'!$B$3:$B$1002,"&lt;="&amp;$B$4)), (SUMIFS('Alocação'!$O$3:$O$1002,'Alocação'!$C$3:$C$1002,AB209,'Alocação'!$F$3:$F$1002,AB$9,'Alocação'!$B$3:$B$1002,"&lt;="&amp;$B$6))),"")</f>
        <v/>
      </c>
      <c r="AE209" s="243" t="str">
        <f>iferror(IF(AC209="Ações Americanas", HLOOKUP(AB209,'Histórico'!$A$1:$DD$990,MATCH($B$6,'Histórico'!$A:$A),FALSE)*HLOOKUP("PTAX",'Histórico'!$A$1:$FG$983,MATCH($B$6,'Histórico'!$A:$A),FALSE),IF(AC209="Ações Europeias", HLOOKUP(AB209,'Histórico'!$A$1:$DD$990,MATCH($B$6,'Histórico'!$A:$A),FALSE)*HLOOKUP("EUR/BRL",'Histórico'!$A$1:$FG$983,MATCH($B$6,'Histórico'!$A:$A),FALSE), HLOOKUP(AB209,'Histórico'!$A$1:$DD$990,MATCH($B$6,'Histórico'!$A:$A),FALSE))),"")</f>
        <v/>
      </c>
      <c r="AF209" s="243" t="str">
        <f t="shared" si="21"/>
        <v/>
      </c>
      <c r="AG209" s="53"/>
      <c r="AH209" s="245"/>
      <c r="AI209" s="242" t="str">
        <f>IF(ISTEXT(AH209),VLOOKUP(AH209,'Cadastro dos Ativos'!$A$2:$C$1000,3,0),"")</f>
        <v/>
      </c>
      <c r="AJ209" s="242" t="str">
        <f>IF(AH209 &lt;&gt; "",IF(AI209="Futuros", (SUMIFS('Alocação'!$O$3:$O$1002,'Alocação'!$C$3:$C$1002,AH209,'Alocação'!$F$3:$F$1002,AH$9,'Alocação'!$B$3:$B$1002,"&lt;="&amp;$B$4)), (SUMIFS('Alocação'!$O$3:$O$1002,'Alocação'!$C$3:$C$1002,AH209,'Alocação'!$F$3:$F$1002,AH$9,'Alocação'!$B$3:$B$1002,"&lt;="&amp;$B$6))),"")</f>
        <v/>
      </c>
      <c r="AK209" s="243" t="str">
        <f>iferror(IF(AI209="Ações Americanas", HLOOKUP(AH209,'Histórico'!$A$1:$DD$990,MATCH($B$6,'Histórico'!$A:$A),FALSE)*HLOOKUP("PTAX",'Histórico'!$A$1:$FG$983,MATCH($B$6,'Histórico'!$A:$A),FALSE),IF(AI209="Ações Europeias", HLOOKUP(AH209,'Histórico'!$A$1:$DD$990,MATCH($B$6,'Histórico'!$A:$A),FALSE)*HLOOKUP("EUR/BRL",'Histórico'!$A$1:$FG$983,MATCH($B$6,'Histórico'!$A:$A),FALSE),  HLOOKUP(AH209,'Histórico'!$A$1:$DD$990,MATCH($B$6,'Histórico'!$A:$A),FALSE))),"")</f>
        <v/>
      </c>
      <c r="AL209" s="243" t="str">
        <f t="shared" si="17"/>
        <v/>
      </c>
      <c r="AM209" s="53"/>
      <c r="AN209" s="245"/>
      <c r="AO209" s="242" t="str">
        <f>IF(ISTEXT(AN209),VLOOKUP(AN209,'Cadastro dos Ativos'!$A$2:$C$1000,3,0),"")</f>
        <v/>
      </c>
      <c r="AP209" s="242" t="str">
        <f>IF(AN209 &lt;&gt; "",IF(AO209="Futuros", (SUMIFS('Alocação'!$O$3:$O$1002,'Alocação'!$C$3:$C$1002,AN209,'Alocação'!$F$3:$F$1002,AN$9,'Alocação'!$B$3:$B$1002,"&lt;="&amp;$B$4)), (SUMIFS('Alocação'!$O$3:$O$1002,'Alocação'!$C$3:$C$1002,AN209,'Alocação'!$F$3:$F$1002,AN$9,'Alocação'!$B$3:$B$1002,"&lt;="&amp;$B$6))),"")</f>
        <v/>
      </c>
      <c r="AQ209" s="243" t="str">
        <f>iferror(IF(AO209="Ações Americanas", HLOOKUP(AN209,'Histórico'!$A$1:$DD$990,MATCH($B$6,'Histórico'!$A:$A),FALSE)*HLOOKUP("PTAX",'Histórico'!$A$1:$FG$983,MATCH($B$6,'Histórico'!$A:$A),FALSE),IF(AO209="Ações Europeias", HLOOKUP(AN209,'Histórico'!$A$1:$DD$990,MATCH($B$6,'Histórico'!$A:$A),FALSE)*HLOOKUP("EUR/BRL",'Histórico'!$A$1:$FG$983,MATCH($B$6,'Histórico'!$A:$A),FALSE),  HLOOKUP(AN209,'Histórico'!$A$1:$DD$990,MATCH($B$6,'Histórico'!$A:$A),FALSE))),"")</f>
        <v/>
      </c>
      <c r="AR209" s="243" t="str">
        <f t="shared" si="18"/>
        <v/>
      </c>
      <c r="AS209" s="53"/>
      <c r="AT209" s="245"/>
      <c r="AU209" s="242" t="str">
        <f>IF(ISTEXT(AT209),VLOOKUP(AT209,'Cadastro dos Ativos'!$A$2:$C$1000,3,0),"")</f>
        <v/>
      </c>
      <c r="AV209" s="242" t="str">
        <f>IF(AT209 &lt;&gt; "",IF(AU209="Futuros", (SUMIFS('Alocação'!$O$3:$O$1002,'Alocação'!$C$3:$C$1002,AT209,'Alocação'!$F$3:$F$1002,AT$9,'Alocação'!$B$3:$B$1002,"&lt;="&amp;$B$4)), (SUMIFS('Alocação'!$O$3:$O$1002,'Alocação'!$C$3:$C$1002,AT209,'Alocação'!$F$3:$F$1002,AT$9,'Alocação'!$B$3:$B$1002,"&lt;="&amp;$B$6))),"")</f>
        <v/>
      </c>
      <c r="AW209" s="243" t="str">
        <f>iferror(IF(AU209="Ações Americanas", HLOOKUP(AT209,'Histórico'!$A$1:$DD$990,MATCH($B$6,'Histórico'!$A:$A),FALSE)*HLOOKUP("PTAX",'Histórico'!$A$1:$FG$983,MATCH($B$6,'Histórico'!$A:$A),FALSE),IF(AU209="Ações Europeias", HLOOKUP(AT209,'Histórico'!$A$1:$DD$990,MATCH($B$6,'Histórico'!$A:$A),FALSE)*HLOOKUP("EUR/BRL",'Histórico'!$A$1:$FG$983,MATCH($B$6,'Histórico'!$A:$A),FALSE),  HLOOKUP(AT209,'Histórico'!$A$1:$DD$990,MATCH($B$6,'Histórico'!$A:$A),FALSE))),"")</f>
        <v/>
      </c>
      <c r="AX209" s="243" t="str">
        <f t="shared" si="27"/>
        <v/>
      </c>
      <c r="AY209" s="183"/>
    </row>
    <row r="210" ht="15.75" customHeight="1">
      <c r="A210" s="176"/>
      <c r="B210" s="232">
        <v>45297.0</v>
      </c>
      <c r="C210" s="233"/>
      <c r="D210" s="233"/>
      <c r="E210" s="234"/>
      <c r="F210" s="233"/>
      <c r="G210" s="233"/>
      <c r="H210" s="234"/>
      <c r="I210" s="233"/>
      <c r="J210" s="233"/>
      <c r="K210" s="234"/>
      <c r="L210" s="233"/>
      <c r="M210" s="233"/>
      <c r="N210" s="240" t="str">
        <f t="shared" si="9"/>
        <v/>
      </c>
      <c r="O210" s="240" t="str">
        <f t="shared" si="10"/>
        <v/>
      </c>
      <c r="P210" s="240" t="str">
        <f t="shared" si="11"/>
        <v/>
      </c>
      <c r="Q210" s="240" t="str">
        <f t="shared" si="12"/>
        <v/>
      </c>
      <c r="R210" s="236" t="str">
        <f t="shared" si="13"/>
        <v/>
      </c>
      <c r="S210" s="177"/>
      <c r="T210" s="233" t="str">
        <f t="shared" ref="T210:U210" si="220">IF(AND(C210&lt;&gt;"",F210&lt;&gt;"",I210&lt;&gt;""), SUM(I210,F210,C210,L210),"")</f>
        <v/>
      </c>
      <c r="U210" s="233" t="str">
        <f t="shared" si="220"/>
        <v/>
      </c>
      <c r="V210" s="233" t="str">
        <f t="shared" si="6"/>
        <v/>
      </c>
      <c r="W210" s="241" t="str">
        <f t="shared" si="15"/>
        <v/>
      </c>
      <c r="X210" s="241" t="str">
        <f t="shared" si="16"/>
        <v/>
      </c>
      <c r="Y210" s="241" t="str">
        <f t="shared" si="25"/>
        <v/>
      </c>
      <c r="Z210" s="233" t="str">
        <f t="shared" si="7"/>
        <v/>
      </c>
      <c r="AA210" s="165"/>
      <c r="AB210" s="245"/>
      <c r="AC210" s="242" t="str">
        <f>IF(ISTEXT(AB210),VLOOKUP(AB210,'Cadastro dos Ativos'!$A$2:$C$1000,3,0),"")</f>
        <v/>
      </c>
      <c r="AD210" s="242" t="str">
        <f>IF(AB210 &lt;&gt; "",IF(AC210="Futuros", (SUMIFS('Alocação'!$O$3:$O$1002,'Alocação'!$C$3:$C$1002,AB210,'Alocação'!$F$3:$F$1002,AB$9,'Alocação'!$B$3:$B$1002,"&lt;="&amp;$B$4)), (SUMIFS('Alocação'!$O$3:$O$1002,'Alocação'!$C$3:$C$1002,AB210,'Alocação'!$F$3:$F$1002,AB$9,'Alocação'!$B$3:$B$1002,"&lt;="&amp;$B$6))),"")</f>
        <v/>
      </c>
      <c r="AE210" s="243" t="str">
        <f>iferror(IF(AC210="Ações Americanas", HLOOKUP(AB210,'Histórico'!$A$1:$DD$990,MATCH($B$6,'Histórico'!$A:$A),FALSE)*HLOOKUP("PTAX",'Histórico'!$A$1:$FG$983,MATCH($B$6,'Histórico'!$A:$A),FALSE),IF(AC210="Ações Europeias", HLOOKUP(AB210,'Histórico'!$A$1:$DD$990,MATCH($B$6,'Histórico'!$A:$A),FALSE)*HLOOKUP("EUR/BRL",'Histórico'!$A$1:$FG$983,MATCH($B$6,'Histórico'!$A:$A),FALSE), HLOOKUP(AB210,'Histórico'!$A$1:$DD$990,MATCH($B$6,'Histórico'!$A:$A),FALSE))),"")</f>
        <v/>
      </c>
      <c r="AF210" s="243" t="str">
        <f t="shared" si="21"/>
        <v/>
      </c>
      <c r="AG210" s="53"/>
      <c r="AH210" s="245"/>
      <c r="AI210" s="242" t="str">
        <f>IF(ISTEXT(AH210),VLOOKUP(AH210,'Cadastro dos Ativos'!$A$2:$C$1000,3,0),"")</f>
        <v/>
      </c>
      <c r="AJ210" s="242" t="str">
        <f>IF(AH210 &lt;&gt; "",IF(AI210="Futuros", (SUMIFS('Alocação'!$O$3:$O$1002,'Alocação'!$C$3:$C$1002,AH210,'Alocação'!$F$3:$F$1002,AH$9,'Alocação'!$B$3:$B$1002,"&lt;="&amp;$B$4)), (SUMIFS('Alocação'!$O$3:$O$1002,'Alocação'!$C$3:$C$1002,AH210,'Alocação'!$F$3:$F$1002,AH$9,'Alocação'!$B$3:$B$1002,"&lt;="&amp;$B$6))),"")</f>
        <v/>
      </c>
      <c r="AK210" s="243" t="str">
        <f>iferror(IF(AI210="Ações Americanas", HLOOKUP(AH210,'Histórico'!$A$1:$DD$990,MATCH($B$6,'Histórico'!$A:$A),FALSE)*HLOOKUP("PTAX",'Histórico'!$A$1:$FG$983,MATCH($B$6,'Histórico'!$A:$A),FALSE),IF(AI210="Ações Europeias", HLOOKUP(AH210,'Histórico'!$A$1:$DD$990,MATCH($B$6,'Histórico'!$A:$A),FALSE)*HLOOKUP("EUR/BRL",'Histórico'!$A$1:$FG$983,MATCH($B$6,'Histórico'!$A:$A),FALSE),  HLOOKUP(AH210,'Histórico'!$A$1:$DD$990,MATCH($B$6,'Histórico'!$A:$A),FALSE))),"")</f>
        <v/>
      </c>
      <c r="AL210" s="243" t="str">
        <f t="shared" si="17"/>
        <v/>
      </c>
      <c r="AM210" s="53"/>
      <c r="AN210" s="245"/>
      <c r="AO210" s="242" t="str">
        <f>IF(ISTEXT(AN210),VLOOKUP(AN210,'Cadastro dos Ativos'!$A$2:$C$1000,3,0),"")</f>
        <v/>
      </c>
      <c r="AP210" s="242" t="str">
        <f>IF(AN210 &lt;&gt; "",IF(AO210="Futuros", (SUMIFS('Alocação'!$O$3:$O$1002,'Alocação'!$C$3:$C$1002,AN210,'Alocação'!$F$3:$F$1002,AN$9,'Alocação'!$B$3:$B$1002,"&lt;="&amp;$B$4)), (SUMIFS('Alocação'!$O$3:$O$1002,'Alocação'!$C$3:$C$1002,AN210,'Alocação'!$F$3:$F$1002,AN$9,'Alocação'!$B$3:$B$1002,"&lt;="&amp;$B$6))),"")</f>
        <v/>
      </c>
      <c r="AQ210" s="243" t="str">
        <f>iferror(IF(AO210="Ações Americanas", HLOOKUP(AN210,'Histórico'!$A$1:$DD$990,MATCH($B$6,'Histórico'!$A:$A),FALSE)*HLOOKUP("PTAX",'Histórico'!$A$1:$FG$983,MATCH($B$6,'Histórico'!$A:$A),FALSE),IF(AO210="Ações Europeias", HLOOKUP(AN210,'Histórico'!$A$1:$DD$990,MATCH($B$6,'Histórico'!$A:$A),FALSE)*HLOOKUP("EUR/BRL",'Histórico'!$A$1:$FG$983,MATCH($B$6,'Histórico'!$A:$A),FALSE),  HLOOKUP(AN210,'Histórico'!$A$1:$DD$990,MATCH($B$6,'Histórico'!$A:$A),FALSE))),"")</f>
        <v/>
      </c>
      <c r="AR210" s="243" t="str">
        <f t="shared" si="18"/>
        <v/>
      </c>
      <c r="AS210" s="53"/>
      <c r="AT210" s="245"/>
      <c r="AU210" s="242" t="str">
        <f>IF(ISTEXT(AT210),VLOOKUP(AT210,'Cadastro dos Ativos'!$A$2:$C$1000,3,0),"")</f>
        <v/>
      </c>
      <c r="AV210" s="242" t="str">
        <f>IF(AT210 &lt;&gt; "",IF(AU210="Futuros", (SUMIFS('Alocação'!$O$3:$O$1002,'Alocação'!$C$3:$C$1002,AT210,'Alocação'!$F$3:$F$1002,AT$9,'Alocação'!$B$3:$B$1002,"&lt;="&amp;$B$4)), (SUMIFS('Alocação'!$O$3:$O$1002,'Alocação'!$C$3:$C$1002,AT210,'Alocação'!$F$3:$F$1002,AT$9,'Alocação'!$B$3:$B$1002,"&lt;="&amp;$B$6))),"")</f>
        <v/>
      </c>
      <c r="AW210" s="243" t="str">
        <f>iferror(IF(AU210="Ações Americanas", HLOOKUP(AT210,'Histórico'!$A$1:$DD$990,MATCH($B$6,'Histórico'!$A:$A),FALSE)*HLOOKUP("PTAX",'Histórico'!$A$1:$FG$983,MATCH($B$6,'Histórico'!$A:$A),FALSE),IF(AU210="Ações Europeias", HLOOKUP(AT210,'Histórico'!$A$1:$DD$990,MATCH($B$6,'Histórico'!$A:$A),FALSE)*HLOOKUP("EUR/BRL",'Histórico'!$A$1:$FG$983,MATCH($B$6,'Histórico'!$A:$A),FALSE),  HLOOKUP(AT210,'Histórico'!$A$1:$DD$990,MATCH($B$6,'Histórico'!$A:$A),FALSE))),"")</f>
        <v/>
      </c>
      <c r="AX210" s="243" t="str">
        <f t="shared" si="27"/>
        <v/>
      </c>
      <c r="AY210" s="183"/>
    </row>
    <row r="211" ht="15.75" customHeight="1">
      <c r="A211" s="176"/>
      <c r="B211" s="232">
        <v>45298.0</v>
      </c>
      <c r="C211" s="233"/>
      <c r="D211" s="233"/>
      <c r="E211" s="234"/>
      <c r="F211" s="233"/>
      <c r="G211" s="233"/>
      <c r="H211" s="234"/>
      <c r="I211" s="233"/>
      <c r="J211" s="233"/>
      <c r="K211" s="234"/>
      <c r="L211" s="233"/>
      <c r="M211" s="233"/>
      <c r="N211" s="240" t="str">
        <f t="shared" si="9"/>
        <v/>
      </c>
      <c r="O211" s="240" t="str">
        <f t="shared" si="10"/>
        <v/>
      </c>
      <c r="P211" s="240" t="str">
        <f t="shared" si="11"/>
        <v/>
      </c>
      <c r="Q211" s="240" t="str">
        <f t="shared" si="12"/>
        <v/>
      </c>
      <c r="R211" s="236" t="str">
        <f t="shared" si="13"/>
        <v/>
      </c>
      <c r="S211" s="177"/>
      <c r="T211" s="233" t="str">
        <f t="shared" ref="T211:U211" si="221">IF(AND(C211&lt;&gt;"",F211&lt;&gt;"",I211&lt;&gt;""), SUM(I211,F211,C211,L211),"")</f>
        <v/>
      </c>
      <c r="U211" s="233" t="str">
        <f t="shared" si="221"/>
        <v/>
      </c>
      <c r="V211" s="233" t="str">
        <f t="shared" si="6"/>
        <v/>
      </c>
      <c r="W211" s="241" t="str">
        <f t="shared" si="15"/>
        <v/>
      </c>
      <c r="X211" s="241" t="str">
        <f t="shared" si="16"/>
        <v/>
      </c>
      <c r="Y211" s="241" t="str">
        <f t="shared" si="25"/>
        <v/>
      </c>
      <c r="Z211" s="233" t="str">
        <f t="shared" si="7"/>
        <v/>
      </c>
      <c r="AA211" s="165"/>
      <c r="AB211" s="245"/>
      <c r="AC211" s="242" t="str">
        <f>IF(ISTEXT(AB211),VLOOKUP(AB211,'Cadastro dos Ativos'!$A$2:$C$1000,3,0),"")</f>
        <v/>
      </c>
      <c r="AD211" s="242" t="str">
        <f>IF(AB211 &lt;&gt; "",IF(AC211="Futuros", (SUMIFS('Alocação'!$O$3:$O$1002,'Alocação'!$C$3:$C$1002,AB211,'Alocação'!$F$3:$F$1002,AB$9,'Alocação'!$B$3:$B$1002,"&lt;="&amp;$B$4)), (SUMIFS('Alocação'!$O$3:$O$1002,'Alocação'!$C$3:$C$1002,AB211,'Alocação'!$F$3:$F$1002,AB$9,'Alocação'!$B$3:$B$1002,"&lt;="&amp;$B$6))),"")</f>
        <v/>
      </c>
      <c r="AE211" s="243" t="str">
        <f>iferror(IF(AC211="Ações Americanas", HLOOKUP(AB211,'Histórico'!$A$1:$DD$990,MATCH($B$6,'Histórico'!$A:$A),FALSE)*HLOOKUP("PTAX",'Histórico'!$A$1:$FG$983,MATCH($B$6,'Histórico'!$A:$A),FALSE),IF(AC211="Ações Europeias", HLOOKUP(AB211,'Histórico'!$A$1:$DD$990,MATCH($B$6,'Histórico'!$A:$A),FALSE)*HLOOKUP("EUR/BRL",'Histórico'!$A$1:$FG$983,MATCH($B$6,'Histórico'!$A:$A),FALSE), HLOOKUP(AB211,'Histórico'!$A$1:$DD$990,MATCH($B$6,'Histórico'!$A:$A),FALSE))),"")</f>
        <v/>
      </c>
      <c r="AF211" s="243" t="str">
        <f t="shared" si="21"/>
        <v/>
      </c>
      <c r="AG211" s="53"/>
      <c r="AH211" s="245"/>
      <c r="AI211" s="242" t="str">
        <f>IF(ISTEXT(AH211),VLOOKUP(AH211,'Cadastro dos Ativos'!$A$2:$C$1000,3,0),"")</f>
        <v/>
      </c>
      <c r="AJ211" s="242" t="str">
        <f>IF(AH211 &lt;&gt; "",IF(AI211="Futuros", (SUMIFS('Alocação'!$O$3:$O$1002,'Alocação'!$C$3:$C$1002,AH211,'Alocação'!$F$3:$F$1002,AH$9,'Alocação'!$B$3:$B$1002,"&lt;="&amp;$B$4)), (SUMIFS('Alocação'!$O$3:$O$1002,'Alocação'!$C$3:$C$1002,AH211,'Alocação'!$F$3:$F$1002,AH$9,'Alocação'!$B$3:$B$1002,"&lt;="&amp;$B$6))),"")</f>
        <v/>
      </c>
      <c r="AK211" s="243" t="str">
        <f>iferror(IF(AI211="Ações Americanas", HLOOKUP(AH211,'Histórico'!$A$1:$DD$990,MATCH($B$6,'Histórico'!$A:$A),FALSE)*HLOOKUP("PTAX",'Histórico'!$A$1:$FG$983,MATCH($B$6,'Histórico'!$A:$A),FALSE),IF(AI211="Ações Europeias", HLOOKUP(AH211,'Histórico'!$A$1:$DD$990,MATCH($B$6,'Histórico'!$A:$A),FALSE)*HLOOKUP("EUR/BRL",'Histórico'!$A$1:$FG$983,MATCH($B$6,'Histórico'!$A:$A),FALSE),  HLOOKUP(AH211,'Histórico'!$A$1:$DD$990,MATCH($B$6,'Histórico'!$A:$A),FALSE))),"")</f>
        <v/>
      </c>
      <c r="AL211" s="243" t="str">
        <f t="shared" si="17"/>
        <v/>
      </c>
      <c r="AM211" s="53"/>
      <c r="AN211" s="245"/>
      <c r="AO211" s="242" t="str">
        <f>IF(ISTEXT(AN211),VLOOKUP(AN211,'Cadastro dos Ativos'!$A$2:$C$1000,3,0),"")</f>
        <v/>
      </c>
      <c r="AP211" s="242" t="str">
        <f>IF(AN211 &lt;&gt; "",IF(AO211="Futuros", (SUMIFS('Alocação'!$O$3:$O$1002,'Alocação'!$C$3:$C$1002,AN211,'Alocação'!$F$3:$F$1002,AN$9,'Alocação'!$B$3:$B$1002,"&lt;="&amp;$B$4)), (SUMIFS('Alocação'!$O$3:$O$1002,'Alocação'!$C$3:$C$1002,AN211,'Alocação'!$F$3:$F$1002,AN$9,'Alocação'!$B$3:$B$1002,"&lt;="&amp;$B$6))),"")</f>
        <v/>
      </c>
      <c r="AQ211" s="243" t="str">
        <f>iferror(IF(AO211="Ações Americanas", HLOOKUP(AN211,'Histórico'!$A$1:$DD$990,MATCH($B$6,'Histórico'!$A:$A),FALSE)*HLOOKUP("PTAX",'Histórico'!$A$1:$FG$983,MATCH($B$6,'Histórico'!$A:$A),FALSE),IF(AO211="Ações Europeias", HLOOKUP(AN211,'Histórico'!$A$1:$DD$990,MATCH($B$6,'Histórico'!$A:$A),FALSE)*HLOOKUP("EUR/BRL",'Histórico'!$A$1:$FG$983,MATCH($B$6,'Histórico'!$A:$A),FALSE),  HLOOKUP(AN211,'Histórico'!$A$1:$DD$990,MATCH($B$6,'Histórico'!$A:$A),FALSE))),"")</f>
        <v/>
      </c>
      <c r="AR211" s="243" t="str">
        <f t="shared" si="18"/>
        <v/>
      </c>
      <c r="AS211" s="53"/>
      <c r="AT211" s="245"/>
      <c r="AU211" s="242" t="str">
        <f>IF(ISTEXT(AT211),VLOOKUP(AT211,'Cadastro dos Ativos'!$A$2:$C$1000,3,0),"")</f>
        <v/>
      </c>
      <c r="AV211" s="242" t="str">
        <f>IF(AT211 &lt;&gt; "",IF(AU211="Futuros", (SUMIFS('Alocação'!$O$3:$O$1002,'Alocação'!$C$3:$C$1002,AT211,'Alocação'!$F$3:$F$1002,AT$9,'Alocação'!$B$3:$B$1002,"&lt;="&amp;$B$4)), (SUMIFS('Alocação'!$O$3:$O$1002,'Alocação'!$C$3:$C$1002,AT211,'Alocação'!$F$3:$F$1002,AT$9,'Alocação'!$B$3:$B$1002,"&lt;="&amp;$B$6))),"")</f>
        <v/>
      </c>
      <c r="AW211" s="243" t="str">
        <f>iferror(IF(AU211="Ações Americanas", HLOOKUP(AT211,'Histórico'!$A$1:$DD$990,MATCH($B$6,'Histórico'!$A:$A),FALSE)*HLOOKUP("PTAX",'Histórico'!$A$1:$FG$983,MATCH($B$6,'Histórico'!$A:$A),FALSE),IF(AU211="Ações Europeias", HLOOKUP(AT211,'Histórico'!$A$1:$DD$990,MATCH($B$6,'Histórico'!$A:$A),FALSE)*HLOOKUP("EUR/BRL",'Histórico'!$A$1:$FG$983,MATCH($B$6,'Histórico'!$A:$A),FALSE),  HLOOKUP(AT211,'Histórico'!$A$1:$DD$990,MATCH($B$6,'Histórico'!$A:$A),FALSE))),"")</f>
        <v/>
      </c>
      <c r="AX211" s="243" t="str">
        <f t="shared" si="27"/>
        <v/>
      </c>
      <c r="AY211" s="183"/>
    </row>
    <row r="212" ht="15.75" customHeight="1">
      <c r="A212" s="176"/>
      <c r="B212" s="232">
        <v>45299.0</v>
      </c>
      <c r="C212" s="233"/>
      <c r="D212" s="233"/>
      <c r="E212" s="234"/>
      <c r="F212" s="233"/>
      <c r="G212" s="233"/>
      <c r="H212" s="234"/>
      <c r="I212" s="233"/>
      <c r="J212" s="233"/>
      <c r="K212" s="234"/>
      <c r="L212" s="233"/>
      <c r="M212" s="233"/>
      <c r="N212" s="240" t="str">
        <f t="shared" si="9"/>
        <v/>
      </c>
      <c r="O212" s="240" t="str">
        <f t="shared" si="10"/>
        <v/>
      </c>
      <c r="P212" s="240" t="str">
        <f t="shared" si="11"/>
        <v/>
      </c>
      <c r="Q212" s="240" t="str">
        <f t="shared" si="12"/>
        <v/>
      </c>
      <c r="R212" s="236" t="str">
        <f t="shared" si="13"/>
        <v/>
      </c>
      <c r="S212" s="177"/>
      <c r="T212" s="233" t="str">
        <f t="shared" ref="T212:U212" si="222">IF(AND(C212&lt;&gt;"",F212&lt;&gt;"",I212&lt;&gt;""), SUM(I212,F212,C212,L212),"")</f>
        <v/>
      </c>
      <c r="U212" s="233" t="str">
        <f t="shared" si="222"/>
        <v/>
      </c>
      <c r="V212" s="233" t="str">
        <f t="shared" si="6"/>
        <v/>
      </c>
      <c r="W212" s="241" t="str">
        <f t="shared" si="15"/>
        <v/>
      </c>
      <c r="X212" s="241" t="str">
        <f t="shared" si="16"/>
        <v/>
      </c>
      <c r="Y212" s="241" t="str">
        <f t="shared" si="25"/>
        <v/>
      </c>
      <c r="Z212" s="233" t="str">
        <f t="shared" si="7"/>
        <v/>
      </c>
      <c r="AA212" s="165"/>
      <c r="AB212" s="245"/>
      <c r="AC212" s="242" t="str">
        <f>IF(ISTEXT(AB212),VLOOKUP(AB212,'Cadastro dos Ativos'!$A$2:$C$1000,3,0),"")</f>
        <v/>
      </c>
      <c r="AD212" s="242" t="str">
        <f>IF(AB212 &lt;&gt; "",IF(AC212="Futuros", (SUMIFS('Alocação'!$O$3:$O$1002,'Alocação'!$C$3:$C$1002,AB212,'Alocação'!$F$3:$F$1002,AB$9,'Alocação'!$B$3:$B$1002,"&lt;="&amp;$B$4)), (SUMIFS('Alocação'!$O$3:$O$1002,'Alocação'!$C$3:$C$1002,AB212,'Alocação'!$F$3:$F$1002,AB$9,'Alocação'!$B$3:$B$1002,"&lt;="&amp;$B$6))),"")</f>
        <v/>
      </c>
      <c r="AE212" s="243" t="str">
        <f>iferror(IF(AC212="Ações Americanas", HLOOKUP(AB212,'Histórico'!$A$1:$DD$990,MATCH($B$6,'Histórico'!$A:$A),FALSE)*HLOOKUP("PTAX",'Histórico'!$A$1:$FG$983,MATCH($B$6,'Histórico'!$A:$A),FALSE),IF(AC212="Ações Europeias", HLOOKUP(AB212,'Histórico'!$A$1:$DD$990,MATCH($B$6,'Histórico'!$A:$A),FALSE)*HLOOKUP("EUR/BRL",'Histórico'!$A$1:$FG$983,MATCH($B$6,'Histórico'!$A:$A),FALSE), HLOOKUP(AB212,'Histórico'!$A$1:$DD$990,MATCH($B$6,'Histórico'!$A:$A),FALSE))),"")</f>
        <v/>
      </c>
      <c r="AF212" s="243" t="str">
        <f t="shared" si="21"/>
        <v/>
      </c>
      <c r="AG212" s="53"/>
      <c r="AH212" s="245"/>
      <c r="AI212" s="242" t="str">
        <f>IF(ISTEXT(AH212),VLOOKUP(AH212,'Cadastro dos Ativos'!$A$2:$C$1000,3,0),"")</f>
        <v/>
      </c>
      <c r="AJ212" s="242" t="str">
        <f>IF(AH212 &lt;&gt; "",IF(AI212="Futuros", (SUMIFS('Alocação'!$O$3:$O$1002,'Alocação'!$C$3:$C$1002,AH212,'Alocação'!$F$3:$F$1002,AH$9,'Alocação'!$B$3:$B$1002,"&lt;="&amp;$B$4)), (SUMIFS('Alocação'!$O$3:$O$1002,'Alocação'!$C$3:$C$1002,AH212,'Alocação'!$F$3:$F$1002,AH$9,'Alocação'!$B$3:$B$1002,"&lt;="&amp;$B$6))),"")</f>
        <v/>
      </c>
      <c r="AK212" s="243" t="str">
        <f>iferror(IF(AI212="Ações Americanas", HLOOKUP(AH212,'Histórico'!$A$1:$DD$990,MATCH($B$6,'Histórico'!$A:$A),FALSE)*HLOOKUP("PTAX",'Histórico'!$A$1:$FG$983,MATCH($B$6,'Histórico'!$A:$A),FALSE),IF(AI212="Ações Europeias", HLOOKUP(AH212,'Histórico'!$A$1:$DD$990,MATCH($B$6,'Histórico'!$A:$A),FALSE)*HLOOKUP("EUR/BRL",'Histórico'!$A$1:$FG$983,MATCH($B$6,'Histórico'!$A:$A),FALSE),  HLOOKUP(AH212,'Histórico'!$A$1:$DD$990,MATCH($B$6,'Histórico'!$A:$A),FALSE))),"")</f>
        <v/>
      </c>
      <c r="AL212" s="243" t="str">
        <f t="shared" si="17"/>
        <v/>
      </c>
      <c r="AM212" s="53"/>
      <c r="AN212" s="245"/>
      <c r="AO212" s="242" t="str">
        <f>IF(ISTEXT(AN212),VLOOKUP(AN212,'Cadastro dos Ativos'!$A$2:$C$1000,3,0),"")</f>
        <v/>
      </c>
      <c r="AP212" s="242" t="str">
        <f>IF(AN212 &lt;&gt; "",IF(AO212="Futuros", (SUMIFS('Alocação'!$O$3:$O$1002,'Alocação'!$C$3:$C$1002,AN212,'Alocação'!$F$3:$F$1002,AN$9,'Alocação'!$B$3:$B$1002,"&lt;="&amp;$B$4)), (SUMIFS('Alocação'!$O$3:$O$1002,'Alocação'!$C$3:$C$1002,AN212,'Alocação'!$F$3:$F$1002,AN$9,'Alocação'!$B$3:$B$1002,"&lt;="&amp;$B$6))),"")</f>
        <v/>
      </c>
      <c r="AQ212" s="243" t="str">
        <f>iferror(IF(AO212="Ações Americanas", HLOOKUP(AN212,'Histórico'!$A$1:$DD$990,MATCH($B$6,'Histórico'!$A:$A),FALSE)*HLOOKUP("PTAX",'Histórico'!$A$1:$FG$983,MATCH($B$6,'Histórico'!$A:$A),FALSE),IF(AO212="Ações Europeias", HLOOKUP(AN212,'Histórico'!$A$1:$DD$990,MATCH($B$6,'Histórico'!$A:$A),FALSE)*HLOOKUP("EUR/BRL",'Histórico'!$A$1:$FG$983,MATCH($B$6,'Histórico'!$A:$A),FALSE),  HLOOKUP(AN212,'Histórico'!$A$1:$DD$990,MATCH($B$6,'Histórico'!$A:$A),FALSE))),"")</f>
        <v/>
      </c>
      <c r="AR212" s="243" t="str">
        <f t="shared" si="18"/>
        <v/>
      </c>
      <c r="AS212" s="53"/>
      <c r="AT212" s="245"/>
      <c r="AU212" s="242" t="str">
        <f>IF(ISTEXT(AT212),VLOOKUP(AT212,'Cadastro dos Ativos'!$A$2:$C$1000,3,0),"")</f>
        <v/>
      </c>
      <c r="AV212" s="242" t="str">
        <f>IF(AT212 &lt;&gt; "",IF(AU212="Futuros", (SUMIFS('Alocação'!$O$3:$O$1002,'Alocação'!$C$3:$C$1002,AT212,'Alocação'!$F$3:$F$1002,AT$9,'Alocação'!$B$3:$B$1002,"&lt;="&amp;$B$4)), (SUMIFS('Alocação'!$O$3:$O$1002,'Alocação'!$C$3:$C$1002,AT212,'Alocação'!$F$3:$F$1002,AT$9,'Alocação'!$B$3:$B$1002,"&lt;="&amp;$B$6))),"")</f>
        <v/>
      </c>
      <c r="AW212" s="243" t="str">
        <f>iferror(IF(AU212="Ações Americanas", HLOOKUP(AT212,'Histórico'!$A$1:$DD$990,MATCH($B$6,'Histórico'!$A:$A),FALSE)*HLOOKUP("PTAX",'Histórico'!$A$1:$FG$983,MATCH($B$6,'Histórico'!$A:$A),FALSE),IF(AU212="Ações Europeias", HLOOKUP(AT212,'Histórico'!$A$1:$DD$990,MATCH($B$6,'Histórico'!$A:$A),FALSE)*HLOOKUP("EUR/BRL",'Histórico'!$A$1:$FG$983,MATCH($B$6,'Histórico'!$A:$A),FALSE),  HLOOKUP(AT212,'Histórico'!$A$1:$DD$990,MATCH($B$6,'Histórico'!$A:$A),FALSE))),"")</f>
        <v/>
      </c>
      <c r="AX212" s="243" t="str">
        <f t="shared" si="27"/>
        <v/>
      </c>
      <c r="AY212" s="183"/>
    </row>
    <row r="213" ht="15.75" customHeight="1">
      <c r="A213" s="176"/>
      <c r="B213" s="232">
        <v>45300.0</v>
      </c>
      <c r="C213" s="233"/>
      <c r="D213" s="233"/>
      <c r="E213" s="234"/>
      <c r="F213" s="233"/>
      <c r="G213" s="233"/>
      <c r="H213" s="234"/>
      <c r="I213" s="233"/>
      <c r="J213" s="233"/>
      <c r="K213" s="234"/>
      <c r="L213" s="233"/>
      <c r="M213" s="233"/>
      <c r="N213" s="240" t="str">
        <f t="shared" si="9"/>
        <v/>
      </c>
      <c r="O213" s="240" t="str">
        <f t="shared" si="10"/>
        <v/>
      </c>
      <c r="P213" s="240" t="str">
        <f t="shared" si="11"/>
        <v/>
      </c>
      <c r="Q213" s="240" t="str">
        <f t="shared" si="12"/>
        <v/>
      </c>
      <c r="R213" s="236" t="str">
        <f t="shared" si="13"/>
        <v/>
      </c>
      <c r="S213" s="177"/>
      <c r="T213" s="233" t="str">
        <f t="shared" ref="T213:U213" si="223">IF(AND(C213&lt;&gt;"",F213&lt;&gt;"",I213&lt;&gt;""), SUM(I213,F213,C213,L213),"")</f>
        <v/>
      </c>
      <c r="U213" s="233" t="str">
        <f t="shared" si="223"/>
        <v/>
      </c>
      <c r="V213" s="233" t="str">
        <f t="shared" si="6"/>
        <v/>
      </c>
      <c r="W213" s="241" t="str">
        <f t="shared" si="15"/>
        <v/>
      </c>
      <c r="X213" s="241" t="str">
        <f t="shared" si="16"/>
        <v/>
      </c>
      <c r="Y213" s="241" t="str">
        <f t="shared" si="25"/>
        <v/>
      </c>
      <c r="Z213" s="233" t="str">
        <f t="shared" si="7"/>
        <v/>
      </c>
      <c r="AA213" s="165"/>
      <c r="AB213" s="245"/>
      <c r="AC213" s="242" t="str">
        <f>IF(ISTEXT(AB213),VLOOKUP(AB213,'Cadastro dos Ativos'!$A$2:$C$1000,3,0),"")</f>
        <v/>
      </c>
      <c r="AD213" s="242" t="str">
        <f>IF(AB213 &lt;&gt; "",IF(AC213="Futuros", (SUMIFS('Alocação'!$O$3:$O$1002,'Alocação'!$C$3:$C$1002,AB213,'Alocação'!$F$3:$F$1002,AB$9,'Alocação'!$B$3:$B$1002,"&lt;="&amp;$B$4)), (SUMIFS('Alocação'!$O$3:$O$1002,'Alocação'!$C$3:$C$1002,AB213,'Alocação'!$F$3:$F$1002,AB$9,'Alocação'!$B$3:$B$1002,"&lt;="&amp;$B$6))),"")</f>
        <v/>
      </c>
      <c r="AE213" s="243" t="str">
        <f>iferror(IF(AC213="Ações Americanas", HLOOKUP(AB213,'Histórico'!$A$1:$DD$990,MATCH($B$6,'Histórico'!$A:$A),FALSE)*HLOOKUP("PTAX",'Histórico'!$A$1:$FG$983,MATCH($B$6,'Histórico'!$A:$A),FALSE),IF(AC213="Ações Europeias", HLOOKUP(AB213,'Histórico'!$A$1:$DD$990,MATCH($B$6,'Histórico'!$A:$A),FALSE)*HLOOKUP("EUR/BRL",'Histórico'!$A$1:$FG$983,MATCH($B$6,'Histórico'!$A:$A),FALSE), HLOOKUP(AB213,'Histórico'!$A$1:$DD$990,MATCH($B$6,'Histórico'!$A:$A),FALSE))),"")</f>
        <v/>
      </c>
      <c r="AF213" s="243" t="str">
        <f t="shared" si="21"/>
        <v/>
      </c>
      <c r="AG213" s="53"/>
      <c r="AH213" s="245"/>
      <c r="AI213" s="242" t="str">
        <f>IF(ISTEXT(AH213),VLOOKUP(AH213,'Cadastro dos Ativos'!$A$2:$C$1000,3,0),"")</f>
        <v/>
      </c>
      <c r="AJ213" s="242" t="str">
        <f>IF(AH213 &lt;&gt; "",IF(AI213="Futuros", (SUMIFS('Alocação'!$O$3:$O$1002,'Alocação'!$C$3:$C$1002,AH213,'Alocação'!$F$3:$F$1002,AH$9,'Alocação'!$B$3:$B$1002,"&lt;="&amp;$B$4)), (SUMIFS('Alocação'!$O$3:$O$1002,'Alocação'!$C$3:$C$1002,AH213,'Alocação'!$F$3:$F$1002,AH$9,'Alocação'!$B$3:$B$1002,"&lt;="&amp;$B$6))),"")</f>
        <v/>
      </c>
      <c r="AK213" s="243" t="str">
        <f>iferror(IF(AI213="Ações Americanas", HLOOKUP(AH213,'Histórico'!$A$1:$DD$990,MATCH($B$6,'Histórico'!$A:$A),FALSE)*HLOOKUP("PTAX",'Histórico'!$A$1:$FG$983,MATCH($B$6,'Histórico'!$A:$A),FALSE),IF(AI213="Ações Europeias", HLOOKUP(AH213,'Histórico'!$A$1:$DD$990,MATCH($B$6,'Histórico'!$A:$A),FALSE)*HLOOKUP("EUR/BRL",'Histórico'!$A$1:$FG$983,MATCH($B$6,'Histórico'!$A:$A),FALSE),  HLOOKUP(AH213,'Histórico'!$A$1:$DD$990,MATCH($B$6,'Histórico'!$A:$A),FALSE))),"")</f>
        <v/>
      </c>
      <c r="AL213" s="243" t="str">
        <f t="shared" si="17"/>
        <v/>
      </c>
      <c r="AM213" s="53"/>
      <c r="AN213" s="245"/>
      <c r="AO213" s="242" t="str">
        <f>IF(ISTEXT(AN213),VLOOKUP(AN213,'Cadastro dos Ativos'!$A$2:$C$1000,3,0),"")</f>
        <v/>
      </c>
      <c r="AP213" s="242" t="str">
        <f>IF(AN213 &lt;&gt; "",IF(AO213="Futuros", (SUMIFS('Alocação'!$O$3:$O$1002,'Alocação'!$C$3:$C$1002,AN213,'Alocação'!$F$3:$F$1002,AN$9,'Alocação'!$B$3:$B$1002,"&lt;="&amp;$B$4)), (SUMIFS('Alocação'!$O$3:$O$1002,'Alocação'!$C$3:$C$1002,AN213,'Alocação'!$F$3:$F$1002,AN$9,'Alocação'!$B$3:$B$1002,"&lt;="&amp;$B$6))),"")</f>
        <v/>
      </c>
      <c r="AQ213" s="243" t="str">
        <f>iferror(IF(AO213="Ações Americanas", HLOOKUP(AN213,'Histórico'!$A$1:$DD$990,MATCH($B$6,'Histórico'!$A:$A),FALSE)*HLOOKUP("PTAX",'Histórico'!$A$1:$FG$983,MATCH($B$6,'Histórico'!$A:$A),FALSE),IF(AO213="Ações Europeias", HLOOKUP(AN213,'Histórico'!$A$1:$DD$990,MATCH($B$6,'Histórico'!$A:$A),FALSE)*HLOOKUP("EUR/BRL",'Histórico'!$A$1:$FG$983,MATCH($B$6,'Histórico'!$A:$A),FALSE),  HLOOKUP(AN213,'Histórico'!$A$1:$DD$990,MATCH($B$6,'Histórico'!$A:$A),FALSE))),"")</f>
        <v/>
      </c>
      <c r="AR213" s="243" t="str">
        <f t="shared" si="18"/>
        <v/>
      </c>
      <c r="AS213" s="53"/>
      <c r="AT213" s="245"/>
      <c r="AU213" s="242" t="str">
        <f>IF(ISTEXT(AT213),VLOOKUP(AT213,'Cadastro dos Ativos'!$A$2:$C$1000,3,0),"")</f>
        <v/>
      </c>
      <c r="AV213" s="242" t="str">
        <f>IF(AT213 &lt;&gt; "",IF(AU213="Futuros", (SUMIFS('Alocação'!$O$3:$O$1002,'Alocação'!$C$3:$C$1002,AT213,'Alocação'!$F$3:$F$1002,AT$9,'Alocação'!$B$3:$B$1002,"&lt;="&amp;$B$4)), (SUMIFS('Alocação'!$O$3:$O$1002,'Alocação'!$C$3:$C$1002,AT213,'Alocação'!$F$3:$F$1002,AT$9,'Alocação'!$B$3:$B$1002,"&lt;="&amp;$B$6))),"")</f>
        <v/>
      </c>
      <c r="AW213" s="243" t="str">
        <f>iferror(IF(AU213="Ações Americanas", HLOOKUP(AT213,'Histórico'!$A$1:$DD$990,MATCH($B$6,'Histórico'!$A:$A),FALSE)*HLOOKUP("PTAX",'Histórico'!$A$1:$FG$983,MATCH($B$6,'Histórico'!$A:$A),FALSE),IF(AU213="Ações Europeias", HLOOKUP(AT213,'Histórico'!$A$1:$DD$990,MATCH($B$6,'Histórico'!$A:$A),FALSE)*HLOOKUP("EUR/BRL",'Histórico'!$A$1:$FG$983,MATCH($B$6,'Histórico'!$A:$A),FALSE),  HLOOKUP(AT213,'Histórico'!$A$1:$DD$990,MATCH($B$6,'Histórico'!$A:$A),FALSE))),"")</f>
        <v/>
      </c>
      <c r="AX213" s="243" t="str">
        <f t="shared" si="27"/>
        <v/>
      </c>
      <c r="AY213" s="183"/>
    </row>
    <row r="214" ht="15.75" customHeight="1">
      <c r="A214" s="176"/>
      <c r="B214" s="232">
        <v>45301.0</v>
      </c>
      <c r="C214" s="233"/>
      <c r="D214" s="233"/>
      <c r="E214" s="234"/>
      <c r="F214" s="233"/>
      <c r="G214" s="233"/>
      <c r="H214" s="234"/>
      <c r="I214" s="233"/>
      <c r="J214" s="233"/>
      <c r="K214" s="234"/>
      <c r="L214" s="233"/>
      <c r="M214" s="233"/>
      <c r="N214" s="240" t="str">
        <f t="shared" si="9"/>
        <v/>
      </c>
      <c r="O214" s="240" t="str">
        <f t="shared" si="10"/>
        <v/>
      </c>
      <c r="P214" s="240" t="str">
        <f t="shared" si="11"/>
        <v/>
      </c>
      <c r="Q214" s="240" t="str">
        <f t="shared" si="12"/>
        <v/>
      </c>
      <c r="R214" s="236" t="str">
        <f t="shared" si="13"/>
        <v/>
      </c>
      <c r="S214" s="177"/>
      <c r="T214" s="233" t="str">
        <f t="shared" ref="T214:U214" si="224">IF(AND(C214&lt;&gt;"",F214&lt;&gt;"",I214&lt;&gt;""), SUM(I214,F214,C214,L214),"")</f>
        <v/>
      </c>
      <c r="U214" s="233" t="str">
        <f t="shared" si="224"/>
        <v/>
      </c>
      <c r="V214" s="233" t="str">
        <f t="shared" si="6"/>
        <v/>
      </c>
      <c r="W214" s="241" t="str">
        <f t="shared" si="15"/>
        <v/>
      </c>
      <c r="X214" s="241" t="str">
        <f t="shared" si="16"/>
        <v/>
      </c>
      <c r="Y214" s="241" t="str">
        <f t="shared" si="25"/>
        <v/>
      </c>
      <c r="Z214" s="233" t="str">
        <f t="shared" si="7"/>
        <v/>
      </c>
      <c r="AA214" s="165"/>
      <c r="AB214" s="245"/>
      <c r="AC214" s="242" t="str">
        <f>IF(ISTEXT(AB214),VLOOKUP(AB214,'Cadastro dos Ativos'!$A$2:$C$1000,3,0),"")</f>
        <v/>
      </c>
      <c r="AD214" s="242" t="str">
        <f>IF(AB214 &lt;&gt; "",IF(AC214="Futuros", (SUMIFS('Alocação'!$O$3:$O$1002,'Alocação'!$C$3:$C$1002,AB214,'Alocação'!$F$3:$F$1002,AB$9,'Alocação'!$B$3:$B$1002,"&lt;="&amp;$B$4)), (SUMIFS('Alocação'!$O$3:$O$1002,'Alocação'!$C$3:$C$1002,AB214,'Alocação'!$F$3:$F$1002,AB$9,'Alocação'!$B$3:$B$1002,"&lt;="&amp;$B$6))),"")</f>
        <v/>
      </c>
      <c r="AE214" s="243" t="str">
        <f>iferror(IF(AC214="Ações Americanas", HLOOKUP(AB214,'Histórico'!$A$1:$DD$990,MATCH($B$6,'Histórico'!$A:$A),FALSE)*HLOOKUP("PTAX",'Histórico'!$A$1:$FG$983,MATCH($B$6,'Histórico'!$A:$A),FALSE),IF(AC214="Ações Europeias", HLOOKUP(AB214,'Histórico'!$A$1:$DD$990,MATCH($B$6,'Histórico'!$A:$A),FALSE)*HLOOKUP("EUR/BRL",'Histórico'!$A$1:$FG$983,MATCH($B$6,'Histórico'!$A:$A),FALSE), HLOOKUP(AB214,'Histórico'!$A$1:$DD$990,MATCH($B$6,'Histórico'!$A:$A),FALSE))),"")</f>
        <v/>
      </c>
      <c r="AF214" s="243" t="str">
        <f t="shared" si="21"/>
        <v/>
      </c>
      <c r="AG214" s="53"/>
      <c r="AH214" s="245"/>
      <c r="AI214" s="242" t="str">
        <f>IF(ISTEXT(AH214),VLOOKUP(AH214,'Cadastro dos Ativos'!$A$2:$C$1000,3,0),"")</f>
        <v/>
      </c>
      <c r="AJ214" s="242" t="str">
        <f>IF(AH214 &lt;&gt; "",IF(AI214="Futuros", (SUMIFS('Alocação'!$O$3:$O$1002,'Alocação'!$C$3:$C$1002,AH214,'Alocação'!$F$3:$F$1002,AH$9,'Alocação'!$B$3:$B$1002,"&lt;="&amp;$B$4)), (SUMIFS('Alocação'!$O$3:$O$1002,'Alocação'!$C$3:$C$1002,AH214,'Alocação'!$F$3:$F$1002,AH$9,'Alocação'!$B$3:$B$1002,"&lt;="&amp;$B$6))),"")</f>
        <v/>
      </c>
      <c r="AK214" s="243" t="str">
        <f>iferror(IF(AI214="Ações Americanas", HLOOKUP(AH214,'Histórico'!$A$1:$DD$990,MATCH($B$6,'Histórico'!$A:$A),FALSE)*HLOOKUP("PTAX",'Histórico'!$A$1:$FG$983,MATCH($B$6,'Histórico'!$A:$A),FALSE),IF(AI214="Ações Europeias", HLOOKUP(AH214,'Histórico'!$A$1:$DD$990,MATCH($B$6,'Histórico'!$A:$A),FALSE)*HLOOKUP("EUR/BRL",'Histórico'!$A$1:$FG$983,MATCH($B$6,'Histórico'!$A:$A),FALSE),  HLOOKUP(AH214,'Histórico'!$A$1:$DD$990,MATCH($B$6,'Histórico'!$A:$A),FALSE))),"")</f>
        <v/>
      </c>
      <c r="AL214" s="243" t="str">
        <f t="shared" si="17"/>
        <v/>
      </c>
      <c r="AM214" s="53"/>
      <c r="AN214" s="245"/>
      <c r="AO214" s="242" t="str">
        <f>IF(ISTEXT(AN214),VLOOKUP(AN214,'Cadastro dos Ativos'!$A$2:$C$1000,3,0),"")</f>
        <v/>
      </c>
      <c r="AP214" s="242" t="str">
        <f>IF(AN214 &lt;&gt; "",IF(AO214="Futuros", (SUMIFS('Alocação'!$O$3:$O$1002,'Alocação'!$C$3:$C$1002,AN214,'Alocação'!$F$3:$F$1002,AN$9,'Alocação'!$B$3:$B$1002,"&lt;="&amp;$B$4)), (SUMIFS('Alocação'!$O$3:$O$1002,'Alocação'!$C$3:$C$1002,AN214,'Alocação'!$F$3:$F$1002,AN$9,'Alocação'!$B$3:$B$1002,"&lt;="&amp;$B$6))),"")</f>
        <v/>
      </c>
      <c r="AQ214" s="243" t="str">
        <f>iferror(IF(AO214="Ações Americanas", HLOOKUP(AN214,'Histórico'!$A$1:$DD$990,MATCH($B$6,'Histórico'!$A:$A),FALSE)*HLOOKUP("PTAX",'Histórico'!$A$1:$FG$983,MATCH($B$6,'Histórico'!$A:$A),FALSE),IF(AO214="Ações Europeias", HLOOKUP(AN214,'Histórico'!$A$1:$DD$990,MATCH($B$6,'Histórico'!$A:$A),FALSE)*HLOOKUP("EUR/BRL",'Histórico'!$A$1:$FG$983,MATCH($B$6,'Histórico'!$A:$A),FALSE),  HLOOKUP(AN214,'Histórico'!$A$1:$DD$990,MATCH($B$6,'Histórico'!$A:$A),FALSE))),"")</f>
        <v/>
      </c>
      <c r="AR214" s="243" t="str">
        <f t="shared" si="18"/>
        <v/>
      </c>
      <c r="AS214" s="53"/>
      <c r="AT214" s="245"/>
      <c r="AU214" s="242" t="str">
        <f>IF(ISTEXT(AT214),VLOOKUP(AT214,'Cadastro dos Ativos'!$A$2:$C$1000,3,0),"")</f>
        <v/>
      </c>
      <c r="AV214" s="242" t="str">
        <f>IF(AT214 &lt;&gt; "",IF(AU214="Futuros", (SUMIFS('Alocação'!$O$3:$O$1002,'Alocação'!$C$3:$C$1002,AT214,'Alocação'!$F$3:$F$1002,AT$9,'Alocação'!$B$3:$B$1002,"&lt;="&amp;$B$4)), (SUMIFS('Alocação'!$O$3:$O$1002,'Alocação'!$C$3:$C$1002,AT214,'Alocação'!$F$3:$F$1002,AT$9,'Alocação'!$B$3:$B$1002,"&lt;="&amp;$B$6))),"")</f>
        <v/>
      </c>
      <c r="AW214" s="243" t="str">
        <f>iferror(IF(AU214="Ações Americanas", HLOOKUP(AT214,'Histórico'!$A$1:$DD$990,MATCH($B$6,'Histórico'!$A:$A),FALSE)*HLOOKUP("PTAX",'Histórico'!$A$1:$FG$983,MATCH($B$6,'Histórico'!$A:$A),FALSE),IF(AU214="Ações Europeias", HLOOKUP(AT214,'Histórico'!$A$1:$DD$990,MATCH($B$6,'Histórico'!$A:$A),FALSE)*HLOOKUP("EUR/BRL",'Histórico'!$A$1:$FG$983,MATCH($B$6,'Histórico'!$A:$A),FALSE),  HLOOKUP(AT214,'Histórico'!$A$1:$DD$990,MATCH($B$6,'Histórico'!$A:$A),FALSE))),"")</f>
        <v/>
      </c>
      <c r="AX214" s="243" t="str">
        <f t="shared" si="27"/>
        <v/>
      </c>
      <c r="AY214" s="183"/>
    </row>
    <row r="215" ht="15.75" customHeight="1">
      <c r="A215" s="176"/>
      <c r="B215" s="232">
        <v>45302.0</v>
      </c>
      <c r="C215" s="233"/>
      <c r="D215" s="233"/>
      <c r="E215" s="234"/>
      <c r="F215" s="233"/>
      <c r="G215" s="233"/>
      <c r="H215" s="234"/>
      <c r="I215" s="233"/>
      <c r="J215" s="233"/>
      <c r="K215" s="234"/>
      <c r="L215" s="233"/>
      <c r="M215" s="233"/>
      <c r="N215" s="240" t="str">
        <f t="shared" si="9"/>
        <v/>
      </c>
      <c r="O215" s="240" t="str">
        <f t="shared" si="10"/>
        <v/>
      </c>
      <c r="P215" s="240" t="str">
        <f t="shared" si="11"/>
        <v/>
      </c>
      <c r="Q215" s="240" t="str">
        <f t="shared" si="12"/>
        <v/>
      </c>
      <c r="R215" s="236" t="str">
        <f t="shared" si="13"/>
        <v/>
      </c>
      <c r="S215" s="177"/>
      <c r="T215" s="233" t="str">
        <f t="shared" ref="T215:U215" si="225">IF(AND(C215&lt;&gt;"",F215&lt;&gt;"",I215&lt;&gt;""), SUM(I215,F215,C215,L215),"")</f>
        <v/>
      </c>
      <c r="U215" s="233" t="str">
        <f t="shared" si="225"/>
        <v/>
      </c>
      <c r="V215" s="233" t="str">
        <f t="shared" si="6"/>
        <v/>
      </c>
      <c r="W215" s="241" t="str">
        <f t="shared" si="15"/>
        <v/>
      </c>
      <c r="X215" s="241" t="str">
        <f t="shared" si="16"/>
        <v/>
      </c>
      <c r="Y215" s="241" t="str">
        <f t="shared" si="25"/>
        <v/>
      </c>
      <c r="Z215" s="233" t="str">
        <f t="shared" si="7"/>
        <v/>
      </c>
      <c r="AA215" s="165"/>
      <c r="AB215" s="245"/>
      <c r="AC215" s="242" t="str">
        <f>IF(ISTEXT(AB215),VLOOKUP(AB215,'Cadastro dos Ativos'!$A$2:$C$1000,3,0),"")</f>
        <v/>
      </c>
      <c r="AD215" s="242" t="str">
        <f>IF(AB215 &lt;&gt; "",IF(AC215="Futuros", (SUMIFS('Alocação'!$O$3:$O$1002,'Alocação'!$C$3:$C$1002,AB215,'Alocação'!$F$3:$F$1002,AB$9,'Alocação'!$B$3:$B$1002,"&lt;="&amp;$B$4)), (SUMIFS('Alocação'!$O$3:$O$1002,'Alocação'!$C$3:$C$1002,AB215,'Alocação'!$F$3:$F$1002,AB$9,'Alocação'!$B$3:$B$1002,"&lt;="&amp;$B$6))),"")</f>
        <v/>
      </c>
      <c r="AE215" s="243" t="str">
        <f>iferror(IF(AC215="Ações Americanas", HLOOKUP(AB215,'Histórico'!$A$1:$DD$990,MATCH($B$6,'Histórico'!$A:$A),FALSE)*HLOOKUP("PTAX",'Histórico'!$A$1:$FG$983,MATCH($B$6,'Histórico'!$A:$A),FALSE),IF(AC215="Ações Europeias", HLOOKUP(AB215,'Histórico'!$A$1:$DD$990,MATCH($B$6,'Histórico'!$A:$A),FALSE)*HLOOKUP("EUR/BRL",'Histórico'!$A$1:$FG$983,MATCH($B$6,'Histórico'!$A:$A),FALSE), HLOOKUP(AB215,'Histórico'!$A$1:$DD$990,MATCH($B$6,'Histórico'!$A:$A),FALSE))),"")</f>
        <v/>
      </c>
      <c r="AF215" s="243" t="str">
        <f t="shared" si="21"/>
        <v/>
      </c>
      <c r="AG215" s="53"/>
      <c r="AH215" s="245"/>
      <c r="AI215" s="242" t="str">
        <f>IF(ISTEXT(AH215),VLOOKUP(AH215,'Cadastro dos Ativos'!$A$2:$C$1000,3,0),"")</f>
        <v/>
      </c>
      <c r="AJ215" s="242" t="str">
        <f>IF(AH215 &lt;&gt; "",IF(AI215="Futuros", (SUMIFS('Alocação'!$O$3:$O$1002,'Alocação'!$C$3:$C$1002,AH215,'Alocação'!$F$3:$F$1002,AH$9,'Alocação'!$B$3:$B$1002,"&lt;="&amp;$B$4)), (SUMIFS('Alocação'!$O$3:$O$1002,'Alocação'!$C$3:$C$1002,AH215,'Alocação'!$F$3:$F$1002,AH$9,'Alocação'!$B$3:$B$1002,"&lt;="&amp;$B$6))),"")</f>
        <v/>
      </c>
      <c r="AK215" s="243" t="str">
        <f>iferror(IF(AI215="Ações Americanas", HLOOKUP(AH215,'Histórico'!$A$1:$DD$990,MATCH($B$6,'Histórico'!$A:$A),FALSE)*HLOOKUP("PTAX",'Histórico'!$A$1:$FG$983,MATCH($B$6,'Histórico'!$A:$A),FALSE),IF(AI215="Ações Europeias", HLOOKUP(AH215,'Histórico'!$A$1:$DD$990,MATCH($B$6,'Histórico'!$A:$A),FALSE)*HLOOKUP("EUR/BRL",'Histórico'!$A$1:$FG$983,MATCH($B$6,'Histórico'!$A:$A),FALSE),  HLOOKUP(AH215,'Histórico'!$A$1:$DD$990,MATCH($B$6,'Histórico'!$A:$A),FALSE))),"")</f>
        <v/>
      </c>
      <c r="AL215" s="243" t="str">
        <f t="shared" si="17"/>
        <v/>
      </c>
      <c r="AM215" s="53"/>
      <c r="AN215" s="245"/>
      <c r="AO215" s="242" t="str">
        <f>IF(ISTEXT(AN215),VLOOKUP(AN215,'Cadastro dos Ativos'!$A$2:$C$1000,3,0),"")</f>
        <v/>
      </c>
      <c r="AP215" s="242" t="str">
        <f>IF(AN215 &lt;&gt; "",IF(AO215="Futuros", (SUMIFS('Alocação'!$O$3:$O$1002,'Alocação'!$C$3:$C$1002,AN215,'Alocação'!$F$3:$F$1002,AN$9,'Alocação'!$B$3:$B$1002,"&lt;="&amp;$B$4)), (SUMIFS('Alocação'!$O$3:$O$1002,'Alocação'!$C$3:$C$1002,AN215,'Alocação'!$F$3:$F$1002,AN$9,'Alocação'!$B$3:$B$1002,"&lt;="&amp;$B$6))),"")</f>
        <v/>
      </c>
      <c r="AQ215" s="243" t="str">
        <f>iferror(IF(AO215="Ações Americanas", HLOOKUP(AN215,'Histórico'!$A$1:$DD$990,MATCH($B$6,'Histórico'!$A:$A),FALSE)*HLOOKUP("PTAX",'Histórico'!$A$1:$FG$983,MATCH($B$6,'Histórico'!$A:$A),FALSE),IF(AO215="Ações Europeias", HLOOKUP(AN215,'Histórico'!$A$1:$DD$990,MATCH($B$6,'Histórico'!$A:$A),FALSE)*HLOOKUP("EUR/BRL",'Histórico'!$A$1:$FG$983,MATCH($B$6,'Histórico'!$A:$A),FALSE),  HLOOKUP(AN215,'Histórico'!$A$1:$DD$990,MATCH($B$6,'Histórico'!$A:$A),FALSE))),"")</f>
        <v/>
      </c>
      <c r="AR215" s="243" t="str">
        <f t="shared" si="18"/>
        <v/>
      </c>
      <c r="AS215" s="53"/>
      <c r="AT215" s="245"/>
      <c r="AU215" s="242" t="str">
        <f>IF(ISTEXT(AT215),VLOOKUP(AT215,'Cadastro dos Ativos'!$A$2:$C$1000,3,0),"")</f>
        <v/>
      </c>
      <c r="AV215" s="242" t="str">
        <f>IF(AT215 &lt;&gt; "",IF(AU215="Futuros", (SUMIFS('Alocação'!$O$3:$O$1002,'Alocação'!$C$3:$C$1002,AT215,'Alocação'!$F$3:$F$1002,AT$9,'Alocação'!$B$3:$B$1002,"&lt;="&amp;$B$4)), (SUMIFS('Alocação'!$O$3:$O$1002,'Alocação'!$C$3:$C$1002,AT215,'Alocação'!$F$3:$F$1002,AT$9,'Alocação'!$B$3:$B$1002,"&lt;="&amp;$B$6))),"")</f>
        <v/>
      </c>
      <c r="AW215" s="243" t="str">
        <f>iferror(IF(AU215="Ações Americanas", HLOOKUP(AT215,'Histórico'!$A$1:$DD$990,MATCH($B$6,'Histórico'!$A:$A),FALSE)*HLOOKUP("PTAX",'Histórico'!$A$1:$FG$983,MATCH($B$6,'Histórico'!$A:$A),FALSE),IF(AU215="Ações Europeias", HLOOKUP(AT215,'Histórico'!$A$1:$DD$990,MATCH($B$6,'Histórico'!$A:$A),FALSE)*HLOOKUP("EUR/BRL",'Histórico'!$A$1:$FG$983,MATCH($B$6,'Histórico'!$A:$A),FALSE),  HLOOKUP(AT215,'Histórico'!$A$1:$DD$990,MATCH($B$6,'Histórico'!$A:$A),FALSE))),"")</f>
        <v/>
      </c>
      <c r="AX215" s="243" t="str">
        <f t="shared" si="27"/>
        <v/>
      </c>
      <c r="AY215" s="183"/>
    </row>
    <row r="216" ht="15.75" customHeight="1">
      <c r="A216" s="176"/>
      <c r="B216" s="232">
        <v>45303.0</v>
      </c>
      <c r="C216" s="233"/>
      <c r="D216" s="233"/>
      <c r="E216" s="234"/>
      <c r="F216" s="233"/>
      <c r="G216" s="233"/>
      <c r="H216" s="234"/>
      <c r="I216" s="233"/>
      <c r="J216" s="233"/>
      <c r="K216" s="234"/>
      <c r="L216" s="233"/>
      <c r="M216" s="233"/>
      <c r="N216" s="240" t="str">
        <f t="shared" si="9"/>
        <v/>
      </c>
      <c r="O216" s="240" t="str">
        <f t="shared" si="10"/>
        <v/>
      </c>
      <c r="P216" s="240" t="str">
        <f t="shared" si="11"/>
        <v/>
      </c>
      <c r="Q216" s="240" t="str">
        <f t="shared" si="12"/>
        <v/>
      </c>
      <c r="R216" s="236" t="str">
        <f t="shared" si="13"/>
        <v/>
      </c>
      <c r="S216" s="177"/>
      <c r="T216" s="233" t="str">
        <f t="shared" ref="T216:U216" si="226">IF(AND(C216&lt;&gt;"",F216&lt;&gt;"",I216&lt;&gt;""), SUM(I216,F216,C216,L216),"")</f>
        <v/>
      </c>
      <c r="U216" s="233" t="str">
        <f t="shared" si="226"/>
        <v/>
      </c>
      <c r="V216" s="233" t="str">
        <f t="shared" si="6"/>
        <v/>
      </c>
      <c r="W216" s="241" t="str">
        <f t="shared" si="15"/>
        <v/>
      </c>
      <c r="X216" s="241" t="str">
        <f t="shared" si="16"/>
        <v/>
      </c>
      <c r="Y216" s="241" t="str">
        <f t="shared" si="25"/>
        <v/>
      </c>
      <c r="Z216" s="233" t="str">
        <f t="shared" si="7"/>
        <v/>
      </c>
      <c r="AA216" s="165"/>
      <c r="AB216" s="245"/>
      <c r="AC216" s="242" t="str">
        <f>IF(ISTEXT(AB216),VLOOKUP(AB216,'Cadastro dos Ativos'!$A$2:$C$1000,3,0),"")</f>
        <v/>
      </c>
      <c r="AD216" s="242" t="str">
        <f>IF(AB216 &lt;&gt; "",IF(AC216="Futuros", (SUMIFS('Alocação'!$O$3:$O$1002,'Alocação'!$C$3:$C$1002,AB216,'Alocação'!$F$3:$F$1002,AB$9,'Alocação'!$B$3:$B$1002,"&lt;="&amp;$B$4)), (SUMIFS('Alocação'!$O$3:$O$1002,'Alocação'!$C$3:$C$1002,AB216,'Alocação'!$F$3:$F$1002,AB$9,'Alocação'!$B$3:$B$1002,"&lt;="&amp;$B$6))),"")</f>
        <v/>
      </c>
      <c r="AE216" s="243" t="str">
        <f>iferror(IF(AC216="Ações Americanas", HLOOKUP(AB216,'Histórico'!$A$1:$DD$990,MATCH($B$6,'Histórico'!$A:$A),FALSE)*HLOOKUP("PTAX",'Histórico'!$A$1:$FG$983,MATCH($B$6,'Histórico'!$A:$A),FALSE),IF(AC216="Ações Europeias", HLOOKUP(AB216,'Histórico'!$A$1:$DD$990,MATCH($B$6,'Histórico'!$A:$A),FALSE)*HLOOKUP("EUR/BRL",'Histórico'!$A$1:$FG$983,MATCH($B$6,'Histórico'!$A:$A),FALSE), HLOOKUP(AB216,'Histórico'!$A$1:$DD$990,MATCH($B$6,'Histórico'!$A:$A),FALSE))),"")</f>
        <v/>
      </c>
      <c r="AF216" s="243" t="str">
        <f t="shared" si="21"/>
        <v/>
      </c>
      <c r="AG216" s="53"/>
      <c r="AH216" s="245"/>
      <c r="AI216" s="242" t="str">
        <f>IF(ISTEXT(AH216),VLOOKUP(AH216,'Cadastro dos Ativos'!$A$2:$C$1000,3,0),"")</f>
        <v/>
      </c>
      <c r="AJ216" s="242" t="str">
        <f>IF(AH216 &lt;&gt; "",IF(AI216="Futuros", (SUMIFS('Alocação'!$O$3:$O$1002,'Alocação'!$C$3:$C$1002,AH216,'Alocação'!$F$3:$F$1002,AH$9,'Alocação'!$B$3:$B$1002,"&lt;="&amp;$B$4)), (SUMIFS('Alocação'!$O$3:$O$1002,'Alocação'!$C$3:$C$1002,AH216,'Alocação'!$F$3:$F$1002,AH$9,'Alocação'!$B$3:$B$1002,"&lt;="&amp;$B$6))),"")</f>
        <v/>
      </c>
      <c r="AK216" s="243" t="str">
        <f>iferror(IF(AI216="Ações Americanas", HLOOKUP(AH216,'Histórico'!$A$1:$DD$990,MATCH($B$6,'Histórico'!$A:$A),FALSE)*HLOOKUP("PTAX",'Histórico'!$A$1:$FG$983,MATCH($B$6,'Histórico'!$A:$A),FALSE),IF(AI216="Ações Europeias", HLOOKUP(AH216,'Histórico'!$A$1:$DD$990,MATCH($B$6,'Histórico'!$A:$A),FALSE)*HLOOKUP("EUR/BRL",'Histórico'!$A$1:$FG$983,MATCH($B$6,'Histórico'!$A:$A),FALSE),  HLOOKUP(AH216,'Histórico'!$A$1:$DD$990,MATCH($B$6,'Histórico'!$A:$A),FALSE))),"")</f>
        <v/>
      </c>
      <c r="AL216" s="243" t="str">
        <f t="shared" si="17"/>
        <v/>
      </c>
      <c r="AM216" s="53"/>
      <c r="AN216" s="245"/>
      <c r="AO216" s="242" t="str">
        <f>IF(ISTEXT(AN216),VLOOKUP(AN216,'Cadastro dos Ativos'!$A$2:$C$1000,3,0),"")</f>
        <v/>
      </c>
      <c r="AP216" s="242" t="str">
        <f>IF(AN216 &lt;&gt; "",IF(AO216="Futuros", (SUMIFS('Alocação'!$O$3:$O$1002,'Alocação'!$C$3:$C$1002,AN216,'Alocação'!$F$3:$F$1002,AN$9,'Alocação'!$B$3:$B$1002,"&lt;="&amp;$B$4)), (SUMIFS('Alocação'!$O$3:$O$1002,'Alocação'!$C$3:$C$1002,AN216,'Alocação'!$F$3:$F$1002,AN$9,'Alocação'!$B$3:$B$1002,"&lt;="&amp;$B$6))),"")</f>
        <v/>
      </c>
      <c r="AQ216" s="243" t="str">
        <f>iferror(IF(AO216="Ações Americanas", HLOOKUP(AN216,'Histórico'!$A$1:$DD$990,MATCH($B$6,'Histórico'!$A:$A),FALSE)*HLOOKUP("PTAX",'Histórico'!$A$1:$FG$983,MATCH($B$6,'Histórico'!$A:$A),FALSE),IF(AO216="Ações Europeias", HLOOKUP(AN216,'Histórico'!$A$1:$DD$990,MATCH($B$6,'Histórico'!$A:$A),FALSE)*HLOOKUP("EUR/BRL",'Histórico'!$A$1:$FG$983,MATCH($B$6,'Histórico'!$A:$A),FALSE),  HLOOKUP(AN216,'Histórico'!$A$1:$DD$990,MATCH($B$6,'Histórico'!$A:$A),FALSE))),"")</f>
        <v/>
      </c>
      <c r="AR216" s="243" t="str">
        <f t="shared" si="18"/>
        <v/>
      </c>
      <c r="AS216" s="53"/>
      <c r="AT216" s="245"/>
      <c r="AU216" s="242" t="str">
        <f>IF(ISTEXT(AT216),VLOOKUP(AT216,'Cadastro dos Ativos'!$A$2:$C$1000,3,0),"")</f>
        <v/>
      </c>
      <c r="AV216" s="242" t="str">
        <f>IF(AT216 &lt;&gt; "",IF(AU216="Futuros", (SUMIFS('Alocação'!$O$3:$O$1002,'Alocação'!$C$3:$C$1002,AT216,'Alocação'!$F$3:$F$1002,AT$9,'Alocação'!$B$3:$B$1002,"&lt;="&amp;$B$4)), (SUMIFS('Alocação'!$O$3:$O$1002,'Alocação'!$C$3:$C$1002,AT216,'Alocação'!$F$3:$F$1002,AT$9,'Alocação'!$B$3:$B$1002,"&lt;="&amp;$B$6))),"")</f>
        <v/>
      </c>
      <c r="AW216" s="243" t="str">
        <f>iferror(IF(AU216="Ações Americanas", HLOOKUP(AT216,'Histórico'!$A$1:$DD$990,MATCH($B$6,'Histórico'!$A:$A),FALSE)*HLOOKUP("PTAX",'Histórico'!$A$1:$FG$983,MATCH($B$6,'Histórico'!$A:$A),FALSE),IF(AU216="Ações Europeias", HLOOKUP(AT216,'Histórico'!$A$1:$DD$990,MATCH($B$6,'Histórico'!$A:$A),FALSE)*HLOOKUP("EUR/BRL",'Histórico'!$A$1:$FG$983,MATCH($B$6,'Histórico'!$A:$A),FALSE),  HLOOKUP(AT216,'Histórico'!$A$1:$DD$990,MATCH($B$6,'Histórico'!$A:$A),FALSE))),"")</f>
        <v/>
      </c>
      <c r="AX216" s="243" t="str">
        <f t="shared" si="27"/>
        <v/>
      </c>
      <c r="AY216" s="183"/>
    </row>
    <row r="217" ht="15.75" customHeight="1">
      <c r="A217" s="176"/>
      <c r="B217" s="232">
        <v>45304.0</v>
      </c>
      <c r="C217" s="233"/>
      <c r="D217" s="233"/>
      <c r="E217" s="234"/>
      <c r="F217" s="233"/>
      <c r="G217" s="233"/>
      <c r="H217" s="234"/>
      <c r="I217" s="233"/>
      <c r="J217" s="233"/>
      <c r="K217" s="234"/>
      <c r="L217" s="233"/>
      <c r="M217" s="233"/>
      <c r="N217" s="240" t="str">
        <f t="shared" si="9"/>
        <v/>
      </c>
      <c r="O217" s="240" t="str">
        <f t="shared" si="10"/>
        <v/>
      </c>
      <c r="P217" s="240" t="str">
        <f t="shared" si="11"/>
        <v/>
      </c>
      <c r="Q217" s="240" t="str">
        <f t="shared" si="12"/>
        <v/>
      </c>
      <c r="R217" s="236" t="str">
        <f t="shared" si="13"/>
        <v/>
      </c>
      <c r="S217" s="177"/>
      <c r="T217" s="233" t="str">
        <f t="shared" ref="T217:U217" si="227">IF(AND(C217&lt;&gt;"",F217&lt;&gt;"",I217&lt;&gt;""), SUM(I217,F217,C217,L217),"")</f>
        <v/>
      </c>
      <c r="U217" s="233" t="str">
        <f t="shared" si="227"/>
        <v/>
      </c>
      <c r="V217" s="233" t="str">
        <f t="shared" si="6"/>
        <v/>
      </c>
      <c r="W217" s="241" t="str">
        <f t="shared" si="15"/>
        <v/>
      </c>
      <c r="X217" s="241" t="str">
        <f t="shared" si="16"/>
        <v/>
      </c>
      <c r="Y217" s="241" t="str">
        <f t="shared" si="25"/>
        <v/>
      </c>
      <c r="Z217" s="233" t="str">
        <f t="shared" si="7"/>
        <v/>
      </c>
      <c r="AA217" s="165"/>
      <c r="AB217" s="245"/>
      <c r="AC217" s="242" t="str">
        <f>IF(ISTEXT(AB217),VLOOKUP(AB217,'Cadastro dos Ativos'!$A$2:$C$1000,3,0),"")</f>
        <v/>
      </c>
      <c r="AD217" s="242" t="str">
        <f>IF(AB217 &lt;&gt; "",IF(AC217="Futuros", (SUMIFS('Alocação'!$O$3:$O$1002,'Alocação'!$C$3:$C$1002,AB217,'Alocação'!$F$3:$F$1002,AB$9,'Alocação'!$B$3:$B$1002,"&lt;="&amp;$B$4)), (SUMIFS('Alocação'!$O$3:$O$1002,'Alocação'!$C$3:$C$1002,AB217,'Alocação'!$F$3:$F$1002,AB$9,'Alocação'!$B$3:$B$1002,"&lt;="&amp;$B$6))),"")</f>
        <v/>
      </c>
      <c r="AE217" s="243" t="str">
        <f>iferror(IF(AC217="Ações Americanas", HLOOKUP(AB217,'Histórico'!$A$1:$DD$990,MATCH($B$6,'Histórico'!$A:$A),FALSE)*HLOOKUP("PTAX",'Histórico'!$A$1:$FG$983,MATCH($B$6,'Histórico'!$A:$A),FALSE),IF(AC217="Ações Europeias", HLOOKUP(AB217,'Histórico'!$A$1:$DD$990,MATCH($B$6,'Histórico'!$A:$A),FALSE)*HLOOKUP("EUR/BRL",'Histórico'!$A$1:$FG$983,MATCH($B$6,'Histórico'!$A:$A),FALSE), HLOOKUP(AB217,'Histórico'!$A$1:$DD$990,MATCH($B$6,'Histórico'!$A:$A),FALSE))),"")</f>
        <v/>
      </c>
      <c r="AF217" s="243" t="str">
        <f t="shared" si="21"/>
        <v/>
      </c>
      <c r="AG217" s="53"/>
      <c r="AH217" s="245"/>
      <c r="AI217" s="242" t="str">
        <f>IF(ISTEXT(AH217),VLOOKUP(AH217,'Cadastro dos Ativos'!$A$2:$C$1000,3,0),"")</f>
        <v/>
      </c>
      <c r="AJ217" s="242" t="str">
        <f>IF(AH217 &lt;&gt; "",IF(AI217="Futuros", (SUMIFS('Alocação'!$O$3:$O$1002,'Alocação'!$C$3:$C$1002,AH217,'Alocação'!$F$3:$F$1002,AH$9,'Alocação'!$B$3:$B$1002,"&lt;="&amp;$B$4)), (SUMIFS('Alocação'!$O$3:$O$1002,'Alocação'!$C$3:$C$1002,AH217,'Alocação'!$F$3:$F$1002,AH$9,'Alocação'!$B$3:$B$1002,"&lt;="&amp;$B$6))),"")</f>
        <v/>
      </c>
      <c r="AK217" s="243" t="str">
        <f>iferror(IF(AI217="Ações Americanas", HLOOKUP(AH217,'Histórico'!$A$1:$DD$990,MATCH($B$6,'Histórico'!$A:$A),FALSE)*HLOOKUP("PTAX",'Histórico'!$A$1:$FG$983,MATCH($B$6,'Histórico'!$A:$A),FALSE),IF(AI217="Ações Europeias", HLOOKUP(AH217,'Histórico'!$A$1:$DD$990,MATCH($B$6,'Histórico'!$A:$A),FALSE)*HLOOKUP("EUR/BRL",'Histórico'!$A$1:$FG$983,MATCH($B$6,'Histórico'!$A:$A),FALSE),  HLOOKUP(AH217,'Histórico'!$A$1:$DD$990,MATCH($B$6,'Histórico'!$A:$A),FALSE))),"")</f>
        <v/>
      </c>
      <c r="AL217" s="243" t="str">
        <f t="shared" si="17"/>
        <v/>
      </c>
      <c r="AM217" s="53"/>
      <c r="AN217" s="245"/>
      <c r="AO217" s="242" t="str">
        <f>IF(ISTEXT(AN217),VLOOKUP(AN217,'Cadastro dos Ativos'!$A$2:$C$1000,3,0),"")</f>
        <v/>
      </c>
      <c r="AP217" s="242" t="str">
        <f>IF(AN217 &lt;&gt; "",IF(AO217="Futuros", (SUMIFS('Alocação'!$O$3:$O$1002,'Alocação'!$C$3:$C$1002,AN217,'Alocação'!$F$3:$F$1002,AN$9,'Alocação'!$B$3:$B$1002,"&lt;="&amp;$B$4)), (SUMIFS('Alocação'!$O$3:$O$1002,'Alocação'!$C$3:$C$1002,AN217,'Alocação'!$F$3:$F$1002,AN$9,'Alocação'!$B$3:$B$1002,"&lt;="&amp;$B$6))),"")</f>
        <v/>
      </c>
      <c r="AQ217" s="243" t="str">
        <f>iferror(IF(AO217="Ações Americanas", HLOOKUP(AN217,'Histórico'!$A$1:$DD$990,MATCH($B$6,'Histórico'!$A:$A),FALSE)*HLOOKUP("PTAX",'Histórico'!$A$1:$FG$983,MATCH($B$6,'Histórico'!$A:$A),FALSE),IF(AO217="Ações Europeias", HLOOKUP(AN217,'Histórico'!$A$1:$DD$990,MATCH($B$6,'Histórico'!$A:$A),FALSE)*HLOOKUP("EUR/BRL",'Histórico'!$A$1:$FG$983,MATCH($B$6,'Histórico'!$A:$A),FALSE),  HLOOKUP(AN217,'Histórico'!$A$1:$DD$990,MATCH($B$6,'Histórico'!$A:$A),FALSE))),"")</f>
        <v/>
      </c>
      <c r="AR217" s="243" t="str">
        <f t="shared" si="18"/>
        <v/>
      </c>
      <c r="AS217" s="53"/>
      <c r="AT217" s="245"/>
      <c r="AU217" s="242" t="str">
        <f>IF(ISTEXT(AT217),VLOOKUP(AT217,'Cadastro dos Ativos'!$A$2:$C$1000,3,0),"")</f>
        <v/>
      </c>
      <c r="AV217" s="242" t="str">
        <f>IF(AT217 &lt;&gt; "",IF(AU217="Futuros", (SUMIFS('Alocação'!$O$3:$O$1002,'Alocação'!$C$3:$C$1002,AT217,'Alocação'!$F$3:$F$1002,AT$9,'Alocação'!$B$3:$B$1002,"&lt;="&amp;$B$4)), (SUMIFS('Alocação'!$O$3:$O$1002,'Alocação'!$C$3:$C$1002,AT217,'Alocação'!$F$3:$F$1002,AT$9,'Alocação'!$B$3:$B$1002,"&lt;="&amp;$B$6))),"")</f>
        <v/>
      </c>
      <c r="AW217" s="243" t="str">
        <f>iferror(IF(AU217="Ações Americanas", HLOOKUP(AT217,'Histórico'!$A$1:$DD$990,MATCH($B$6,'Histórico'!$A:$A),FALSE)*HLOOKUP("PTAX",'Histórico'!$A$1:$FG$983,MATCH($B$6,'Histórico'!$A:$A),FALSE),IF(AU217="Ações Europeias", HLOOKUP(AT217,'Histórico'!$A$1:$DD$990,MATCH($B$6,'Histórico'!$A:$A),FALSE)*HLOOKUP("EUR/BRL",'Histórico'!$A$1:$FG$983,MATCH($B$6,'Histórico'!$A:$A),FALSE),  HLOOKUP(AT217,'Histórico'!$A$1:$DD$990,MATCH($B$6,'Histórico'!$A:$A),FALSE))),"")</f>
        <v/>
      </c>
      <c r="AX217" s="243" t="str">
        <f t="shared" si="27"/>
        <v/>
      </c>
      <c r="AY217" s="183"/>
    </row>
    <row r="218" ht="15.75" customHeight="1">
      <c r="A218" s="176"/>
      <c r="B218" s="232">
        <v>45305.0</v>
      </c>
      <c r="C218" s="233"/>
      <c r="D218" s="233"/>
      <c r="E218" s="234"/>
      <c r="F218" s="233"/>
      <c r="G218" s="233"/>
      <c r="H218" s="234"/>
      <c r="I218" s="233"/>
      <c r="J218" s="233"/>
      <c r="K218" s="234"/>
      <c r="L218" s="233"/>
      <c r="M218" s="233"/>
      <c r="N218" s="240" t="str">
        <f t="shared" si="9"/>
        <v/>
      </c>
      <c r="O218" s="240" t="str">
        <f t="shared" si="10"/>
        <v/>
      </c>
      <c r="P218" s="240" t="str">
        <f t="shared" si="11"/>
        <v/>
      </c>
      <c r="Q218" s="240" t="str">
        <f t="shared" si="12"/>
        <v/>
      </c>
      <c r="R218" s="236" t="str">
        <f t="shared" si="13"/>
        <v/>
      </c>
      <c r="S218" s="177"/>
      <c r="T218" s="233" t="str">
        <f t="shared" ref="T218:U218" si="228">IF(AND(C218&lt;&gt;"",F218&lt;&gt;"",I218&lt;&gt;""), SUM(I218,F218,C218,L218),"")</f>
        <v/>
      </c>
      <c r="U218" s="233" t="str">
        <f t="shared" si="228"/>
        <v/>
      </c>
      <c r="V218" s="233" t="str">
        <f t="shared" si="6"/>
        <v/>
      </c>
      <c r="W218" s="241" t="str">
        <f t="shared" si="15"/>
        <v/>
      </c>
      <c r="X218" s="241" t="str">
        <f t="shared" si="16"/>
        <v/>
      </c>
      <c r="Y218" s="241" t="str">
        <f t="shared" si="25"/>
        <v/>
      </c>
      <c r="Z218" s="233" t="str">
        <f t="shared" si="7"/>
        <v/>
      </c>
      <c r="AA218" s="165"/>
      <c r="AB218" s="245"/>
      <c r="AC218" s="242" t="str">
        <f>IF(ISTEXT(AB218),VLOOKUP(AB218,'Cadastro dos Ativos'!$A$2:$C$1000,3,0),"")</f>
        <v/>
      </c>
      <c r="AD218" s="242" t="str">
        <f>IF(AB218 &lt;&gt; "",IF(AC218="Futuros", (SUMIFS('Alocação'!$O$3:$O$1002,'Alocação'!$C$3:$C$1002,AB218,'Alocação'!$F$3:$F$1002,AB$9,'Alocação'!$B$3:$B$1002,"&lt;="&amp;$B$4)), (SUMIFS('Alocação'!$O$3:$O$1002,'Alocação'!$C$3:$C$1002,AB218,'Alocação'!$F$3:$F$1002,AB$9,'Alocação'!$B$3:$B$1002,"&lt;="&amp;$B$6))),"")</f>
        <v/>
      </c>
      <c r="AE218" s="243" t="str">
        <f>iferror(IF(AC218="Ações Americanas", HLOOKUP(AB218,'Histórico'!$A$1:$DD$990,MATCH($B$6,'Histórico'!$A:$A),FALSE)*HLOOKUP("PTAX",'Histórico'!$A$1:$FG$983,MATCH($B$6,'Histórico'!$A:$A),FALSE),IF(AC218="Ações Europeias", HLOOKUP(AB218,'Histórico'!$A$1:$DD$990,MATCH($B$6,'Histórico'!$A:$A),FALSE)*HLOOKUP("EUR/BRL",'Histórico'!$A$1:$FG$983,MATCH($B$6,'Histórico'!$A:$A),FALSE), HLOOKUP(AB218,'Histórico'!$A$1:$DD$990,MATCH($B$6,'Histórico'!$A:$A),FALSE))),"")</f>
        <v/>
      </c>
      <c r="AF218" s="243" t="str">
        <f t="shared" si="21"/>
        <v/>
      </c>
      <c r="AG218" s="53"/>
      <c r="AH218" s="245"/>
      <c r="AI218" s="242" t="str">
        <f>IF(ISTEXT(AH218),VLOOKUP(AH218,'Cadastro dos Ativos'!$A$2:$C$1000,3,0),"")</f>
        <v/>
      </c>
      <c r="AJ218" s="242" t="str">
        <f>IF(AH218 &lt;&gt; "",IF(AI218="Futuros", (SUMIFS('Alocação'!$O$3:$O$1002,'Alocação'!$C$3:$C$1002,AH218,'Alocação'!$F$3:$F$1002,AH$9,'Alocação'!$B$3:$B$1002,"&lt;="&amp;$B$4)), (SUMIFS('Alocação'!$O$3:$O$1002,'Alocação'!$C$3:$C$1002,AH218,'Alocação'!$F$3:$F$1002,AH$9,'Alocação'!$B$3:$B$1002,"&lt;="&amp;$B$6))),"")</f>
        <v/>
      </c>
      <c r="AK218" s="243" t="str">
        <f>iferror(IF(AI218="Ações Americanas", HLOOKUP(AH218,'Histórico'!$A$1:$DD$990,MATCH($B$6,'Histórico'!$A:$A),FALSE)*HLOOKUP("PTAX",'Histórico'!$A$1:$FG$983,MATCH($B$6,'Histórico'!$A:$A),FALSE),IF(AI218="Ações Europeias", HLOOKUP(AH218,'Histórico'!$A$1:$DD$990,MATCH($B$6,'Histórico'!$A:$A),FALSE)*HLOOKUP("EUR/BRL",'Histórico'!$A$1:$FG$983,MATCH($B$6,'Histórico'!$A:$A),FALSE),  HLOOKUP(AH218,'Histórico'!$A$1:$DD$990,MATCH($B$6,'Histórico'!$A:$A),FALSE))),"")</f>
        <v/>
      </c>
      <c r="AL218" s="243" t="str">
        <f t="shared" si="17"/>
        <v/>
      </c>
      <c r="AM218" s="53"/>
      <c r="AN218" s="245"/>
      <c r="AO218" s="242" t="str">
        <f>IF(ISTEXT(AN218),VLOOKUP(AN218,'Cadastro dos Ativos'!$A$2:$C$1000,3,0),"")</f>
        <v/>
      </c>
      <c r="AP218" s="242" t="str">
        <f>IF(AN218 &lt;&gt; "",IF(AO218="Futuros", (SUMIFS('Alocação'!$O$3:$O$1002,'Alocação'!$C$3:$C$1002,AN218,'Alocação'!$F$3:$F$1002,AN$9,'Alocação'!$B$3:$B$1002,"&lt;="&amp;$B$4)), (SUMIFS('Alocação'!$O$3:$O$1002,'Alocação'!$C$3:$C$1002,AN218,'Alocação'!$F$3:$F$1002,AN$9,'Alocação'!$B$3:$B$1002,"&lt;="&amp;$B$6))),"")</f>
        <v/>
      </c>
      <c r="AQ218" s="243" t="str">
        <f>iferror(IF(AO218="Ações Americanas", HLOOKUP(AN218,'Histórico'!$A$1:$DD$990,MATCH($B$6,'Histórico'!$A:$A),FALSE)*HLOOKUP("PTAX",'Histórico'!$A$1:$FG$983,MATCH($B$6,'Histórico'!$A:$A),FALSE),IF(AO218="Ações Europeias", HLOOKUP(AN218,'Histórico'!$A$1:$DD$990,MATCH($B$6,'Histórico'!$A:$A),FALSE)*HLOOKUP("EUR/BRL",'Histórico'!$A$1:$FG$983,MATCH($B$6,'Histórico'!$A:$A),FALSE),  HLOOKUP(AN218,'Histórico'!$A$1:$DD$990,MATCH($B$6,'Histórico'!$A:$A),FALSE))),"")</f>
        <v/>
      </c>
      <c r="AR218" s="243" t="str">
        <f t="shared" si="18"/>
        <v/>
      </c>
      <c r="AS218" s="53"/>
      <c r="AT218" s="245"/>
      <c r="AU218" s="242" t="str">
        <f>IF(ISTEXT(AT218),VLOOKUP(AT218,'Cadastro dos Ativos'!$A$2:$C$1000,3,0),"")</f>
        <v/>
      </c>
      <c r="AV218" s="242" t="str">
        <f>IF(AT218 &lt;&gt; "",IF(AU218="Futuros", (SUMIFS('Alocação'!$O$3:$O$1002,'Alocação'!$C$3:$C$1002,AT218,'Alocação'!$F$3:$F$1002,AT$9,'Alocação'!$B$3:$B$1002,"&lt;="&amp;$B$4)), (SUMIFS('Alocação'!$O$3:$O$1002,'Alocação'!$C$3:$C$1002,AT218,'Alocação'!$F$3:$F$1002,AT$9,'Alocação'!$B$3:$B$1002,"&lt;="&amp;$B$6))),"")</f>
        <v/>
      </c>
      <c r="AW218" s="243" t="str">
        <f>iferror(IF(AU218="Ações Americanas", HLOOKUP(AT218,'Histórico'!$A$1:$DD$990,MATCH($B$6,'Histórico'!$A:$A),FALSE)*HLOOKUP("PTAX",'Histórico'!$A$1:$FG$983,MATCH($B$6,'Histórico'!$A:$A),FALSE),IF(AU218="Ações Europeias", HLOOKUP(AT218,'Histórico'!$A$1:$DD$990,MATCH($B$6,'Histórico'!$A:$A),FALSE)*HLOOKUP("EUR/BRL",'Histórico'!$A$1:$FG$983,MATCH($B$6,'Histórico'!$A:$A),FALSE),  HLOOKUP(AT218,'Histórico'!$A$1:$DD$990,MATCH($B$6,'Histórico'!$A:$A),FALSE))),"")</f>
        <v/>
      </c>
      <c r="AX218" s="243" t="str">
        <f t="shared" si="27"/>
        <v/>
      </c>
      <c r="AY218" s="183"/>
    </row>
    <row r="219" ht="15.75" customHeight="1">
      <c r="A219" s="176"/>
      <c r="B219" s="232">
        <v>45306.0</v>
      </c>
      <c r="C219" s="233"/>
      <c r="D219" s="233"/>
      <c r="E219" s="234"/>
      <c r="F219" s="233"/>
      <c r="G219" s="233"/>
      <c r="H219" s="234"/>
      <c r="I219" s="233"/>
      <c r="J219" s="233"/>
      <c r="K219" s="234"/>
      <c r="L219" s="233"/>
      <c r="M219" s="233"/>
      <c r="N219" s="240" t="str">
        <f t="shared" si="9"/>
        <v/>
      </c>
      <c r="O219" s="240" t="str">
        <f t="shared" si="10"/>
        <v/>
      </c>
      <c r="P219" s="240" t="str">
        <f t="shared" si="11"/>
        <v/>
      </c>
      <c r="Q219" s="240" t="str">
        <f t="shared" si="12"/>
        <v/>
      </c>
      <c r="R219" s="236" t="str">
        <f t="shared" si="13"/>
        <v/>
      </c>
      <c r="S219" s="177"/>
      <c r="T219" s="233" t="str">
        <f t="shared" ref="T219:U219" si="229">IF(AND(C219&lt;&gt;"",F219&lt;&gt;"",I219&lt;&gt;""), SUM(I219,F219,C219,L219),"")</f>
        <v/>
      </c>
      <c r="U219" s="233" t="str">
        <f t="shared" si="229"/>
        <v/>
      </c>
      <c r="V219" s="233" t="str">
        <f t="shared" si="6"/>
        <v/>
      </c>
      <c r="W219" s="241" t="str">
        <f t="shared" si="15"/>
        <v/>
      </c>
      <c r="X219" s="241" t="str">
        <f t="shared" si="16"/>
        <v/>
      </c>
      <c r="Y219" s="241" t="str">
        <f t="shared" si="25"/>
        <v/>
      </c>
      <c r="Z219" s="233" t="str">
        <f t="shared" si="7"/>
        <v/>
      </c>
      <c r="AA219" s="165"/>
      <c r="AB219" s="245"/>
      <c r="AC219" s="242" t="str">
        <f>IF(ISTEXT(AB219),VLOOKUP(AB219,'Cadastro dos Ativos'!$A$2:$C$1000,3,0),"")</f>
        <v/>
      </c>
      <c r="AD219" s="242" t="str">
        <f>IF(AB219 &lt;&gt; "",IF(AC219="Futuros", (SUMIFS('Alocação'!$O$3:$O$1002,'Alocação'!$C$3:$C$1002,AB219,'Alocação'!$F$3:$F$1002,AB$9,'Alocação'!$B$3:$B$1002,"&lt;="&amp;$B$4)), (SUMIFS('Alocação'!$O$3:$O$1002,'Alocação'!$C$3:$C$1002,AB219,'Alocação'!$F$3:$F$1002,AB$9,'Alocação'!$B$3:$B$1002,"&lt;="&amp;$B$6))),"")</f>
        <v/>
      </c>
      <c r="AE219" s="243" t="str">
        <f>iferror(IF(AC219="Ações Americanas", HLOOKUP(AB219,'Histórico'!$A$1:$DD$990,MATCH($B$6,'Histórico'!$A:$A),FALSE)*HLOOKUP("PTAX",'Histórico'!$A$1:$FG$983,MATCH($B$6,'Histórico'!$A:$A),FALSE),IF(AC219="Ações Europeias", HLOOKUP(AB219,'Histórico'!$A$1:$DD$990,MATCH($B$6,'Histórico'!$A:$A),FALSE)*HLOOKUP("EUR/BRL",'Histórico'!$A$1:$FG$983,MATCH($B$6,'Histórico'!$A:$A),FALSE), HLOOKUP(AB219,'Histórico'!$A$1:$DD$990,MATCH($B$6,'Histórico'!$A:$A),FALSE))),"")</f>
        <v/>
      </c>
      <c r="AF219" s="243" t="str">
        <f t="shared" si="21"/>
        <v/>
      </c>
      <c r="AG219" s="53"/>
      <c r="AH219" s="245"/>
      <c r="AI219" s="242" t="str">
        <f>IF(ISTEXT(AH219),VLOOKUP(AH219,'Cadastro dos Ativos'!$A$2:$C$1000,3,0),"")</f>
        <v/>
      </c>
      <c r="AJ219" s="242" t="str">
        <f>IF(AH219 &lt;&gt; "",IF(AI219="Futuros", (SUMIFS('Alocação'!$O$3:$O$1002,'Alocação'!$C$3:$C$1002,AH219,'Alocação'!$F$3:$F$1002,AH$9,'Alocação'!$B$3:$B$1002,"&lt;="&amp;$B$4)), (SUMIFS('Alocação'!$O$3:$O$1002,'Alocação'!$C$3:$C$1002,AH219,'Alocação'!$F$3:$F$1002,AH$9,'Alocação'!$B$3:$B$1002,"&lt;="&amp;$B$6))),"")</f>
        <v/>
      </c>
      <c r="AK219" s="243" t="str">
        <f>iferror(IF(AI219="Ações Americanas", HLOOKUP(AH219,'Histórico'!$A$1:$DD$990,MATCH($B$6,'Histórico'!$A:$A),FALSE)*HLOOKUP("PTAX",'Histórico'!$A$1:$FG$983,MATCH($B$6,'Histórico'!$A:$A),FALSE),IF(AI219="Ações Europeias", HLOOKUP(AH219,'Histórico'!$A$1:$DD$990,MATCH($B$6,'Histórico'!$A:$A),FALSE)*HLOOKUP("EUR/BRL",'Histórico'!$A$1:$FG$983,MATCH($B$6,'Histórico'!$A:$A),FALSE),  HLOOKUP(AH219,'Histórico'!$A$1:$DD$990,MATCH($B$6,'Histórico'!$A:$A),FALSE))),"")</f>
        <v/>
      </c>
      <c r="AL219" s="243" t="str">
        <f t="shared" si="17"/>
        <v/>
      </c>
      <c r="AM219" s="53"/>
      <c r="AN219" s="245"/>
      <c r="AO219" s="242" t="str">
        <f>IF(ISTEXT(AN219),VLOOKUP(AN219,'Cadastro dos Ativos'!$A$2:$C$1000,3,0),"")</f>
        <v/>
      </c>
      <c r="AP219" s="242" t="str">
        <f>IF(AN219 &lt;&gt; "",IF(AO219="Futuros", (SUMIFS('Alocação'!$O$3:$O$1002,'Alocação'!$C$3:$C$1002,AN219,'Alocação'!$F$3:$F$1002,AN$9,'Alocação'!$B$3:$B$1002,"&lt;="&amp;$B$4)), (SUMIFS('Alocação'!$O$3:$O$1002,'Alocação'!$C$3:$C$1002,AN219,'Alocação'!$F$3:$F$1002,AN$9,'Alocação'!$B$3:$B$1002,"&lt;="&amp;$B$6))),"")</f>
        <v/>
      </c>
      <c r="AQ219" s="243" t="str">
        <f>iferror(IF(AO219="Ações Americanas", HLOOKUP(AN219,'Histórico'!$A$1:$DD$990,MATCH($B$6,'Histórico'!$A:$A),FALSE)*HLOOKUP("PTAX",'Histórico'!$A$1:$FG$983,MATCH($B$6,'Histórico'!$A:$A),FALSE),IF(AO219="Ações Europeias", HLOOKUP(AN219,'Histórico'!$A$1:$DD$990,MATCH($B$6,'Histórico'!$A:$A),FALSE)*HLOOKUP("EUR/BRL",'Histórico'!$A$1:$FG$983,MATCH($B$6,'Histórico'!$A:$A),FALSE),  HLOOKUP(AN219,'Histórico'!$A$1:$DD$990,MATCH($B$6,'Histórico'!$A:$A),FALSE))),"")</f>
        <v/>
      </c>
      <c r="AR219" s="243" t="str">
        <f t="shared" si="18"/>
        <v/>
      </c>
      <c r="AS219" s="53"/>
      <c r="AT219" s="245"/>
      <c r="AU219" s="242" t="str">
        <f>IF(ISTEXT(AT219),VLOOKUP(AT219,'Cadastro dos Ativos'!$A$2:$C$1000,3,0),"")</f>
        <v/>
      </c>
      <c r="AV219" s="242" t="str">
        <f>IF(AT219 &lt;&gt; "",IF(AU219="Futuros", (SUMIFS('Alocação'!$O$3:$O$1002,'Alocação'!$C$3:$C$1002,AT219,'Alocação'!$F$3:$F$1002,AT$9,'Alocação'!$B$3:$B$1002,"&lt;="&amp;$B$4)), (SUMIFS('Alocação'!$O$3:$O$1002,'Alocação'!$C$3:$C$1002,AT219,'Alocação'!$F$3:$F$1002,AT$9,'Alocação'!$B$3:$B$1002,"&lt;="&amp;$B$6))),"")</f>
        <v/>
      </c>
      <c r="AW219" s="243" t="str">
        <f>iferror(IF(AU219="Ações Americanas", HLOOKUP(AT219,'Histórico'!$A$1:$DD$990,MATCH($B$6,'Histórico'!$A:$A),FALSE)*HLOOKUP("PTAX",'Histórico'!$A$1:$FG$983,MATCH($B$6,'Histórico'!$A:$A),FALSE),IF(AU219="Ações Europeias", HLOOKUP(AT219,'Histórico'!$A$1:$DD$990,MATCH($B$6,'Histórico'!$A:$A),FALSE)*HLOOKUP("EUR/BRL",'Histórico'!$A$1:$FG$983,MATCH($B$6,'Histórico'!$A:$A),FALSE),  HLOOKUP(AT219,'Histórico'!$A$1:$DD$990,MATCH($B$6,'Histórico'!$A:$A),FALSE))),"")</f>
        <v/>
      </c>
      <c r="AX219" s="243" t="str">
        <f t="shared" si="27"/>
        <v/>
      </c>
      <c r="AY219" s="183"/>
    </row>
    <row r="220" ht="15.75" customHeight="1">
      <c r="A220" s="176"/>
      <c r="B220" s="232">
        <v>45307.0</v>
      </c>
      <c r="C220" s="233"/>
      <c r="D220" s="233"/>
      <c r="E220" s="234"/>
      <c r="F220" s="233"/>
      <c r="G220" s="233"/>
      <c r="H220" s="234"/>
      <c r="I220" s="233"/>
      <c r="J220" s="233"/>
      <c r="K220" s="234"/>
      <c r="L220" s="233"/>
      <c r="M220" s="233"/>
      <c r="N220" s="240" t="str">
        <f t="shared" si="9"/>
        <v/>
      </c>
      <c r="O220" s="240" t="str">
        <f t="shared" si="10"/>
        <v/>
      </c>
      <c r="P220" s="240" t="str">
        <f t="shared" si="11"/>
        <v/>
      </c>
      <c r="Q220" s="240" t="str">
        <f t="shared" si="12"/>
        <v/>
      </c>
      <c r="R220" s="236" t="str">
        <f t="shared" si="13"/>
        <v/>
      </c>
      <c r="S220" s="177"/>
      <c r="T220" s="233" t="str">
        <f t="shared" ref="T220:U220" si="230">IF(AND(C220&lt;&gt;"",F220&lt;&gt;"",I220&lt;&gt;""), SUM(I220,F220,C220,L220),"")</f>
        <v/>
      </c>
      <c r="U220" s="233" t="str">
        <f t="shared" si="230"/>
        <v/>
      </c>
      <c r="V220" s="233" t="str">
        <f t="shared" si="6"/>
        <v/>
      </c>
      <c r="W220" s="241" t="str">
        <f t="shared" si="15"/>
        <v/>
      </c>
      <c r="X220" s="241" t="str">
        <f t="shared" si="16"/>
        <v/>
      </c>
      <c r="Y220" s="241" t="str">
        <f t="shared" si="25"/>
        <v/>
      </c>
      <c r="Z220" s="233" t="str">
        <f t="shared" si="7"/>
        <v/>
      </c>
      <c r="AA220" s="165"/>
      <c r="AB220" s="245"/>
      <c r="AC220" s="242" t="str">
        <f>IF(ISTEXT(AB220),VLOOKUP(AB220,'Cadastro dos Ativos'!$A$2:$C$1000,3,0),"")</f>
        <v/>
      </c>
      <c r="AD220" s="242" t="str">
        <f>IF(AB220 &lt;&gt; "",IF(AC220="Futuros", (SUMIFS('Alocação'!$O$3:$O$1002,'Alocação'!$C$3:$C$1002,AB220,'Alocação'!$F$3:$F$1002,AB$9,'Alocação'!$B$3:$B$1002,"&lt;="&amp;$B$4)), (SUMIFS('Alocação'!$O$3:$O$1002,'Alocação'!$C$3:$C$1002,AB220,'Alocação'!$F$3:$F$1002,AB$9,'Alocação'!$B$3:$B$1002,"&lt;="&amp;$B$6))),"")</f>
        <v/>
      </c>
      <c r="AE220" s="243" t="str">
        <f>iferror(IF(AC220="Ações Americanas", HLOOKUP(AB220,'Histórico'!$A$1:$DD$990,MATCH($B$6,'Histórico'!$A:$A),FALSE)*HLOOKUP("PTAX",'Histórico'!$A$1:$FG$983,MATCH($B$6,'Histórico'!$A:$A),FALSE),IF(AC220="Ações Europeias", HLOOKUP(AB220,'Histórico'!$A$1:$DD$990,MATCH($B$6,'Histórico'!$A:$A),FALSE)*HLOOKUP("EUR/BRL",'Histórico'!$A$1:$FG$983,MATCH($B$6,'Histórico'!$A:$A),FALSE), HLOOKUP(AB220,'Histórico'!$A$1:$DD$990,MATCH($B$6,'Histórico'!$A:$A),FALSE))),"")</f>
        <v/>
      </c>
      <c r="AF220" s="243" t="str">
        <f t="shared" si="21"/>
        <v/>
      </c>
      <c r="AG220" s="53"/>
      <c r="AH220" s="245"/>
      <c r="AI220" s="242" t="str">
        <f>IF(ISTEXT(AH220),VLOOKUP(AH220,'Cadastro dos Ativos'!$A$2:$C$1000,3,0),"")</f>
        <v/>
      </c>
      <c r="AJ220" s="242" t="str">
        <f>IF(AH220 &lt;&gt; "",IF(AI220="Futuros", (SUMIFS('Alocação'!$O$3:$O$1002,'Alocação'!$C$3:$C$1002,AH220,'Alocação'!$F$3:$F$1002,AH$9,'Alocação'!$B$3:$B$1002,"&lt;="&amp;$B$4)), (SUMIFS('Alocação'!$O$3:$O$1002,'Alocação'!$C$3:$C$1002,AH220,'Alocação'!$F$3:$F$1002,AH$9,'Alocação'!$B$3:$B$1002,"&lt;="&amp;$B$6))),"")</f>
        <v/>
      </c>
      <c r="AK220" s="243" t="str">
        <f>iferror(IF(AI220="Ações Americanas", HLOOKUP(AH220,'Histórico'!$A$1:$DD$990,MATCH($B$6,'Histórico'!$A:$A),FALSE)*HLOOKUP("PTAX",'Histórico'!$A$1:$FG$983,MATCH($B$6,'Histórico'!$A:$A),FALSE),IF(AI220="Ações Europeias", HLOOKUP(AH220,'Histórico'!$A$1:$DD$990,MATCH($B$6,'Histórico'!$A:$A),FALSE)*HLOOKUP("EUR/BRL",'Histórico'!$A$1:$FG$983,MATCH($B$6,'Histórico'!$A:$A),FALSE),  HLOOKUP(AH220,'Histórico'!$A$1:$DD$990,MATCH($B$6,'Histórico'!$A:$A),FALSE))),"")</f>
        <v/>
      </c>
      <c r="AL220" s="243" t="str">
        <f t="shared" si="17"/>
        <v/>
      </c>
      <c r="AM220" s="53"/>
      <c r="AN220" s="245"/>
      <c r="AO220" s="242" t="str">
        <f>IF(ISTEXT(AN220),VLOOKUP(AN220,'Cadastro dos Ativos'!$A$2:$C$1000,3,0),"")</f>
        <v/>
      </c>
      <c r="AP220" s="242" t="str">
        <f>IF(AN220 &lt;&gt; "",IF(AO220="Futuros", (SUMIFS('Alocação'!$O$3:$O$1002,'Alocação'!$C$3:$C$1002,AN220,'Alocação'!$F$3:$F$1002,AN$9,'Alocação'!$B$3:$B$1002,"&lt;="&amp;$B$4)), (SUMIFS('Alocação'!$O$3:$O$1002,'Alocação'!$C$3:$C$1002,AN220,'Alocação'!$F$3:$F$1002,AN$9,'Alocação'!$B$3:$B$1002,"&lt;="&amp;$B$6))),"")</f>
        <v/>
      </c>
      <c r="AQ220" s="243" t="str">
        <f>iferror(IF(AO220="Ações Americanas", HLOOKUP(AN220,'Histórico'!$A$1:$DD$990,MATCH($B$6,'Histórico'!$A:$A),FALSE)*HLOOKUP("PTAX",'Histórico'!$A$1:$FG$983,MATCH($B$6,'Histórico'!$A:$A),FALSE),IF(AO220="Ações Europeias", HLOOKUP(AN220,'Histórico'!$A$1:$DD$990,MATCH($B$6,'Histórico'!$A:$A),FALSE)*HLOOKUP("EUR/BRL",'Histórico'!$A$1:$FG$983,MATCH($B$6,'Histórico'!$A:$A),FALSE),  HLOOKUP(AN220,'Histórico'!$A$1:$DD$990,MATCH($B$6,'Histórico'!$A:$A),FALSE))),"")</f>
        <v/>
      </c>
      <c r="AR220" s="243" t="str">
        <f t="shared" si="18"/>
        <v/>
      </c>
      <c r="AS220" s="53"/>
      <c r="AT220" s="245"/>
      <c r="AU220" s="242" t="str">
        <f>IF(ISTEXT(AT220),VLOOKUP(AT220,'Cadastro dos Ativos'!$A$2:$C$1000,3,0),"")</f>
        <v/>
      </c>
      <c r="AV220" s="242" t="str">
        <f>IF(AT220 &lt;&gt; "",IF(AU220="Futuros", (SUMIFS('Alocação'!$O$3:$O$1002,'Alocação'!$C$3:$C$1002,AT220,'Alocação'!$F$3:$F$1002,AT$9,'Alocação'!$B$3:$B$1002,"&lt;="&amp;$B$4)), (SUMIFS('Alocação'!$O$3:$O$1002,'Alocação'!$C$3:$C$1002,AT220,'Alocação'!$F$3:$F$1002,AT$9,'Alocação'!$B$3:$B$1002,"&lt;="&amp;$B$6))),"")</f>
        <v/>
      </c>
      <c r="AW220" s="243" t="str">
        <f>iferror(IF(AU220="Ações Americanas", HLOOKUP(AT220,'Histórico'!$A$1:$DD$990,MATCH($B$6,'Histórico'!$A:$A),FALSE)*HLOOKUP("PTAX",'Histórico'!$A$1:$FG$983,MATCH($B$6,'Histórico'!$A:$A),FALSE),IF(AU220="Ações Europeias", HLOOKUP(AT220,'Histórico'!$A$1:$DD$990,MATCH($B$6,'Histórico'!$A:$A),FALSE)*HLOOKUP("EUR/BRL",'Histórico'!$A$1:$FG$983,MATCH($B$6,'Histórico'!$A:$A),FALSE),  HLOOKUP(AT220,'Histórico'!$A$1:$DD$990,MATCH($B$6,'Histórico'!$A:$A),FALSE))),"")</f>
        <v/>
      </c>
      <c r="AX220" s="243" t="str">
        <f t="shared" si="27"/>
        <v/>
      </c>
      <c r="AY220" s="183"/>
    </row>
    <row r="221" ht="15.75" customHeight="1">
      <c r="A221" s="176"/>
      <c r="B221" s="232">
        <v>45308.0</v>
      </c>
      <c r="C221" s="233"/>
      <c r="D221" s="233"/>
      <c r="E221" s="234"/>
      <c r="F221" s="233"/>
      <c r="G221" s="233"/>
      <c r="H221" s="234"/>
      <c r="I221" s="233"/>
      <c r="J221" s="233"/>
      <c r="K221" s="234"/>
      <c r="L221" s="233"/>
      <c r="M221" s="233"/>
      <c r="N221" s="240" t="str">
        <f t="shared" si="9"/>
        <v/>
      </c>
      <c r="O221" s="240" t="str">
        <f t="shared" si="10"/>
        <v/>
      </c>
      <c r="P221" s="240" t="str">
        <f t="shared" si="11"/>
        <v/>
      </c>
      <c r="Q221" s="240" t="str">
        <f t="shared" si="12"/>
        <v/>
      </c>
      <c r="R221" s="236" t="str">
        <f t="shared" si="13"/>
        <v/>
      </c>
      <c r="S221" s="177"/>
      <c r="T221" s="233" t="str">
        <f t="shared" ref="T221:U221" si="231">IF(AND(C221&lt;&gt;"",F221&lt;&gt;"",I221&lt;&gt;""), SUM(I221,F221,C221,L221),"")</f>
        <v/>
      </c>
      <c r="U221" s="233" t="str">
        <f t="shared" si="231"/>
        <v/>
      </c>
      <c r="V221" s="233" t="str">
        <f t="shared" si="6"/>
        <v/>
      </c>
      <c r="W221" s="241" t="str">
        <f t="shared" si="15"/>
        <v/>
      </c>
      <c r="X221" s="241" t="str">
        <f t="shared" si="16"/>
        <v/>
      </c>
      <c r="Y221" s="241" t="str">
        <f t="shared" si="25"/>
        <v/>
      </c>
      <c r="Z221" s="233" t="str">
        <f t="shared" si="7"/>
        <v/>
      </c>
      <c r="AA221" s="165"/>
      <c r="AB221" s="245"/>
      <c r="AC221" s="242" t="str">
        <f>IF(ISTEXT(AB221),VLOOKUP(AB221,'Cadastro dos Ativos'!$A$2:$C$1000,3,0),"")</f>
        <v/>
      </c>
      <c r="AD221" s="242" t="str">
        <f>IF(AB221 &lt;&gt; "",IF(AC221="Futuros", (SUMIFS('Alocação'!$O$3:$O$1002,'Alocação'!$C$3:$C$1002,AB221,'Alocação'!$F$3:$F$1002,AB$9,'Alocação'!$B$3:$B$1002,"&lt;="&amp;$B$4)), (SUMIFS('Alocação'!$O$3:$O$1002,'Alocação'!$C$3:$C$1002,AB221,'Alocação'!$F$3:$F$1002,AB$9,'Alocação'!$B$3:$B$1002,"&lt;="&amp;$B$6))),"")</f>
        <v/>
      </c>
      <c r="AE221" s="243" t="str">
        <f>iferror(IF(AC221="Ações Americanas", HLOOKUP(AB221,'Histórico'!$A$1:$DD$990,MATCH($B$6,'Histórico'!$A:$A),FALSE)*HLOOKUP("PTAX",'Histórico'!$A$1:$FG$983,MATCH($B$6,'Histórico'!$A:$A),FALSE),IF(AC221="Ações Europeias", HLOOKUP(AB221,'Histórico'!$A$1:$DD$990,MATCH($B$6,'Histórico'!$A:$A),FALSE)*HLOOKUP("EUR/BRL",'Histórico'!$A$1:$FG$983,MATCH($B$6,'Histórico'!$A:$A),FALSE), HLOOKUP(AB221,'Histórico'!$A$1:$DD$990,MATCH($B$6,'Histórico'!$A:$A),FALSE))),"")</f>
        <v/>
      </c>
      <c r="AF221" s="243" t="str">
        <f t="shared" si="21"/>
        <v/>
      </c>
      <c r="AG221" s="53"/>
      <c r="AH221" s="245"/>
      <c r="AI221" s="242" t="str">
        <f>IF(ISTEXT(AH221),VLOOKUP(AH221,'Cadastro dos Ativos'!$A$2:$C$1000,3,0),"")</f>
        <v/>
      </c>
      <c r="AJ221" s="242" t="str">
        <f>IF(AH221 &lt;&gt; "",IF(AI221="Futuros", (SUMIFS('Alocação'!$O$3:$O$1002,'Alocação'!$C$3:$C$1002,AH221,'Alocação'!$F$3:$F$1002,AH$9,'Alocação'!$B$3:$B$1002,"&lt;="&amp;$B$4)), (SUMIFS('Alocação'!$O$3:$O$1002,'Alocação'!$C$3:$C$1002,AH221,'Alocação'!$F$3:$F$1002,AH$9,'Alocação'!$B$3:$B$1002,"&lt;="&amp;$B$6))),"")</f>
        <v/>
      </c>
      <c r="AK221" s="243" t="str">
        <f>iferror(IF(AI221="Ações Americanas", HLOOKUP(AH221,'Histórico'!$A$1:$DD$990,MATCH($B$6,'Histórico'!$A:$A),FALSE)*HLOOKUP("PTAX",'Histórico'!$A$1:$FG$983,MATCH($B$6,'Histórico'!$A:$A),FALSE),IF(AI221="Ações Europeias", HLOOKUP(AH221,'Histórico'!$A$1:$DD$990,MATCH($B$6,'Histórico'!$A:$A),FALSE)*HLOOKUP("EUR/BRL",'Histórico'!$A$1:$FG$983,MATCH($B$6,'Histórico'!$A:$A),FALSE),  HLOOKUP(AH221,'Histórico'!$A$1:$DD$990,MATCH($B$6,'Histórico'!$A:$A),FALSE))),"")</f>
        <v/>
      </c>
      <c r="AL221" s="243" t="str">
        <f t="shared" si="17"/>
        <v/>
      </c>
      <c r="AM221" s="53"/>
      <c r="AN221" s="245"/>
      <c r="AO221" s="242" t="str">
        <f>IF(ISTEXT(AN221),VLOOKUP(AN221,'Cadastro dos Ativos'!$A$2:$C$1000,3,0),"")</f>
        <v/>
      </c>
      <c r="AP221" s="242" t="str">
        <f>IF(AN221 &lt;&gt; "",IF(AO221="Futuros", (SUMIFS('Alocação'!$O$3:$O$1002,'Alocação'!$C$3:$C$1002,AN221,'Alocação'!$F$3:$F$1002,AN$9,'Alocação'!$B$3:$B$1002,"&lt;="&amp;$B$4)), (SUMIFS('Alocação'!$O$3:$O$1002,'Alocação'!$C$3:$C$1002,AN221,'Alocação'!$F$3:$F$1002,AN$9,'Alocação'!$B$3:$B$1002,"&lt;="&amp;$B$6))),"")</f>
        <v/>
      </c>
      <c r="AQ221" s="243" t="str">
        <f>iferror(IF(AO221="Ações Americanas", HLOOKUP(AN221,'Histórico'!$A$1:$DD$990,MATCH($B$6,'Histórico'!$A:$A),FALSE)*HLOOKUP("PTAX",'Histórico'!$A$1:$FG$983,MATCH($B$6,'Histórico'!$A:$A),FALSE),IF(AO221="Ações Europeias", HLOOKUP(AN221,'Histórico'!$A$1:$DD$990,MATCH($B$6,'Histórico'!$A:$A),FALSE)*HLOOKUP("EUR/BRL",'Histórico'!$A$1:$FG$983,MATCH($B$6,'Histórico'!$A:$A),FALSE),  HLOOKUP(AN221,'Histórico'!$A$1:$DD$990,MATCH($B$6,'Histórico'!$A:$A),FALSE))),"")</f>
        <v/>
      </c>
      <c r="AR221" s="243" t="str">
        <f t="shared" si="18"/>
        <v/>
      </c>
      <c r="AS221" s="53"/>
      <c r="AT221" s="245"/>
      <c r="AU221" s="242" t="str">
        <f>IF(ISTEXT(AT221),VLOOKUP(AT221,'Cadastro dos Ativos'!$A$2:$C$1000,3,0),"")</f>
        <v/>
      </c>
      <c r="AV221" s="242" t="str">
        <f>IF(AT221 &lt;&gt; "",IF(AU221="Futuros", (SUMIFS('Alocação'!$O$3:$O$1002,'Alocação'!$C$3:$C$1002,AT221,'Alocação'!$F$3:$F$1002,AT$9,'Alocação'!$B$3:$B$1002,"&lt;="&amp;$B$4)), (SUMIFS('Alocação'!$O$3:$O$1002,'Alocação'!$C$3:$C$1002,AT221,'Alocação'!$F$3:$F$1002,AT$9,'Alocação'!$B$3:$B$1002,"&lt;="&amp;$B$6))),"")</f>
        <v/>
      </c>
      <c r="AW221" s="243" t="str">
        <f>iferror(IF(AU221="Ações Americanas", HLOOKUP(AT221,'Histórico'!$A$1:$DD$990,MATCH($B$6,'Histórico'!$A:$A),FALSE)*HLOOKUP("PTAX",'Histórico'!$A$1:$FG$983,MATCH($B$6,'Histórico'!$A:$A),FALSE),IF(AU221="Ações Europeias", HLOOKUP(AT221,'Histórico'!$A$1:$DD$990,MATCH($B$6,'Histórico'!$A:$A),FALSE)*HLOOKUP("EUR/BRL",'Histórico'!$A$1:$FG$983,MATCH($B$6,'Histórico'!$A:$A),FALSE),  HLOOKUP(AT221,'Histórico'!$A$1:$DD$990,MATCH($B$6,'Histórico'!$A:$A),FALSE))),"")</f>
        <v/>
      </c>
      <c r="AX221" s="243" t="str">
        <f t="shared" si="27"/>
        <v/>
      </c>
      <c r="AY221" s="183"/>
    </row>
    <row r="222" ht="15.75" customHeight="1">
      <c r="A222" s="2"/>
      <c r="B222" s="232">
        <v>45309.0</v>
      </c>
      <c r="C222" s="233"/>
      <c r="D222" s="233"/>
      <c r="E222" s="234"/>
      <c r="F222" s="233"/>
      <c r="G222" s="233"/>
      <c r="H222" s="234"/>
      <c r="I222" s="233"/>
      <c r="J222" s="233"/>
      <c r="K222" s="234"/>
      <c r="L222" s="233"/>
      <c r="M222" s="233"/>
      <c r="N222" s="240" t="str">
        <f t="shared" si="9"/>
        <v/>
      </c>
      <c r="O222" s="240" t="str">
        <f t="shared" si="10"/>
        <v/>
      </c>
      <c r="P222" s="240" t="str">
        <f t="shared" si="11"/>
        <v/>
      </c>
      <c r="Q222" s="240" t="str">
        <f t="shared" si="12"/>
        <v/>
      </c>
      <c r="R222" s="236" t="str">
        <f t="shared" si="13"/>
        <v/>
      </c>
      <c r="S222" s="177"/>
      <c r="T222" s="233" t="str">
        <f t="shared" ref="T222:U222" si="232">IF(AND(C222&lt;&gt;"",F222&lt;&gt;"",I222&lt;&gt;""), SUM(I222,F222,C222,L222),"")</f>
        <v/>
      </c>
      <c r="U222" s="233" t="str">
        <f t="shared" si="232"/>
        <v/>
      </c>
      <c r="V222" s="233" t="str">
        <f t="shared" si="6"/>
        <v/>
      </c>
      <c r="W222" s="241" t="str">
        <f t="shared" si="15"/>
        <v/>
      </c>
      <c r="X222" s="241" t="str">
        <f t="shared" si="16"/>
        <v/>
      </c>
      <c r="Y222" s="241" t="str">
        <f t="shared" si="25"/>
        <v/>
      </c>
      <c r="Z222" s="233" t="str">
        <f t="shared" si="7"/>
        <v/>
      </c>
      <c r="AA222" s="165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</row>
    <row r="223" ht="15.75" customHeight="1">
      <c r="A223" s="2"/>
      <c r="B223" s="232">
        <v>45310.0</v>
      </c>
      <c r="C223" s="233"/>
      <c r="D223" s="233"/>
      <c r="E223" s="234"/>
      <c r="F223" s="233"/>
      <c r="G223" s="233"/>
      <c r="H223" s="234"/>
      <c r="I223" s="233"/>
      <c r="J223" s="233"/>
      <c r="K223" s="234"/>
      <c r="L223" s="233"/>
      <c r="M223" s="233"/>
      <c r="N223" s="240" t="str">
        <f t="shared" si="9"/>
        <v/>
      </c>
      <c r="O223" s="240" t="str">
        <f t="shared" si="10"/>
        <v/>
      </c>
      <c r="P223" s="240" t="str">
        <f t="shared" si="11"/>
        <v/>
      </c>
      <c r="Q223" s="240" t="str">
        <f t="shared" si="12"/>
        <v/>
      </c>
      <c r="R223" s="236" t="str">
        <f t="shared" si="13"/>
        <v/>
      </c>
      <c r="S223" s="177"/>
      <c r="T223" s="233" t="str">
        <f t="shared" ref="T223:U223" si="233">IF(AND(C223&lt;&gt;"",F223&lt;&gt;"",I223&lt;&gt;""), SUM(I223,F223,C223,L223),"")</f>
        <v/>
      </c>
      <c r="U223" s="233" t="str">
        <f t="shared" si="233"/>
        <v/>
      </c>
      <c r="V223" s="233" t="str">
        <f t="shared" si="6"/>
        <v/>
      </c>
      <c r="W223" s="241" t="str">
        <f t="shared" si="15"/>
        <v/>
      </c>
      <c r="X223" s="241" t="str">
        <f t="shared" si="16"/>
        <v/>
      </c>
      <c r="Y223" s="241" t="str">
        <f t="shared" si="25"/>
        <v/>
      </c>
      <c r="Z223" s="233" t="str">
        <f t="shared" si="7"/>
        <v/>
      </c>
      <c r="AA223" s="165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</row>
    <row r="224" ht="15.75" customHeight="1">
      <c r="A224" s="2"/>
      <c r="B224" s="232">
        <v>45311.0</v>
      </c>
      <c r="C224" s="233"/>
      <c r="D224" s="233"/>
      <c r="E224" s="234"/>
      <c r="F224" s="233"/>
      <c r="G224" s="233"/>
      <c r="H224" s="234"/>
      <c r="I224" s="233"/>
      <c r="J224" s="233"/>
      <c r="K224" s="234"/>
      <c r="L224" s="233"/>
      <c r="M224" s="233"/>
      <c r="N224" s="240" t="str">
        <f t="shared" si="9"/>
        <v/>
      </c>
      <c r="O224" s="240" t="str">
        <f t="shared" si="10"/>
        <v/>
      </c>
      <c r="P224" s="240" t="str">
        <f t="shared" si="11"/>
        <v/>
      </c>
      <c r="Q224" s="240" t="str">
        <f t="shared" si="12"/>
        <v/>
      </c>
      <c r="R224" s="236" t="str">
        <f t="shared" si="13"/>
        <v/>
      </c>
      <c r="S224" s="177"/>
      <c r="T224" s="233" t="str">
        <f t="shared" ref="T224:U224" si="234">IF(AND(C224&lt;&gt;"",F224&lt;&gt;"",I224&lt;&gt;""), SUM(I224,F224,C224,L224),"")</f>
        <v/>
      </c>
      <c r="U224" s="233" t="str">
        <f t="shared" si="234"/>
        <v/>
      </c>
      <c r="V224" s="233" t="str">
        <f t="shared" si="6"/>
        <v/>
      </c>
      <c r="W224" s="241" t="str">
        <f t="shared" si="15"/>
        <v/>
      </c>
      <c r="X224" s="241" t="str">
        <f t="shared" si="16"/>
        <v/>
      </c>
      <c r="Y224" s="241" t="str">
        <f t="shared" si="25"/>
        <v/>
      </c>
      <c r="Z224" s="233" t="str">
        <f t="shared" si="7"/>
        <v/>
      </c>
      <c r="AA224" s="165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</row>
    <row r="225" ht="15.75" customHeight="1">
      <c r="A225" s="2"/>
      <c r="B225" s="232">
        <v>45312.0</v>
      </c>
      <c r="C225" s="233"/>
      <c r="D225" s="233"/>
      <c r="E225" s="234"/>
      <c r="F225" s="233"/>
      <c r="G225" s="233"/>
      <c r="H225" s="234"/>
      <c r="I225" s="233"/>
      <c r="J225" s="233"/>
      <c r="K225" s="234"/>
      <c r="L225" s="233"/>
      <c r="M225" s="233"/>
      <c r="N225" s="240" t="str">
        <f t="shared" si="9"/>
        <v/>
      </c>
      <c r="O225" s="240" t="str">
        <f t="shared" si="10"/>
        <v/>
      </c>
      <c r="P225" s="240" t="str">
        <f t="shared" si="11"/>
        <v/>
      </c>
      <c r="Q225" s="240" t="str">
        <f t="shared" si="12"/>
        <v/>
      </c>
      <c r="R225" s="236" t="str">
        <f t="shared" si="13"/>
        <v/>
      </c>
      <c r="S225" s="177"/>
      <c r="T225" s="233" t="str">
        <f t="shared" ref="T225:U225" si="235">IF(AND(C225&lt;&gt;"",F225&lt;&gt;"",I225&lt;&gt;""), SUM(I225,F225,C225,L225),"")</f>
        <v/>
      </c>
      <c r="U225" s="233" t="str">
        <f t="shared" si="235"/>
        <v/>
      </c>
      <c r="V225" s="233" t="str">
        <f t="shared" si="6"/>
        <v/>
      </c>
      <c r="W225" s="241" t="str">
        <f t="shared" si="15"/>
        <v/>
      </c>
      <c r="X225" s="241" t="str">
        <f t="shared" si="16"/>
        <v/>
      </c>
      <c r="Y225" s="241" t="str">
        <f t="shared" si="25"/>
        <v/>
      </c>
      <c r="Z225" s="233" t="str">
        <f t="shared" si="7"/>
        <v/>
      </c>
      <c r="AA225" s="165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</row>
    <row r="226" ht="15.75" customHeight="1">
      <c r="A226" s="2"/>
      <c r="B226" s="232">
        <v>45313.0</v>
      </c>
      <c r="C226" s="233"/>
      <c r="D226" s="233"/>
      <c r="E226" s="234"/>
      <c r="F226" s="233"/>
      <c r="G226" s="233"/>
      <c r="H226" s="234"/>
      <c r="I226" s="233"/>
      <c r="J226" s="233"/>
      <c r="K226" s="234"/>
      <c r="L226" s="233"/>
      <c r="M226" s="233"/>
      <c r="N226" s="240" t="str">
        <f t="shared" si="9"/>
        <v/>
      </c>
      <c r="O226" s="240" t="str">
        <f t="shared" si="10"/>
        <v/>
      </c>
      <c r="P226" s="240" t="str">
        <f t="shared" si="11"/>
        <v/>
      </c>
      <c r="Q226" s="240" t="str">
        <f t="shared" si="12"/>
        <v/>
      </c>
      <c r="R226" s="236" t="str">
        <f t="shared" si="13"/>
        <v/>
      </c>
      <c r="S226" s="177"/>
      <c r="T226" s="233" t="str">
        <f t="shared" ref="T226:U226" si="236">IF(AND(C226&lt;&gt;"",F226&lt;&gt;"",I226&lt;&gt;""), SUM(I226,F226,C226,L226),"")</f>
        <v/>
      </c>
      <c r="U226" s="233" t="str">
        <f t="shared" si="236"/>
        <v/>
      </c>
      <c r="V226" s="233" t="str">
        <f t="shared" si="6"/>
        <v/>
      </c>
      <c r="W226" s="241" t="str">
        <f t="shared" si="15"/>
        <v/>
      </c>
      <c r="X226" s="241" t="str">
        <f t="shared" si="16"/>
        <v/>
      </c>
      <c r="Y226" s="241" t="str">
        <f t="shared" si="25"/>
        <v/>
      </c>
      <c r="Z226" s="233" t="str">
        <f t="shared" si="7"/>
        <v/>
      </c>
      <c r="AA226" s="165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</row>
    <row r="227" ht="15.75" customHeight="1">
      <c r="A227" s="2"/>
      <c r="B227" s="232">
        <v>45314.0</v>
      </c>
      <c r="C227" s="233"/>
      <c r="D227" s="233"/>
      <c r="E227" s="234"/>
      <c r="F227" s="233"/>
      <c r="G227" s="233"/>
      <c r="H227" s="234"/>
      <c r="I227" s="233"/>
      <c r="J227" s="233"/>
      <c r="K227" s="234"/>
      <c r="L227" s="233"/>
      <c r="M227" s="233"/>
      <c r="N227" s="240" t="str">
        <f t="shared" si="9"/>
        <v/>
      </c>
      <c r="O227" s="240" t="str">
        <f t="shared" si="10"/>
        <v/>
      </c>
      <c r="P227" s="240" t="str">
        <f t="shared" si="11"/>
        <v/>
      </c>
      <c r="Q227" s="240" t="str">
        <f t="shared" si="12"/>
        <v/>
      </c>
      <c r="R227" s="236" t="str">
        <f t="shared" si="13"/>
        <v/>
      </c>
      <c r="S227" s="177"/>
      <c r="T227" s="233" t="str">
        <f t="shared" ref="T227:U227" si="237">IF(AND(C227&lt;&gt;"",F227&lt;&gt;"",I227&lt;&gt;""), SUM(I227,F227,C227,L227),"")</f>
        <v/>
      </c>
      <c r="U227" s="233" t="str">
        <f t="shared" si="237"/>
        <v/>
      </c>
      <c r="V227" s="233" t="str">
        <f t="shared" si="6"/>
        <v/>
      </c>
      <c r="W227" s="241" t="str">
        <f t="shared" si="15"/>
        <v/>
      </c>
      <c r="X227" s="241" t="str">
        <f t="shared" si="16"/>
        <v/>
      </c>
      <c r="Y227" s="241" t="str">
        <f t="shared" si="25"/>
        <v/>
      </c>
      <c r="Z227" s="233" t="str">
        <f t="shared" si="7"/>
        <v/>
      </c>
      <c r="AA227" s="165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</row>
    <row r="228" ht="15.75" customHeight="1">
      <c r="A228" s="2"/>
      <c r="B228" s="232">
        <v>45315.0</v>
      </c>
      <c r="C228" s="233"/>
      <c r="D228" s="233"/>
      <c r="E228" s="234"/>
      <c r="F228" s="233"/>
      <c r="G228" s="233"/>
      <c r="H228" s="234"/>
      <c r="I228" s="233"/>
      <c r="J228" s="233"/>
      <c r="K228" s="234"/>
      <c r="L228" s="233"/>
      <c r="M228" s="233"/>
      <c r="N228" s="240" t="str">
        <f t="shared" si="9"/>
        <v/>
      </c>
      <c r="O228" s="240" t="str">
        <f t="shared" si="10"/>
        <v/>
      </c>
      <c r="P228" s="240" t="str">
        <f t="shared" si="11"/>
        <v/>
      </c>
      <c r="Q228" s="240" t="str">
        <f t="shared" si="12"/>
        <v/>
      </c>
      <c r="R228" s="236" t="str">
        <f t="shared" si="13"/>
        <v/>
      </c>
      <c r="S228" s="177"/>
      <c r="T228" s="233" t="str">
        <f t="shared" ref="T228:U228" si="238">IF(AND(C228&lt;&gt;"",F228&lt;&gt;"",I228&lt;&gt;""), SUM(I228,F228,C228,L228),"")</f>
        <v/>
      </c>
      <c r="U228" s="233" t="str">
        <f t="shared" si="238"/>
        <v/>
      </c>
      <c r="V228" s="233" t="str">
        <f t="shared" si="6"/>
        <v/>
      </c>
      <c r="W228" s="241" t="str">
        <f t="shared" si="15"/>
        <v/>
      </c>
      <c r="X228" s="241" t="str">
        <f t="shared" si="16"/>
        <v/>
      </c>
      <c r="Y228" s="241" t="str">
        <f t="shared" si="25"/>
        <v/>
      </c>
      <c r="Z228" s="233" t="str">
        <f t="shared" si="7"/>
        <v/>
      </c>
      <c r="AA228" s="165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</row>
    <row r="229" ht="15.75" customHeight="1">
      <c r="A229" s="2"/>
      <c r="B229" s="232">
        <v>45316.0</v>
      </c>
      <c r="C229" s="233"/>
      <c r="D229" s="233"/>
      <c r="E229" s="234"/>
      <c r="F229" s="233"/>
      <c r="G229" s="233"/>
      <c r="H229" s="234"/>
      <c r="I229" s="233"/>
      <c r="J229" s="233"/>
      <c r="K229" s="234"/>
      <c r="L229" s="233"/>
      <c r="M229" s="233"/>
      <c r="N229" s="240" t="str">
        <f t="shared" si="9"/>
        <v/>
      </c>
      <c r="O229" s="240" t="str">
        <f t="shared" si="10"/>
        <v/>
      </c>
      <c r="P229" s="240" t="str">
        <f t="shared" si="11"/>
        <v/>
      </c>
      <c r="Q229" s="240" t="str">
        <f t="shared" si="12"/>
        <v/>
      </c>
      <c r="R229" s="236" t="str">
        <f t="shared" si="13"/>
        <v/>
      </c>
      <c r="S229" s="177"/>
      <c r="T229" s="233" t="str">
        <f t="shared" ref="T229:U229" si="239">IF(AND(C229&lt;&gt;"",F229&lt;&gt;"",I229&lt;&gt;""), SUM(I229,F229,C229,L229),"")</f>
        <v/>
      </c>
      <c r="U229" s="233" t="str">
        <f t="shared" si="239"/>
        <v/>
      </c>
      <c r="V229" s="233" t="str">
        <f t="shared" si="6"/>
        <v/>
      </c>
      <c r="W229" s="241" t="str">
        <f t="shared" si="15"/>
        <v/>
      </c>
      <c r="X229" s="241" t="str">
        <f t="shared" si="16"/>
        <v/>
      </c>
      <c r="Y229" s="241" t="str">
        <f t="shared" si="25"/>
        <v/>
      </c>
      <c r="Z229" s="233" t="str">
        <f t="shared" si="7"/>
        <v/>
      </c>
      <c r="AA229" s="165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</row>
    <row r="230" ht="15.75" customHeight="1">
      <c r="A230" s="2"/>
      <c r="B230" s="232">
        <v>45317.0</v>
      </c>
      <c r="C230" s="233"/>
      <c r="D230" s="233"/>
      <c r="E230" s="234"/>
      <c r="F230" s="233"/>
      <c r="G230" s="233"/>
      <c r="H230" s="234"/>
      <c r="I230" s="233"/>
      <c r="J230" s="233"/>
      <c r="K230" s="234"/>
      <c r="L230" s="233"/>
      <c r="M230" s="233"/>
      <c r="N230" s="240" t="str">
        <f t="shared" si="9"/>
        <v/>
      </c>
      <c r="O230" s="240" t="str">
        <f t="shared" si="10"/>
        <v/>
      </c>
      <c r="P230" s="240" t="str">
        <f t="shared" si="11"/>
        <v/>
      </c>
      <c r="Q230" s="240" t="str">
        <f t="shared" si="12"/>
        <v/>
      </c>
      <c r="R230" s="236" t="str">
        <f t="shared" si="13"/>
        <v/>
      </c>
      <c r="S230" s="177"/>
      <c r="T230" s="233" t="str">
        <f t="shared" ref="T230:U230" si="240">IF(AND(C230&lt;&gt;"",F230&lt;&gt;"",I230&lt;&gt;""), SUM(I230,F230,C230,L230),"")</f>
        <v/>
      </c>
      <c r="U230" s="233" t="str">
        <f t="shared" si="240"/>
        <v/>
      </c>
      <c r="V230" s="233" t="str">
        <f t="shared" si="6"/>
        <v/>
      </c>
      <c r="W230" s="241" t="str">
        <f t="shared" si="15"/>
        <v/>
      </c>
      <c r="X230" s="241" t="str">
        <f t="shared" si="16"/>
        <v/>
      </c>
      <c r="Y230" s="241" t="str">
        <f t="shared" si="25"/>
        <v/>
      </c>
      <c r="Z230" s="233" t="str">
        <f t="shared" si="7"/>
        <v/>
      </c>
      <c r="AA230" s="165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</row>
    <row r="231" ht="15.75" customHeight="1">
      <c r="A231" s="2"/>
      <c r="B231" s="232">
        <v>45318.0</v>
      </c>
      <c r="C231" s="233"/>
      <c r="D231" s="233"/>
      <c r="E231" s="234"/>
      <c r="F231" s="233"/>
      <c r="G231" s="233"/>
      <c r="H231" s="234"/>
      <c r="I231" s="233"/>
      <c r="J231" s="233"/>
      <c r="K231" s="234"/>
      <c r="L231" s="233"/>
      <c r="M231" s="233"/>
      <c r="N231" s="240" t="str">
        <f t="shared" si="9"/>
        <v/>
      </c>
      <c r="O231" s="240" t="str">
        <f t="shared" si="10"/>
        <v/>
      </c>
      <c r="P231" s="240" t="str">
        <f t="shared" si="11"/>
        <v/>
      </c>
      <c r="Q231" s="240" t="str">
        <f t="shared" si="12"/>
        <v/>
      </c>
      <c r="R231" s="236" t="str">
        <f t="shared" si="13"/>
        <v/>
      </c>
      <c r="S231" s="177"/>
      <c r="T231" s="233" t="str">
        <f t="shared" ref="T231:U231" si="241">IF(AND(C231&lt;&gt;"",F231&lt;&gt;"",I231&lt;&gt;""), SUM(I231,F231,C231,L231),"")</f>
        <v/>
      </c>
      <c r="U231" s="233" t="str">
        <f t="shared" si="241"/>
        <v/>
      </c>
      <c r="V231" s="233" t="str">
        <f t="shared" si="6"/>
        <v/>
      </c>
      <c r="W231" s="241" t="str">
        <f t="shared" si="15"/>
        <v/>
      </c>
      <c r="X231" s="241" t="str">
        <f t="shared" si="16"/>
        <v/>
      </c>
      <c r="Y231" s="241" t="str">
        <f t="shared" si="25"/>
        <v/>
      </c>
      <c r="Z231" s="233" t="str">
        <f t="shared" si="7"/>
        <v/>
      </c>
      <c r="AA231" s="165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</row>
    <row r="232" ht="15.75" customHeight="1">
      <c r="A232" s="2"/>
      <c r="B232" s="232">
        <v>45319.0</v>
      </c>
      <c r="C232" s="233"/>
      <c r="D232" s="233"/>
      <c r="E232" s="234"/>
      <c r="F232" s="233"/>
      <c r="G232" s="233"/>
      <c r="H232" s="234"/>
      <c r="I232" s="233"/>
      <c r="J232" s="233"/>
      <c r="K232" s="234"/>
      <c r="L232" s="233"/>
      <c r="M232" s="233"/>
      <c r="N232" s="240" t="str">
        <f t="shared" si="9"/>
        <v/>
      </c>
      <c r="O232" s="240" t="str">
        <f t="shared" si="10"/>
        <v/>
      </c>
      <c r="P232" s="240" t="str">
        <f t="shared" si="11"/>
        <v/>
      </c>
      <c r="Q232" s="240" t="str">
        <f t="shared" si="12"/>
        <v/>
      </c>
      <c r="R232" s="236" t="str">
        <f t="shared" si="13"/>
        <v/>
      </c>
      <c r="S232" s="177"/>
      <c r="T232" s="233" t="str">
        <f t="shared" ref="T232:U232" si="242">IF(AND(C232&lt;&gt;"",F232&lt;&gt;"",I232&lt;&gt;""), SUM(I232,F232,C232,L232),"")</f>
        <v/>
      </c>
      <c r="U232" s="233" t="str">
        <f t="shared" si="242"/>
        <v/>
      </c>
      <c r="V232" s="233" t="str">
        <f t="shared" si="6"/>
        <v/>
      </c>
      <c r="W232" s="241" t="str">
        <f t="shared" si="15"/>
        <v/>
      </c>
      <c r="X232" s="241" t="str">
        <f t="shared" si="16"/>
        <v/>
      </c>
      <c r="Y232" s="241" t="str">
        <f t="shared" si="25"/>
        <v/>
      </c>
      <c r="Z232" s="233" t="str">
        <f t="shared" si="7"/>
        <v/>
      </c>
      <c r="AA232" s="165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</row>
    <row r="233" ht="15.75" customHeight="1">
      <c r="A233" s="2"/>
      <c r="B233" s="232">
        <v>45320.0</v>
      </c>
      <c r="C233" s="233"/>
      <c r="D233" s="233"/>
      <c r="E233" s="234"/>
      <c r="F233" s="233"/>
      <c r="G233" s="233"/>
      <c r="H233" s="234"/>
      <c r="I233" s="233"/>
      <c r="J233" s="233"/>
      <c r="K233" s="234"/>
      <c r="L233" s="233"/>
      <c r="M233" s="233"/>
      <c r="N233" s="240" t="str">
        <f t="shared" si="9"/>
        <v/>
      </c>
      <c r="O233" s="240" t="str">
        <f t="shared" si="10"/>
        <v/>
      </c>
      <c r="P233" s="240" t="str">
        <f t="shared" si="11"/>
        <v/>
      </c>
      <c r="Q233" s="240" t="str">
        <f t="shared" si="12"/>
        <v/>
      </c>
      <c r="R233" s="236" t="str">
        <f t="shared" si="13"/>
        <v/>
      </c>
      <c r="S233" s="177"/>
      <c r="T233" s="233" t="str">
        <f t="shared" ref="T233:U233" si="243">IF(AND(C233&lt;&gt;"",F233&lt;&gt;"",I233&lt;&gt;""), SUM(I233,F233,C233,L233),"")</f>
        <v/>
      </c>
      <c r="U233" s="233" t="str">
        <f t="shared" si="243"/>
        <v/>
      </c>
      <c r="V233" s="233" t="str">
        <f t="shared" si="6"/>
        <v/>
      </c>
      <c r="W233" s="241" t="str">
        <f t="shared" si="15"/>
        <v/>
      </c>
      <c r="X233" s="241" t="str">
        <f t="shared" si="16"/>
        <v/>
      </c>
      <c r="Y233" s="241" t="str">
        <f t="shared" si="25"/>
        <v/>
      </c>
      <c r="Z233" s="233" t="str">
        <f t="shared" si="7"/>
        <v/>
      </c>
      <c r="AA233" s="165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</row>
    <row r="234" ht="15.75" customHeight="1">
      <c r="A234" s="2"/>
      <c r="B234" s="232">
        <v>45321.0</v>
      </c>
      <c r="C234" s="233"/>
      <c r="D234" s="233"/>
      <c r="E234" s="234"/>
      <c r="F234" s="233"/>
      <c r="G234" s="233"/>
      <c r="H234" s="234"/>
      <c r="I234" s="233"/>
      <c r="J234" s="233"/>
      <c r="K234" s="234"/>
      <c r="L234" s="233"/>
      <c r="M234" s="233"/>
      <c r="N234" s="240" t="str">
        <f t="shared" si="9"/>
        <v/>
      </c>
      <c r="O234" s="240" t="str">
        <f t="shared" si="10"/>
        <v/>
      </c>
      <c r="P234" s="240" t="str">
        <f t="shared" si="11"/>
        <v/>
      </c>
      <c r="Q234" s="240" t="str">
        <f t="shared" si="12"/>
        <v/>
      </c>
      <c r="R234" s="236" t="str">
        <f t="shared" si="13"/>
        <v/>
      </c>
      <c r="S234" s="177"/>
      <c r="T234" s="233" t="str">
        <f t="shared" ref="T234:U234" si="244">IF(AND(C234&lt;&gt;"",F234&lt;&gt;"",I234&lt;&gt;""), SUM(I234,F234,C234,L234),"")</f>
        <v/>
      </c>
      <c r="U234" s="233" t="str">
        <f t="shared" si="244"/>
        <v/>
      </c>
      <c r="V234" s="233" t="str">
        <f t="shared" si="6"/>
        <v/>
      </c>
      <c r="W234" s="241" t="str">
        <f t="shared" si="15"/>
        <v/>
      </c>
      <c r="X234" s="241" t="str">
        <f t="shared" si="16"/>
        <v/>
      </c>
      <c r="Y234" s="241" t="str">
        <f t="shared" si="25"/>
        <v/>
      </c>
      <c r="Z234" s="233" t="str">
        <f t="shared" si="7"/>
        <v/>
      </c>
      <c r="AA234" s="165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</row>
    <row r="235" ht="15.75" customHeight="1">
      <c r="A235" s="2"/>
      <c r="B235" s="232">
        <v>45322.0</v>
      </c>
      <c r="C235" s="233"/>
      <c r="D235" s="233"/>
      <c r="E235" s="234"/>
      <c r="F235" s="233"/>
      <c r="G235" s="233"/>
      <c r="H235" s="234"/>
      <c r="I235" s="233"/>
      <c r="J235" s="233"/>
      <c r="K235" s="234"/>
      <c r="L235" s="233"/>
      <c r="M235" s="233"/>
      <c r="N235" s="240" t="str">
        <f t="shared" si="9"/>
        <v/>
      </c>
      <c r="O235" s="240" t="str">
        <f t="shared" si="10"/>
        <v/>
      </c>
      <c r="P235" s="240" t="str">
        <f t="shared" si="11"/>
        <v/>
      </c>
      <c r="Q235" s="240" t="str">
        <f t="shared" si="12"/>
        <v/>
      </c>
      <c r="R235" s="236" t="str">
        <f t="shared" si="13"/>
        <v/>
      </c>
      <c r="S235" s="177"/>
      <c r="T235" s="233" t="str">
        <f t="shared" ref="T235:U235" si="245">IF(AND(C235&lt;&gt;"",F235&lt;&gt;"",I235&lt;&gt;""), SUM(I235,F235,C235,L235),"")</f>
        <v/>
      </c>
      <c r="U235" s="233" t="str">
        <f t="shared" si="245"/>
        <v/>
      </c>
      <c r="V235" s="233" t="str">
        <f t="shared" si="6"/>
        <v/>
      </c>
      <c r="W235" s="241" t="str">
        <f t="shared" si="15"/>
        <v/>
      </c>
      <c r="X235" s="241" t="str">
        <f t="shared" si="16"/>
        <v/>
      </c>
      <c r="Y235" s="241" t="str">
        <f t="shared" si="25"/>
        <v/>
      </c>
      <c r="Z235" s="233" t="str">
        <f t="shared" si="7"/>
        <v/>
      </c>
      <c r="AA235" s="165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</row>
    <row r="236" ht="15.75" customHeight="1">
      <c r="A236" s="2"/>
      <c r="B236" s="232">
        <v>45323.0</v>
      </c>
      <c r="C236" s="233"/>
      <c r="D236" s="233"/>
      <c r="E236" s="234"/>
      <c r="F236" s="233"/>
      <c r="G236" s="233"/>
      <c r="H236" s="234"/>
      <c r="I236" s="233"/>
      <c r="J236" s="233"/>
      <c r="K236" s="234"/>
      <c r="L236" s="233"/>
      <c r="M236" s="233"/>
      <c r="N236" s="240" t="str">
        <f t="shared" si="9"/>
        <v/>
      </c>
      <c r="O236" s="240" t="str">
        <f t="shared" si="10"/>
        <v/>
      </c>
      <c r="P236" s="240" t="str">
        <f t="shared" si="11"/>
        <v/>
      </c>
      <c r="Q236" s="240" t="str">
        <f t="shared" si="12"/>
        <v/>
      </c>
      <c r="R236" s="236" t="str">
        <f t="shared" si="13"/>
        <v/>
      </c>
      <c r="S236" s="177"/>
      <c r="T236" s="233" t="str">
        <f t="shared" ref="T236:U236" si="246">IF(AND(C236&lt;&gt;"",F236&lt;&gt;"",I236&lt;&gt;""), SUM(I236,F236,C236,L236),"")</f>
        <v/>
      </c>
      <c r="U236" s="233" t="str">
        <f t="shared" si="246"/>
        <v/>
      </c>
      <c r="V236" s="233" t="str">
        <f t="shared" si="6"/>
        <v/>
      </c>
      <c r="W236" s="241" t="str">
        <f t="shared" si="15"/>
        <v/>
      </c>
      <c r="X236" s="241" t="str">
        <f t="shared" si="16"/>
        <v/>
      </c>
      <c r="Y236" s="241" t="str">
        <f t="shared" si="25"/>
        <v/>
      </c>
      <c r="Z236" s="233" t="str">
        <f t="shared" si="7"/>
        <v/>
      </c>
      <c r="AA236" s="165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</row>
    <row r="237" ht="15.75" customHeight="1">
      <c r="A237" s="2"/>
      <c r="B237" s="232">
        <v>45324.0</v>
      </c>
      <c r="C237" s="233"/>
      <c r="D237" s="233"/>
      <c r="E237" s="234"/>
      <c r="F237" s="233"/>
      <c r="G237" s="233"/>
      <c r="H237" s="234"/>
      <c r="I237" s="233"/>
      <c r="J237" s="233"/>
      <c r="K237" s="234"/>
      <c r="L237" s="233"/>
      <c r="M237" s="233"/>
      <c r="N237" s="240" t="str">
        <f t="shared" si="9"/>
        <v/>
      </c>
      <c r="O237" s="240" t="str">
        <f t="shared" si="10"/>
        <v/>
      </c>
      <c r="P237" s="240" t="str">
        <f t="shared" si="11"/>
        <v/>
      </c>
      <c r="Q237" s="240" t="str">
        <f t="shared" si="12"/>
        <v/>
      </c>
      <c r="R237" s="236" t="str">
        <f t="shared" si="13"/>
        <v/>
      </c>
      <c r="S237" s="177"/>
      <c r="T237" s="233" t="str">
        <f t="shared" ref="T237:U237" si="247">IF(AND(C237&lt;&gt;"",F237&lt;&gt;"",I237&lt;&gt;""), SUM(I237,F237,C237,L237),"")</f>
        <v/>
      </c>
      <c r="U237" s="233" t="str">
        <f t="shared" si="247"/>
        <v/>
      </c>
      <c r="V237" s="233" t="str">
        <f t="shared" si="6"/>
        <v/>
      </c>
      <c r="W237" s="241" t="str">
        <f t="shared" si="15"/>
        <v/>
      </c>
      <c r="X237" s="241" t="str">
        <f t="shared" si="16"/>
        <v/>
      </c>
      <c r="Y237" s="241" t="str">
        <f t="shared" si="25"/>
        <v/>
      </c>
      <c r="Z237" s="233" t="str">
        <f t="shared" si="7"/>
        <v/>
      </c>
      <c r="AA237" s="165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</row>
    <row r="238" ht="15.75" customHeight="1">
      <c r="A238" s="2"/>
      <c r="B238" s="232">
        <v>45325.0</v>
      </c>
      <c r="C238" s="233"/>
      <c r="D238" s="233"/>
      <c r="E238" s="234"/>
      <c r="F238" s="233"/>
      <c r="G238" s="233"/>
      <c r="H238" s="234"/>
      <c r="I238" s="233"/>
      <c r="J238" s="233"/>
      <c r="K238" s="234"/>
      <c r="L238" s="233"/>
      <c r="M238" s="233"/>
      <c r="N238" s="240" t="str">
        <f t="shared" si="9"/>
        <v/>
      </c>
      <c r="O238" s="240" t="str">
        <f t="shared" si="10"/>
        <v/>
      </c>
      <c r="P238" s="240" t="str">
        <f t="shared" si="11"/>
        <v/>
      </c>
      <c r="Q238" s="240" t="str">
        <f t="shared" si="12"/>
        <v/>
      </c>
      <c r="R238" s="236" t="str">
        <f t="shared" si="13"/>
        <v/>
      </c>
      <c r="S238" s="177"/>
      <c r="T238" s="233" t="str">
        <f t="shared" ref="T238:U238" si="248">IF(AND(C238&lt;&gt;"",F238&lt;&gt;"",I238&lt;&gt;""), SUM(I238,F238,C238,L238),"")</f>
        <v/>
      </c>
      <c r="U238" s="233" t="str">
        <f t="shared" si="248"/>
        <v/>
      </c>
      <c r="V238" s="233" t="str">
        <f t="shared" si="6"/>
        <v/>
      </c>
      <c r="W238" s="241" t="str">
        <f t="shared" si="15"/>
        <v/>
      </c>
      <c r="X238" s="241" t="str">
        <f t="shared" si="16"/>
        <v/>
      </c>
      <c r="Y238" s="241" t="str">
        <f t="shared" si="25"/>
        <v/>
      </c>
      <c r="Z238" s="233" t="str">
        <f t="shared" si="7"/>
        <v/>
      </c>
      <c r="AA238" s="165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</row>
    <row r="239" ht="15.75" customHeight="1">
      <c r="A239" s="2"/>
      <c r="B239" s="232">
        <v>45326.0</v>
      </c>
      <c r="C239" s="233"/>
      <c r="D239" s="233"/>
      <c r="E239" s="234"/>
      <c r="F239" s="233"/>
      <c r="G239" s="233"/>
      <c r="H239" s="234"/>
      <c r="I239" s="233"/>
      <c r="J239" s="233"/>
      <c r="K239" s="234"/>
      <c r="L239" s="233"/>
      <c r="M239" s="233"/>
      <c r="N239" s="240" t="str">
        <f t="shared" si="9"/>
        <v/>
      </c>
      <c r="O239" s="240" t="str">
        <f t="shared" si="10"/>
        <v/>
      </c>
      <c r="P239" s="240" t="str">
        <f t="shared" si="11"/>
        <v/>
      </c>
      <c r="Q239" s="240" t="str">
        <f t="shared" si="12"/>
        <v/>
      </c>
      <c r="R239" s="236" t="str">
        <f t="shared" si="13"/>
        <v/>
      </c>
      <c r="S239" s="177"/>
      <c r="T239" s="233" t="str">
        <f t="shared" ref="T239:U239" si="249">IF(AND(C239&lt;&gt;"",F239&lt;&gt;"",I239&lt;&gt;""), SUM(I239,F239,C239,L239),"")</f>
        <v/>
      </c>
      <c r="U239" s="233" t="str">
        <f t="shared" si="249"/>
        <v/>
      </c>
      <c r="V239" s="233" t="str">
        <f t="shared" si="6"/>
        <v/>
      </c>
      <c r="W239" s="241" t="str">
        <f t="shared" si="15"/>
        <v/>
      </c>
      <c r="X239" s="241" t="str">
        <f t="shared" si="16"/>
        <v/>
      </c>
      <c r="Y239" s="241" t="str">
        <f t="shared" si="25"/>
        <v/>
      </c>
      <c r="Z239" s="233" t="str">
        <f t="shared" si="7"/>
        <v/>
      </c>
      <c r="AA239" s="165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</row>
    <row r="240" ht="15.75" customHeight="1">
      <c r="A240" s="2"/>
      <c r="B240" s="232">
        <v>45327.0</v>
      </c>
      <c r="C240" s="233"/>
      <c r="D240" s="233"/>
      <c r="E240" s="234"/>
      <c r="F240" s="233"/>
      <c r="G240" s="233"/>
      <c r="H240" s="234"/>
      <c r="I240" s="233"/>
      <c r="J240" s="233"/>
      <c r="K240" s="234"/>
      <c r="L240" s="233"/>
      <c r="M240" s="233"/>
      <c r="N240" s="240" t="str">
        <f t="shared" si="9"/>
        <v/>
      </c>
      <c r="O240" s="240" t="str">
        <f t="shared" si="10"/>
        <v/>
      </c>
      <c r="P240" s="240" t="str">
        <f t="shared" si="11"/>
        <v/>
      </c>
      <c r="Q240" s="240" t="str">
        <f t="shared" si="12"/>
        <v/>
      </c>
      <c r="R240" s="236" t="str">
        <f t="shared" si="13"/>
        <v/>
      </c>
      <c r="S240" s="177"/>
      <c r="T240" s="233" t="str">
        <f t="shared" ref="T240:U240" si="250">IF(AND(C240&lt;&gt;"",F240&lt;&gt;"",I240&lt;&gt;""), SUM(I240,F240,C240,L240),"")</f>
        <v/>
      </c>
      <c r="U240" s="233" t="str">
        <f t="shared" si="250"/>
        <v/>
      </c>
      <c r="V240" s="233" t="str">
        <f t="shared" si="6"/>
        <v/>
      </c>
      <c r="W240" s="241" t="str">
        <f t="shared" si="15"/>
        <v/>
      </c>
      <c r="X240" s="241" t="str">
        <f t="shared" si="16"/>
        <v/>
      </c>
      <c r="Y240" s="241" t="str">
        <f t="shared" si="25"/>
        <v/>
      </c>
      <c r="Z240" s="233" t="str">
        <f t="shared" si="7"/>
        <v/>
      </c>
      <c r="AA240" s="165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</row>
    <row r="241" ht="15.75" customHeight="1">
      <c r="A241" s="2"/>
      <c r="B241" s="232">
        <v>45328.0</v>
      </c>
      <c r="C241" s="233"/>
      <c r="D241" s="233"/>
      <c r="E241" s="234"/>
      <c r="F241" s="233"/>
      <c r="G241" s="233"/>
      <c r="H241" s="234"/>
      <c r="I241" s="233"/>
      <c r="J241" s="233"/>
      <c r="K241" s="234"/>
      <c r="L241" s="233"/>
      <c r="M241" s="233"/>
      <c r="N241" s="240" t="str">
        <f t="shared" si="9"/>
        <v/>
      </c>
      <c r="O241" s="240" t="str">
        <f t="shared" si="10"/>
        <v/>
      </c>
      <c r="P241" s="240" t="str">
        <f t="shared" si="11"/>
        <v/>
      </c>
      <c r="Q241" s="240" t="str">
        <f t="shared" si="12"/>
        <v/>
      </c>
      <c r="R241" s="236" t="str">
        <f t="shared" si="13"/>
        <v/>
      </c>
      <c r="S241" s="177"/>
      <c r="T241" s="233" t="str">
        <f t="shared" ref="T241:U241" si="251">IF(AND(C241&lt;&gt;"",F241&lt;&gt;"",I241&lt;&gt;""), SUM(I241,F241,C241,L241),"")</f>
        <v/>
      </c>
      <c r="U241" s="233" t="str">
        <f t="shared" si="251"/>
        <v/>
      </c>
      <c r="V241" s="233" t="str">
        <f t="shared" si="6"/>
        <v/>
      </c>
      <c r="W241" s="241" t="str">
        <f t="shared" si="15"/>
        <v/>
      </c>
      <c r="X241" s="241" t="str">
        <f t="shared" si="16"/>
        <v/>
      </c>
      <c r="Y241" s="241" t="str">
        <f t="shared" si="25"/>
        <v/>
      </c>
      <c r="Z241" s="233" t="str">
        <f t="shared" si="7"/>
        <v/>
      </c>
      <c r="AA241" s="165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</row>
    <row r="242" ht="15.75" customHeight="1">
      <c r="A242" s="2"/>
      <c r="B242" s="232">
        <v>45329.0</v>
      </c>
      <c r="C242" s="233"/>
      <c r="D242" s="233"/>
      <c r="E242" s="234"/>
      <c r="F242" s="233"/>
      <c r="G242" s="233"/>
      <c r="H242" s="234"/>
      <c r="I242" s="233"/>
      <c r="J242" s="233"/>
      <c r="K242" s="234"/>
      <c r="L242" s="233"/>
      <c r="M242" s="233"/>
      <c r="N242" s="240" t="str">
        <f t="shared" si="9"/>
        <v/>
      </c>
      <c r="O242" s="240" t="str">
        <f t="shared" si="10"/>
        <v/>
      </c>
      <c r="P242" s="240" t="str">
        <f t="shared" si="11"/>
        <v/>
      </c>
      <c r="Q242" s="240" t="str">
        <f t="shared" si="12"/>
        <v/>
      </c>
      <c r="R242" s="236" t="str">
        <f t="shared" si="13"/>
        <v/>
      </c>
      <c r="S242" s="177"/>
      <c r="T242" s="233" t="str">
        <f t="shared" ref="T242:U242" si="252">IF(AND(C242&lt;&gt;"",F242&lt;&gt;"",I242&lt;&gt;""), SUM(I242,F242,C242,L242),"")</f>
        <v/>
      </c>
      <c r="U242" s="233" t="str">
        <f t="shared" si="252"/>
        <v/>
      </c>
      <c r="V242" s="233" t="str">
        <f t="shared" si="6"/>
        <v/>
      </c>
      <c r="W242" s="241" t="str">
        <f t="shared" si="15"/>
        <v/>
      </c>
      <c r="X242" s="241" t="str">
        <f t="shared" si="16"/>
        <v/>
      </c>
      <c r="Y242" s="241" t="str">
        <f t="shared" si="25"/>
        <v/>
      </c>
      <c r="Z242" s="233" t="str">
        <f t="shared" si="7"/>
        <v/>
      </c>
      <c r="AA242" s="165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</row>
    <row r="243" ht="15.75" customHeight="1">
      <c r="A243" s="2"/>
      <c r="B243" s="249"/>
      <c r="C243" s="249"/>
      <c r="D243" s="249"/>
      <c r="E243" s="249"/>
      <c r="F243" s="249"/>
      <c r="G243" s="249"/>
      <c r="H243" s="249"/>
      <c r="I243" s="250"/>
      <c r="J243" s="250"/>
      <c r="K243" s="249"/>
      <c r="L243" s="251"/>
      <c r="M243" s="251"/>
      <c r="N243" s="250"/>
      <c r="O243" s="250"/>
      <c r="P243" s="250"/>
      <c r="Q243" s="250"/>
      <c r="R243" s="251"/>
      <c r="S243" s="177"/>
      <c r="T243" s="252"/>
      <c r="U243" s="252"/>
      <c r="V243" s="234"/>
      <c r="W243" s="165"/>
      <c r="X243" s="165"/>
      <c r="Y243" s="165"/>
      <c r="Z243" s="165"/>
      <c r="AA243" s="165"/>
      <c r="AB243" s="253"/>
      <c r="AC243" s="2"/>
      <c r="AD243" s="253"/>
      <c r="AE243" s="253"/>
      <c r="AF243" s="253"/>
      <c r="AG243" s="253"/>
      <c r="AH243" s="253"/>
      <c r="AI243" s="2"/>
      <c r="AJ243" s="253"/>
      <c r="AK243" s="253"/>
      <c r="AL243" s="253"/>
      <c r="AM243" s="253"/>
      <c r="AN243" s="253"/>
      <c r="AO243" s="2"/>
      <c r="AP243" s="253"/>
      <c r="AQ243" s="253"/>
      <c r="AR243" s="253"/>
      <c r="AS243" s="253"/>
      <c r="AT243" s="253"/>
      <c r="AU243" s="2"/>
      <c r="AV243" s="253"/>
      <c r="AW243" s="253"/>
      <c r="AX243" s="253"/>
      <c r="AY243" s="253"/>
    </row>
    <row r="244" ht="15.75" customHeight="1">
      <c r="A244" s="2"/>
      <c r="B244" s="254"/>
      <c r="C244" s="254"/>
      <c r="D244" s="255"/>
      <c r="E244" s="255"/>
      <c r="F244" s="254"/>
      <c r="G244" s="255"/>
      <c r="H244" s="255"/>
      <c r="I244" s="256"/>
      <c r="J244" s="257"/>
      <c r="K244" s="255"/>
      <c r="L244" s="258"/>
      <c r="M244" s="258"/>
      <c r="N244" s="257"/>
      <c r="O244" s="257"/>
      <c r="P244" s="257"/>
      <c r="Q244" s="257"/>
      <c r="R244" s="258"/>
      <c r="S244" s="177"/>
      <c r="T244" s="234"/>
      <c r="U244" s="234"/>
      <c r="V244" s="234"/>
      <c r="W244" s="165"/>
      <c r="X244" s="165"/>
      <c r="Y244" s="165"/>
      <c r="Z244" s="165"/>
      <c r="AA244" s="165"/>
      <c r="AB244" s="253"/>
      <c r="AC244" s="2"/>
      <c r="AD244" s="253"/>
      <c r="AE244" s="253"/>
      <c r="AF244" s="253"/>
      <c r="AG244" s="253"/>
      <c r="AH244" s="253"/>
      <c r="AI244" s="2"/>
      <c r="AJ244" s="253"/>
      <c r="AK244" s="253"/>
      <c r="AL244" s="253"/>
      <c r="AM244" s="253"/>
      <c r="AN244" s="253"/>
      <c r="AO244" s="2"/>
      <c r="AP244" s="253"/>
      <c r="AQ244" s="253"/>
      <c r="AR244" s="253"/>
      <c r="AS244" s="253"/>
      <c r="AT244" s="253"/>
      <c r="AU244" s="2"/>
      <c r="AV244" s="253"/>
      <c r="AW244" s="253"/>
      <c r="AX244" s="253"/>
      <c r="AY244" s="253"/>
    </row>
    <row r="245" ht="15.75" customHeight="1">
      <c r="A245" s="2"/>
      <c r="B245" s="259"/>
      <c r="C245" s="163"/>
      <c r="D245" s="166"/>
      <c r="E245" s="166"/>
      <c r="F245" s="163"/>
      <c r="G245" s="166"/>
      <c r="H245" s="166"/>
      <c r="I245" s="178"/>
      <c r="J245" s="178"/>
      <c r="K245" s="166"/>
      <c r="L245" s="166"/>
      <c r="M245" s="166"/>
      <c r="N245" s="178"/>
      <c r="O245" s="178"/>
      <c r="P245" s="178"/>
      <c r="Q245" s="178"/>
      <c r="R245" s="166"/>
      <c r="S245" s="177"/>
      <c r="T245" s="234"/>
      <c r="U245" s="234"/>
      <c r="V245" s="234"/>
      <c r="W245" s="165"/>
      <c r="X245" s="165"/>
      <c r="Y245" s="165"/>
      <c r="Z245" s="165"/>
      <c r="AA245" s="165"/>
      <c r="AB245" s="253"/>
      <c r="AC245" s="2"/>
      <c r="AD245" s="253"/>
      <c r="AE245" s="253"/>
      <c r="AF245" s="253"/>
      <c r="AG245" s="253"/>
      <c r="AH245" s="253"/>
      <c r="AI245" s="2"/>
      <c r="AJ245" s="253"/>
      <c r="AK245" s="253"/>
      <c r="AL245" s="253"/>
      <c r="AM245" s="253"/>
      <c r="AN245" s="253"/>
      <c r="AO245" s="2"/>
      <c r="AP245" s="253"/>
      <c r="AQ245" s="253"/>
      <c r="AR245" s="253"/>
      <c r="AS245" s="253"/>
      <c r="AT245" s="253"/>
      <c r="AU245" s="2"/>
      <c r="AV245" s="253"/>
      <c r="AW245" s="253"/>
      <c r="AX245" s="253"/>
      <c r="AY245" s="253"/>
    </row>
    <row r="246" ht="15.75" customHeight="1">
      <c r="A246" s="2"/>
      <c r="B246" s="259"/>
      <c r="C246" s="163"/>
      <c r="D246" s="259"/>
      <c r="E246" s="166"/>
      <c r="F246" s="163"/>
      <c r="G246" s="166"/>
      <c r="H246" s="166"/>
      <c r="I246" s="260"/>
      <c r="J246" s="178"/>
      <c r="K246" s="166"/>
      <c r="L246" s="166"/>
      <c r="M246" s="166"/>
      <c r="N246" s="178"/>
      <c r="O246" s="178"/>
      <c r="P246" s="178"/>
      <c r="Q246" s="178"/>
      <c r="R246" s="166"/>
      <c r="S246" s="177"/>
      <c r="T246" s="234"/>
      <c r="U246" s="234"/>
      <c r="V246" s="234"/>
      <c r="W246" s="165"/>
      <c r="X246" s="165"/>
      <c r="Y246" s="165"/>
      <c r="Z246" s="165"/>
      <c r="AA246" s="165"/>
      <c r="AB246" s="253"/>
      <c r="AC246" s="2"/>
      <c r="AD246" s="253"/>
      <c r="AE246" s="253"/>
      <c r="AF246" s="253"/>
      <c r="AG246" s="253"/>
      <c r="AH246" s="253"/>
      <c r="AI246" s="2"/>
      <c r="AJ246" s="253"/>
      <c r="AK246" s="253"/>
      <c r="AL246" s="253"/>
      <c r="AM246" s="253"/>
      <c r="AN246" s="253"/>
      <c r="AO246" s="2"/>
      <c r="AP246" s="253"/>
      <c r="AQ246" s="253"/>
      <c r="AR246" s="253"/>
      <c r="AS246" s="253"/>
      <c r="AT246" s="253"/>
      <c r="AU246" s="2"/>
      <c r="AV246" s="253"/>
      <c r="AW246" s="253"/>
      <c r="AX246" s="253"/>
      <c r="AY246" s="253"/>
    </row>
    <row r="247" ht="15.75" customHeight="1">
      <c r="A247" s="2"/>
      <c r="B247" s="259"/>
      <c r="C247" s="163"/>
      <c r="D247" s="259"/>
      <c r="E247" s="166"/>
      <c r="F247" s="163"/>
      <c r="G247" s="166"/>
      <c r="H247" s="166"/>
      <c r="I247" s="260"/>
      <c r="J247" s="178"/>
      <c r="K247" s="166"/>
      <c r="L247" s="166"/>
      <c r="M247" s="166"/>
      <c r="N247" s="178"/>
      <c r="O247" s="178"/>
      <c r="P247" s="178"/>
      <c r="Q247" s="178"/>
      <c r="R247" s="166"/>
      <c r="S247" s="177"/>
      <c r="T247" s="234"/>
      <c r="U247" s="234"/>
      <c r="V247" s="234"/>
      <c r="W247" s="165"/>
      <c r="X247" s="165"/>
      <c r="Y247" s="165"/>
      <c r="Z247" s="165"/>
      <c r="AA247" s="165"/>
      <c r="AB247" s="253"/>
      <c r="AC247" s="2"/>
      <c r="AD247" s="253"/>
      <c r="AE247" s="253"/>
      <c r="AF247" s="253"/>
      <c r="AG247" s="253"/>
      <c r="AH247" s="253"/>
      <c r="AI247" s="2"/>
      <c r="AJ247" s="253"/>
      <c r="AK247" s="253"/>
      <c r="AL247" s="253"/>
      <c r="AM247" s="253"/>
      <c r="AN247" s="253"/>
      <c r="AO247" s="2"/>
      <c r="AP247" s="253"/>
      <c r="AQ247" s="253"/>
      <c r="AR247" s="253"/>
      <c r="AS247" s="253"/>
      <c r="AT247" s="253"/>
      <c r="AU247" s="2"/>
      <c r="AV247" s="253"/>
      <c r="AW247" s="253"/>
      <c r="AX247" s="253"/>
      <c r="AY247" s="253"/>
    </row>
    <row r="248" ht="15.75" customHeight="1">
      <c r="A248" s="2"/>
      <c r="B248" s="259"/>
      <c r="C248" s="163"/>
      <c r="D248" s="259"/>
      <c r="E248" s="166"/>
      <c r="F248" s="163"/>
      <c r="G248" s="166"/>
      <c r="H248" s="166"/>
      <c r="I248" s="260"/>
      <c r="J248" s="178"/>
      <c r="K248" s="166"/>
      <c r="L248" s="166"/>
      <c r="M248" s="166"/>
      <c r="N248" s="178"/>
      <c r="O248" s="178"/>
      <c r="P248" s="178"/>
      <c r="Q248" s="178"/>
      <c r="R248" s="166"/>
      <c r="S248" s="177"/>
      <c r="T248" s="234"/>
      <c r="U248" s="234"/>
      <c r="V248" s="234"/>
      <c r="W248" s="165"/>
      <c r="X248" s="165"/>
      <c r="Y248" s="165"/>
      <c r="Z248" s="165"/>
      <c r="AA248" s="165"/>
      <c r="AB248" s="253"/>
      <c r="AC248" s="2"/>
      <c r="AD248" s="253"/>
      <c r="AE248" s="253"/>
      <c r="AF248" s="253"/>
      <c r="AG248" s="253"/>
      <c r="AH248" s="253"/>
      <c r="AI248" s="2"/>
      <c r="AJ248" s="253"/>
      <c r="AK248" s="253"/>
      <c r="AL248" s="253"/>
      <c r="AM248" s="253"/>
      <c r="AN248" s="253"/>
      <c r="AO248" s="2"/>
      <c r="AP248" s="253"/>
      <c r="AQ248" s="253"/>
      <c r="AR248" s="253"/>
      <c r="AS248" s="253"/>
      <c r="AT248" s="253"/>
      <c r="AU248" s="2"/>
      <c r="AV248" s="253"/>
      <c r="AW248" s="253"/>
      <c r="AX248" s="253"/>
      <c r="AY248" s="253"/>
    </row>
    <row r="249" ht="15.75" customHeight="1">
      <c r="A249" s="2"/>
      <c r="B249" s="259"/>
      <c r="C249" s="163"/>
      <c r="D249" s="259"/>
      <c r="E249" s="166"/>
      <c r="F249" s="163"/>
      <c r="G249" s="166"/>
      <c r="H249" s="166"/>
      <c r="I249" s="260"/>
      <c r="J249" s="178"/>
      <c r="K249" s="166"/>
      <c r="L249" s="166"/>
      <c r="M249" s="166"/>
      <c r="N249" s="178"/>
      <c r="O249" s="178"/>
      <c r="P249" s="178"/>
      <c r="Q249" s="178"/>
      <c r="R249" s="166"/>
      <c r="S249" s="177"/>
      <c r="T249" s="234"/>
      <c r="U249" s="234"/>
      <c r="V249" s="234"/>
      <c r="W249" s="165"/>
      <c r="X249" s="165"/>
      <c r="Y249" s="165"/>
      <c r="Z249" s="165"/>
      <c r="AA249" s="165"/>
      <c r="AB249" s="253"/>
      <c r="AC249" s="2"/>
      <c r="AD249" s="253"/>
      <c r="AE249" s="253"/>
      <c r="AF249" s="253"/>
      <c r="AG249" s="253"/>
      <c r="AH249" s="253"/>
      <c r="AI249" s="2"/>
      <c r="AJ249" s="253"/>
      <c r="AK249" s="253"/>
      <c r="AL249" s="253"/>
      <c r="AM249" s="253"/>
      <c r="AN249" s="253"/>
      <c r="AO249" s="2"/>
      <c r="AP249" s="253"/>
      <c r="AQ249" s="253"/>
      <c r="AR249" s="253"/>
      <c r="AS249" s="253"/>
      <c r="AT249" s="253"/>
      <c r="AU249" s="2"/>
      <c r="AV249" s="253"/>
      <c r="AW249" s="253"/>
      <c r="AX249" s="253"/>
      <c r="AY249" s="253"/>
    </row>
    <row r="250" ht="15.75" customHeight="1">
      <c r="A250" s="2"/>
      <c r="B250" s="259"/>
      <c r="C250" s="163"/>
      <c r="D250" s="259"/>
      <c r="E250" s="166"/>
      <c r="F250" s="163"/>
      <c r="G250" s="166"/>
      <c r="H250" s="166"/>
      <c r="I250" s="260"/>
      <c r="J250" s="178"/>
      <c r="K250" s="166"/>
      <c r="L250" s="166"/>
      <c r="M250" s="166"/>
      <c r="N250" s="178"/>
      <c r="O250" s="178"/>
      <c r="P250" s="178"/>
      <c r="Q250" s="178"/>
      <c r="R250" s="166"/>
      <c r="S250" s="177"/>
      <c r="T250" s="234"/>
      <c r="U250" s="234"/>
      <c r="V250" s="234"/>
      <c r="W250" s="165"/>
      <c r="X250" s="165"/>
      <c r="Y250" s="165"/>
      <c r="Z250" s="165"/>
      <c r="AA250" s="165"/>
      <c r="AB250" s="253"/>
      <c r="AC250" s="2"/>
      <c r="AD250" s="253"/>
      <c r="AE250" s="253"/>
      <c r="AF250" s="253"/>
      <c r="AG250" s="253"/>
      <c r="AH250" s="253"/>
      <c r="AI250" s="2"/>
      <c r="AJ250" s="253"/>
      <c r="AK250" s="253"/>
      <c r="AL250" s="253"/>
      <c r="AM250" s="253"/>
      <c r="AN250" s="253"/>
      <c r="AO250" s="2"/>
      <c r="AP250" s="253"/>
      <c r="AQ250" s="253"/>
      <c r="AR250" s="253"/>
      <c r="AS250" s="253"/>
      <c r="AT250" s="253"/>
      <c r="AU250" s="2"/>
      <c r="AV250" s="253"/>
      <c r="AW250" s="253"/>
      <c r="AX250" s="253"/>
      <c r="AY250" s="253"/>
    </row>
    <row r="251" ht="15.75" customHeight="1">
      <c r="A251" s="2"/>
      <c r="B251" s="259"/>
      <c r="C251" s="163"/>
      <c r="D251" s="259"/>
      <c r="E251" s="166"/>
      <c r="F251" s="163"/>
      <c r="G251" s="166"/>
      <c r="H251" s="166"/>
      <c r="I251" s="260"/>
      <c r="J251" s="178"/>
      <c r="K251" s="166"/>
      <c r="L251" s="166"/>
      <c r="M251" s="166"/>
      <c r="N251" s="178"/>
      <c r="O251" s="178"/>
      <c r="P251" s="178"/>
      <c r="Q251" s="178"/>
      <c r="R251" s="166"/>
      <c r="S251" s="177"/>
      <c r="T251" s="234"/>
      <c r="U251" s="234"/>
      <c r="V251" s="234"/>
      <c r="W251" s="165"/>
      <c r="X251" s="165"/>
      <c r="Y251" s="165"/>
      <c r="Z251" s="165"/>
      <c r="AA251" s="165"/>
      <c r="AB251" s="253"/>
      <c r="AC251" s="2"/>
      <c r="AD251" s="253"/>
      <c r="AE251" s="253"/>
      <c r="AF251" s="253"/>
      <c r="AG251" s="253"/>
      <c r="AH251" s="253"/>
      <c r="AI251" s="2"/>
      <c r="AJ251" s="253"/>
      <c r="AK251" s="253"/>
      <c r="AL251" s="253"/>
      <c r="AM251" s="253"/>
      <c r="AN251" s="253"/>
      <c r="AO251" s="2"/>
      <c r="AP251" s="253"/>
      <c r="AQ251" s="253"/>
      <c r="AR251" s="253"/>
      <c r="AS251" s="253"/>
      <c r="AT251" s="253"/>
      <c r="AU251" s="2"/>
      <c r="AV251" s="253"/>
      <c r="AW251" s="253"/>
      <c r="AX251" s="253"/>
      <c r="AY251" s="253"/>
    </row>
    <row r="252" ht="15.75" customHeight="1">
      <c r="A252" s="2"/>
      <c r="B252" s="259"/>
      <c r="C252" s="163"/>
      <c r="D252" s="259"/>
      <c r="E252" s="166"/>
      <c r="F252" s="163"/>
      <c r="G252" s="166"/>
      <c r="H252" s="166"/>
      <c r="I252" s="260"/>
      <c r="J252" s="178"/>
      <c r="K252" s="166"/>
      <c r="L252" s="166"/>
      <c r="M252" s="166"/>
      <c r="N252" s="178"/>
      <c r="O252" s="178"/>
      <c r="P252" s="178"/>
      <c r="Q252" s="178"/>
      <c r="R252" s="166"/>
      <c r="S252" s="177"/>
      <c r="T252" s="234"/>
      <c r="U252" s="234"/>
      <c r="V252" s="234"/>
      <c r="W252" s="165"/>
      <c r="X252" s="165"/>
      <c r="Y252" s="165"/>
      <c r="Z252" s="165"/>
      <c r="AA252" s="165"/>
      <c r="AB252" s="253"/>
      <c r="AC252" s="2"/>
      <c r="AD252" s="253"/>
      <c r="AE252" s="253"/>
      <c r="AF252" s="253"/>
      <c r="AG252" s="253"/>
      <c r="AH252" s="253"/>
      <c r="AI252" s="2"/>
      <c r="AJ252" s="253"/>
      <c r="AK252" s="253"/>
      <c r="AL252" s="253"/>
      <c r="AM252" s="253"/>
      <c r="AN252" s="253"/>
      <c r="AO252" s="2"/>
      <c r="AP252" s="253"/>
      <c r="AQ252" s="253"/>
      <c r="AR252" s="253"/>
      <c r="AS252" s="253"/>
      <c r="AT252" s="253"/>
      <c r="AU252" s="2"/>
      <c r="AV252" s="253"/>
      <c r="AW252" s="253"/>
      <c r="AX252" s="253"/>
      <c r="AY252" s="253"/>
    </row>
    <row r="253" ht="15.75" customHeight="1">
      <c r="A253" s="2"/>
      <c r="B253" s="259"/>
      <c r="C253" s="163"/>
      <c r="D253" s="259"/>
      <c r="E253" s="166"/>
      <c r="F253" s="163"/>
      <c r="G253" s="166"/>
      <c r="H253" s="166"/>
      <c r="I253" s="260"/>
      <c r="J253" s="178"/>
      <c r="K253" s="166"/>
      <c r="L253" s="166"/>
      <c r="M253" s="166"/>
      <c r="N253" s="178"/>
      <c r="O253" s="178"/>
      <c r="P253" s="178"/>
      <c r="Q253" s="178"/>
      <c r="R253" s="166"/>
      <c r="S253" s="177"/>
      <c r="T253" s="234"/>
      <c r="U253" s="234"/>
      <c r="V253" s="234"/>
      <c r="W253" s="165"/>
      <c r="X253" s="165"/>
      <c r="Y253" s="165"/>
      <c r="Z253" s="165"/>
      <c r="AA253" s="165"/>
      <c r="AB253" s="253"/>
      <c r="AC253" s="2"/>
      <c r="AD253" s="253"/>
      <c r="AE253" s="253"/>
      <c r="AF253" s="253"/>
      <c r="AG253" s="253"/>
      <c r="AH253" s="253"/>
      <c r="AI253" s="2"/>
      <c r="AJ253" s="253"/>
      <c r="AK253" s="253"/>
      <c r="AL253" s="253"/>
      <c r="AM253" s="253"/>
      <c r="AN253" s="253"/>
      <c r="AO253" s="2"/>
      <c r="AP253" s="253"/>
      <c r="AQ253" s="253"/>
      <c r="AR253" s="253"/>
      <c r="AS253" s="253"/>
      <c r="AT253" s="253"/>
      <c r="AU253" s="2"/>
      <c r="AV253" s="253"/>
      <c r="AW253" s="253"/>
      <c r="AX253" s="253"/>
      <c r="AY253" s="253"/>
    </row>
    <row r="254" ht="15.75" customHeight="1">
      <c r="A254" s="2"/>
      <c r="B254" s="259"/>
      <c r="C254" s="163"/>
      <c r="D254" s="259"/>
      <c r="E254" s="166"/>
      <c r="F254" s="163"/>
      <c r="G254" s="166"/>
      <c r="H254" s="166"/>
      <c r="I254" s="260"/>
      <c r="J254" s="178"/>
      <c r="K254" s="166"/>
      <c r="L254" s="166"/>
      <c r="M254" s="166"/>
      <c r="N254" s="178"/>
      <c r="O254" s="178"/>
      <c r="P254" s="178"/>
      <c r="Q254" s="178"/>
      <c r="R254" s="166"/>
      <c r="S254" s="177"/>
      <c r="T254" s="234"/>
      <c r="U254" s="234"/>
      <c r="V254" s="234"/>
      <c r="W254" s="165"/>
      <c r="X254" s="165"/>
      <c r="Y254" s="165"/>
      <c r="Z254" s="165"/>
      <c r="AA254" s="165"/>
      <c r="AB254" s="253"/>
      <c r="AC254" s="2"/>
      <c r="AD254" s="253"/>
      <c r="AE254" s="253"/>
      <c r="AF254" s="253"/>
      <c r="AG254" s="253"/>
      <c r="AH254" s="253"/>
      <c r="AI254" s="2"/>
      <c r="AJ254" s="253"/>
      <c r="AK254" s="253"/>
      <c r="AL254" s="253"/>
      <c r="AM254" s="253"/>
      <c r="AN254" s="253"/>
      <c r="AO254" s="2"/>
      <c r="AP254" s="253"/>
      <c r="AQ254" s="253"/>
      <c r="AR254" s="253"/>
      <c r="AS254" s="253"/>
      <c r="AT254" s="253"/>
      <c r="AU254" s="2"/>
      <c r="AV254" s="253"/>
      <c r="AW254" s="253"/>
      <c r="AX254" s="253"/>
      <c r="AY254" s="253"/>
    </row>
    <row r="255" ht="15.75" customHeight="1">
      <c r="A255" s="2"/>
      <c r="B255" s="259"/>
      <c r="C255" s="163"/>
      <c r="D255" s="259"/>
      <c r="E255" s="166"/>
      <c r="F255" s="163"/>
      <c r="G255" s="166"/>
      <c r="H255" s="166"/>
      <c r="I255" s="260"/>
      <c r="J255" s="178"/>
      <c r="K255" s="166"/>
      <c r="L255" s="166"/>
      <c r="M255" s="166"/>
      <c r="N255" s="178"/>
      <c r="O255" s="178"/>
      <c r="P255" s="178"/>
      <c r="Q255" s="178"/>
      <c r="R255" s="166"/>
      <c r="S255" s="177"/>
      <c r="T255" s="234"/>
      <c r="U255" s="234"/>
      <c r="V255" s="234"/>
      <c r="W255" s="165"/>
      <c r="X255" s="165"/>
      <c r="Y255" s="165"/>
      <c r="Z255" s="165"/>
      <c r="AA255" s="165"/>
      <c r="AB255" s="253"/>
      <c r="AC255" s="2"/>
      <c r="AD255" s="253"/>
      <c r="AE255" s="253"/>
      <c r="AF255" s="253"/>
      <c r="AG255" s="253"/>
      <c r="AH255" s="253"/>
      <c r="AI255" s="2"/>
      <c r="AJ255" s="253"/>
      <c r="AK255" s="253"/>
      <c r="AL255" s="253"/>
      <c r="AM255" s="253"/>
      <c r="AN255" s="253"/>
      <c r="AO255" s="2"/>
      <c r="AP255" s="253"/>
      <c r="AQ255" s="253"/>
      <c r="AR255" s="253"/>
      <c r="AS255" s="253"/>
      <c r="AT255" s="253"/>
      <c r="AU255" s="2"/>
      <c r="AV255" s="253"/>
      <c r="AW255" s="253"/>
      <c r="AX255" s="253"/>
      <c r="AY255" s="253"/>
    </row>
    <row r="256" ht="15.75" customHeight="1">
      <c r="A256" s="2"/>
      <c r="B256" s="259"/>
      <c r="C256" s="163"/>
      <c r="D256" s="259"/>
      <c r="E256" s="166"/>
      <c r="F256" s="163"/>
      <c r="G256" s="166"/>
      <c r="H256" s="166"/>
      <c r="I256" s="260"/>
      <c r="J256" s="178"/>
      <c r="K256" s="166"/>
      <c r="L256" s="166"/>
      <c r="M256" s="166"/>
      <c r="N256" s="178"/>
      <c r="O256" s="178"/>
      <c r="P256" s="178"/>
      <c r="Q256" s="178"/>
      <c r="R256" s="166"/>
      <c r="S256" s="177"/>
      <c r="T256" s="234"/>
      <c r="U256" s="234"/>
      <c r="V256" s="234"/>
      <c r="W256" s="165"/>
      <c r="X256" s="165"/>
      <c r="Y256" s="165"/>
      <c r="Z256" s="165"/>
      <c r="AA256" s="165"/>
      <c r="AB256" s="253"/>
      <c r="AC256" s="2"/>
      <c r="AD256" s="253"/>
      <c r="AE256" s="253"/>
      <c r="AF256" s="253"/>
      <c r="AG256" s="253"/>
      <c r="AH256" s="253"/>
      <c r="AI256" s="2"/>
      <c r="AJ256" s="253"/>
      <c r="AK256" s="253"/>
      <c r="AL256" s="253"/>
      <c r="AM256" s="253"/>
      <c r="AN256" s="253"/>
      <c r="AO256" s="2"/>
      <c r="AP256" s="253"/>
      <c r="AQ256" s="253"/>
      <c r="AR256" s="253"/>
      <c r="AS256" s="253"/>
      <c r="AT256" s="253"/>
      <c r="AU256" s="2"/>
      <c r="AV256" s="253"/>
      <c r="AW256" s="253"/>
      <c r="AX256" s="253"/>
      <c r="AY256" s="253"/>
    </row>
    <row r="257" ht="15.75" customHeight="1">
      <c r="A257" s="2"/>
      <c r="B257" s="259"/>
      <c r="C257" s="163"/>
      <c r="D257" s="259"/>
      <c r="E257" s="166"/>
      <c r="F257" s="163"/>
      <c r="G257" s="166"/>
      <c r="H257" s="166"/>
      <c r="I257" s="260"/>
      <c r="J257" s="178"/>
      <c r="K257" s="166"/>
      <c r="L257" s="166"/>
      <c r="M257" s="166"/>
      <c r="N257" s="178"/>
      <c r="O257" s="178"/>
      <c r="P257" s="178"/>
      <c r="Q257" s="178"/>
      <c r="R257" s="166"/>
      <c r="S257" s="177"/>
      <c r="T257" s="234"/>
      <c r="U257" s="234"/>
      <c r="V257" s="234"/>
      <c r="W257" s="165"/>
      <c r="X257" s="165"/>
      <c r="Y257" s="165"/>
      <c r="Z257" s="165"/>
      <c r="AA257" s="165"/>
      <c r="AB257" s="253"/>
      <c r="AC257" s="2"/>
      <c r="AD257" s="253"/>
      <c r="AE257" s="253"/>
      <c r="AF257" s="253"/>
      <c r="AG257" s="253"/>
      <c r="AH257" s="253"/>
      <c r="AI257" s="2"/>
      <c r="AJ257" s="253"/>
      <c r="AK257" s="253"/>
      <c r="AL257" s="253"/>
      <c r="AM257" s="253"/>
      <c r="AN257" s="253"/>
      <c r="AO257" s="2"/>
      <c r="AP257" s="253"/>
      <c r="AQ257" s="253"/>
      <c r="AR257" s="253"/>
      <c r="AS257" s="253"/>
      <c r="AT257" s="253"/>
      <c r="AU257" s="2"/>
      <c r="AV257" s="253"/>
      <c r="AW257" s="253"/>
      <c r="AX257" s="253"/>
      <c r="AY257" s="253"/>
    </row>
    <row r="258" ht="15.75" customHeight="1">
      <c r="A258" s="2"/>
      <c r="B258" s="259"/>
      <c r="C258" s="163"/>
      <c r="D258" s="259"/>
      <c r="E258" s="166"/>
      <c r="F258" s="163"/>
      <c r="G258" s="166"/>
      <c r="H258" s="166"/>
      <c r="I258" s="260"/>
      <c r="J258" s="178"/>
      <c r="K258" s="166"/>
      <c r="L258" s="166"/>
      <c r="M258" s="166"/>
      <c r="N258" s="178"/>
      <c r="O258" s="178"/>
      <c r="P258" s="178"/>
      <c r="Q258" s="178"/>
      <c r="R258" s="166"/>
      <c r="S258" s="177"/>
      <c r="T258" s="234"/>
      <c r="U258" s="234"/>
      <c r="V258" s="234"/>
      <c r="W258" s="165"/>
      <c r="X258" s="165"/>
      <c r="Y258" s="165"/>
      <c r="Z258" s="165"/>
      <c r="AA258" s="165"/>
      <c r="AB258" s="253"/>
      <c r="AC258" s="2"/>
      <c r="AD258" s="253"/>
      <c r="AE258" s="253"/>
      <c r="AF258" s="253"/>
      <c r="AG258" s="253"/>
      <c r="AH258" s="253"/>
      <c r="AI258" s="2"/>
      <c r="AJ258" s="253"/>
      <c r="AK258" s="253"/>
      <c r="AL258" s="253"/>
      <c r="AM258" s="253"/>
      <c r="AN258" s="253"/>
      <c r="AO258" s="2"/>
      <c r="AP258" s="253"/>
      <c r="AQ258" s="253"/>
      <c r="AR258" s="253"/>
      <c r="AS258" s="253"/>
      <c r="AT258" s="253"/>
      <c r="AU258" s="2"/>
      <c r="AV258" s="253"/>
      <c r="AW258" s="253"/>
      <c r="AX258" s="253"/>
      <c r="AY258" s="253"/>
    </row>
    <row r="259" ht="15.75" customHeight="1">
      <c r="A259" s="2"/>
      <c r="B259" s="259"/>
      <c r="C259" s="163"/>
      <c r="D259" s="259"/>
      <c r="E259" s="166"/>
      <c r="F259" s="163"/>
      <c r="G259" s="166"/>
      <c r="H259" s="166"/>
      <c r="I259" s="260"/>
      <c r="J259" s="178"/>
      <c r="K259" s="166"/>
      <c r="L259" s="166"/>
      <c r="M259" s="166"/>
      <c r="N259" s="178"/>
      <c r="O259" s="178"/>
      <c r="P259" s="178"/>
      <c r="Q259" s="178"/>
      <c r="R259" s="166"/>
      <c r="S259" s="177"/>
      <c r="T259" s="234"/>
      <c r="U259" s="234"/>
      <c r="V259" s="234"/>
      <c r="W259" s="165"/>
      <c r="X259" s="165"/>
      <c r="Y259" s="165"/>
      <c r="Z259" s="165"/>
      <c r="AA259" s="165"/>
      <c r="AB259" s="253"/>
      <c r="AC259" s="2"/>
      <c r="AD259" s="253"/>
      <c r="AE259" s="253"/>
      <c r="AF259" s="253"/>
      <c r="AG259" s="253"/>
      <c r="AH259" s="253"/>
      <c r="AI259" s="2"/>
      <c r="AJ259" s="253"/>
      <c r="AK259" s="253"/>
      <c r="AL259" s="253"/>
      <c r="AM259" s="253"/>
      <c r="AN259" s="253"/>
      <c r="AO259" s="2"/>
      <c r="AP259" s="253"/>
      <c r="AQ259" s="253"/>
      <c r="AR259" s="253"/>
      <c r="AS259" s="253"/>
      <c r="AT259" s="253"/>
      <c r="AU259" s="2"/>
      <c r="AV259" s="253"/>
      <c r="AW259" s="253"/>
      <c r="AX259" s="253"/>
      <c r="AY259" s="253"/>
    </row>
    <row r="260" ht="15.75" customHeight="1">
      <c r="A260" s="2"/>
      <c r="B260" s="259"/>
      <c r="C260" s="163"/>
      <c r="D260" s="259"/>
      <c r="E260" s="166"/>
      <c r="F260" s="163"/>
      <c r="G260" s="166"/>
      <c r="H260" s="166"/>
      <c r="I260" s="260"/>
      <c r="J260" s="178"/>
      <c r="K260" s="166"/>
      <c r="L260" s="166"/>
      <c r="M260" s="166"/>
      <c r="N260" s="178"/>
      <c r="O260" s="178"/>
      <c r="P260" s="178"/>
      <c r="Q260" s="178"/>
      <c r="R260" s="166"/>
      <c r="S260" s="177"/>
      <c r="T260" s="234"/>
      <c r="U260" s="234"/>
      <c r="V260" s="234"/>
      <c r="W260" s="165"/>
      <c r="X260" s="165"/>
      <c r="Y260" s="165"/>
      <c r="Z260" s="165"/>
      <c r="AA260" s="165"/>
      <c r="AB260" s="253"/>
      <c r="AC260" s="2"/>
      <c r="AD260" s="253"/>
      <c r="AE260" s="253"/>
      <c r="AF260" s="253"/>
      <c r="AG260" s="253"/>
      <c r="AH260" s="253"/>
      <c r="AI260" s="2"/>
      <c r="AJ260" s="253"/>
      <c r="AK260" s="253"/>
      <c r="AL260" s="253"/>
      <c r="AM260" s="253"/>
      <c r="AN260" s="253"/>
      <c r="AO260" s="2"/>
      <c r="AP260" s="253"/>
      <c r="AQ260" s="253"/>
      <c r="AR260" s="253"/>
      <c r="AS260" s="253"/>
      <c r="AT260" s="253"/>
      <c r="AU260" s="2"/>
      <c r="AV260" s="253"/>
      <c r="AW260" s="253"/>
      <c r="AX260" s="253"/>
      <c r="AY260" s="253"/>
    </row>
    <row r="261" ht="15.75" customHeight="1">
      <c r="A261" s="2"/>
      <c r="B261" s="259"/>
      <c r="C261" s="163"/>
      <c r="D261" s="259"/>
      <c r="E261" s="166"/>
      <c r="F261" s="163"/>
      <c r="G261" s="166"/>
      <c r="H261" s="166"/>
      <c r="I261" s="260"/>
      <c r="J261" s="178"/>
      <c r="K261" s="166"/>
      <c r="L261" s="166"/>
      <c r="M261" s="166"/>
      <c r="N261" s="178"/>
      <c r="O261" s="178"/>
      <c r="P261" s="178"/>
      <c r="Q261" s="178"/>
      <c r="R261" s="166"/>
      <c r="S261" s="177"/>
      <c r="T261" s="234"/>
      <c r="U261" s="234"/>
      <c r="V261" s="234"/>
      <c r="W261" s="165"/>
      <c r="X261" s="165"/>
      <c r="Y261" s="165"/>
      <c r="Z261" s="165"/>
      <c r="AA261" s="165"/>
      <c r="AB261" s="253"/>
      <c r="AC261" s="2"/>
      <c r="AD261" s="253"/>
      <c r="AE261" s="253"/>
      <c r="AF261" s="253"/>
      <c r="AG261" s="253"/>
      <c r="AH261" s="253"/>
      <c r="AI261" s="2"/>
      <c r="AJ261" s="253"/>
      <c r="AK261" s="253"/>
      <c r="AL261" s="253"/>
      <c r="AM261" s="253"/>
      <c r="AN261" s="253"/>
      <c r="AO261" s="2"/>
      <c r="AP261" s="253"/>
      <c r="AQ261" s="253"/>
      <c r="AR261" s="253"/>
      <c r="AS261" s="253"/>
      <c r="AT261" s="253"/>
      <c r="AU261" s="2"/>
      <c r="AV261" s="253"/>
      <c r="AW261" s="253"/>
      <c r="AX261" s="253"/>
      <c r="AY261" s="253"/>
    </row>
    <row r="262" ht="15.75" customHeight="1">
      <c r="A262" s="2"/>
      <c r="B262" s="259"/>
      <c r="C262" s="163"/>
      <c r="D262" s="259"/>
      <c r="E262" s="166"/>
      <c r="F262" s="163"/>
      <c r="G262" s="166"/>
      <c r="H262" s="166"/>
      <c r="I262" s="260"/>
      <c r="J262" s="178"/>
      <c r="K262" s="166"/>
      <c r="L262" s="166"/>
      <c r="M262" s="166"/>
      <c r="N262" s="178"/>
      <c r="O262" s="178"/>
      <c r="P262" s="178"/>
      <c r="Q262" s="178"/>
      <c r="R262" s="166"/>
      <c r="S262" s="177"/>
      <c r="T262" s="234"/>
      <c r="U262" s="234"/>
      <c r="V262" s="234"/>
      <c r="W262" s="165"/>
      <c r="X262" s="165"/>
      <c r="Y262" s="165"/>
      <c r="Z262" s="165"/>
      <c r="AA262" s="165"/>
      <c r="AB262" s="253"/>
      <c r="AC262" s="2"/>
      <c r="AD262" s="253"/>
      <c r="AE262" s="253"/>
      <c r="AF262" s="253"/>
      <c r="AG262" s="253"/>
      <c r="AH262" s="253"/>
      <c r="AI262" s="2"/>
      <c r="AJ262" s="253"/>
      <c r="AK262" s="253"/>
      <c r="AL262" s="253"/>
      <c r="AM262" s="253"/>
      <c r="AN262" s="253"/>
      <c r="AO262" s="2"/>
      <c r="AP262" s="253"/>
      <c r="AQ262" s="253"/>
      <c r="AR262" s="253"/>
      <c r="AS262" s="253"/>
      <c r="AT262" s="253"/>
      <c r="AU262" s="2"/>
      <c r="AV262" s="253"/>
      <c r="AW262" s="253"/>
      <c r="AX262" s="253"/>
      <c r="AY262" s="253"/>
    </row>
    <row r="263" ht="15.75" customHeight="1">
      <c r="A263" s="2"/>
      <c r="B263" s="259"/>
      <c r="C263" s="163"/>
      <c r="D263" s="259"/>
      <c r="E263" s="166"/>
      <c r="F263" s="163"/>
      <c r="G263" s="166"/>
      <c r="H263" s="166"/>
      <c r="I263" s="260"/>
      <c r="J263" s="178"/>
      <c r="K263" s="166"/>
      <c r="L263" s="166"/>
      <c r="M263" s="166"/>
      <c r="N263" s="178"/>
      <c r="O263" s="178"/>
      <c r="P263" s="178"/>
      <c r="Q263" s="178"/>
      <c r="R263" s="166"/>
      <c r="S263" s="177"/>
      <c r="T263" s="234"/>
      <c r="U263" s="234"/>
      <c r="V263" s="234"/>
      <c r="W263" s="165"/>
      <c r="X263" s="165"/>
      <c r="Y263" s="165"/>
      <c r="Z263" s="165"/>
      <c r="AA263" s="165"/>
      <c r="AB263" s="253"/>
      <c r="AC263" s="2"/>
      <c r="AD263" s="253"/>
      <c r="AE263" s="253"/>
      <c r="AF263" s="253"/>
      <c r="AG263" s="253"/>
      <c r="AH263" s="253"/>
      <c r="AI263" s="2"/>
      <c r="AJ263" s="253"/>
      <c r="AK263" s="253"/>
      <c r="AL263" s="253"/>
      <c r="AM263" s="253"/>
      <c r="AN263" s="253"/>
      <c r="AO263" s="2"/>
      <c r="AP263" s="253"/>
      <c r="AQ263" s="253"/>
      <c r="AR263" s="253"/>
      <c r="AS263" s="253"/>
      <c r="AT263" s="253"/>
      <c r="AU263" s="2"/>
      <c r="AV263" s="253"/>
      <c r="AW263" s="253"/>
      <c r="AX263" s="253"/>
      <c r="AY263" s="253"/>
    </row>
    <row r="264" ht="15.75" customHeight="1">
      <c r="A264" s="2"/>
      <c r="B264" s="259"/>
      <c r="C264" s="163"/>
      <c r="D264" s="259"/>
      <c r="E264" s="166"/>
      <c r="F264" s="163"/>
      <c r="G264" s="166"/>
      <c r="H264" s="166"/>
      <c r="I264" s="260"/>
      <c r="J264" s="178"/>
      <c r="K264" s="166"/>
      <c r="L264" s="166"/>
      <c r="M264" s="166"/>
      <c r="N264" s="178"/>
      <c r="O264" s="178"/>
      <c r="P264" s="178"/>
      <c r="Q264" s="178"/>
      <c r="R264" s="166"/>
      <c r="S264" s="177"/>
      <c r="T264" s="234"/>
      <c r="U264" s="234"/>
      <c r="V264" s="234"/>
      <c r="W264" s="165"/>
      <c r="X264" s="165"/>
      <c r="Y264" s="165"/>
      <c r="Z264" s="165"/>
      <c r="AA264" s="165"/>
      <c r="AB264" s="253"/>
      <c r="AC264" s="2"/>
      <c r="AD264" s="253"/>
      <c r="AE264" s="253"/>
      <c r="AF264" s="253"/>
      <c r="AG264" s="253"/>
      <c r="AH264" s="253"/>
      <c r="AI264" s="2"/>
      <c r="AJ264" s="253"/>
      <c r="AK264" s="253"/>
      <c r="AL264" s="253"/>
      <c r="AM264" s="253"/>
      <c r="AN264" s="253"/>
      <c r="AO264" s="2"/>
      <c r="AP264" s="253"/>
      <c r="AQ264" s="253"/>
      <c r="AR264" s="253"/>
      <c r="AS264" s="253"/>
      <c r="AT264" s="253"/>
      <c r="AU264" s="2"/>
      <c r="AV264" s="253"/>
      <c r="AW264" s="253"/>
      <c r="AX264" s="253"/>
      <c r="AY264" s="253"/>
    </row>
    <row r="265" ht="15.75" customHeight="1">
      <c r="A265" s="2"/>
      <c r="B265" s="259"/>
      <c r="C265" s="163"/>
      <c r="D265" s="259"/>
      <c r="E265" s="166"/>
      <c r="F265" s="163"/>
      <c r="G265" s="166"/>
      <c r="H265" s="166"/>
      <c r="I265" s="260"/>
      <c r="J265" s="178"/>
      <c r="K265" s="166"/>
      <c r="L265" s="166"/>
      <c r="M265" s="166"/>
      <c r="N265" s="178"/>
      <c r="O265" s="178"/>
      <c r="P265" s="178"/>
      <c r="Q265" s="178"/>
      <c r="R265" s="166"/>
      <c r="S265" s="177"/>
      <c r="T265" s="234"/>
      <c r="U265" s="234"/>
      <c r="V265" s="234"/>
      <c r="W265" s="165"/>
      <c r="X265" s="165"/>
      <c r="Y265" s="165"/>
      <c r="Z265" s="165"/>
      <c r="AA265" s="165"/>
      <c r="AB265" s="253"/>
      <c r="AC265" s="2"/>
      <c r="AD265" s="253"/>
      <c r="AE265" s="253"/>
      <c r="AF265" s="253"/>
      <c r="AG265" s="253"/>
      <c r="AH265" s="253"/>
      <c r="AI265" s="2"/>
      <c r="AJ265" s="253"/>
      <c r="AK265" s="253"/>
      <c r="AL265" s="253"/>
      <c r="AM265" s="253"/>
      <c r="AN265" s="253"/>
      <c r="AO265" s="2"/>
      <c r="AP265" s="253"/>
      <c r="AQ265" s="253"/>
      <c r="AR265" s="253"/>
      <c r="AS265" s="253"/>
      <c r="AT265" s="253"/>
      <c r="AU265" s="2"/>
      <c r="AV265" s="253"/>
      <c r="AW265" s="253"/>
      <c r="AX265" s="253"/>
      <c r="AY265" s="253"/>
    </row>
    <row r="266" ht="15.75" customHeight="1">
      <c r="A266" s="2"/>
      <c r="B266" s="259"/>
      <c r="C266" s="163"/>
      <c r="D266" s="259"/>
      <c r="E266" s="166"/>
      <c r="F266" s="163"/>
      <c r="G266" s="166"/>
      <c r="H266" s="166"/>
      <c r="I266" s="260"/>
      <c r="J266" s="178"/>
      <c r="K266" s="166"/>
      <c r="L266" s="166"/>
      <c r="M266" s="166"/>
      <c r="N266" s="178"/>
      <c r="O266" s="178"/>
      <c r="P266" s="178"/>
      <c r="Q266" s="178"/>
      <c r="R266" s="166"/>
      <c r="S266" s="177"/>
      <c r="T266" s="234"/>
      <c r="U266" s="234"/>
      <c r="V266" s="234"/>
      <c r="W266" s="165"/>
      <c r="X266" s="165"/>
      <c r="Y266" s="165"/>
      <c r="Z266" s="165"/>
      <c r="AA266" s="165"/>
      <c r="AB266" s="253"/>
      <c r="AC266" s="2"/>
      <c r="AD266" s="253"/>
      <c r="AE266" s="253"/>
      <c r="AF266" s="253"/>
      <c r="AG266" s="253"/>
      <c r="AH266" s="253"/>
      <c r="AI266" s="2"/>
      <c r="AJ266" s="253"/>
      <c r="AK266" s="253"/>
      <c r="AL266" s="253"/>
      <c r="AM266" s="253"/>
      <c r="AN266" s="253"/>
      <c r="AO266" s="2"/>
      <c r="AP266" s="253"/>
      <c r="AQ266" s="253"/>
      <c r="AR266" s="253"/>
      <c r="AS266" s="253"/>
      <c r="AT266" s="253"/>
      <c r="AU266" s="2"/>
      <c r="AV266" s="253"/>
      <c r="AW266" s="253"/>
      <c r="AX266" s="253"/>
      <c r="AY266" s="253"/>
    </row>
    <row r="267" ht="15.75" customHeight="1">
      <c r="A267" s="2"/>
      <c r="B267" s="259"/>
      <c r="C267" s="163"/>
      <c r="D267" s="259"/>
      <c r="E267" s="166"/>
      <c r="F267" s="163"/>
      <c r="G267" s="166"/>
      <c r="H267" s="166"/>
      <c r="I267" s="260"/>
      <c r="J267" s="178"/>
      <c r="K267" s="166"/>
      <c r="L267" s="166"/>
      <c r="M267" s="166"/>
      <c r="N267" s="178"/>
      <c r="O267" s="178"/>
      <c r="P267" s="178"/>
      <c r="Q267" s="178"/>
      <c r="R267" s="166"/>
      <c r="S267" s="177"/>
      <c r="T267" s="234"/>
      <c r="U267" s="234"/>
      <c r="V267" s="234"/>
      <c r="W267" s="165"/>
      <c r="X267" s="165"/>
      <c r="Y267" s="165"/>
      <c r="Z267" s="165"/>
      <c r="AA267" s="165"/>
      <c r="AB267" s="253"/>
      <c r="AC267" s="2"/>
      <c r="AD267" s="253"/>
      <c r="AE267" s="253"/>
      <c r="AF267" s="253"/>
      <c r="AG267" s="253"/>
      <c r="AH267" s="253"/>
      <c r="AI267" s="2"/>
      <c r="AJ267" s="253"/>
      <c r="AK267" s="253"/>
      <c r="AL267" s="253"/>
      <c r="AM267" s="253"/>
      <c r="AN267" s="253"/>
      <c r="AO267" s="2"/>
      <c r="AP267" s="253"/>
      <c r="AQ267" s="253"/>
      <c r="AR267" s="253"/>
      <c r="AS267" s="253"/>
      <c r="AT267" s="253"/>
      <c r="AU267" s="2"/>
      <c r="AV267" s="253"/>
      <c r="AW267" s="253"/>
      <c r="AX267" s="253"/>
      <c r="AY267" s="253"/>
    </row>
    <row r="268" ht="15.75" customHeight="1">
      <c r="A268" s="2"/>
      <c r="B268" s="259"/>
      <c r="C268" s="163"/>
      <c r="D268" s="259"/>
      <c r="E268" s="166"/>
      <c r="F268" s="163"/>
      <c r="G268" s="166"/>
      <c r="H268" s="166"/>
      <c r="I268" s="260"/>
      <c r="J268" s="178"/>
      <c r="K268" s="166"/>
      <c r="L268" s="166"/>
      <c r="M268" s="166"/>
      <c r="N268" s="178"/>
      <c r="O268" s="178"/>
      <c r="P268" s="178"/>
      <c r="Q268" s="178"/>
      <c r="R268" s="166"/>
      <c r="S268" s="177"/>
      <c r="T268" s="234"/>
      <c r="U268" s="234"/>
      <c r="V268" s="234"/>
      <c r="W268" s="165"/>
      <c r="X268" s="165"/>
      <c r="Y268" s="165"/>
      <c r="Z268" s="165"/>
      <c r="AA268" s="165"/>
      <c r="AB268" s="253"/>
      <c r="AC268" s="2"/>
      <c r="AD268" s="253"/>
      <c r="AE268" s="253"/>
      <c r="AF268" s="253"/>
      <c r="AG268" s="253"/>
      <c r="AH268" s="253"/>
      <c r="AI268" s="2"/>
      <c r="AJ268" s="253"/>
      <c r="AK268" s="253"/>
      <c r="AL268" s="253"/>
      <c r="AM268" s="253"/>
      <c r="AN268" s="253"/>
      <c r="AO268" s="2"/>
      <c r="AP268" s="253"/>
      <c r="AQ268" s="253"/>
      <c r="AR268" s="253"/>
      <c r="AS268" s="253"/>
      <c r="AT268" s="253"/>
      <c r="AU268" s="2"/>
      <c r="AV268" s="253"/>
      <c r="AW268" s="253"/>
      <c r="AX268" s="253"/>
      <c r="AY268" s="253"/>
    </row>
    <row r="269" ht="15.75" customHeight="1">
      <c r="A269" s="2"/>
      <c r="B269" s="259"/>
      <c r="C269" s="163"/>
      <c r="D269" s="259"/>
      <c r="E269" s="166"/>
      <c r="F269" s="163"/>
      <c r="G269" s="166"/>
      <c r="H269" s="166"/>
      <c r="I269" s="260"/>
      <c r="J269" s="178"/>
      <c r="K269" s="166"/>
      <c r="L269" s="166"/>
      <c r="M269" s="166"/>
      <c r="N269" s="178"/>
      <c r="O269" s="178"/>
      <c r="P269" s="178"/>
      <c r="Q269" s="178"/>
      <c r="R269" s="166"/>
      <c r="S269" s="177"/>
      <c r="T269" s="234"/>
      <c r="U269" s="234"/>
      <c r="V269" s="234"/>
      <c r="W269" s="165"/>
      <c r="X269" s="165"/>
      <c r="Y269" s="165"/>
      <c r="Z269" s="165"/>
      <c r="AA269" s="165"/>
      <c r="AB269" s="253"/>
      <c r="AC269" s="2"/>
      <c r="AD269" s="253"/>
      <c r="AE269" s="253"/>
      <c r="AF269" s="253"/>
      <c r="AG269" s="253"/>
      <c r="AH269" s="253"/>
      <c r="AI269" s="2"/>
      <c r="AJ269" s="253"/>
      <c r="AK269" s="253"/>
      <c r="AL269" s="253"/>
      <c r="AM269" s="253"/>
      <c r="AN269" s="253"/>
      <c r="AO269" s="2"/>
      <c r="AP269" s="253"/>
      <c r="AQ269" s="253"/>
      <c r="AR269" s="253"/>
      <c r="AS269" s="253"/>
      <c r="AT269" s="253"/>
      <c r="AU269" s="2"/>
      <c r="AV269" s="253"/>
      <c r="AW269" s="253"/>
      <c r="AX269" s="253"/>
      <c r="AY269" s="253"/>
    </row>
    <row r="270" ht="15.75" customHeight="1">
      <c r="A270" s="2"/>
      <c r="B270" s="259"/>
      <c r="C270" s="163"/>
      <c r="D270" s="259"/>
      <c r="E270" s="166"/>
      <c r="F270" s="163"/>
      <c r="G270" s="166"/>
      <c r="H270" s="166"/>
      <c r="I270" s="260"/>
      <c r="J270" s="178"/>
      <c r="K270" s="166"/>
      <c r="L270" s="166"/>
      <c r="M270" s="166"/>
      <c r="N270" s="178"/>
      <c r="O270" s="178"/>
      <c r="P270" s="178"/>
      <c r="Q270" s="178"/>
      <c r="R270" s="166"/>
      <c r="S270" s="177"/>
      <c r="T270" s="234"/>
      <c r="U270" s="234"/>
      <c r="V270" s="234"/>
      <c r="W270" s="165"/>
      <c r="X270" s="165"/>
      <c r="Y270" s="165"/>
      <c r="Z270" s="165"/>
      <c r="AA270" s="165"/>
      <c r="AB270" s="253"/>
      <c r="AC270" s="2"/>
      <c r="AD270" s="253"/>
      <c r="AE270" s="253"/>
      <c r="AF270" s="253"/>
      <c r="AG270" s="253"/>
      <c r="AH270" s="253"/>
      <c r="AI270" s="2"/>
      <c r="AJ270" s="253"/>
      <c r="AK270" s="253"/>
      <c r="AL270" s="253"/>
      <c r="AM270" s="253"/>
      <c r="AN270" s="253"/>
      <c r="AO270" s="2"/>
      <c r="AP270" s="253"/>
      <c r="AQ270" s="253"/>
      <c r="AR270" s="253"/>
      <c r="AS270" s="253"/>
      <c r="AT270" s="253"/>
      <c r="AU270" s="2"/>
      <c r="AV270" s="253"/>
      <c r="AW270" s="253"/>
      <c r="AX270" s="253"/>
      <c r="AY270" s="253"/>
    </row>
    <row r="271" ht="15.75" customHeight="1">
      <c r="A271" s="2"/>
      <c r="B271" s="259"/>
      <c r="C271" s="163"/>
      <c r="D271" s="259"/>
      <c r="E271" s="166"/>
      <c r="F271" s="163"/>
      <c r="G271" s="166"/>
      <c r="H271" s="166"/>
      <c r="I271" s="260"/>
      <c r="J271" s="178"/>
      <c r="K271" s="166"/>
      <c r="L271" s="166"/>
      <c r="M271" s="166"/>
      <c r="N271" s="178"/>
      <c r="O271" s="178"/>
      <c r="P271" s="178"/>
      <c r="Q271" s="178"/>
      <c r="R271" s="166"/>
      <c r="S271" s="177"/>
      <c r="T271" s="234"/>
      <c r="U271" s="234"/>
      <c r="V271" s="234"/>
      <c r="W271" s="165"/>
      <c r="X271" s="165"/>
      <c r="Y271" s="165"/>
      <c r="Z271" s="165"/>
      <c r="AA271" s="165"/>
      <c r="AB271" s="253"/>
      <c r="AC271" s="2"/>
      <c r="AD271" s="253"/>
      <c r="AE271" s="253"/>
      <c r="AF271" s="253"/>
      <c r="AG271" s="253"/>
      <c r="AH271" s="253"/>
      <c r="AI271" s="2"/>
      <c r="AJ271" s="253"/>
      <c r="AK271" s="253"/>
      <c r="AL271" s="253"/>
      <c r="AM271" s="253"/>
      <c r="AN271" s="253"/>
      <c r="AO271" s="2"/>
      <c r="AP271" s="253"/>
      <c r="AQ271" s="253"/>
      <c r="AR271" s="253"/>
      <c r="AS271" s="253"/>
      <c r="AT271" s="253"/>
      <c r="AU271" s="2"/>
      <c r="AV271" s="253"/>
      <c r="AW271" s="253"/>
      <c r="AX271" s="253"/>
      <c r="AY271" s="253"/>
    </row>
    <row r="272" ht="15.75" customHeight="1">
      <c r="A272" s="2"/>
      <c r="B272" s="259"/>
      <c r="C272" s="163"/>
      <c r="D272" s="259"/>
      <c r="E272" s="166"/>
      <c r="F272" s="163"/>
      <c r="G272" s="166"/>
      <c r="H272" s="166"/>
      <c r="I272" s="260"/>
      <c r="J272" s="178"/>
      <c r="K272" s="166"/>
      <c r="L272" s="166"/>
      <c r="M272" s="166"/>
      <c r="N272" s="178"/>
      <c r="O272" s="178"/>
      <c r="P272" s="178"/>
      <c r="Q272" s="178"/>
      <c r="R272" s="166"/>
      <c r="S272" s="177"/>
      <c r="T272" s="234"/>
      <c r="U272" s="234"/>
      <c r="V272" s="234"/>
      <c r="W272" s="165"/>
      <c r="X272" s="165"/>
      <c r="Y272" s="165"/>
      <c r="Z272" s="165"/>
      <c r="AA272" s="165"/>
      <c r="AB272" s="253"/>
      <c r="AC272" s="2"/>
      <c r="AD272" s="253"/>
      <c r="AE272" s="253"/>
      <c r="AF272" s="253"/>
      <c r="AG272" s="253"/>
      <c r="AH272" s="253"/>
      <c r="AI272" s="2"/>
      <c r="AJ272" s="253"/>
      <c r="AK272" s="253"/>
      <c r="AL272" s="253"/>
      <c r="AM272" s="253"/>
      <c r="AN272" s="253"/>
      <c r="AO272" s="2"/>
      <c r="AP272" s="253"/>
      <c r="AQ272" s="253"/>
      <c r="AR272" s="253"/>
      <c r="AS272" s="253"/>
      <c r="AT272" s="253"/>
      <c r="AU272" s="2"/>
      <c r="AV272" s="253"/>
      <c r="AW272" s="253"/>
      <c r="AX272" s="253"/>
      <c r="AY272" s="253"/>
    </row>
    <row r="273" ht="15.75" customHeight="1">
      <c r="A273" s="2"/>
      <c r="B273" s="259"/>
      <c r="C273" s="163"/>
      <c r="D273" s="259"/>
      <c r="E273" s="166"/>
      <c r="F273" s="163"/>
      <c r="G273" s="166"/>
      <c r="H273" s="166"/>
      <c r="I273" s="260"/>
      <c r="J273" s="178"/>
      <c r="K273" s="166"/>
      <c r="L273" s="166"/>
      <c r="M273" s="166"/>
      <c r="N273" s="178"/>
      <c r="O273" s="178"/>
      <c r="P273" s="178"/>
      <c r="Q273" s="178"/>
      <c r="R273" s="166"/>
      <c r="S273" s="177"/>
      <c r="T273" s="234"/>
      <c r="U273" s="234"/>
      <c r="V273" s="234"/>
      <c r="W273" s="165"/>
      <c r="X273" s="165"/>
      <c r="Y273" s="165"/>
      <c r="Z273" s="165"/>
      <c r="AA273" s="165"/>
      <c r="AB273" s="253"/>
      <c r="AC273" s="2"/>
      <c r="AD273" s="253"/>
      <c r="AE273" s="253"/>
      <c r="AF273" s="253"/>
      <c r="AG273" s="253"/>
      <c r="AH273" s="253"/>
      <c r="AI273" s="2"/>
      <c r="AJ273" s="253"/>
      <c r="AK273" s="253"/>
      <c r="AL273" s="253"/>
      <c r="AM273" s="253"/>
      <c r="AN273" s="253"/>
      <c r="AO273" s="2"/>
      <c r="AP273" s="253"/>
      <c r="AQ273" s="253"/>
      <c r="AR273" s="253"/>
      <c r="AS273" s="253"/>
      <c r="AT273" s="253"/>
      <c r="AU273" s="2"/>
      <c r="AV273" s="253"/>
      <c r="AW273" s="253"/>
      <c r="AX273" s="253"/>
      <c r="AY273" s="253"/>
    </row>
    <row r="274" ht="15.75" customHeight="1">
      <c r="A274" s="2"/>
      <c r="B274" s="259"/>
      <c r="C274" s="163"/>
      <c r="D274" s="259"/>
      <c r="E274" s="166"/>
      <c r="F274" s="163"/>
      <c r="G274" s="166"/>
      <c r="H274" s="166"/>
      <c r="I274" s="260"/>
      <c r="J274" s="178"/>
      <c r="K274" s="166"/>
      <c r="L274" s="166"/>
      <c r="M274" s="166"/>
      <c r="N274" s="178"/>
      <c r="O274" s="178"/>
      <c r="P274" s="178"/>
      <c r="Q274" s="178"/>
      <c r="R274" s="166"/>
      <c r="S274" s="177"/>
      <c r="T274" s="234"/>
      <c r="U274" s="234"/>
      <c r="V274" s="234"/>
      <c r="W274" s="165"/>
      <c r="X274" s="165"/>
      <c r="Y274" s="165"/>
      <c r="Z274" s="165"/>
      <c r="AA274" s="165"/>
      <c r="AB274" s="253"/>
      <c r="AC274" s="2"/>
      <c r="AD274" s="253"/>
      <c r="AE274" s="253"/>
      <c r="AF274" s="253"/>
      <c r="AG274" s="253"/>
      <c r="AH274" s="253"/>
      <c r="AI274" s="2"/>
      <c r="AJ274" s="253"/>
      <c r="AK274" s="253"/>
      <c r="AL274" s="253"/>
      <c r="AM274" s="253"/>
      <c r="AN274" s="253"/>
      <c r="AO274" s="2"/>
      <c r="AP274" s="253"/>
      <c r="AQ274" s="253"/>
      <c r="AR274" s="253"/>
      <c r="AS274" s="253"/>
      <c r="AT274" s="253"/>
      <c r="AU274" s="2"/>
      <c r="AV274" s="253"/>
      <c r="AW274" s="253"/>
      <c r="AX274" s="253"/>
      <c r="AY274" s="253"/>
    </row>
    <row r="275" ht="15.75" customHeight="1">
      <c r="A275" s="2"/>
      <c r="B275" s="259"/>
      <c r="C275" s="163"/>
      <c r="D275" s="259"/>
      <c r="E275" s="166"/>
      <c r="F275" s="163"/>
      <c r="G275" s="166"/>
      <c r="H275" s="166"/>
      <c r="I275" s="260"/>
      <c r="J275" s="178"/>
      <c r="K275" s="166"/>
      <c r="L275" s="166"/>
      <c r="M275" s="166"/>
      <c r="N275" s="178"/>
      <c r="O275" s="178"/>
      <c r="P275" s="178"/>
      <c r="Q275" s="178"/>
      <c r="R275" s="166"/>
      <c r="S275" s="177"/>
      <c r="T275" s="234"/>
      <c r="U275" s="234"/>
      <c r="V275" s="234"/>
      <c r="W275" s="165"/>
      <c r="X275" s="165"/>
      <c r="Y275" s="165"/>
      <c r="Z275" s="165"/>
      <c r="AA275" s="165"/>
      <c r="AB275" s="253"/>
      <c r="AC275" s="2"/>
      <c r="AD275" s="253"/>
      <c r="AE275" s="253"/>
      <c r="AF275" s="253"/>
      <c r="AG275" s="253"/>
      <c r="AH275" s="253"/>
      <c r="AI275" s="2"/>
      <c r="AJ275" s="253"/>
      <c r="AK275" s="253"/>
      <c r="AL275" s="253"/>
      <c r="AM275" s="253"/>
      <c r="AN275" s="253"/>
      <c r="AO275" s="2"/>
      <c r="AP275" s="253"/>
      <c r="AQ275" s="253"/>
      <c r="AR275" s="253"/>
      <c r="AS275" s="253"/>
      <c r="AT275" s="253"/>
      <c r="AU275" s="2"/>
      <c r="AV275" s="253"/>
      <c r="AW275" s="253"/>
      <c r="AX275" s="253"/>
      <c r="AY275" s="253"/>
    </row>
    <row r="276" ht="15.75" customHeight="1">
      <c r="A276" s="2"/>
      <c r="B276" s="259"/>
      <c r="C276" s="163"/>
      <c r="D276" s="259"/>
      <c r="E276" s="166"/>
      <c r="F276" s="163"/>
      <c r="G276" s="166"/>
      <c r="H276" s="166"/>
      <c r="I276" s="260"/>
      <c r="J276" s="178"/>
      <c r="K276" s="166"/>
      <c r="L276" s="166"/>
      <c r="M276" s="166"/>
      <c r="N276" s="178"/>
      <c r="O276" s="178"/>
      <c r="P276" s="178"/>
      <c r="Q276" s="178"/>
      <c r="R276" s="166"/>
      <c r="S276" s="177"/>
      <c r="T276" s="234"/>
      <c r="U276" s="234"/>
      <c r="V276" s="234"/>
      <c r="W276" s="165"/>
      <c r="X276" s="165"/>
      <c r="Y276" s="165"/>
      <c r="Z276" s="165"/>
      <c r="AA276" s="165"/>
      <c r="AB276" s="253"/>
      <c r="AC276" s="2"/>
      <c r="AD276" s="253"/>
      <c r="AE276" s="253"/>
      <c r="AF276" s="253"/>
      <c r="AG276" s="253"/>
      <c r="AH276" s="253"/>
      <c r="AI276" s="2"/>
      <c r="AJ276" s="253"/>
      <c r="AK276" s="253"/>
      <c r="AL276" s="253"/>
      <c r="AM276" s="253"/>
      <c r="AN276" s="253"/>
      <c r="AO276" s="2"/>
      <c r="AP276" s="253"/>
      <c r="AQ276" s="253"/>
      <c r="AR276" s="253"/>
      <c r="AS276" s="253"/>
      <c r="AT276" s="253"/>
      <c r="AU276" s="2"/>
      <c r="AV276" s="253"/>
      <c r="AW276" s="253"/>
      <c r="AX276" s="253"/>
      <c r="AY276" s="253"/>
    </row>
    <row r="277" ht="15.75" customHeight="1">
      <c r="A277" s="2"/>
      <c r="B277" s="259"/>
      <c r="C277" s="163"/>
      <c r="D277" s="259"/>
      <c r="E277" s="166"/>
      <c r="F277" s="163"/>
      <c r="G277" s="166"/>
      <c r="H277" s="166"/>
      <c r="I277" s="260"/>
      <c r="J277" s="178"/>
      <c r="K277" s="166"/>
      <c r="L277" s="166"/>
      <c r="M277" s="166"/>
      <c r="N277" s="178"/>
      <c r="O277" s="178"/>
      <c r="P277" s="178"/>
      <c r="Q277" s="178"/>
      <c r="R277" s="166"/>
      <c r="S277" s="177"/>
      <c r="T277" s="234"/>
      <c r="U277" s="234"/>
      <c r="V277" s="234"/>
      <c r="W277" s="165"/>
      <c r="X277" s="165"/>
      <c r="Y277" s="165"/>
      <c r="Z277" s="165"/>
      <c r="AA277" s="165"/>
      <c r="AB277" s="253"/>
      <c r="AC277" s="2"/>
      <c r="AD277" s="253"/>
      <c r="AE277" s="253"/>
      <c r="AF277" s="253"/>
      <c r="AG277" s="253"/>
      <c r="AH277" s="253"/>
      <c r="AI277" s="2"/>
      <c r="AJ277" s="253"/>
      <c r="AK277" s="253"/>
      <c r="AL277" s="253"/>
      <c r="AM277" s="253"/>
      <c r="AN277" s="253"/>
      <c r="AO277" s="2"/>
      <c r="AP277" s="253"/>
      <c r="AQ277" s="253"/>
      <c r="AR277" s="253"/>
      <c r="AS277" s="253"/>
      <c r="AT277" s="253"/>
      <c r="AU277" s="2"/>
      <c r="AV277" s="253"/>
      <c r="AW277" s="253"/>
      <c r="AX277" s="253"/>
      <c r="AY277" s="253"/>
    </row>
    <row r="278" ht="15.75" customHeight="1">
      <c r="A278" s="2"/>
      <c r="B278" s="259"/>
      <c r="C278" s="163"/>
      <c r="D278" s="259"/>
      <c r="E278" s="166"/>
      <c r="F278" s="163"/>
      <c r="G278" s="166"/>
      <c r="H278" s="166"/>
      <c r="I278" s="260"/>
      <c r="J278" s="178"/>
      <c r="K278" s="166"/>
      <c r="L278" s="166"/>
      <c r="M278" s="166"/>
      <c r="N278" s="178"/>
      <c r="O278" s="178"/>
      <c r="P278" s="178"/>
      <c r="Q278" s="178"/>
      <c r="R278" s="166"/>
      <c r="S278" s="177"/>
      <c r="T278" s="234"/>
      <c r="U278" s="234"/>
      <c r="V278" s="234"/>
      <c r="W278" s="165"/>
      <c r="X278" s="165"/>
      <c r="Y278" s="165"/>
      <c r="Z278" s="165"/>
      <c r="AA278" s="165"/>
      <c r="AB278" s="253"/>
      <c r="AC278" s="2"/>
      <c r="AD278" s="253"/>
      <c r="AE278" s="253"/>
      <c r="AF278" s="253"/>
      <c r="AG278" s="253"/>
      <c r="AH278" s="253"/>
      <c r="AI278" s="2"/>
      <c r="AJ278" s="253"/>
      <c r="AK278" s="253"/>
      <c r="AL278" s="253"/>
      <c r="AM278" s="253"/>
      <c r="AN278" s="253"/>
      <c r="AO278" s="2"/>
      <c r="AP278" s="253"/>
      <c r="AQ278" s="253"/>
      <c r="AR278" s="253"/>
      <c r="AS278" s="253"/>
      <c r="AT278" s="253"/>
      <c r="AU278" s="2"/>
      <c r="AV278" s="253"/>
      <c r="AW278" s="253"/>
      <c r="AX278" s="253"/>
      <c r="AY278" s="253"/>
    </row>
    <row r="279" ht="15.75" customHeight="1">
      <c r="A279" s="2"/>
      <c r="B279" s="259"/>
      <c r="C279" s="163"/>
      <c r="D279" s="259"/>
      <c r="E279" s="166"/>
      <c r="F279" s="163"/>
      <c r="G279" s="166"/>
      <c r="H279" s="166"/>
      <c r="I279" s="260"/>
      <c r="J279" s="178"/>
      <c r="K279" s="166"/>
      <c r="L279" s="166"/>
      <c r="M279" s="166"/>
      <c r="N279" s="178"/>
      <c r="O279" s="178"/>
      <c r="P279" s="178"/>
      <c r="Q279" s="178"/>
      <c r="R279" s="166"/>
      <c r="S279" s="177"/>
      <c r="T279" s="234"/>
      <c r="U279" s="234"/>
      <c r="V279" s="234"/>
      <c r="W279" s="165"/>
      <c r="X279" s="165"/>
      <c r="Y279" s="165"/>
      <c r="Z279" s="165"/>
      <c r="AA279" s="165"/>
      <c r="AB279" s="253"/>
      <c r="AC279" s="2"/>
      <c r="AD279" s="253"/>
      <c r="AE279" s="253"/>
      <c r="AF279" s="253"/>
      <c r="AG279" s="253"/>
      <c r="AH279" s="253"/>
      <c r="AI279" s="2"/>
      <c r="AJ279" s="253"/>
      <c r="AK279" s="253"/>
      <c r="AL279" s="253"/>
      <c r="AM279" s="253"/>
      <c r="AN279" s="253"/>
      <c r="AO279" s="2"/>
      <c r="AP279" s="253"/>
      <c r="AQ279" s="253"/>
      <c r="AR279" s="253"/>
      <c r="AS279" s="253"/>
      <c r="AT279" s="253"/>
      <c r="AU279" s="2"/>
      <c r="AV279" s="253"/>
      <c r="AW279" s="253"/>
      <c r="AX279" s="253"/>
      <c r="AY279" s="253"/>
    </row>
    <row r="280" ht="15.75" customHeight="1">
      <c r="A280" s="2"/>
      <c r="B280" s="259"/>
      <c r="C280" s="163"/>
      <c r="D280" s="259"/>
      <c r="E280" s="166"/>
      <c r="F280" s="163"/>
      <c r="G280" s="166"/>
      <c r="H280" s="166"/>
      <c r="I280" s="260"/>
      <c r="J280" s="178"/>
      <c r="K280" s="166"/>
      <c r="L280" s="166"/>
      <c r="M280" s="166"/>
      <c r="N280" s="178"/>
      <c r="O280" s="178"/>
      <c r="P280" s="178"/>
      <c r="Q280" s="178"/>
      <c r="R280" s="166"/>
      <c r="S280" s="177"/>
      <c r="T280" s="234"/>
      <c r="U280" s="234"/>
      <c r="V280" s="234"/>
      <c r="W280" s="165"/>
      <c r="X280" s="165"/>
      <c r="Y280" s="165"/>
      <c r="Z280" s="165"/>
      <c r="AA280" s="165"/>
      <c r="AB280" s="253"/>
      <c r="AC280" s="2"/>
      <c r="AD280" s="253"/>
      <c r="AE280" s="253"/>
      <c r="AF280" s="253"/>
      <c r="AG280" s="253"/>
      <c r="AH280" s="253"/>
      <c r="AI280" s="2"/>
      <c r="AJ280" s="253"/>
      <c r="AK280" s="253"/>
      <c r="AL280" s="253"/>
      <c r="AM280" s="253"/>
      <c r="AN280" s="253"/>
      <c r="AO280" s="2"/>
      <c r="AP280" s="253"/>
      <c r="AQ280" s="253"/>
      <c r="AR280" s="253"/>
      <c r="AS280" s="253"/>
      <c r="AT280" s="253"/>
      <c r="AU280" s="2"/>
      <c r="AV280" s="253"/>
      <c r="AW280" s="253"/>
      <c r="AX280" s="253"/>
      <c r="AY280" s="253"/>
    </row>
    <row r="281" ht="15.75" customHeight="1">
      <c r="A281" s="2"/>
      <c r="B281" s="259"/>
      <c r="C281" s="163"/>
      <c r="D281" s="259"/>
      <c r="E281" s="166"/>
      <c r="F281" s="163"/>
      <c r="G281" s="166"/>
      <c r="H281" s="166"/>
      <c r="I281" s="260"/>
      <c r="J281" s="178"/>
      <c r="K281" s="166"/>
      <c r="L281" s="166"/>
      <c r="M281" s="166"/>
      <c r="N281" s="178"/>
      <c r="O281" s="178"/>
      <c r="P281" s="178"/>
      <c r="Q281" s="178"/>
      <c r="R281" s="166"/>
      <c r="S281" s="177"/>
      <c r="T281" s="234"/>
      <c r="U281" s="234"/>
      <c r="V281" s="234"/>
      <c r="W281" s="165"/>
      <c r="X281" s="165"/>
      <c r="Y281" s="165"/>
      <c r="Z281" s="165"/>
      <c r="AA281" s="165"/>
      <c r="AB281" s="253"/>
      <c r="AC281" s="2"/>
      <c r="AD281" s="253"/>
      <c r="AE281" s="253"/>
      <c r="AF281" s="253"/>
      <c r="AG281" s="253"/>
      <c r="AH281" s="253"/>
      <c r="AI281" s="2"/>
      <c r="AJ281" s="253"/>
      <c r="AK281" s="253"/>
      <c r="AL281" s="253"/>
      <c r="AM281" s="253"/>
      <c r="AN281" s="253"/>
      <c r="AO281" s="2"/>
      <c r="AP281" s="253"/>
      <c r="AQ281" s="253"/>
      <c r="AR281" s="253"/>
      <c r="AS281" s="253"/>
      <c r="AT281" s="253"/>
      <c r="AU281" s="2"/>
      <c r="AV281" s="253"/>
      <c r="AW281" s="253"/>
      <c r="AX281" s="253"/>
      <c r="AY281" s="253"/>
    </row>
    <row r="282" ht="15.75" customHeight="1">
      <c r="A282" s="2"/>
      <c r="B282" s="259"/>
      <c r="C282" s="163"/>
      <c r="D282" s="259"/>
      <c r="E282" s="166"/>
      <c r="F282" s="163"/>
      <c r="G282" s="166"/>
      <c r="H282" s="166"/>
      <c r="I282" s="260"/>
      <c r="J282" s="178"/>
      <c r="K282" s="166"/>
      <c r="L282" s="166"/>
      <c r="M282" s="166"/>
      <c r="N282" s="178"/>
      <c r="O282" s="178"/>
      <c r="P282" s="178"/>
      <c r="Q282" s="178"/>
      <c r="R282" s="166"/>
      <c r="S282" s="177"/>
      <c r="T282" s="234"/>
      <c r="U282" s="234"/>
      <c r="V282" s="234"/>
      <c r="W282" s="165"/>
      <c r="X282" s="165"/>
      <c r="Y282" s="165"/>
      <c r="Z282" s="165"/>
      <c r="AA282" s="165"/>
      <c r="AB282" s="253"/>
      <c r="AC282" s="2"/>
      <c r="AD282" s="253"/>
      <c r="AE282" s="253"/>
      <c r="AF282" s="253"/>
      <c r="AG282" s="253"/>
      <c r="AH282" s="253"/>
      <c r="AI282" s="2"/>
      <c r="AJ282" s="253"/>
      <c r="AK282" s="253"/>
      <c r="AL282" s="253"/>
      <c r="AM282" s="253"/>
      <c r="AN282" s="253"/>
      <c r="AO282" s="2"/>
      <c r="AP282" s="253"/>
      <c r="AQ282" s="253"/>
      <c r="AR282" s="253"/>
      <c r="AS282" s="253"/>
      <c r="AT282" s="253"/>
      <c r="AU282" s="2"/>
      <c r="AV282" s="253"/>
      <c r="AW282" s="253"/>
      <c r="AX282" s="253"/>
      <c r="AY282" s="253"/>
    </row>
    <row r="283" ht="15.75" customHeight="1">
      <c r="A283" s="2"/>
      <c r="B283" s="259"/>
      <c r="C283" s="163"/>
      <c r="D283" s="259"/>
      <c r="E283" s="166"/>
      <c r="F283" s="163"/>
      <c r="G283" s="166"/>
      <c r="H283" s="166"/>
      <c r="I283" s="260"/>
      <c r="J283" s="178"/>
      <c r="K283" s="166"/>
      <c r="L283" s="166"/>
      <c r="M283" s="166"/>
      <c r="N283" s="178"/>
      <c r="O283" s="178"/>
      <c r="P283" s="178"/>
      <c r="Q283" s="178"/>
      <c r="R283" s="166"/>
      <c r="S283" s="177"/>
      <c r="T283" s="234"/>
      <c r="U283" s="234"/>
      <c r="V283" s="234"/>
      <c r="W283" s="165"/>
      <c r="X283" s="165"/>
      <c r="Y283" s="165"/>
      <c r="Z283" s="165"/>
      <c r="AA283" s="165"/>
      <c r="AB283" s="253"/>
      <c r="AC283" s="2"/>
      <c r="AD283" s="253"/>
      <c r="AE283" s="253"/>
      <c r="AF283" s="253"/>
      <c r="AG283" s="253"/>
      <c r="AH283" s="253"/>
      <c r="AI283" s="2"/>
      <c r="AJ283" s="253"/>
      <c r="AK283" s="253"/>
      <c r="AL283" s="253"/>
      <c r="AM283" s="253"/>
      <c r="AN283" s="253"/>
      <c r="AO283" s="2"/>
      <c r="AP283" s="253"/>
      <c r="AQ283" s="253"/>
      <c r="AR283" s="253"/>
      <c r="AS283" s="253"/>
      <c r="AT283" s="253"/>
      <c r="AU283" s="2"/>
      <c r="AV283" s="253"/>
      <c r="AW283" s="253"/>
      <c r="AX283" s="253"/>
      <c r="AY283" s="253"/>
    </row>
    <row r="284" ht="15.75" customHeight="1">
      <c r="A284" s="2"/>
      <c r="B284" s="259"/>
      <c r="C284" s="163"/>
      <c r="D284" s="259"/>
      <c r="E284" s="166"/>
      <c r="F284" s="261"/>
      <c r="G284" s="166"/>
      <c r="H284" s="166"/>
      <c r="I284" s="260"/>
      <c r="J284" s="178"/>
      <c r="K284" s="166"/>
      <c r="L284" s="166"/>
      <c r="M284" s="166"/>
      <c r="N284" s="178"/>
      <c r="O284" s="178"/>
      <c r="P284" s="178"/>
      <c r="Q284" s="178"/>
      <c r="R284" s="166"/>
      <c r="S284" s="177"/>
      <c r="T284" s="234"/>
      <c r="U284" s="234"/>
      <c r="V284" s="234"/>
      <c r="W284" s="165"/>
      <c r="X284" s="165"/>
      <c r="Y284" s="165"/>
      <c r="Z284" s="165"/>
      <c r="AA284" s="165"/>
      <c r="AB284" s="253"/>
      <c r="AC284" s="2"/>
      <c r="AD284" s="253"/>
      <c r="AE284" s="253"/>
      <c r="AF284" s="253"/>
      <c r="AG284" s="253"/>
      <c r="AH284" s="253"/>
      <c r="AI284" s="2"/>
      <c r="AJ284" s="253"/>
      <c r="AK284" s="253"/>
      <c r="AL284" s="253"/>
      <c r="AM284" s="253"/>
      <c r="AN284" s="253"/>
      <c r="AO284" s="2"/>
      <c r="AP284" s="253"/>
      <c r="AQ284" s="253"/>
      <c r="AR284" s="253"/>
      <c r="AS284" s="253"/>
      <c r="AT284" s="253"/>
      <c r="AU284" s="2"/>
      <c r="AV284" s="253"/>
      <c r="AW284" s="253"/>
      <c r="AX284" s="253"/>
      <c r="AY284" s="253"/>
    </row>
    <row r="285" ht="15.75" customHeight="1">
      <c r="A285" s="2"/>
      <c r="B285" s="259"/>
      <c r="C285" s="163"/>
      <c r="D285" s="259"/>
      <c r="E285" s="166"/>
      <c r="F285" s="163"/>
      <c r="G285" s="166"/>
      <c r="H285" s="166"/>
      <c r="I285" s="260"/>
      <c r="J285" s="178"/>
      <c r="K285" s="166"/>
      <c r="L285" s="166"/>
      <c r="M285" s="166"/>
      <c r="N285" s="178"/>
      <c r="O285" s="178"/>
      <c r="P285" s="178"/>
      <c r="Q285" s="178"/>
      <c r="R285" s="166"/>
      <c r="S285" s="177"/>
      <c r="T285" s="234"/>
      <c r="U285" s="234"/>
      <c r="V285" s="234"/>
      <c r="W285" s="165"/>
      <c r="X285" s="165"/>
      <c r="Y285" s="165"/>
      <c r="Z285" s="165"/>
      <c r="AA285" s="165"/>
      <c r="AB285" s="253"/>
      <c r="AC285" s="2"/>
      <c r="AD285" s="253"/>
      <c r="AE285" s="253"/>
      <c r="AF285" s="253"/>
      <c r="AG285" s="253"/>
      <c r="AH285" s="253"/>
      <c r="AI285" s="2"/>
      <c r="AJ285" s="253"/>
      <c r="AK285" s="253"/>
      <c r="AL285" s="253"/>
      <c r="AM285" s="253"/>
      <c r="AN285" s="253"/>
      <c r="AO285" s="2"/>
      <c r="AP285" s="253"/>
      <c r="AQ285" s="253"/>
      <c r="AR285" s="253"/>
      <c r="AS285" s="253"/>
      <c r="AT285" s="253"/>
      <c r="AU285" s="2"/>
      <c r="AV285" s="253"/>
      <c r="AW285" s="253"/>
      <c r="AX285" s="253"/>
      <c r="AY285" s="253"/>
    </row>
    <row r="286" ht="15.75" customHeight="1">
      <c r="A286" s="2"/>
      <c r="B286" s="259"/>
      <c r="C286" s="163"/>
      <c r="D286" s="259"/>
      <c r="E286" s="166"/>
      <c r="F286" s="163"/>
      <c r="G286" s="166"/>
      <c r="H286" s="166"/>
      <c r="I286" s="260"/>
      <c r="J286" s="178"/>
      <c r="K286" s="166"/>
      <c r="L286" s="166"/>
      <c r="M286" s="166"/>
      <c r="N286" s="178"/>
      <c r="O286" s="178"/>
      <c r="P286" s="178"/>
      <c r="Q286" s="178"/>
      <c r="R286" s="166"/>
      <c r="S286" s="177"/>
      <c r="T286" s="234"/>
      <c r="U286" s="234"/>
      <c r="V286" s="234"/>
      <c r="W286" s="165"/>
      <c r="X286" s="165"/>
      <c r="Y286" s="165"/>
      <c r="Z286" s="165"/>
      <c r="AA286" s="165"/>
      <c r="AB286" s="253"/>
      <c r="AC286" s="2"/>
      <c r="AD286" s="253"/>
      <c r="AE286" s="253"/>
      <c r="AF286" s="253"/>
      <c r="AG286" s="253"/>
      <c r="AH286" s="253"/>
      <c r="AI286" s="2"/>
      <c r="AJ286" s="253"/>
      <c r="AK286" s="253"/>
      <c r="AL286" s="253"/>
      <c r="AM286" s="253"/>
      <c r="AN286" s="253"/>
      <c r="AO286" s="2"/>
      <c r="AP286" s="253"/>
      <c r="AQ286" s="253"/>
      <c r="AR286" s="253"/>
      <c r="AS286" s="253"/>
      <c r="AT286" s="253"/>
      <c r="AU286" s="2"/>
      <c r="AV286" s="253"/>
      <c r="AW286" s="253"/>
      <c r="AX286" s="253"/>
      <c r="AY286" s="253"/>
    </row>
    <row r="287" ht="15.75" customHeight="1">
      <c r="A287" s="2"/>
      <c r="B287" s="259"/>
      <c r="C287" s="163"/>
      <c r="D287" s="259"/>
      <c r="E287" s="166"/>
      <c r="F287" s="163"/>
      <c r="G287" s="166"/>
      <c r="H287" s="166"/>
      <c r="I287" s="260"/>
      <c r="J287" s="178"/>
      <c r="K287" s="166"/>
      <c r="L287" s="166"/>
      <c r="M287" s="166"/>
      <c r="N287" s="178"/>
      <c r="O287" s="178"/>
      <c r="P287" s="178"/>
      <c r="Q287" s="178"/>
      <c r="R287" s="166"/>
      <c r="S287" s="177"/>
      <c r="T287" s="234"/>
      <c r="U287" s="234"/>
      <c r="V287" s="234"/>
      <c r="W287" s="165"/>
      <c r="X287" s="165"/>
      <c r="Y287" s="165"/>
      <c r="Z287" s="165"/>
      <c r="AA287" s="165"/>
      <c r="AB287" s="253"/>
      <c r="AC287" s="2"/>
      <c r="AD287" s="253"/>
      <c r="AE287" s="253"/>
      <c r="AF287" s="253"/>
      <c r="AG287" s="253"/>
      <c r="AH287" s="253"/>
      <c r="AI287" s="2"/>
      <c r="AJ287" s="253"/>
      <c r="AK287" s="253"/>
      <c r="AL287" s="253"/>
      <c r="AM287" s="253"/>
      <c r="AN287" s="253"/>
      <c r="AO287" s="2"/>
      <c r="AP287" s="253"/>
      <c r="AQ287" s="253"/>
      <c r="AR287" s="253"/>
      <c r="AS287" s="253"/>
      <c r="AT287" s="253"/>
      <c r="AU287" s="2"/>
      <c r="AV287" s="253"/>
      <c r="AW287" s="253"/>
      <c r="AX287" s="253"/>
      <c r="AY287" s="253"/>
    </row>
    <row r="288" ht="15.75" customHeight="1">
      <c r="A288" s="2"/>
      <c r="B288" s="259"/>
      <c r="C288" s="163"/>
      <c r="D288" s="259"/>
      <c r="E288" s="166"/>
      <c r="F288" s="163"/>
      <c r="G288" s="166"/>
      <c r="H288" s="166"/>
      <c r="I288" s="260"/>
      <c r="J288" s="178"/>
      <c r="K288" s="166"/>
      <c r="L288" s="166"/>
      <c r="M288" s="166"/>
      <c r="N288" s="178"/>
      <c r="O288" s="178"/>
      <c r="P288" s="178"/>
      <c r="Q288" s="178"/>
      <c r="R288" s="166"/>
      <c r="S288" s="177"/>
      <c r="T288" s="234"/>
      <c r="U288" s="234"/>
      <c r="V288" s="234"/>
      <c r="W288" s="165"/>
      <c r="X288" s="165"/>
      <c r="Y288" s="165"/>
      <c r="Z288" s="165"/>
      <c r="AA288" s="165"/>
      <c r="AB288" s="253"/>
      <c r="AC288" s="2"/>
      <c r="AD288" s="253"/>
      <c r="AE288" s="253"/>
      <c r="AF288" s="253"/>
      <c r="AG288" s="253"/>
      <c r="AH288" s="253"/>
      <c r="AI288" s="2"/>
      <c r="AJ288" s="253"/>
      <c r="AK288" s="253"/>
      <c r="AL288" s="253"/>
      <c r="AM288" s="253"/>
      <c r="AN288" s="253"/>
      <c r="AO288" s="2"/>
      <c r="AP288" s="253"/>
      <c r="AQ288" s="253"/>
      <c r="AR288" s="253"/>
      <c r="AS288" s="253"/>
      <c r="AT288" s="253"/>
      <c r="AU288" s="2"/>
      <c r="AV288" s="253"/>
      <c r="AW288" s="253"/>
      <c r="AX288" s="253"/>
      <c r="AY288" s="253"/>
    </row>
    <row r="289" ht="15.75" customHeight="1">
      <c r="A289" s="2"/>
      <c r="B289" s="259"/>
      <c r="C289" s="163"/>
      <c r="D289" s="259"/>
      <c r="E289" s="166"/>
      <c r="F289" s="163"/>
      <c r="G289" s="166"/>
      <c r="H289" s="166"/>
      <c r="I289" s="260"/>
      <c r="J289" s="178"/>
      <c r="K289" s="166"/>
      <c r="L289" s="166"/>
      <c r="M289" s="166"/>
      <c r="N289" s="178"/>
      <c r="O289" s="178"/>
      <c r="P289" s="178"/>
      <c r="Q289" s="178"/>
      <c r="R289" s="166"/>
      <c r="S289" s="177"/>
      <c r="T289" s="234"/>
      <c r="U289" s="234"/>
      <c r="V289" s="234"/>
      <c r="W289" s="165"/>
      <c r="X289" s="165"/>
      <c r="Y289" s="165"/>
      <c r="Z289" s="165"/>
      <c r="AA289" s="165"/>
      <c r="AB289" s="253"/>
      <c r="AC289" s="2"/>
      <c r="AD289" s="253"/>
      <c r="AE289" s="253"/>
      <c r="AF289" s="253"/>
      <c r="AG289" s="253"/>
      <c r="AH289" s="253"/>
      <c r="AI289" s="2"/>
      <c r="AJ289" s="253"/>
      <c r="AK289" s="253"/>
      <c r="AL289" s="253"/>
      <c r="AM289" s="253"/>
      <c r="AN289" s="253"/>
      <c r="AO289" s="2"/>
      <c r="AP289" s="253"/>
      <c r="AQ289" s="253"/>
      <c r="AR289" s="253"/>
      <c r="AS289" s="253"/>
      <c r="AT289" s="253"/>
      <c r="AU289" s="2"/>
      <c r="AV289" s="253"/>
      <c r="AW289" s="253"/>
      <c r="AX289" s="253"/>
      <c r="AY289" s="253"/>
    </row>
    <row r="290" ht="15.75" customHeight="1">
      <c r="A290" s="2"/>
      <c r="B290" s="259"/>
      <c r="C290" s="163"/>
      <c r="D290" s="259"/>
      <c r="E290" s="166"/>
      <c r="F290" s="163"/>
      <c r="G290" s="166"/>
      <c r="H290" s="166"/>
      <c r="I290" s="260"/>
      <c r="J290" s="178"/>
      <c r="K290" s="166"/>
      <c r="L290" s="166"/>
      <c r="M290" s="166"/>
      <c r="N290" s="178"/>
      <c r="O290" s="178"/>
      <c r="P290" s="178"/>
      <c r="Q290" s="178"/>
      <c r="R290" s="166"/>
      <c r="S290" s="177"/>
      <c r="T290" s="234"/>
      <c r="U290" s="234"/>
      <c r="V290" s="234"/>
      <c r="W290" s="165"/>
      <c r="X290" s="165"/>
      <c r="Y290" s="165"/>
      <c r="Z290" s="165"/>
      <c r="AA290" s="165"/>
      <c r="AB290" s="253"/>
      <c r="AC290" s="2"/>
      <c r="AD290" s="253"/>
      <c r="AE290" s="253"/>
      <c r="AF290" s="253"/>
      <c r="AG290" s="253"/>
      <c r="AH290" s="253"/>
      <c r="AI290" s="2"/>
      <c r="AJ290" s="253"/>
      <c r="AK290" s="253"/>
      <c r="AL290" s="253"/>
      <c r="AM290" s="253"/>
      <c r="AN290" s="253"/>
      <c r="AO290" s="2"/>
      <c r="AP290" s="253"/>
      <c r="AQ290" s="253"/>
      <c r="AR290" s="253"/>
      <c r="AS290" s="253"/>
      <c r="AT290" s="253"/>
      <c r="AU290" s="2"/>
      <c r="AV290" s="253"/>
      <c r="AW290" s="253"/>
      <c r="AX290" s="253"/>
      <c r="AY290" s="253"/>
    </row>
    <row r="291" ht="15.75" customHeight="1">
      <c r="A291" s="2"/>
      <c r="B291" s="259"/>
      <c r="C291" s="163"/>
      <c r="D291" s="259"/>
      <c r="E291" s="166"/>
      <c r="F291" s="163"/>
      <c r="G291" s="166"/>
      <c r="H291" s="166"/>
      <c r="I291" s="260"/>
      <c r="J291" s="178"/>
      <c r="K291" s="166"/>
      <c r="L291" s="166"/>
      <c r="M291" s="166"/>
      <c r="N291" s="178"/>
      <c r="O291" s="178"/>
      <c r="P291" s="178"/>
      <c r="Q291" s="178"/>
      <c r="R291" s="166"/>
      <c r="S291" s="177"/>
      <c r="T291" s="234"/>
      <c r="U291" s="234"/>
      <c r="V291" s="234"/>
      <c r="W291" s="165"/>
      <c r="X291" s="165"/>
      <c r="Y291" s="165"/>
      <c r="Z291" s="165"/>
      <c r="AA291" s="165"/>
      <c r="AB291" s="253"/>
      <c r="AC291" s="2"/>
      <c r="AD291" s="253"/>
      <c r="AE291" s="253"/>
      <c r="AF291" s="253"/>
      <c r="AG291" s="253"/>
      <c r="AH291" s="253"/>
      <c r="AI291" s="2"/>
      <c r="AJ291" s="253"/>
      <c r="AK291" s="253"/>
      <c r="AL291" s="253"/>
      <c r="AM291" s="253"/>
      <c r="AN291" s="253"/>
      <c r="AO291" s="2"/>
      <c r="AP291" s="253"/>
      <c r="AQ291" s="253"/>
      <c r="AR291" s="253"/>
      <c r="AS291" s="253"/>
      <c r="AT291" s="253"/>
      <c r="AU291" s="2"/>
      <c r="AV291" s="253"/>
      <c r="AW291" s="253"/>
      <c r="AX291" s="253"/>
      <c r="AY291" s="253"/>
    </row>
    <row r="292" ht="15.75" customHeight="1">
      <c r="A292" s="2"/>
      <c r="B292" s="259"/>
      <c r="C292" s="163"/>
      <c r="D292" s="259"/>
      <c r="E292" s="166"/>
      <c r="F292" s="163"/>
      <c r="G292" s="166"/>
      <c r="H292" s="166"/>
      <c r="I292" s="260"/>
      <c r="J292" s="178"/>
      <c r="K292" s="166"/>
      <c r="L292" s="166"/>
      <c r="M292" s="166"/>
      <c r="N292" s="178"/>
      <c r="O292" s="178"/>
      <c r="P292" s="178"/>
      <c r="Q292" s="178"/>
      <c r="R292" s="166"/>
      <c r="S292" s="177"/>
      <c r="T292" s="234"/>
      <c r="U292" s="234"/>
      <c r="V292" s="234"/>
      <c r="W292" s="165"/>
      <c r="X292" s="165"/>
      <c r="Y292" s="165"/>
      <c r="Z292" s="165"/>
      <c r="AA292" s="165"/>
      <c r="AB292" s="253"/>
      <c r="AC292" s="2"/>
      <c r="AD292" s="253"/>
      <c r="AE292" s="253"/>
      <c r="AF292" s="253"/>
      <c r="AG292" s="253"/>
      <c r="AH292" s="253"/>
      <c r="AI292" s="2"/>
      <c r="AJ292" s="253"/>
      <c r="AK292" s="253"/>
      <c r="AL292" s="253"/>
      <c r="AM292" s="253"/>
      <c r="AN292" s="253"/>
      <c r="AO292" s="2"/>
      <c r="AP292" s="253"/>
      <c r="AQ292" s="253"/>
      <c r="AR292" s="253"/>
      <c r="AS292" s="253"/>
      <c r="AT292" s="253"/>
      <c r="AU292" s="2"/>
      <c r="AV292" s="253"/>
      <c r="AW292" s="253"/>
      <c r="AX292" s="253"/>
      <c r="AY292" s="253"/>
    </row>
    <row r="293" ht="15.75" customHeight="1">
      <c r="A293" s="2"/>
      <c r="B293" s="259"/>
      <c r="C293" s="163"/>
      <c r="D293" s="259"/>
      <c r="E293" s="166"/>
      <c r="F293" s="163"/>
      <c r="G293" s="166"/>
      <c r="H293" s="166"/>
      <c r="I293" s="260"/>
      <c r="J293" s="178"/>
      <c r="K293" s="166"/>
      <c r="L293" s="166"/>
      <c r="M293" s="166"/>
      <c r="N293" s="178"/>
      <c r="O293" s="178"/>
      <c r="P293" s="178"/>
      <c r="Q293" s="178"/>
      <c r="R293" s="166"/>
      <c r="S293" s="177"/>
      <c r="T293" s="234"/>
      <c r="U293" s="234"/>
      <c r="V293" s="234"/>
      <c r="W293" s="165"/>
      <c r="X293" s="165"/>
      <c r="Y293" s="165"/>
      <c r="Z293" s="165"/>
      <c r="AA293" s="165"/>
      <c r="AB293" s="253"/>
      <c r="AC293" s="2"/>
      <c r="AD293" s="253"/>
      <c r="AE293" s="253"/>
      <c r="AF293" s="253"/>
      <c r="AG293" s="253"/>
      <c r="AH293" s="253"/>
      <c r="AI293" s="2"/>
      <c r="AJ293" s="253"/>
      <c r="AK293" s="253"/>
      <c r="AL293" s="253"/>
      <c r="AM293" s="253"/>
      <c r="AN293" s="253"/>
      <c r="AO293" s="2"/>
      <c r="AP293" s="253"/>
      <c r="AQ293" s="253"/>
      <c r="AR293" s="253"/>
      <c r="AS293" s="253"/>
      <c r="AT293" s="253"/>
      <c r="AU293" s="2"/>
      <c r="AV293" s="253"/>
      <c r="AW293" s="253"/>
      <c r="AX293" s="253"/>
      <c r="AY293" s="253"/>
    </row>
    <row r="294" ht="15.75" customHeight="1">
      <c r="A294" s="2"/>
      <c r="B294" s="259"/>
      <c r="C294" s="163"/>
      <c r="D294" s="259"/>
      <c r="E294" s="166"/>
      <c r="F294" s="163"/>
      <c r="G294" s="166"/>
      <c r="H294" s="166"/>
      <c r="I294" s="260"/>
      <c r="J294" s="178"/>
      <c r="K294" s="166"/>
      <c r="L294" s="166"/>
      <c r="M294" s="166"/>
      <c r="N294" s="178"/>
      <c r="O294" s="178"/>
      <c r="P294" s="178"/>
      <c r="Q294" s="178"/>
      <c r="R294" s="166"/>
      <c r="S294" s="177"/>
      <c r="T294" s="234"/>
      <c r="U294" s="234"/>
      <c r="V294" s="234"/>
      <c r="W294" s="165"/>
      <c r="X294" s="165"/>
      <c r="Y294" s="165"/>
      <c r="Z294" s="165"/>
      <c r="AA294" s="165"/>
      <c r="AB294" s="253"/>
      <c r="AC294" s="2"/>
      <c r="AD294" s="253"/>
      <c r="AE294" s="253"/>
      <c r="AF294" s="253"/>
      <c r="AG294" s="253"/>
      <c r="AH294" s="253"/>
      <c r="AI294" s="2"/>
      <c r="AJ294" s="253"/>
      <c r="AK294" s="253"/>
      <c r="AL294" s="253"/>
      <c r="AM294" s="253"/>
      <c r="AN294" s="253"/>
      <c r="AO294" s="2"/>
      <c r="AP294" s="253"/>
      <c r="AQ294" s="253"/>
      <c r="AR294" s="253"/>
      <c r="AS294" s="253"/>
      <c r="AT294" s="253"/>
      <c r="AU294" s="2"/>
      <c r="AV294" s="253"/>
      <c r="AW294" s="253"/>
      <c r="AX294" s="253"/>
      <c r="AY294" s="253"/>
    </row>
    <row r="295" ht="15.75" customHeight="1">
      <c r="A295" s="2"/>
      <c r="B295" s="259"/>
      <c r="C295" s="163"/>
      <c r="D295" s="259"/>
      <c r="E295" s="166"/>
      <c r="F295" s="163"/>
      <c r="G295" s="166"/>
      <c r="H295" s="166"/>
      <c r="I295" s="260"/>
      <c r="J295" s="178"/>
      <c r="K295" s="166"/>
      <c r="L295" s="166"/>
      <c r="M295" s="166"/>
      <c r="N295" s="178"/>
      <c r="O295" s="178"/>
      <c r="P295" s="178"/>
      <c r="Q295" s="178"/>
      <c r="R295" s="166"/>
      <c r="S295" s="177"/>
      <c r="T295" s="234"/>
      <c r="U295" s="234"/>
      <c r="V295" s="234"/>
      <c r="W295" s="165"/>
      <c r="X295" s="165"/>
      <c r="Y295" s="165"/>
      <c r="Z295" s="165"/>
      <c r="AA295" s="165"/>
      <c r="AB295" s="253"/>
      <c r="AC295" s="2"/>
      <c r="AD295" s="253"/>
      <c r="AE295" s="253"/>
      <c r="AF295" s="253"/>
      <c r="AG295" s="253"/>
      <c r="AH295" s="253"/>
      <c r="AI295" s="2"/>
      <c r="AJ295" s="253"/>
      <c r="AK295" s="253"/>
      <c r="AL295" s="253"/>
      <c r="AM295" s="253"/>
      <c r="AN295" s="253"/>
      <c r="AO295" s="2"/>
      <c r="AP295" s="253"/>
      <c r="AQ295" s="253"/>
      <c r="AR295" s="253"/>
      <c r="AS295" s="253"/>
      <c r="AT295" s="253"/>
      <c r="AU295" s="2"/>
      <c r="AV295" s="253"/>
      <c r="AW295" s="253"/>
      <c r="AX295" s="253"/>
      <c r="AY295" s="253"/>
    </row>
    <row r="296" ht="15.75" customHeight="1">
      <c r="A296" s="2"/>
      <c r="B296" s="259"/>
      <c r="C296" s="163"/>
      <c r="D296" s="259"/>
      <c r="E296" s="166"/>
      <c r="F296" s="163"/>
      <c r="G296" s="166"/>
      <c r="H296" s="166"/>
      <c r="I296" s="260"/>
      <c r="J296" s="178"/>
      <c r="K296" s="166"/>
      <c r="L296" s="166"/>
      <c r="M296" s="166"/>
      <c r="N296" s="178"/>
      <c r="O296" s="178"/>
      <c r="P296" s="178"/>
      <c r="Q296" s="178"/>
      <c r="R296" s="166"/>
      <c r="S296" s="177"/>
      <c r="T296" s="234"/>
      <c r="U296" s="234"/>
      <c r="V296" s="234"/>
      <c r="W296" s="165"/>
      <c r="X296" s="165"/>
      <c r="Y296" s="165"/>
      <c r="Z296" s="165"/>
      <c r="AA296" s="165"/>
      <c r="AB296" s="253"/>
      <c r="AC296" s="2"/>
      <c r="AD296" s="253"/>
      <c r="AE296" s="253"/>
      <c r="AF296" s="253"/>
      <c r="AG296" s="253"/>
      <c r="AH296" s="253"/>
      <c r="AI296" s="2"/>
      <c r="AJ296" s="253"/>
      <c r="AK296" s="253"/>
      <c r="AL296" s="253"/>
      <c r="AM296" s="253"/>
      <c r="AN296" s="253"/>
      <c r="AO296" s="2"/>
      <c r="AP296" s="253"/>
      <c r="AQ296" s="253"/>
      <c r="AR296" s="253"/>
      <c r="AS296" s="253"/>
      <c r="AT296" s="253"/>
      <c r="AU296" s="2"/>
      <c r="AV296" s="253"/>
      <c r="AW296" s="253"/>
      <c r="AX296" s="253"/>
      <c r="AY296" s="253"/>
    </row>
    <row r="297" ht="15.75" customHeight="1">
      <c r="A297" s="2"/>
      <c r="B297" s="259"/>
      <c r="C297" s="163"/>
      <c r="D297" s="259"/>
      <c r="E297" s="166"/>
      <c r="F297" s="163"/>
      <c r="G297" s="166"/>
      <c r="H297" s="166"/>
      <c r="I297" s="260"/>
      <c r="J297" s="178"/>
      <c r="K297" s="166"/>
      <c r="L297" s="166"/>
      <c r="M297" s="166"/>
      <c r="N297" s="178"/>
      <c r="O297" s="178"/>
      <c r="P297" s="178"/>
      <c r="Q297" s="178"/>
      <c r="R297" s="166"/>
      <c r="S297" s="177"/>
      <c r="T297" s="234"/>
      <c r="U297" s="234"/>
      <c r="V297" s="234"/>
      <c r="W297" s="165"/>
      <c r="X297" s="165"/>
      <c r="Y297" s="165"/>
      <c r="Z297" s="165"/>
      <c r="AA297" s="165"/>
      <c r="AB297" s="253"/>
      <c r="AC297" s="2"/>
      <c r="AD297" s="253"/>
      <c r="AE297" s="253"/>
      <c r="AF297" s="253"/>
      <c r="AG297" s="253"/>
      <c r="AH297" s="253"/>
      <c r="AI297" s="2"/>
      <c r="AJ297" s="253"/>
      <c r="AK297" s="253"/>
      <c r="AL297" s="253"/>
      <c r="AM297" s="253"/>
      <c r="AN297" s="253"/>
      <c r="AO297" s="2"/>
      <c r="AP297" s="253"/>
      <c r="AQ297" s="253"/>
      <c r="AR297" s="253"/>
      <c r="AS297" s="253"/>
      <c r="AT297" s="253"/>
      <c r="AU297" s="2"/>
      <c r="AV297" s="253"/>
      <c r="AW297" s="253"/>
      <c r="AX297" s="253"/>
      <c r="AY297" s="253"/>
    </row>
    <row r="298" ht="15.75" customHeight="1">
      <c r="A298" s="2"/>
      <c r="B298" s="259"/>
      <c r="C298" s="163"/>
      <c r="D298" s="259"/>
      <c r="E298" s="166"/>
      <c r="F298" s="163"/>
      <c r="G298" s="166"/>
      <c r="H298" s="166"/>
      <c r="I298" s="260"/>
      <c r="J298" s="178"/>
      <c r="K298" s="166"/>
      <c r="L298" s="166"/>
      <c r="M298" s="166"/>
      <c r="N298" s="178"/>
      <c r="O298" s="178"/>
      <c r="P298" s="178"/>
      <c r="Q298" s="178"/>
      <c r="R298" s="166"/>
      <c r="S298" s="177"/>
      <c r="T298" s="234"/>
      <c r="U298" s="234"/>
      <c r="V298" s="234"/>
      <c r="W298" s="165"/>
      <c r="X298" s="165"/>
      <c r="Y298" s="165"/>
      <c r="Z298" s="165"/>
      <c r="AA298" s="165"/>
      <c r="AB298" s="253"/>
      <c r="AC298" s="2"/>
      <c r="AD298" s="253"/>
      <c r="AE298" s="253"/>
      <c r="AF298" s="253"/>
      <c r="AG298" s="253"/>
      <c r="AH298" s="253"/>
      <c r="AI298" s="2"/>
      <c r="AJ298" s="253"/>
      <c r="AK298" s="253"/>
      <c r="AL298" s="253"/>
      <c r="AM298" s="253"/>
      <c r="AN298" s="253"/>
      <c r="AO298" s="2"/>
      <c r="AP298" s="253"/>
      <c r="AQ298" s="253"/>
      <c r="AR298" s="253"/>
      <c r="AS298" s="253"/>
      <c r="AT298" s="253"/>
      <c r="AU298" s="2"/>
      <c r="AV298" s="253"/>
      <c r="AW298" s="253"/>
      <c r="AX298" s="253"/>
      <c r="AY298" s="253"/>
    </row>
    <row r="299" ht="15.75" customHeight="1">
      <c r="A299" s="2"/>
      <c r="B299" s="259"/>
      <c r="C299" s="163"/>
      <c r="D299" s="259"/>
      <c r="E299" s="166"/>
      <c r="F299" s="163"/>
      <c r="G299" s="166"/>
      <c r="H299" s="166"/>
      <c r="I299" s="260"/>
      <c r="J299" s="178"/>
      <c r="K299" s="166"/>
      <c r="L299" s="166"/>
      <c r="M299" s="166"/>
      <c r="N299" s="178"/>
      <c r="O299" s="178"/>
      <c r="P299" s="178"/>
      <c r="Q299" s="178"/>
      <c r="R299" s="166"/>
      <c r="S299" s="177"/>
      <c r="T299" s="234"/>
      <c r="U299" s="234"/>
      <c r="V299" s="234"/>
      <c r="W299" s="165"/>
      <c r="X299" s="165"/>
      <c r="Y299" s="165"/>
      <c r="Z299" s="165"/>
      <c r="AA299" s="165"/>
      <c r="AB299" s="253"/>
      <c r="AC299" s="2"/>
      <c r="AD299" s="253"/>
      <c r="AE299" s="253"/>
      <c r="AF299" s="253"/>
      <c r="AG299" s="253"/>
      <c r="AH299" s="253"/>
      <c r="AI299" s="2"/>
      <c r="AJ299" s="253"/>
      <c r="AK299" s="253"/>
      <c r="AL299" s="253"/>
      <c r="AM299" s="253"/>
      <c r="AN299" s="253"/>
      <c r="AO299" s="2"/>
      <c r="AP299" s="253"/>
      <c r="AQ299" s="253"/>
      <c r="AR299" s="253"/>
      <c r="AS299" s="253"/>
      <c r="AT299" s="253"/>
      <c r="AU299" s="2"/>
      <c r="AV299" s="253"/>
      <c r="AW299" s="253"/>
      <c r="AX299" s="253"/>
      <c r="AY299" s="253"/>
    </row>
    <row r="300" ht="15.75" customHeight="1">
      <c r="A300" s="2"/>
      <c r="B300" s="259"/>
      <c r="C300" s="163"/>
      <c r="D300" s="259"/>
      <c r="E300" s="166"/>
      <c r="F300" s="163"/>
      <c r="G300" s="166"/>
      <c r="H300" s="166"/>
      <c r="I300" s="260"/>
      <c r="J300" s="178"/>
      <c r="K300" s="166"/>
      <c r="L300" s="166"/>
      <c r="M300" s="166"/>
      <c r="N300" s="178"/>
      <c r="O300" s="178"/>
      <c r="P300" s="178"/>
      <c r="Q300" s="178"/>
      <c r="R300" s="166"/>
      <c r="S300" s="177"/>
      <c r="T300" s="234"/>
      <c r="U300" s="234"/>
      <c r="V300" s="234"/>
      <c r="W300" s="165"/>
      <c r="X300" s="165"/>
      <c r="Y300" s="165"/>
      <c r="Z300" s="165"/>
      <c r="AA300" s="165"/>
      <c r="AB300" s="253"/>
      <c r="AC300" s="2"/>
      <c r="AD300" s="253"/>
      <c r="AE300" s="253"/>
      <c r="AF300" s="253"/>
      <c r="AG300" s="253"/>
      <c r="AH300" s="253"/>
      <c r="AI300" s="2"/>
      <c r="AJ300" s="253"/>
      <c r="AK300" s="253"/>
      <c r="AL300" s="253"/>
      <c r="AM300" s="253"/>
      <c r="AN300" s="253"/>
      <c r="AO300" s="2"/>
      <c r="AP300" s="253"/>
      <c r="AQ300" s="253"/>
      <c r="AR300" s="253"/>
      <c r="AS300" s="253"/>
      <c r="AT300" s="253"/>
      <c r="AU300" s="2"/>
      <c r="AV300" s="253"/>
      <c r="AW300" s="253"/>
      <c r="AX300" s="253"/>
      <c r="AY300" s="253"/>
    </row>
    <row r="301" ht="15.75" customHeight="1">
      <c r="A301" s="2"/>
      <c r="B301" s="259"/>
      <c r="C301" s="163"/>
      <c r="D301" s="262"/>
      <c r="E301" s="166"/>
      <c r="F301" s="163"/>
      <c r="G301" s="166"/>
      <c r="H301" s="166"/>
      <c r="I301" s="260"/>
      <c r="J301" s="178"/>
      <c r="K301" s="166"/>
      <c r="L301" s="166"/>
      <c r="M301" s="166"/>
      <c r="N301" s="178"/>
      <c r="O301" s="178"/>
      <c r="P301" s="178"/>
      <c r="Q301" s="178"/>
      <c r="R301" s="166"/>
      <c r="S301" s="177"/>
      <c r="T301" s="234"/>
      <c r="U301" s="234"/>
      <c r="V301" s="234"/>
      <c r="W301" s="165"/>
      <c r="X301" s="165"/>
      <c r="Y301" s="165"/>
      <c r="Z301" s="165"/>
      <c r="AA301" s="165"/>
      <c r="AB301" s="253"/>
      <c r="AC301" s="2"/>
      <c r="AD301" s="253"/>
      <c r="AE301" s="253"/>
      <c r="AF301" s="253"/>
      <c r="AG301" s="253"/>
      <c r="AH301" s="253"/>
      <c r="AI301" s="2"/>
      <c r="AJ301" s="253"/>
      <c r="AK301" s="253"/>
      <c r="AL301" s="253"/>
      <c r="AM301" s="253"/>
      <c r="AN301" s="253"/>
      <c r="AO301" s="2"/>
      <c r="AP301" s="253"/>
      <c r="AQ301" s="253"/>
      <c r="AR301" s="253"/>
      <c r="AS301" s="253"/>
      <c r="AT301" s="253"/>
      <c r="AU301" s="2"/>
      <c r="AV301" s="253"/>
      <c r="AW301" s="253"/>
      <c r="AX301" s="253"/>
      <c r="AY301" s="253"/>
    </row>
    <row r="302" ht="15.75" customHeight="1">
      <c r="A302" s="2"/>
      <c r="B302" s="259"/>
      <c r="C302" s="163"/>
      <c r="D302" s="259"/>
      <c r="E302" s="166"/>
      <c r="F302" s="163"/>
      <c r="G302" s="166"/>
      <c r="H302" s="166"/>
      <c r="I302" s="260"/>
      <c r="J302" s="178"/>
      <c r="K302" s="166"/>
      <c r="L302" s="166"/>
      <c r="M302" s="166"/>
      <c r="N302" s="178"/>
      <c r="O302" s="178"/>
      <c r="P302" s="178"/>
      <c r="Q302" s="178"/>
      <c r="R302" s="166"/>
      <c r="S302" s="177"/>
      <c r="T302" s="234"/>
      <c r="U302" s="234"/>
      <c r="V302" s="234"/>
      <c r="W302" s="165"/>
      <c r="X302" s="165"/>
      <c r="Y302" s="165"/>
      <c r="Z302" s="165"/>
      <c r="AA302" s="165"/>
      <c r="AB302" s="253"/>
      <c r="AC302" s="2"/>
      <c r="AD302" s="253"/>
      <c r="AE302" s="253"/>
      <c r="AF302" s="253"/>
      <c r="AG302" s="253"/>
      <c r="AH302" s="253"/>
      <c r="AI302" s="2"/>
      <c r="AJ302" s="253"/>
      <c r="AK302" s="253"/>
      <c r="AL302" s="253"/>
      <c r="AM302" s="253"/>
      <c r="AN302" s="253"/>
      <c r="AO302" s="2"/>
      <c r="AP302" s="253"/>
      <c r="AQ302" s="253"/>
      <c r="AR302" s="253"/>
      <c r="AS302" s="253"/>
      <c r="AT302" s="253"/>
      <c r="AU302" s="2"/>
      <c r="AV302" s="253"/>
      <c r="AW302" s="253"/>
      <c r="AX302" s="253"/>
      <c r="AY302" s="253"/>
    </row>
    <row r="303" ht="15.75" customHeight="1">
      <c r="A303" s="2"/>
      <c r="B303" s="259"/>
      <c r="C303" s="163"/>
      <c r="D303" s="259"/>
      <c r="E303" s="166"/>
      <c r="F303" s="163"/>
      <c r="G303" s="166"/>
      <c r="H303" s="166"/>
      <c r="I303" s="260"/>
      <c r="J303" s="178"/>
      <c r="K303" s="166"/>
      <c r="L303" s="166"/>
      <c r="M303" s="166"/>
      <c r="N303" s="178"/>
      <c r="O303" s="178"/>
      <c r="P303" s="178"/>
      <c r="Q303" s="178"/>
      <c r="R303" s="166"/>
      <c r="S303" s="177"/>
      <c r="T303" s="234"/>
      <c r="U303" s="234"/>
      <c r="V303" s="234"/>
      <c r="W303" s="165"/>
      <c r="X303" s="165"/>
      <c r="Y303" s="165"/>
      <c r="Z303" s="165"/>
      <c r="AA303" s="165"/>
      <c r="AB303" s="253"/>
      <c r="AC303" s="2"/>
      <c r="AD303" s="253"/>
      <c r="AE303" s="253"/>
      <c r="AF303" s="253"/>
      <c r="AG303" s="253"/>
      <c r="AH303" s="253"/>
      <c r="AI303" s="2"/>
      <c r="AJ303" s="253"/>
      <c r="AK303" s="253"/>
      <c r="AL303" s="253"/>
      <c r="AM303" s="253"/>
      <c r="AN303" s="253"/>
      <c r="AO303" s="2"/>
      <c r="AP303" s="253"/>
      <c r="AQ303" s="253"/>
      <c r="AR303" s="253"/>
      <c r="AS303" s="253"/>
      <c r="AT303" s="253"/>
      <c r="AU303" s="2"/>
      <c r="AV303" s="253"/>
      <c r="AW303" s="253"/>
      <c r="AX303" s="253"/>
      <c r="AY303" s="253"/>
    </row>
    <row r="304" ht="15.75" customHeight="1">
      <c r="A304" s="2"/>
      <c r="B304" s="259"/>
      <c r="C304" s="163"/>
      <c r="D304" s="259"/>
      <c r="E304" s="166"/>
      <c r="F304" s="163"/>
      <c r="G304" s="166"/>
      <c r="H304" s="166"/>
      <c r="I304" s="260"/>
      <c r="J304" s="178"/>
      <c r="K304" s="166"/>
      <c r="L304" s="166"/>
      <c r="M304" s="166"/>
      <c r="N304" s="178"/>
      <c r="O304" s="178"/>
      <c r="P304" s="178"/>
      <c r="Q304" s="178"/>
      <c r="R304" s="166"/>
      <c r="S304" s="177"/>
      <c r="T304" s="234"/>
      <c r="U304" s="234"/>
      <c r="V304" s="234"/>
      <c r="W304" s="165"/>
      <c r="X304" s="165"/>
      <c r="Y304" s="165"/>
      <c r="Z304" s="165"/>
      <c r="AA304" s="165"/>
      <c r="AB304" s="253"/>
      <c r="AC304" s="2"/>
      <c r="AD304" s="253"/>
      <c r="AE304" s="253"/>
      <c r="AF304" s="253"/>
      <c r="AG304" s="253"/>
      <c r="AH304" s="253"/>
      <c r="AI304" s="2"/>
      <c r="AJ304" s="253"/>
      <c r="AK304" s="253"/>
      <c r="AL304" s="253"/>
      <c r="AM304" s="253"/>
      <c r="AN304" s="253"/>
      <c r="AO304" s="2"/>
      <c r="AP304" s="253"/>
      <c r="AQ304" s="253"/>
      <c r="AR304" s="253"/>
      <c r="AS304" s="253"/>
      <c r="AT304" s="253"/>
      <c r="AU304" s="2"/>
      <c r="AV304" s="253"/>
      <c r="AW304" s="253"/>
      <c r="AX304" s="253"/>
      <c r="AY304" s="253"/>
    </row>
    <row r="305" ht="15.75" customHeight="1">
      <c r="A305" s="2"/>
      <c r="B305" s="259"/>
      <c r="C305" s="163"/>
      <c r="D305" s="259"/>
      <c r="E305" s="166"/>
      <c r="F305" s="163"/>
      <c r="G305" s="166"/>
      <c r="H305" s="166"/>
      <c r="I305" s="260"/>
      <c r="J305" s="178"/>
      <c r="K305" s="166"/>
      <c r="L305" s="166"/>
      <c r="M305" s="166"/>
      <c r="N305" s="178"/>
      <c r="O305" s="178"/>
      <c r="P305" s="178"/>
      <c r="Q305" s="178"/>
      <c r="R305" s="166"/>
      <c r="S305" s="177"/>
      <c r="T305" s="234"/>
      <c r="U305" s="234"/>
      <c r="V305" s="234"/>
      <c r="W305" s="165"/>
      <c r="X305" s="165"/>
      <c r="Y305" s="165"/>
      <c r="Z305" s="165"/>
      <c r="AA305" s="165"/>
      <c r="AB305" s="253"/>
      <c r="AC305" s="2"/>
      <c r="AD305" s="253"/>
      <c r="AE305" s="253"/>
      <c r="AF305" s="253"/>
      <c r="AG305" s="253"/>
      <c r="AH305" s="253"/>
      <c r="AI305" s="2"/>
      <c r="AJ305" s="253"/>
      <c r="AK305" s="253"/>
      <c r="AL305" s="253"/>
      <c r="AM305" s="253"/>
      <c r="AN305" s="253"/>
      <c r="AO305" s="2"/>
      <c r="AP305" s="253"/>
      <c r="AQ305" s="253"/>
      <c r="AR305" s="253"/>
      <c r="AS305" s="253"/>
      <c r="AT305" s="253"/>
      <c r="AU305" s="2"/>
      <c r="AV305" s="253"/>
      <c r="AW305" s="253"/>
      <c r="AX305" s="253"/>
      <c r="AY305" s="253"/>
    </row>
    <row r="306" ht="15.75" customHeight="1">
      <c r="A306" s="2"/>
      <c r="B306" s="259"/>
      <c r="C306" s="163"/>
      <c r="D306" s="259"/>
      <c r="E306" s="166"/>
      <c r="F306" s="163"/>
      <c r="G306" s="166"/>
      <c r="H306" s="166"/>
      <c r="I306" s="260"/>
      <c r="J306" s="178"/>
      <c r="K306" s="166"/>
      <c r="L306" s="166"/>
      <c r="M306" s="166"/>
      <c r="N306" s="178"/>
      <c r="O306" s="178"/>
      <c r="P306" s="178"/>
      <c r="Q306" s="178"/>
      <c r="R306" s="166"/>
      <c r="S306" s="177"/>
      <c r="T306" s="234"/>
      <c r="U306" s="234"/>
      <c r="V306" s="234"/>
      <c r="W306" s="165"/>
      <c r="X306" s="165"/>
      <c r="Y306" s="165"/>
      <c r="Z306" s="165"/>
      <c r="AA306" s="165"/>
      <c r="AB306" s="253"/>
      <c r="AC306" s="2"/>
      <c r="AD306" s="253"/>
      <c r="AE306" s="253"/>
      <c r="AF306" s="253"/>
      <c r="AG306" s="253"/>
      <c r="AH306" s="253"/>
      <c r="AI306" s="2"/>
      <c r="AJ306" s="253"/>
      <c r="AK306" s="253"/>
      <c r="AL306" s="253"/>
      <c r="AM306" s="253"/>
      <c r="AN306" s="253"/>
      <c r="AO306" s="2"/>
      <c r="AP306" s="253"/>
      <c r="AQ306" s="253"/>
      <c r="AR306" s="253"/>
      <c r="AS306" s="253"/>
      <c r="AT306" s="253"/>
      <c r="AU306" s="2"/>
      <c r="AV306" s="253"/>
      <c r="AW306" s="253"/>
      <c r="AX306" s="253"/>
      <c r="AY306" s="253"/>
    </row>
    <row r="307" ht="15.75" customHeight="1">
      <c r="A307" s="2"/>
      <c r="B307" s="259"/>
      <c r="C307" s="163"/>
      <c r="D307" s="259"/>
      <c r="E307" s="166"/>
      <c r="F307" s="163"/>
      <c r="G307" s="166"/>
      <c r="H307" s="166"/>
      <c r="I307" s="260"/>
      <c r="J307" s="178"/>
      <c r="K307" s="166"/>
      <c r="L307" s="166"/>
      <c r="M307" s="166"/>
      <c r="N307" s="178"/>
      <c r="O307" s="178"/>
      <c r="P307" s="178"/>
      <c r="Q307" s="178"/>
      <c r="R307" s="166"/>
      <c r="S307" s="177"/>
      <c r="T307" s="234"/>
      <c r="U307" s="234"/>
      <c r="V307" s="234"/>
      <c r="W307" s="165"/>
      <c r="X307" s="165"/>
      <c r="Y307" s="165"/>
      <c r="Z307" s="165"/>
      <c r="AA307" s="165"/>
      <c r="AB307" s="253"/>
      <c r="AC307" s="2"/>
      <c r="AD307" s="253"/>
      <c r="AE307" s="253"/>
      <c r="AF307" s="253"/>
      <c r="AG307" s="253"/>
      <c r="AH307" s="253"/>
      <c r="AI307" s="2"/>
      <c r="AJ307" s="253"/>
      <c r="AK307" s="253"/>
      <c r="AL307" s="253"/>
      <c r="AM307" s="253"/>
      <c r="AN307" s="253"/>
      <c r="AO307" s="2"/>
      <c r="AP307" s="253"/>
      <c r="AQ307" s="253"/>
      <c r="AR307" s="253"/>
      <c r="AS307" s="253"/>
      <c r="AT307" s="253"/>
      <c r="AU307" s="2"/>
      <c r="AV307" s="253"/>
      <c r="AW307" s="253"/>
      <c r="AX307" s="253"/>
      <c r="AY307" s="253"/>
    </row>
    <row r="308" ht="15.75" customHeight="1">
      <c r="A308" s="2"/>
      <c r="B308" s="259"/>
      <c r="C308" s="163"/>
      <c r="D308" s="259"/>
      <c r="E308" s="166"/>
      <c r="F308" s="163"/>
      <c r="G308" s="166"/>
      <c r="H308" s="166"/>
      <c r="I308" s="260"/>
      <c r="J308" s="178"/>
      <c r="K308" s="166"/>
      <c r="L308" s="166"/>
      <c r="M308" s="166"/>
      <c r="N308" s="178"/>
      <c r="O308" s="178"/>
      <c r="P308" s="178"/>
      <c r="Q308" s="178"/>
      <c r="R308" s="166"/>
      <c r="S308" s="177"/>
      <c r="T308" s="234"/>
      <c r="U308" s="234"/>
      <c r="V308" s="234"/>
      <c r="W308" s="165"/>
      <c r="X308" s="165"/>
      <c r="Y308" s="165"/>
      <c r="Z308" s="165"/>
      <c r="AA308" s="165"/>
      <c r="AB308" s="253"/>
      <c r="AC308" s="2"/>
      <c r="AD308" s="253"/>
      <c r="AE308" s="253"/>
      <c r="AF308" s="253"/>
      <c r="AG308" s="253"/>
      <c r="AH308" s="253"/>
      <c r="AI308" s="2"/>
      <c r="AJ308" s="253"/>
      <c r="AK308" s="253"/>
      <c r="AL308" s="253"/>
      <c r="AM308" s="253"/>
      <c r="AN308" s="253"/>
      <c r="AO308" s="2"/>
      <c r="AP308" s="253"/>
      <c r="AQ308" s="253"/>
      <c r="AR308" s="253"/>
      <c r="AS308" s="253"/>
      <c r="AT308" s="253"/>
      <c r="AU308" s="2"/>
      <c r="AV308" s="253"/>
      <c r="AW308" s="253"/>
      <c r="AX308" s="253"/>
      <c r="AY308" s="253"/>
    </row>
    <row r="309" ht="15.75" customHeight="1">
      <c r="A309" s="2"/>
      <c r="B309" s="259"/>
      <c r="C309" s="163"/>
      <c r="D309" s="259"/>
      <c r="E309" s="166"/>
      <c r="F309" s="163"/>
      <c r="G309" s="166"/>
      <c r="H309" s="166"/>
      <c r="I309" s="260"/>
      <c r="J309" s="178"/>
      <c r="K309" s="166"/>
      <c r="L309" s="166"/>
      <c r="M309" s="166"/>
      <c r="N309" s="178"/>
      <c r="O309" s="178"/>
      <c r="P309" s="178"/>
      <c r="Q309" s="178"/>
      <c r="R309" s="166"/>
      <c r="S309" s="177"/>
      <c r="T309" s="234"/>
      <c r="U309" s="234"/>
      <c r="V309" s="234"/>
      <c r="W309" s="165"/>
      <c r="X309" s="165"/>
      <c r="Y309" s="165"/>
      <c r="Z309" s="165"/>
      <c r="AA309" s="165"/>
      <c r="AB309" s="253"/>
      <c r="AC309" s="2"/>
      <c r="AD309" s="253"/>
      <c r="AE309" s="253"/>
      <c r="AF309" s="253"/>
      <c r="AG309" s="253"/>
      <c r="AH309" s="253"/>
      <c r="AI309" s="2"/>
      <c r="AJ309" s="253"/>
      <c r="AK309" s="253"/>
      <c r="AL309" s="253"/>
      <c r="AM309" s="253"/>
      <c r="AN309" s="253"/>
      <c r="AO309" s="2"/>
      <c r="AP309" s="253"/>
      <c r="AQ309" s="253"/>
      <c r="AR309" s="253"/>
      <c r="AS309" s="253"/>
      <c r="AT309" s="253"/>
      <c r="AU309" s="2"/>
      <c r="AV309" s="253"/>
      <c r="AW309" s="253"/>
      <c r="AX309" s="253"/>
      <c r="AY309" s="253"/>
    </row>
    <row r="310" ht="15.75" customHeight="1">
      <c r="A310" s="2"/>
      <c r="B310" s="259"/>
      <c r="C310" s="163"/>
      <c r="D310" s="259"/>
      <c r="E310" s="166"/>
      <c r="F310" s="163"/>
      <c r="G310" s="166"/>
      <c r="H310" s="166"/>
      <c r="I310" s="260"/>
      <c r="J310" s="178"/>
      <c r="K310" s="166"/>
      <c r="L310" s="166"/>
      <c r="M310" s="166"/>
      <c r="N310" s="178"/>
      <c r="O310" s="178"/>
      <c r="P310" s="178"/>
      <c r="Q310" s="178"/>
      <c r="R310" s="166"/>
      <c r="S310" s="177"/>
      <c r="T310" s="234"/>
      <c r="U310" s="234"/>
      <c r="V310" s="234"/>
      <c r="W310" s="165"/>
      <c r="X310" s="165"/>
      <c r="Y310" s="165"/>
      <c r="Z310" s="165"/>
      <c r="AA310" s="165"/>
      <c r="AB310" s="253"/>
      <c r="AC310" s="2"/>
      <c r="AD310" s="253"/>
      <c r="AE310" s="253"/>
      <c r="AF310" s="253"/>
      <c r="AG310" s="253"/>
      <c r="AH310" s="253"/>
      <c r="AI310" s="2"/>
      <c r="AJ310" s="253"/>
      <c r="AK310" s="253"/>
      <c r="AL310" s="253"/>
      <c r="AM310" s="253"/>
      <c r="AN310" s="253"/>
      <c r="AO310" s="2"/>
      <c r="AP310" s="253"/>
      <c r="AQ310" s="253"/>
      <c r="AR310" s="253"/>
      <c r="AS310" s="253"/>
      <c r="AT310" s="253"/>
      <c r="AU310" s="2"/>
      <c r="AV310" s="253"/>
      <c r="AW310" s="253"/>
      <c r="AX310" s="253"/>
      <c r="AY310" s="253"/>
    </row>
    <row r="311" ht="15.75" customHeight="1">
      <c r="A311" s="2"/>
      <c r="B311" s="259"/>
      <c r="C311" s="163"/>
      <c r="D311" s="259"/>
      <c r="E311" s="166"/>
      <c r="F311" s="163"/>
      <c r="G311" s="166"/>
      <c r="H311" s="166"/>
      <c r="I311" s="260"/>
      <c r="J311" s="178"/>
      <c r="K311" s="166"/>
      <c r="L311" s="166"/>
      <c r="M311" s="166"/>
      <c r="N311" s="178"/>
      <c r="O311" s="178"/>
      <c r="P311" s="178"/>
      <c r="Q311" s="178"/>
      <c r="R311" s="166"/>
      <c r="S311" s="177"/>
      <c r="T311" s="234"/>
      <c r="U311" s="234"/>
      <c r="V311" s="234"/>
      <c r="W311" s="165"/>
      <c r="X311" s="165"/>
      <c r="Y311" s="165"/>
      <c r="Z311" s="165"/>
      <c r="AA311" s="165"/>
      <c r="AB311" s="253"/>
      <c r="AC311" s="2"/>
      <c r="AD311" s="253"/>
      <c r="AE311" s="253"/>
      <c r="AF311" s="253"/>
      <c r="AG311" s="253"/>
      <c r="AH311" s="253"/>
      <c r="AI311" s="2"/>
      <c r="AJ311" s="253"/>
      <c r="AK311" s="253"/>
      <c r="AL311" s="253"/>
      <c r="AM311" s="253"/>
      <c r="AN311" s="253"/>
      <c r="AO311" s="2"/>
      <c r="AP311" s="253"/>
      <c r="AQ311" s="253"/>
      <c r="AR311" s="253"/>
      <c r="AS311" s="253"/>
      <c r="AT311" s="253"/>
      <c r="AU311" s="2"/>
      <c r="AV311" s="253"/>
      <c r="AW311" s="253"/>
      <c r="AX311" s="253"/>
      <c r="AY311" s="253"/>
    </row>
    <row r="312" ht="15.75" customHeight="1">
      <c r="A312" s="2"/>
      <c r="B312" s="259"/>
      <c r="C312" s="163"/>
      <c r="D312" s="259"/>
      <c r="E312" s="166"/>
      <c r="F312" s="163"/>
      <c r="G312" s="166"/>
      <c r="H312" s="166"/>
      <c r="I312" s="260"/>
      <c r="J312" s="178"/>
      <c r="K312" s="166"/>
      <c r="L312" s="166"/>
      <c r="M312" s="166"/>
      <c r="N312" s="178"/>
      <c r="O312" s="178"/>
      <c r="P312" s="178"/>
      <c r="Q312" s="178"/>
      <c r="R312" s="166"/>
      <c r="S312" s="177"/>
      <c r="T312" s="234"/>
      <c r="U312" s="234"/>
      <c r="V312" s="234"/>
      <c r="W312" s="165"/>
      <c r="X312" s="165"/>
      <c r="Y312" s="165"/>
      <c r="Z312" s="165"/>
      <c r="AA312" s="165"/>
      <c r="AB312" s="253"/>
      <c r="AC312" s="2"/>
      <c r="AD312" s="253"/>
      <c r="AE312" s="253"/>
      <c r="AF312" s="253"/>
      <c r="AG312" s="253"/>
      <c r="AH312" s="253"/>
      <c r="AI312" s="2"/>
      <c r="AJ312" s="253"/>
      <c r="AK312" s="253"/>
      <c r="AL312" s="253"/>
      <c r="AM312" s="253"/>
      <c r="AN312" s="253"/>
      <c r="AO312" s="2"/>
      <c r="AP312" s="253"/>
      <c r="AQ312" s="253"/>
      <c r="AR312" s="253"/>
      <c r="AS312" s="253"/>
      <c r="AT312" s="253"/>
      <c r="AU312" s="2"/>
      <c r="AV312" s="253"/>
      <c r="AW312" s="253"/>
      <c r="AX312" s="253"/>
      <c r="AY312" s="253"/>
    </row>
    <row r="313" ht="15.75" customHeight="1">
      <c r="A313" s="2"/>
      <c r="B313" s="259"/>
      <c r="C313" s="163"/>
      <c r="D313" s="259"/>
      <c r="E313" s="166"/>
      <c r="F313" s="163"/>
      <c r="G313" s="166"/>
      <c r="H313" s="166"/>
      <c r="I313" s="260"/>
      <c r="J313" s="178"/>
      <c r="K313" s="166"/>
      <c r="L313" s="166"/>
      <c r="M313" s="166"/>
      <c r="N313" s="178"/>
      <c r="O313" s="178"/>
      <c r="P313" s="178"/>
      <c r="Q313" s="178"/>
      <c r="R313" s="166"/>
      <c r="S313" s="177"/>
      <c r="T313" s="234"/>
      <c r="U313" s="234"/>
      <c r="V313" s="234"/>
      <c r="W313" s="165"/>
      <c r="X313" s="165"/>
      <c r="Y313" s="165"/>
      <c r="Z313" s="165"/>
      <c r="AA313" s="165"/>
      <c r="AB313" s="253"/>
      <c r="AC313" s="2"/>
      <c r="AD313" s="253"/>
      <c r="AE313" s="253"/>
      <c r="AF313" s="253"/>
      <c r="AG313" s="253"/>
      <c r="AH313" s="253"/>
      <c r="AI313" s="2"/>
      <c r="AJ313" s="253"/>
      <c r="AK313" s="253"/>
      <c r="AL313" s="253"/>
      <c r="AM313" s="253"/>
      <c r="AN313" s="253"/>
      <c r="AO313" s="2"/>
      <c r="AP313" s="253"/>
      <c r="AQ313" s="253"/>
      <c r="AR313" s="253"/>
      <c r="AS313" s="253"/>
      <c r="AT313" s="253"/>
      <c r="AU313" s="2"/>
      <c r="AV313" s="253"/>
      <c r="AW313" s="253"/>
      <c r="AX313" s="253"/>
      <c r="AY313" s="253"/>
    </row>
    <row r="314" ht="15.75" customHeight="1">
      <c r="A314" s="2"/>
      <c r="B314" s="259"/>
      <c r="C314" s="163"/>
      <c r="D314" s="259"/>
      <c r="E314" s="166"/>
      <c r="F314" s="163"/>
      <c r="G314" s="166"/>
      <c r="H314" s="166"/>
      <c r="I314" s="260"/>
      <c r="J314" s="178"/>
      <c r="K314" s="166"/>
      <c r="L314" s="166"/>
      <c r="M314" s="166"/>
      <c r="N314" s="178"/>
      <c r="O314" s="178"/>
      <c r="P314" s="178"/>
      <c r="Q314" s="178"/>
      <c r="R314" s="166"/>
      <c r="S314" s="177"/>
      <c r="T314" s="234"/>
      <c r="U314" s="234"/>
      <c r="V314" s="234"/>
      <c r="W314" s="165"/>
      <c r="X314" s="165"/>
      <c r="Y314" s="165"/>
      <c r="Z314" s="165"/>
      <c r="AA314" s="165"/>
      <c r="AB314" s="253"/>
      <c r="AC314" s="2"/>
      <c r="AD314" s="253"/>
      <c r="AE314" s="253"/>
      <c r="AF314" s="253"/>
      <c r="AG314" s="253"/>
      <c r="AH314" s="253"/>
      <c r="AI314" s="2"/>
      <c r="AJ314" s="253"/>
      <c r="AK314" s="253"/>
      <c r="AL314" s="253"/>
      <c r="AM314" s="253"/>
      <c r="AN314" s="253"/>
      <c r="AO314" s="2"/>
      <c r="AP314" s="253"/>
      <c r="AQ314" s="253"/>
      <c r="AR314" s="253"/>
      <c r="AS314" s="253"/>
      <c r="AT314" s="253"/>
      <c r="AU314" s="2"/>
      <c r="AV314" s="253"/>
      <c r="AW314" s="253"/>
      <c r="AX314" s="253"/>
      <c r="AY314" s="253"/>
    </row>
    <row r="315" ht="15.75" customHeight="1">
      <c r="A315" s="2"/>
      <c r="B315" s="259"/>
      <c r="C315" s="163"/>
      <c r="D315" s="259"/>
      <c r="E315" s="166"/>
      <c r="F315" s="163"/>
      <c r="G315" s="166"/>
      <c r="H315" s="166"/>
      <c r="I315" s="260"/>
      <c r="J315" s="178"/>
      <c r="K315" s="166"/>
      <c r="L315" s="166"/>
      <c r="M315" s="166"/>
      <c r="N315" s="178"/>
      <c r="O315" s="178"/>
      <c r="P315" s="178"/>
      <c r="Q315" s="178"/>
      <c r="R315" s="166"/>
      <c r="S315" s="177"/>
      <c r="T315" s="234"/>
      <c r="U315" s="234"/>
      <c r="V315" s="234"/>
      <c r="W315" s="165"/>
      <c r="X315" s="165"/>
      <c r="Y315" s="165"/>
      <c r="Z315" s="165"/>
      <c r="AA315" s="165"/>
      <c r="AB315" s="253"/>
      <c r="AC315" s="2"/>
      <c r="AD315" s="253"/>
      <c r="AE315" s="253"/>
      <c r="AF315" s="253"/>
      <c r="AG315" s="253"/>
      <c r="AH315" s="253"/>
      <c r="AI315" s="2"/>
      <c r="AJ315" s="253"/>
      <c r="AK315" s="253"/>
      <c r="AL315" s="253"/>
      <c r="AM315" s="253"/>
      <c r="AN315" s="253"/>
      <c r="AO315" s="2"/>
      <c r="AP315" s="253"/>
      <c r="AQ315" s="253"/>
      <c r="AR315" s="253"/>
      <c r="AS315" s="253"/>
      <c r="AT315" s="253"/>
      <c r="AU315" s="2"/>
      <c r="AV315" s="253"/>
      <c r="AW315" s="253"/>
      <c r="AX315" s="253"/>
      <c r="AY315" s="253"/>
    </row>
    <row r="316" ht="15.75" customHeight="1">
      <c r="A316" s="2"/>
      <c r="B316" s="259"/>
      <c r="C316" s="163"/>
      <c r="D316" s="259"/>
      <c r="E316" s="166"/>
      <c r="F316" s="163"/>
      <c r="G316" s="166"/>
      <c r="H316" s="166"/>
      <c r="I316" s="260"/>
      <c r="J316" s="178"/>
      <c r="K316" s="166"/>
      <c r="L316" s="166"/>
      <c r="M316" s="166"/>
      <c r="N316" s="178"/>
      <c r="O316" s="178"/>
      <c r="P316" s="178"/>
      <c r="Q316" s="178"/>
      <c r="R316" s="166"/>
      <c r="S316" s="177"/>
      <c r="T316" s="234"/>
      <c r="U316" s="234"/>
      <c r="V316" s="234"/>
      <c r="W316" s="165"/>
      <c r="X316" s="165"/>
      <c r="Y316" s="165"/>
      <c r="Z316" s="165"/>
      <c r="AA316" s="165"/>
      <c r="AB316" s="253"/>
      <c r="AC316" s="2"/>
      <c r="AD316" s="253"/>
      <c r="AE316" s="253"/>
      <c r="AF316" s="253"/>
      <c r="AG316" s="253"/>
      <c r="AH316" s="253"/>
      <c r="AI316" s="2"/>
      <c r="AJ316" s="253"/>
      <c r="AK316" s="253"/>
      <c r="AL316" s="253"/>
      <c r="AM316" s="253"/>
      <c r="AN316" s="253"/>
      <c r="AO316" s="2"/>
      <c r="AP316" s="253"/>
      <c r="AQ316" s="253"/>
      <c r="AR316" s="253"/>
      <c r="AS316" s="253"/>
      <c r="AT316" s="253"/>
      <c r="AU316" s="2"/>
      <c r="AV316" s="253"/>
      <c r="AW316" s="253"/>
      <c r="AX316" s="253"/>
      <c r="AY316" s="253"/>
    </row>
    <row r="317" ht="15.75" customHeight="1">
      <c r="A317" s="2"/>
      <c r="B317" s="259"/>
      <c r="C317" s="163"/>
      <c r="D317" s="259"/>
      <c r="E317" s="166"/>
      <c r="F317" s="163"/>
      <c r="G317" s="166"/>
      <c r="H317" s="166"/>
      <c r="I317" s="260"/>
      <c r="J317" s="178"/>
      <c r="K317" s="166"/>
      <c r="L317" s="166"/>
      <c r="M317" s="166"/>
      <c r="N317" s="178"/>
      <c r="O317" s="178"/>
      <c r="P317" s="178"/>
      <c r="Q317" s="178"/>
      <c r="R317" s="166"/>
      <c r="S317" s="177"/>
      <c r="T317" s="234"/>
      <c r="U317" s="234"/>
      <c r="V317" s="234"/>
      <c r="W317" s="165"/>
      <c r="X317" s="165"/>
      <c r="Y317" s="165"/>
      <c r="Z317" s="165"/>
      <c r="AA317" s="165"/>
      <c r="AB317" s="253"/>
      <c r="AC317" s="2"/>
      <c r="AD317" s="253"/>
      <c r="AE317" s="253"/>
      <c r="AF317" s="253"/>
      <c r="AG317" s="253"/>
      <c r="AH317" s="253"/>
      <c r="AI317" s="2"/>
      <c r="AJ317" s="253"/>
      <c r="AK317" s="253"/>
      <c r="AL317" s="253"/>
      <c r="AM317" s="253"/>
      <c r="AN317" s="253"/>
      <c r="AO317" s="2"/>
      <c r="AP317" s="253"/>
      <c r="AQ317" s="253"/>
      <c r="AR317" s="253"/>
      <c r="AS317" s="253"/>
      <c r="AT317" s="253"/>
      <c r="AU317" s="2"/>
      <c r="AV317" s="253"/>
      <c r="AW317" s="253"/>
      <c r="AX317" s="253"/>
      <c r="AY317" s="253"/>
    </row>
    <row r="318" ht="15.75" customHeight="1">
      <c r="A318" s="2"/>
      <c r="B318" s="259"/>
      <c r="C318" s="163"/>
      <c r="D318" s="259"/>
      <c r="E318" s="166"/>
      <c r="F318" s="163"/>
      <c r="G318" s="166"/>
      <c r="H318" s="166"/>
      <c r="I318" s="260"/>
      <c r="J318" s="178"/>
      <c r="K318" s="166"/>
      <c r="L318" s="166"/>
      <c r="M318" s="166"/>
      <c r="N318" s="178"/>
      <c r="O318" s="178"/>
      <c r="P318" s="178"/>
      <c r="Q318" s="178"/>
      <c r="R318" s="166"/>
      <c r="S318" s="177"/>
      <c r="T318" s="234"/>
      <c r="U318" s="234"/>
      <c r="V318" s="234"/>
      <c r="W318" s="165"/>
      <c r="X318" s="165"/>
      <c r="Y318" s="165"/>
      <c r="Z318" s="165"/>
      <c r="AA318" s="165"/>
      <c r="AB318" s="253"/>
      <c r="AC318" s="2"/>
      <c r="AD318" s="253"/>
      <c r="AE318" s="253"/>
      <c r="AF318" s="253"/>
      <c r="AG318" s="253"/>
      <c r="AH318" s="253"/>
      <c r="AI318" s="2"/>
      <c r="AJ318" s="253"/>
      <c r="AK318" s="253"/>
      <c r="AL318" s="253"/>
      <c r="AM318" s="253"/>
      <c r="AN318" s="253"/>
      <c r="AO318" s="2"/>
      <c r="AP318" s="253"/>
      <c r="AQ318" s="253"/>
      <c r="AR318" s="253"/>
      <c r="AS318" s="253"/>
      <c r="AT318" s="253"/>
      <c r="AU318" s="2"/>
      <c r="AV318" s="253"/>
      <c r="AW318" s="253"/>
      <c r="AX318" s="253"/>
      <c r="AY318" s="253"/>
    </row>
    <row r="319" ht="15.75" customHeight="1">
      <c r="A319" s="2"/>
      <c r="B319" s="259"/>
      <c r="C319" s="163"/>
      <c r="D319" s="259"/>
      <c r="E319" s="166"/>
      <c r="F319" s="163"/>
      <c r="G319" s="166"/>
      <c r="H319" s="166"/>
      <c r="I319" s="260"/>
      <c r="J319" s="178"/>
      <c r="K319" s="166"/>
      <c r="L319" s="166"/>
      <c r="M319" s="166"/>
      <c r="N319" s="178"/>
      <c r="O319" s="178"/>
      <c r="P319" s="178"/>
      <c r="Q319" s="178"/>
      <c r="R319" s="166"/>
      <c r="S319" s="177"/>
      <c r="T319" s="234"/>
      <c r="U319" s="234"/>
      <c r="V319" s="234"/>
      <c r="W319" s="165"/>
      <c r="X319" s="165"/>
      <c r="Y319" s="165"/>
      <c r="Z319" s="165"/>
      <c r="AA319" s="165"/>
      <c r="AB319" s="253"/>
      <c r="AC319" s="2"/>
      <c r="AD319" s="253"/>
      <c r="AE319" s="253"/>
      <c r="AF319" s="253"/>
      <c r="AG319" s="253"/>
      <c r="AH319" s="253"/>
      <c r="AI319" s="2"/>
      <c r="AJ319" s="253"/>
      <c r="AK319" s="253"/>
      <c r="AL319" s="253"/>
      <c r="AM319" s="253"/>
      <c r="AN319" s="253"/>
      <c r="AO319" s="2"/>
      <c r="AP319" s="253"/>
      <c r="AQ319" s="253"/>
      <c r="AR319" s="253"/>
      <c r="AS319" s="253"/>
      <c r="AT319" s="253"/>
      <c r="AU319" s="2"/>
      <c r="AV319" s="253"/>
      <c r="AW319" s="253"/>
      <c r="AX319" s="253"/>
      <c r="AY319" s="253"/>
    </row>
    <row r="320" ht="15.75" customHeight="1">
      <c r="A320" s="2"/>
      <c r="B320" s="259"/>
      <c r="C320" s="163"/>
      <c r="D320" s="259"/>
      <c r="E320" s="166"/>
      <c r="F320" s="163"/>
      <c r="G320" s="166"/>
      <c r="H320" s="166"/>
      <c r="I320" s="260"/>
      <c r="J320" s="178"/>
      <c r="K320" s="166"/>
      <c r="L320" s="166"/>
      <c r="M320" s="166"/>
      <c r="N320" s="178"/>
      <c r="O320" s="178"/>
      <c r="P320" s="178"/>
      <c r="Q320" s="178"/>
      <c r="R320" s="166"/>
      <c r="S320" s="177"/>
      <c r="T320" s="234"/>
      <c r="U320" s="234"/>
      <c r="V320" s="234"/>
      <c r="W320" s="165"/>
      <c r="X320" s="165"/>
      <c r="Y320" s="165"/>
      <c r="Z320" s="165"/>
      <c r="AA320" s="165"/>
      <c r="AB320" s="253"/>
      <c r="AC320" s="2"/>
      <c r="AD320" s="253"/>
      <c r="AE320" s="253"/>
      <c r="AF320" s="253"/>
      <c r="AG320" s="253"/>
      <c r="AH320" s="253"/>
      <c r="AI320" s="2"/>
      <c r="AJ320" s="253"/>
      <c r="AK320" s="253"/>
      <c r="AL320" s="253"/>
      <c r="AM320" s="253"/>
      <c r="AN320" s="253"/>
      <c r="AO320" s="2"/>
      <c r="AP320" s="253"/>
      <c r="AQ320" s="253"/>
      <c r="AR320" s="253"/>
      <c r="AS320" s="253"/>
      <c r="AT320" s="253"/>
      <c r="AU320" s="2"/>
      <c r="AV320" s="253"/>
      <c r="AW320" s="253"/>
      <c r="AX320" s="253"/>
      <c r="AY320" s="253"/>
    </row>
    <row r="321" ht="15.75" customHeight="1">
      <c r="A321" s="2"/>
      <c r="B321" s="259"/>
      <c r="C321" s="163"/>
      <c r="D321" s="259"/>
      <c r="E321" s="166"/>
      <c r="F321" s="163"/>
      <c r="G321" s="166"/>
      <c r="H321" s="166"/>
      <c r="I321" s="260"/>
      <c r="J321" s="178"/>
      <c r="K321" s="166"/>
      <c r="L321" s="166"/>
      <c r="M321" s="166"/>
      <c r="N321" s="178"/>
      <c r="O321" s="178"/>
      <c r="P321" s="178"/>
      <c r="Q321" s="178"/>
      <c r="R321" s="166"/>
      <c r="S321" s="177"/>
      <c r="T321" s="234"/>
      <c r="U321" s="234"/>
      <c r="V321" s="234"/>
      <c r="W321" s="165"/>
      <c r="X321" s="165"/>
      <c r="Y321" s="165"/>
      <c r="Z321" s="165"/>
      <c r="AA321" s="165"/>
      <c r="AB321" s="253"/>
      <c r="AC321" s="2"/>
      <c r="AD321" s="253"/>
      <c r="AE321" s="253"/>
      <c r="AF321" s="253"/>
      <c r="AG321" s="253"/>
      <c r="AH321" s="253"/>
      <c r="AI321" s="2"/>
      <c r="AJ321" s="253"/>
      <c r="AK321" s="253"/>
      <c r="AL321" s="253"/>
      <c r="AM321" s="253"/>
      <c r="AN321" s="253"/>
      <c r="AO321" s="2"/>
      <c r="AP321" s="253"/>
      <c r="AQ321" s="253"/>
      <c r="AR321" s="253"/>
      <c r="AS321" s="253"/>
      <c r="AT321" s="253"/>
      <c r="AU321" s="2"/>
      <c r="AV321" s="253"/>
      <c r="AW321" s="253"/>
      <c r="AX321" s="253"/>
      <c r="AY321" s="253"/>
    </row>
    <row r="322" ht="15.75" customHeight="1">
      <c r="A322" s="2"/>
      <c r="B322" s="259"/>
      <c r="C322" s="163"/>
      <c r="D322" s="259"/>
      <c r="E322" s="166"/>
      <c r="F322" s="163"/>
      <c r="G322" s="166"/>
      <c r="H322" s="166"/>
      <c r="I322" s="260"/>
      <c r="J322" s="178"/>
      <c r="K322" s="166"/>
      <c r="L322" s="166"/>
      <c r="M322" s="166"/>
      <c r="N322" s="178"/>
      <c r="O322" s="178"/>
      <c r="P322" s="178"/>
      <c r="Q322" s="178"/>
      <c r="R322" s="166"/>
      <c r="S322" s="177"/>
      <c r="T322" s="234"/>
      <c r="U322" s="234"/>
      <c r="V322" s="234"/>
      <c r="W322" s="165"/>
      <c r="X322" s="165"/>
      <c r="Y322" s="165"/>
      <c r="Z322" s="165"/>
      <c r="AA322" s="165"/>
      <c r="AB322" s="253"/>
      <c r="AC322" s="2"/>
      <c r="AD322" s="253"/>
      <c r="AE322" s="253"/>
      <c r="AF322" s="253"/>
      <c r="AG322" s="253"/>
      <c r="AH322" s="253"/>
      <c r="AI322" s="2"/>
      <c r="AJ322" s="253"/>
      <c r="AK322" s="253"/>
      <c r="AL322" s="253"/>
      <c r="AM322" s="253"/>
      <c r="AN322" s="253"/>
      <c r="AO322" s="2"/>
      <c r="AP322" s="253"/>
      <c r="AQ322" s="253"/>
      <c r="AR322" s="253"/>
      <c r="AS322" s="253"/>
      <c r="AT322" s="253"/>
      <c r="AU322" s="2"/>
      <c r="AV322" s="253"/>
      <c r="AW322" s="253"/>
      <c r="AX322" s="253"/>
      <c r="AY322" s="253"/>
    </row>
    <row r="323" ht="15.75" customHeight="1">
      <c r="A323" s="2"/>
      <c r="B323" s="259"/>
      <c r="C323" s="163"/>
      <c r="D323" s="259"/>
      <c r="E323" s="166"/>
      <c r="F323" s="163"/>
      <c r="G323" s="166"/>
      <c r="H323" s="166"/>
      <c r="I323" s="260"/>
      <c r="J323" s="178"/>
      <c r="K323" s="166"/>
      <c r="L323" s="166"/>
      <c r="M323" s="166"/>
      <c r="N323" s="178"/>
      <c r="O323" s="178"/>
      <c r="P323" s="178"/>
      <c r="Q323" s="178"/>
      <c r="R323" s="166"/>
      <c r="S323" s="177"/>
      <c r="T323" s="234"/>
      <c r="U323" s="234"/>
      <c r="V323" s="234"/>
      <c r="W323" s="165"/>
      <c r="X323" s="165"/>
      <c r="Y323" s="165"/>
      <c r="Z323" s="165"/>
      <c r="AA323" s="165"/>
      <c r="AB323" s="253"/>
      <c r="AC323" s="2"/>
      <c r="AD323" s="253"/>
      <c r="AE323" s="253"/>
      <c r="AF323" s="253"/>
      <c r="AG323" s="253"/>
      <c r="AH323" s="253"/>
      <c r="AI323" s="2"/>
      <c r="AJ323" s="253"/>
      <c r="AK323" s="253"/>
      <c r="AL323" s="253"/>
      <c r="AM323" s="253"/>
      <c r="AN323" s="253"/>
      <c r="AO323" s="2"/>
      <c r="AP323" s="253"/>
      <c r="AQ323" s="253"/>
      <c r="AR323" s="253"/>
      <c r="AS323" s="253"/>
      <c r="AT323" s="253"/>
      <c r="AU323" s="2"/>
      <c r="AV323" s="253"/>
      <c r="AW323" s="253"/>
      <c r="AX323" s="253"/>
      <c r="AY323" s="253"/>
    </row>
    <row r="324" ht="15.75" customHeight="1">
      <c r="A324" s="2"/>
      <c r="B324" s="259"/>
      <c r="C324" s="163"/>
      <c r="D324" s="259"/>
      <c r="E324" s="166"/>
      <c r="F324" s="163"/>
      <c r="G324" s="166"/>
      <c r="H324" s="166"/>
      <c r="I324" s="260"/>
      <c r="J324" s="178"/>
      <c r="K324" s="166"/>
      <c r="L324" s="166"/>
      <c r="M324" s="166"/>
      <c r="N324" s="178"/>
      <c r="O324" s="178"/>
      <c r="P324" s="178"/>
      <c r="Q324" s="178"/>
      <c r="R324" s="166"/>
      <c r="S324" s="177"/>
      <c r="T324" s="234"/>
      <c r="U324" s="234"/>
      <c r="V324" s="234"/>
      <c r="W324" s="165"/>
      <c r="X324" s="165"/>
      <c r="Y324" s="165"/>
      <c r="Z324" s="165"/>
      <c r="AA324" s="165"/>
      <c r="AB324" s="253"/>
      <c r="AC324" s="2"/>
      <c r="AD324" s="253"/>
      <c r="AE324" s="253"/>
      <c r="AF324" s="253"/>
      <c r="AG324" s="253"/>
      <c r="AH324" s="253"/>
      <c r="AI324" s="2"/>
      <c r="AJ324" s="253"/>
      <c r="AK324" s="253"/>
      <c r="AL324" s="253"/>
      <c r="AM324" s="253"/>
      <c r="AN324" s="253"/>
      <c r="AO324" s="2"/>
      <c r="AP324" s="253"/>
      <c r="AQ324" s="253"/>
      <c r="AR324" s="253"/>
      <c r="AS324" s="253"/>
      <c r="AT324" s="253"/>
      <c r="AU324" s="2"/>
      <c r="AV324" s="253"/>
      <c r="AW324" s="253"/>
      <c r="AX324" s="253"/>
      <c r="AY324" s="253"/>
    </row>
    <row r="325" ht="15.75" customHeight="1">
      <c r="A325" s="2"/>
      <c r="B325" s="259"/>
      <c r="C325" s="163"/>
      <c r="D325" s="259"/>
      <c r="E325" s="166"/>
      <c r="F325" s="163"/>
      <c r="G325" s="166"/>
      <c r="H325" s="166"/>
      <c r="I325" s="260"/>
      <c r="J325" s="178"/>
      <c r="K325" s="166"/>
      <c r="L325" s="166"/>
      <c r="M325" s="166"/>
      <c r="N325" s="178"/>
      <c r="O325" s="178"/>
      <c r="P325" s="178"/>
      <c r="Q325" s="178"/>
      <c r="R325" s="166"/>
      <c r="S325" s="177"/>
      <c r="T325" s="234"/>
      <c r="U325" s="234"/>
      <c r="V325" s="234"/>
      <c r="W325" s="165"/>
      <c r="X325" s="165"/>
      <c r="Y325" s="165"/>
      <c r="Z325" s="165"/>
      <c r="AA325" s="165"/>
      <c r="AB325" s="253"/>
      <c r="AC325" s="2"/>
      <c r="AD325" s="253"/>
      <c r="AE325" s="253"/>
      <c r="AF325" s="253"/>
      <c r="AG325" s="253"/>
      <c r="AH325" s="253"/>
      <c r="AI325" s="2"/>
      <c r="AJ325" s="253"/>
      <c r="AK325" s="253"/>
      <c r="AL325" s="253"/>
      <c r="AM325" s="253"/>
      <c r="AN325" s="253"/>
      <c r="AO325" s="2"/>
      <c r="AP325" s="253"/>
      <c r="AQ325" s="253"/>
      <c r="AR325" s="253"/>
      <c r="AS325" s="253"/>
      <c r="AT325" s="253"/>
      <c r="AU325" s="2"/>
      <c r="AV325" s="253"/>
      <c r="AW325" s="253"/>
      <c r="AX325" s="253"/>
      <c r="AY325" s="253"/>
    </row>
    <row r="326" ht="15.75" customHeight="1">
      <c r="A326" s="2"/>
      <c r="B326" s="259"/>
      <c r="C326" s="163"/>
      <c r="D326" s="262"/>
      <c r="E326" s="166"/>
      <c r="F326" s="163"/>
      <c r="G326" s="262"/>
      <c r="H326" s="166"/>
      <c r="I326" s="260"/>
      <c r="J326" s="178"/>
      <c r="K326" s="166"/>
      <c r="L326" s="166"/>
      <c r="M326" s="166"/>
      <c r="N326" s="178"/>
      <c r="O326" s="178"/>
      <c r="P326" s="178"/>
      <c r="Q326" s="178"/>
      <c r="R326" s="166"/>
      <c r="S326" s="177"/>
      <c r="T326" s="234"/>
      <c r="U326" s="234"/>
      <c r="V326" s="234"/>
      <c r="W326" s="165"/>
      <c r="X326" s="165"/>
      <c r="Y326" s="165"/>
      <c r="Z326" s="165"/>
      <c r="AA326" s="165"/>
      <c r="AB326" s="253"/>
      <c r="AC326" s="2"/>
      <c r="AD326" s="253"/>
      <c r="AE326" s="253"/>
      <c r="AF326" s="253"/>
      <c r="AG326" s="253"/>
      <c r="AH326" s="253"/>
      <c r="AI326" s="2"/>
      <c r="AJ326" s="253"/>
      <c r="AK326" s="253"/>
      <c r="AL326" s="253"/>
      <c r="AM326" s="253"/>
      <c r="AN326" s="253"/>
      <c r="AO326" s="2"/>
      <c r="AP326" s="253"/>
      <c r="AQ326" s="253"/>
      <c r="AR326" s="253"/>
      <c r="AS326" s="253"/>
      <c r="AT326" s="253"/>
      <c r="AU326" s="2"/>
      <c r="AV326" s="253"/>
      <c r="AW326" s="253"/>
      <c r="AX326" s="253"/>
      <c r="AY326" s="253"/>
    </row>
    <row r="327" ht="15.75" customHeight="1">
      <c r="A327" s="2"/>
      <c r="B327" s="259"/>
      <c r="C327" s="163"/>
      <c r="D327" s="259"/>
      <c r="E327" s="166"/>
      <c r="F327" s="163"/>
      <c r="G327" s="166"/>
      <c r="H327" s="166"/>
      <c r="I327" s="260"/>
      <c r="J327" s="178"/>
      <c r="K327" s="166"/>
      <c r="L327" s="166"/>
      <c r="M327" s="166"/>
      <c r="N327" s="178"/>
      <c r="O327" s="178"/>
      <c r="P327" s="178"/>
      <c r="Q327" s="178"/>
      <c r="R327" s="166"/>
      <c r="S327" s="177"/>
      <c r="T327" s="234"/>
      <c r="U327" s="234"/>
      <c r="V327" s="234"/>
      <c r="W327" s="165"/>
      <c r="X327" s="165"/>
      <c r="Y327" s="165"/>
      <c r="Z327" s="165"/>
      <c r="AA327" s="165"/>
      <c r="AB327" s="253"/>
      <c r="AC327" s="2"/>
      <c r="AD327" s="253"/>
      <c r="AE327" s="253"/>
      <c r="AF327" s="253"/>
      <c r="AG327" s="253"/>
      <c r="AH327" s="253"/>
      <c r="AI327" s="2"/>
      <c r="AJ327" s="253"/>
      <c r="AK327" s="253"/>
      <c r="AL327" s="253"/>
      <c r="AM327" s="253"/>
      <c r="AN327" s="253"/>
      <c r="AO327" s="2"/>
      <c r="AP327" s="253"/>
      <c r="AQ327" s="253"/>
      <c r="AR327" s="253"/>
      <c r="AS327" s="253"/>
      <c r="AT327" s="253"/>
      <c r="AU327" s="2"/>
      <c r="AV327" s="253"/>
      <c r="AW327" s="253"/>
      <c r="AX327" s="253"/>
      <c r="AY327" s="253"/>
    </row>
    <row r="328" ht="15.75" customHeight="1">
      <c r="A328" s="2"/>
      <c r="B328" s="259"/>
      <c r="C328" s="163"/>
      <c r="D328" s="259"/>
      <c r="E328" s="166"/>
      <c r="F328" s="163"/>
      <c r="G328" s="166"/>
      <c r="H328" s="166"/>
      <c r="I328" s="260"/>
      <c r="J328" s="178"/>
      <c r="K328" s="166"/>
      <c r="L328" s="166"/>
      <c r="M328" s="166"/>
      <c r="N328" s="178"/>
      <c r="O328" s="178"/>
      <c r="P328" s="178"/>
      <c r="Q328" s="178"/>
      <c r="R328" s="166"/>
      <c r="S328" s="177"/>
      <c r="T328" s="234"/>
      <c r="U328" s="234"/>
      <c r="V328" s="234"/>
      <c r="W328" s="165"/>
      <c r="X328" s="165"/>
      <c r="Y328" s="165"/>
      <c r="Z328" s="165"/>
      <c r="AA328" s="165"/>
      <c r="AB328" s="253"/>
      <c r="AC328" s="2"/>
      <c r="AD328" s="253"/>
      <c r="AE328" s="253"/>
      <c r="AF328" s="253"/>
      <c r="AG328" s="253"/>
      <c r="AH328" s="253"/>
      <c r="AI328" s="2"/>
      <c r="AJ328" s="253"/>
      <c r="AK328" s="253"/>
      <c r="AL328" s="253"/>
      <c r="AM328" s="253"/>
      <c r="AN328" s="253"/>
      <c r="AO328" s="2"/>
      <c r="AP328" s="253"/>
      <c r="AQ328" s="253"/>
      <c r="AR328" s="253"/>
      <c r="AS328" s="253"/>
      <c r="AT328" s="253"/>
      <c r="AU328" s="2"/>
      <c r="AV328" s="253"/>
      <c r="AW328" s="253"/>
      <c r="AX328" s="253"/>
      <c r="AY328" s="253"/>
    </row>
    <row r="329" ht="15.75" customHeight="1">
      <c r="A329" s="2"/>
      <c r="B329" s="259"/>
      <c r="C329" s="163"/>
      <c r="D329" s="259"/>
      <c r="E329" s="166"/>
      <c r="F329" s="163"/>
      <c r="G329" s="166"/>
      <c r="H329" s="166"/>
      <c r="I329" s="260"/>
      <c r="J329" s="178"/>
      <c r="K329" s="166"/>
      <c r="L329" s="166"/>
      <c r="M329" s="166"/>
      <c r="N329" s="178"/>
      <c r="O329" s="178"/>
      <c r="P329" s="178"/>
      <c r="Q329" s="178"/>
      <c r="R329" s="166"/>
      <c r="S329" s="177"/>
      <c r="T329" s="234"/>
      <c r="U329" s="234"/>
      <c r="V329" s="234"/>
      <c r="W329" s="165"/>
      <c r="X329" s="165"/>
      <c r="Y329" s="165"/>
      <c r="Z329" s="165"/>
      <c r="AA329" s="165"/>
      <c r="AB329" s="253"/>
      <c r="AC329" s="2"/>
      <c r="AD329" s="253"/>
      <c r="AE329" s="253"/>
      <c r="AF329" s="253"/>
      <c r="AG329" s="253"/>
      <c r="AH329" s="253"/>
      <c r="AI329" s="2"/>
      <c r="AJ329" s="253"/>
      <c r="AK329" s="253"/>
      <c r="AL329" s="253"/>
      <c r="AM329" s="253"/>
      <c r="AN329" s="253"/>
      <c r="AO329" s="2"/>
      <c r="AP329" s="253"/>
      <c r="AQ329" s="253"/>
      <c r="AR329" s="253"/>
      <c r="AS329" s="253"/>
      <c r="AT329" s="253"/>
      <c r="AU329" s="2"/>
      <c r="AV329" s="253"/>
      <c r="AW329" s="253"/>
      <c r="AX329" s="253"/>
      <c r="AY329" s="253"/>
    </row>
    <row r="330" ht="15.75" customHeight="1">
      <c r="A330" s="2"/>
      <c r="B330" s="259"/>
      <c r="C330" s="163"/>
      <c r="D330" s="259"/>
      <c r="E330" s="166"/>
      <c r="F330" s="163"/>
      <c r="G330" s="166"/>
      <c r="H330" s="166"/>
      <c r="I330" s="260"/>
      <c r="J330" s="178"/>
      <c r="K330" s="166"/>
      <c r="L330" s="166"/>
      <c r="M330" s="166"/>
      <c r="N330" s="178"/>
      <c r="O330" s="178"/>
      <c r="P330" s="178"/>
      <c r="Q330" s="178"/>
      <c r="R330" s="166"/>
      <c r="S330" s="177"/>
      <c r="T330" s="234"/>
      <c r="U330" s="234"/>
      <c r="V330" s="234"/>
      <c r="W330" s="165"/>
      <c r="X330" s="165"/>
      <c r="Y330" s="165"/>
      <c r="Z330" s="165"/>
      <c r="AA330" s="165"/>
      <c r="AB330" s="253"/>
      <c r="AC330" s="2"/>
      <c r="AD330" s="253"/>
      <c r="AE330" s="253"/>
      <c r="AF330" s="253"/>
      <c r="AG330" s="253"/>
      <c r="AH330" s="253"/>
      <c r="AI330" s="2"/>
      <c r="AJ330" s="253"/>
      <c r="AK330" s="253"/>
      <c r="AL330" s="253"/>
      <c r="AM330" s="253"/>
      <c r="AN330" s="253"/>
      <c r="AO330" s="2"/>
      <c r="AP330" s="253"/>
      <c r="AQ330" s="253"/>
      <c r="AR330" s="253"/>
      <c r="AS330" s="253"/>
      <c r="AT330" s="253"/>
      <c r="AU330" s="2"/>
      <c r="AV330" s="253"/>
      <c r="AW330" s="253"/>
      <c r="AX330" s="253"/>
      <c r="AY330" s="253"/>
    </row>
    <row r="331" ht="15.75" customHeight="1">
      <c r="A331" s="2"/>
      <c r="B331" s="259"/>
      <c r="C331" s="163"/>
      <c r="D331" s="259"/>
      <c r="E331" s="166"/>
      <c r="F331" s="163"/>
      <c r="G331" s="166"/>
      <c r="H331" s="166"/>
      <c r="I331" s="260"/>
      <c r="J331" s="178"/>
      <c r="K331" s="166"/>
      <c r="L331" s="166"/>
      <c r="M331" s="166"/>
      <c r="N331" s="178"/>
      <c r="O331" s="178"/>
      <c r="P331" s="178"/>
      <c r="Q331" s="178"/>
      <c r="R331" s="166"/>
      <c r="S331" s="177"/>
      <c r="T331" s="234"/>
      <c r="U331" s="234"/>
      <c r="V331" s="234"/>
      <c r="W331" s="165"/>
      <c r="X331" s="165"/>
      <c r="Y331" s="165"/>
      <c r="Z331" s="165"/>
      <c r="AA331" s="165"/>
      <c r="AB331" s="253"/>
      <c r="AC331" s="2"/>
      <c r="AD331" s="253"/>
      <c r="AE331" s="253"/>
      <c r="AF331" s="253"/>
      <c r="AG331" s="253"/>
      <c r="AH331" s="253"/>
      <c r="AI331" s="2"/>
      <c r="AJ331" s="253"/>
      <c r="AK331" s="253"/>
      <c r="AL331" s="253"/>
      <c r="AM331" s="253"/>
      <c r="AN331" s="253"/>
      <c r="AO331" s="2"/>
      <c r="AP331" s="253"/>
      <c r="AQ331" s="253"/>
      <c r="AR331" s="253"/>
      <c r="AS331" s="253"/>
      <c r="AT331" s="253"/>
      <c r="AU331" s="2"/>
      <c r="AV331" s="253"/>
      <c r="AW331" s="253"/>
      <c r="AX331" s="253"/>
      <c r="AY331" s="253"/>
    </row>
    <row r="332" ht="15.75" customHeight="1">
      <c r="A332" s="2"/>
      <c r="B332" s="259"/>
      <c r="C332" s="163"/>
      <c r="D332" s="259"/>
      <c r="E332" s="166"/>
      <c r="F332" s="163"/>
      <c r="G332" s="166"/>
      <c r="H332" s="166"/>
      <c r="I332" s="260"/>
      <c r="J332" s="178"/>
      <c r="K332" s="166"/>
      <c r="L332" s="166"/>
      <c r="M332" s="166"/>
      <c r="N332" s="178"/>
      <c r="O332" s="178"/>
      <c r="P332" s="178"/>
      <c r="Q332" s="178"/>
      <c r="R332" s="166"/>
      <c r="S332" s="177"/>
      <c r="T332" s="234"/>
      <c r="U332" s="234"/>
      <c r="V332" s="234"/>
      <c r="W332" s="165"/>
      <c r="X332" s="165"/>
      <c r="Y332" s="165"/>
      <c r="Z332" s="165"/>
      <c r="AA332" s="165"/>
      <c r="AB332" s="253"/>
      <c r="AC332" s="2"/>
      <c r="AD332" s="253"/>
      <c r="AE332" s="253"/>
      <c r="AF332" s="253"/>
      <c r="AG332" s="253"/>
      <c r="AH332" s="253"/>
      <c r="AI332" s="2"/>
      <c r="AJ332" s="253"/>
      <c r="AK332" s="253"/>
      <c r="AL332" s="253"/>
      <c r="AM332" s="253"/>
      <c r="AN332" s="253"/>
      <c r="AO332" s="2"/>
      <c r="AP332" s="253"/>
      <c r="AQ332" s="253"/>
      <c r="AR332" s="253"/>
      <c r="AS332" s="253"/>
      <c r="AT332" s="253"/>
      <c r="AU332" s="2"/>
      <c r="AV332" s="253"/>
      <c r="AW332" s="253"/>
      <c r="AX332" s="253"/>
      <c r="AY332" s="253"/>
    </row>
    <row r="333" ht="15.75" customHeight="1">
      <c r="A333" s="2"/>
      <c r="B333" s="259"/>
      <c r="C333" s="163"/>
      <c r="D333" s="259"/>
      <c r="E333" s="166"/>
      <c r="F333" s="163"/>
      <c r="G333" s="166"/>
      <c r="H333" s="166"/>
      <c r="I333" s="260"/>
      <c r="J333" s="178"/>
      <c r="K333" s="166"/>
      <c r="L333" s="166"/>
      <c r="M333" s="166"/>
      <c r="N333" s="178"/>
      <c r="O333" s="178"/>
      <c r="P333" s="178"/>
      <c r="Q333" s="178"/>
      <c r="R333" s="166"/>
      <c r="S333" s="177"/>
      <c r="T333" s="234"/>
      <c r="U333" s="234"/>
      <c r="V333" s="234"/>
      <c r="W333" s="165"/>
      <c r="X333" s="165"/>
      <c r="Y333" s="165"/>
      <c r="Z333" s="165"/>
      <c r="AA333" s="165"/>
      <c r="AB333" s="253"/>
      <c r="AC333" s="2"/>
      <c r="AD333" s="253"/>
      <c r="AE333" s="253"/>
      <c r="AF333" s="253"/>
      <c r="AG333" s="253"/>
      <c r="AH333" s="253"/>
      <c r="AI333" s="2"/>
      <c r="AJ333" s="253"/>
      <c r="AK333" s="253"/>
      <c r="AL333" s="253"/>
      <c r="AM333" s="253"/>
      <c r="AN333" s="253"/>
      <c r="AO333" s="2"/>
      <c r="AP333" s="253"/>
      <c r="AQ333" s="253"/>
      <c r="AR333" s="253"/>
      <c r="AS333" s="253"/>
      <c r="AT333" s="253"/>
      <c r="AU333" s="2"/>
      <c r="AV333" s="253"/>
      <c r="AW333" s="253"/>
      <c r="AX333" s="253"/>
      <c r="AY333" s="253"/>
    </row>
    <row r="334" ht="15.75" customHeight="1">
      <c r="A334" s="2"/>
      <c r="B334" s="259"/>
      <c r="C334" s="163"/>
      <c r="D334" s="259"/>
      <c r="E334" s="166"/>
      <c r="F334" s="163"/>
      <c r="G334" s="166"/>
      <c r="H334" s="166"/>
      <c r="I334" s="260"/>
      <c r="J334" s="178"/>
      <c r="K334" s="166"/>
      <c r="L334" s="166"/>
      <c r="M334" s="166"/>
      <c r="N334" s="178"/>
      <c r="O334" s="178"/>
      <c r="P334" s="178"/>
      <c r="Q334" s="178"/>
      <c r="R334" s="166"/>
      <c r="S334" s="177"/>
      <c r="T334" s="234"/>
      <c r="U334" s="234"/>
      <c r="V334" s="234"/>
      <c r="W334" s="165"/>
      <c r="X334" s="165"/>
      <c r="Y334" s="165"/>
      <c r="Z334" s="165"/>
      <c r="AA334" s="165"/>
      <c r="AB334" s="253"/>
      <c r="AC334" s="2"/>
      <c r="AD334" s="253"/>
      <c r="AE334" s="253"/>
      <c r="AF334" s="253"/>
      <c r="AG334" s="253"/>
      <c r="AH334" s="253"/>
      <c r="AI334" s="2"/>
      <c r="AJ334" s="253"/>
      <c r="AK334" s="253"/>
      <c r="AL334" s="253"/>
      <c r="AM334" s="253"/>
      <c r="AN334" s="253"/>
      <c r="AO334" s="2"/>
      <c r="AP334" s="253"/>
      <c r="AQ334" s="253"/>
      <c r="AR334" s="253"/>
      <c r="AS334" s="253"/>
      <c r="AT334" s="253"/>
      <c r="AU334" s="2"/>
      <c r="AV334" s="253"/>
      <c r="AW334" s="253"/>
      <c r="AX334" s="253"/>
      <c r="AY334" s="253"/>
    </row>
    <row r="335" ht="15.75" customHeight="1">
      <c r="A335" s="2"/>
      <c r="B335" s="259"/>
      <c r="C335" s="163"/>
      <c r="D335" s="259"/>
      <c r="E335" s="166"/>
      <c r="F335" s="163"/>
      <c r="G335" s="166"/>
      <c r="H335" s="166"/>
      <c r="I335" s="260"/>
      <c r="J335" s="178"/>
      <c r="K335" s="166"/>
      <c r="L335" s="166"/>
      <c r="M335" s="166"/>
      <c r="N335" s="178"/>
      <c r="O335" s="178"/>
      <c r="P335" s="178"/>
      <c r="Q335" s="178"/>
      <c r="R335" s="166"/>
      <c r="S335" s="177"/>
      <c r="T335" s="234"/>
      <c r="U335" s="234"/>
      <c r="V335" s="234"/>
      <c r="W335" s="165"/>
      <c r="X335" s="165"/>
      <c r="Y335" s="165"/>
      <c r="Z335" s="165"/>
      <c r="AA335" s="165"/>
      <c r="AB335" s="253"/>
      <c r="AC335" s="2"/>
      <c r="AD335" s="253"/>
      <c r="AE335" s="253"/>
      <c r="AF335" s="253"/>
      <c r="AG335" s="253"/>
      <c r="AH335" s="253"/>
      <c r="AI335" s="2"/>
      <c r="AJ335" s="253"/>
      <c r="AK335" s="253"/>
      <c r="AL335" s="253"/>
      <c r="AM335" s="253"/>
      <c r="AN335" s="253"/>
      <c r="AO335" s="2"/>
      <c r="AP335" s="253"/>
      <c r="AQ335" s="253"/>
      <c r="AR335" s="253"/>
      <c r="AS335" s="253"/>
      <c r="AT335" s="253"/>
      <c r="AU335" s="2"/>
      <c r="AV335" s="253"/>
      <c r="AW335" s="253"/>
      <c r="AX335" s="253"/>
      <c r="AY335" s="253"/>
    </row>
    <row r="336" ht="15.75" customHeight="1">
      <c r="A336" s="2"/>
      <c r="B336" s="259"/>
      <c r="C336" s="163"/>
      <c r="D336" s="259"/>
      <c r="E336" s="166"/>
      <c r="F336" s="163"/>
      <c r="G336" s="166"/>
      <c r="H336" s="166"/>
      <c r="I336" s="260"/>
      <c r="J336" s="178"/>
      <c r="K336" s="166"/>
      <c r="L336" s="166"/>
      <c r="M336" s="166"/>
      <c r="N336" s="178"/>
      <c r="O336" s="178"/>
      <c r="P336" s="178"/>
      <c r="Q336" s="178"/>
      <c r="R336" s="166"/>
      <c r="S336" s="177"/>
      <c r="T336" s="234"/>
      <c r="U336" s="234"/>
      <c r="V336" s="234"/>
      <c r="W336" s="165"/>
      <c r="X336" s="165"/>
      <c r="Y336" s="165"/>
      <c r="Z336" s="165"/>
      <c r="AA336" s="165"/>
      <c r="AB336" s="253"/>
      <c r="AC336" s="2"/>
      <c r="AD336" s="253"/>
      <c r="AE336" s="253"/>
      <c r="AF336" s="253"/>
      <c r="AG336" s="253"/>
      <c r="AH336" s="253"/>
      <c r="AI336" s="2"/>
      <c r="AJ336" s="253"/>
      <c r="AK336" s="253"/>
      <c r="AL336" s="253"/>
      <c r="AM336" s="253"/>
      <c r="AN336" s="253"/>
      <c r="AO336" s="2"/>
      <c r="AP336" s="253"/>
      <c r="AQ336" s="253"/>
      <c r="AR336" s="253"/>
      <c r="AS336" s="253"/>
      <c r="AT336" s="253"/>
      <c r="AU336" s="2"/>
      <c r="AV336" s="253"/>
      <c r="AW336" s="253"/>
      <c r="AX336" s="253"/>
      <c r="AY336" s="253"/>
    </row>
    <row r="337" ht="15.75" customHeight="1">
      <c r="A337" s="2"/>
      <c r="B337" s="259"/>
      <c r="C337" s="163"/>
      <c r="D337" s="259"/>
      <c r="E337" s="166"/>
      <c r="F337" s="163"/>
      <c r="G337" s="166"/>
      <c r="H337" s="166"/>
      <c r="I337" s="260"/>
      <c r="J337" s="178"/>
      <c r="K337" s="166"/>
      <c r="L337" s="166"/>
      <c r="M337" s="166"/>
      <c r="N337" s="178"/>
      <c r="O337" s="178"/>
      <c r="P337" s="178"/>
      <c r="Q337" s="178"/>
      <c r="R337" s="166"/>
      <c r="S337" s="177"/>
      <c r="T337" s="234"/>
      <c r="U337" s="234"/>
      <c r="V337" s="234"/>
      <c r="W337" s="165"/>
      <c r="X337" s="165"/>
      <c r="Y337" s="165"/>
      <c r="Z337" s="165"/>
      <c r="AA337" s="165"/>
      <c r="AB337" s="253"/>
      <c r="AC337" s="2"/>
      <c r="AD337" s="253"/>
      <c r="AE337" s="253"/>
      <c r="AF337" s="253"/>
      <c r="AG337" s="253"/>
      <c r="AH337" s="253"/>
      <c r="AI337" s="2"/>
      <c r="AJ337" s="253"/>
      <c r="AK337" s="253"/>
      <c r="AL337" s="253"/>
      <c r="AM337" s="253"/>
      <c r="AN337" s="253"/>
      <c r="AO337" s="2"/>
      <c r="AP337" s="253"/>
      <c r="AQ337" s="253"/>
      <c r="AR337" s="253"/>
      <c r="AS337" s="253"/>
      <c r="AT337" s="253"/>
      <c r="AU337" s="2"/>
      <c r="AV337" s="253"/>
      <c r="AW337" s="253"/>
      <c r="AX337" s="253"/>
      <c r="AY337" s="253"/>
    </row>
    <row r="338" ht="15.75" customHeight="1">
      <c r="A338" s="2"/>
      <c r="B338" s="259"/>
      <c r="C338" s="163"/>
      <c r="D338" s="259"/>
      <c r="E338" s="166"/>
      <c r="F338" s="163"/>
      <c r="G338" s="166"/>
      <c r="H338" s="166"/>
      <c r="I338" s="260"/>
      <c r="J338" s="178"/>
      <c r="K338" s="166"/>
      <c r="L338" s="166"/>
      <c r="M338" s="166"/>
      <c r="N338" s="178"/>
      <c r="O338" s="178"/>
      <c r="P338" s="178"/>
      <c r="Q338" s="178"/>
      <c r="R338" s="166"/>
      <c r="S338" s="177"/>
      <c r="T338" s="234"/>
      <c r="U338" s="234"/>
      <c r="V338" s="234"/>
      <c r="W338" s="165"/>
      <c r="X338" s="165"/>
      <c r="Y338" s="165"/>
      <c r="Z338" s="165"/>
      <c r="AA338" s="165"/>
      <c r="AB338" s="253"/>
      <c r="AC338" s="2"/>
      <c r="AD338" s="253"/>
      <c r="AE338" s="253"/>
      <c r="AF338" s="253"/>
      <c r="AG338" s="253"/>
      <c r="AH338" s="253"/>
      <c r="AI338" s="2"/>
      <c r="AJ338" s="253"/>
      <c r="AK338" s="253"/>
      <c r="AL338" s="253"/>
      <c r="AM338" s="253"/>
      <c r="AN338" s="253"/>
      <c r="AO338" s="2"/>
      <c r="AP338" s="253"/>
      <c r="AQ338" s="253"/>
      <c r="AR338" s="253"/>
      <c r="AS338" s="253"/>
      <c r="AT338" s="253"/>
      <c r="AU338" s="2"/>
      <c r="AV338" s="253"/>
      <c r="AW338" s="253"/>
      <c r="AX338" s="253"/>
      <c r="AY338" s="253"/>
    </row>
    <row r="339" ht="15.75" customHeight="1">
      <c r="A339" s="2"/>
      <c r="B339" s="259"/>
      <c r="C339" s="163"/>
      <c r="D339" s="259"/>
      <c r="E339" s="166"/>
      <c r="F339" s="163"/>
      <c r="G339" s="166"/>
      <c r="H339" s="166"/>
      <c r="I339" s="260"/>
      <c r="J339" s="178"/>
      <c r="K339" s="166"/>
      <c r="L339" s="166"/>
      <c r="M339" s="166"/>
      <c r="N339" s="178"/>
      <c r="O339" s="178"/>
      <c r="P339" s="178"/>
      <c r="Q339" s="178"/>
      <c r="R339" s="166"/>
      <c r="S339" s="177"/>
      <c r="T339" s="234"/>
      <c r="U339" s="234"/>
      <c r="V339" s="234"/>
      <c r="W339" s="165"/>
      <c r="X339" s="165"/>
      <c r="Y339" s="165"/>
      <c r="Z339" s="165"/>
      <c r="AA339" s="165"/>
      <c r="AB339" s="253"/>
      <c r="AC339" s="2"/>
      <c r="AD339" s="253"/>
      <c r="AE339" s="253"/>
      <c r="AF339" s="253"/>
      <c r="AG339" s="253"/>
      <c r="AH339" s="253"/>
      <c r="AI339" s="2"/>
      <c r="AJ339" s="253"/>
      <c r="AK339" s="253"/>
      <c r="AL339" s="253"/>
      <c r="AM339" s="253"/>
      <c r="AN339" s="253"/>
      <c r="AO339" s="2"/>
      <c r="AP339" s="253"/>
      <c r="AQ339" s="253"/>
      <c r="AR339" s="253"/>
      <c r="AS339" s="253"/>
      <c r="AT339" s="253"/>
      <c r="AU339" s="2"/>
      <c r="AV339" s="253"/>
      <c r="AW339" s="253"/>
      <c r="AX339" s="253"/>
      <c r="AY339" s="253"/>
    </row>
    <row r="340" ht="15.75" customHeight="1">
      <c r="A340" s="2"/>
      <c r="B340" s="259"/>
      <c r="C340" s="163"/>
      <c r="D340" s="259"/>
      <c r="E340" s="166"/>
      <c r="F340" s="163"/>
      <c r="G340" s="166"/>
      <c r="H340" s="166"/>
      <c r="I340" s="260"/>
      <c r="J340" s="178"/>
      <c r="K340" s="166"/>
      <c r="L340" s="166"/>
      <c r="M340" s="166"/>
      <c r="N340" s="178"/>
      <c r="O340" s="178"/>
      <c r="P340" s="178"/>
      <c r="Q340" s="178"/>
      <c r="R340" s="166"/>
      <c r="S340" s="177"/>
      <c r="T340" s="234"/>
      <c r="U340" s="234"/>
      <c r="V340" s="234"/>
      <c r="W340" s="165"/>
      <c r="X340" s="165"/>
      <c r="Y340" s="165"/>
      <c r="Z340" s="165"/>
      <c r="AA340" s="165"/>
      <c r="AB340" s="253"/>
      <c r="AC340" s="2"/>
      <c r="AD340" s="253"/>
      <c r="AE340" s="253"/>
      <c r="AF340" s="253"/>
      <c r="AG340" s="253"/>
      <c r="AH340" s="253"/>
      <c r="AI340" s="2"/>
      <c r="AJ340" s="253"/>
      <c r="AK340" s="253"/>
      <c r="AL340" s="253"/>
      <c r="AM340" s="253"/>
      <c r="AN340" s="253"/>
      <c r="AO340" s="2"/>
      <c r="AP340" s="253"/>
      <c r="AQ340" s="253"/>
      <c r="AR340" s="253"/>
      <c r="AS340" s="253"/>
      <c r="AT340" s="253"/>
      <c r="AU340" s="2"/>
      <c r="AV340" s="253"/>
      <c r="AW340" s="253"/>
      <c r="AX340" s="253"/>
      <c r="AY340" s="253"/>
    </row>
    <row r="341" ht="15.75" customHeight="1">
      <c r="A341" s="2"/>
      <c r="B341" s="259"/>
      <c r="C341" s="163"/>
      <c r="D341" s="262"/>
      <c r="E341" s="166"/>
      <c r="F341" s="163"/>
      <c r="G341" s="166"/>
      <c r="H341" s="166"/>
      <c r="I341" s="260"/>
      <c r="J341" s="178"/>
      <c r="K341" s="166"/>
      <c r="L341" s="166"/>
      <c r="M341" s="166"/>
      <c r="N341" s="178"/>
      <c r="O341" s="178"/>
      <c r="P341" s="178"/>
      <c r="Q341" s="178"/>
      <c r="R341" s="166"/>
      <c r="S341" s="177"/>
      <c r="T341" s="234"/>
      <c r="U341" s="234"/>
      <c r="V341" s="234"/>
      <c r="W341" s="165"/>
      <c r="X341" s="165"/>
      <c r="Y341" s="165"/>
      <c r="Z341" s="165"/>
      <c r="AA341" s="165"/>
      <c r="AB341" s="253"/>
      <c r="AC341" s="2"/>
      <c r="AD341" s="253"/>
      <c r="AE341" s="253"/>
      <c r="AF341" s="253"/>
      <c r="AG341" s="253"/>
      <c r="AH341" s="253"/>
      <c r="AI341" s="2"/>
      <c r="AJ341" s="253"/>
      <c r="AK341" s="253"/>
      <c r="AL341" s="253"/>
      <c r="AM341" s="253"/>
      <c r="AN341" s="253"/>
      <c r="AO341" s="2"/>
      <c r="AP341" s="253"/>
      <c r="AQ341" s="253"/>
      <c r="AR341" s="253"/>
      <c r="AS341" s="253"/>
      <c r="AT341" s="253"/>
      <c r="AU341" s="2"/>
      <c r="AV341" s="253"/>
      <c r="AW341" s="253"/>
      <c r="AX341" s="253"/>
      <c r="AY341" s="253"/>
    </row>
    <row r="342" ht="15.75" customHeight="1">
      <c r="A342" s="2"/>
      <c r="B342" s="259"/>
      <c r="C342" s="163"/>
      <c r="D342" s="259"/>
      <c r="E342" s="166"/>
      <c r="F342" s="163"/>
      <c r="G342" s="166"/>
      <c r="H342" s="166"/>
      <c r="I342" s="260"/>
      <c r="J342" s="178"/>
      <c r="K342" s="166"/>
      <c r="L342" s="166"/>
      <c r="M342" s="166"/>
      <c r="N342" s="178"/>
      <c r="O342" s="178"/>
      <c r="P342" s="178"/>
      <c r="Q342" s="178"/>
      <c r="R342" s="166"/>
      <c r="S342" s="177"/>
      <c r="T342" s="234"/>
      <c r="U342" s="234"/>
      <c r="V342" s="234"/>
      <c r="W342" s="165"/>
      <c r="X342" s="165"/>
      <c r="Y342" s="165"/>
      <c r="Z342" s="165"/>
      <c r="AA342" s="165"/>
      <c r="AB342" s="253"/>
      <c r="AC342" s="2"/>
      <c r="AD342" s="253"/>
      <c r="AE342" s="253"/>
      <c r="AF342" s="253"/>
      <c r="AG342" s="253"/>
      <c r="AH342" s="253"/>
      <c r="AI342" s="2"/>
      <c r="AJ342" s="253"/>
      <c r="AK342" s="253"/>
      <c r="AL342" s="253"/>
      <c r="AM342" s="253"/>
      <c r="AN342" s="253"/>
      <c r="AO342" s="2"/>
      <c r="AP342" s="253"/>
      <c r="AQ342" s="253"/>
      <c r="AR342" s="253"/>
      <c r="AS342" s="253"/>
      <c r="AT342" s="253"/>
      <c r="AU342" s="2"/>
      <c r="AV342" s="253"/>
      <c r="AW342" s="253"/>
      <c r="AX342" s="253"/>
      <c r="AY342" s="253"/>
    </row>
    <row r="343" ht="15.75" customHeight="1">
      <c r="A343" s="2"/>
      <c r="B343" s="259"/>
      <c r="C343" s="163"/>
      <c r="D343" s="259"/>
      <c r="E343" s="166"/>
      <c r="F343" s="163"/>
      <c r="G343" s="166"/>
      <c r="H343" s="166"/>
      <c r="I343" s="260"/>
      <c r="J343" s="178"/>
      <c r="K343" s="166"/>
      <c r="L343" s="166"/>
      <c r="M343" s="166"/>
      <c r="N343" s="178"/>
      <c r="O343" s="178"/>
      <c r="P343" s="178"/>
      <c r="Q343" s="178"/>
      <c r="R343" s="166"/>
      <c r="S343" s="177"/>
      <c r="T343" s="234"/>
      <c r="U343" s="234"/>
      <c r="V343" s="234"/>
      <c r="W343" s="165"/>
      <c r="X343" s="165"/>
      <c r="Y343" s="165"/>
      <c r="Z343" s="165"/>
      <c r="AA343" s="165"/>
      <c r="AB343" s="253"/>
      <c r="AC343" s="2"/>
      <c r="AD343" s="253"/>
      <c r="AE343" s="253"/>
      <c r="AF343" s="253"/>
      <c r="AG343" s="253"/>
      <c r="AH343" s="253"/>
      <c r="AI343" s="2"/>
      <c r="AJ343" s="253"/>
      <c r="AK343" s="253"/>
      <c r="AL343" s="253"/>
      <c r="AM343" s="253"/>
      <c r="AN343" s="253"/>
      <c r="AO343" s="2"/>
      <c r="AP343" s="253"/>
      <c r="AQ343" s="253"/>
      <c r="AR343" s="253"/>
      <c r="AS343" s="253"/>
      <c r="AT343" s="253"/>
      <c r="AU343" s="2"/>
      <c r="AV343" s="253"/>
      <c r="AW343" s="253"/>
      <c r="AX343" s="253"/>
      <c r="AY343" s="253"/>
    </row>
    <row r="344" ht="15.75" customHeight="1">
      <c r="A344" s="2"/>
      <c r="B344" s="259"/>
      <c r="C344" s="163"/>
      <c r="D344" s="259"/>
      <c r="E344" s="166"/>
      <c r="F344" s="163"/>
      <c r="G344" s="166"/>
      <c r="H344" s="166"/>
      <c r="I344" s="260"/>
      <c r="J344" s="178"/>
      <c r="K344" s="166"/>
      <c r="L344" s="166"/>
      <c r="M344" s="166"/>
      <c r="N344" s="178"/>
      <c r="O344" s="178"/>
      <c r="P344" s="178"/>
      <c r="Q344" s="178"/>
      <c r="R344" s="166"/>
      <c r="S344" s="177"/>
      <c r="T344" s="234"/>
      <c r="U344" s="234"/>
      <c r="V344" s="234"/>
      <c r="W344" s="165"/>
      <c r="X344" s="165"/>
      <c r="Y344" s="165"/>
      <c r="Z344" s="165"/>
      <c r="AA344" s="165"/>
      <c r="AB344" s="253"/>
      <c r="AC344" s="2"/>
      <c r="AD344" s="253"/>
      <c r="AE344" s="253"/>
      <c r="AF344" s="253"/>
      <c r="AG344" s="253"/>
      <c r="AH344" s="253"/>
      <c r="AI344" s="2"/>
      <c r="AJ344" s="253"/>
      <c r="AK344" s="253"/>
      <c r="AL344" s="253"/>
      <c r="AM344" s="253"/>
      <c r="AN344" s="253"/>
      <c r="AO344" s="2"/>
      <c r="AP344" s="253"/>
      <c r="AQ344" s="253"/>
      <c r="AR344" s="253"/>
      <c r="AS344" s="253"/>
      <c r="AT344" s="253"/>
      <c r="AU344" s="2"/>
      <c r="AV344" s="253"/>
      <c r="AW344" s="253"/>
      <c r="AX344" s="253"/>
      <c r="AY344" s="253"/>
    </row>
    <row r="345" ht="15.75" customHeight="1">
      <c r="A345" s="2"/>
      <c r="B345" s="259"/>
      <c r="C345" s="163"/>
      <c r="D345" s="259"/>
      <c r="E345" s="166"/>
      <c r="F345" s="163"/>
      <c r="G345" s="166"/>
      <c r="H345" s="166"/>
      <c r="I345" s="260"/>
      <c r="J345" s="178"/>
      <c r="K345" s="166"/>
      <c r="L345" s="166"/>
      <c r="M345" s="166"/>
      <c r="N345" s="178"/>
      <c r="O345" s="178"/>
      <c r="P345" s="178"/>
      <c r="Q345" s="178"/>
      <c r="R345" s="166"/>
      <c r="S345" s="177"/>
      <c r="T345" s="234"/>
      <c r="U345" s="234"/>
      <c r="V345" s="234"/>
      <c r="W345" s="165"/>
      <c r="X345" s="165"/>
      <c r="Y345" s="165"/>
      <c r="Z345" s="165"/>
      <c r="AA345" s="165"/>
      <c r="AB345" s="253"/>
      <c r="AC345" s="2"/>
      <c r="AD345" s="253"/>
      <c r="AE345" s="253"/>
      <c r="AF345" s="253"/>
      <c r="AG345" s="253"/>
      <c r="AH345" s="253"/>
      <c r="AI345" s="2"/>
      <c r="AJ345" s="253"/>
      <c r="AK345" s="253"/>
      <c r="AL345" s="253"/>
      <c r="AM345" s="253"/>
      <c r="AN345" s="253"/>
      <c r="AO345" s="2"/>
      <c r="AP345" s="253"/>
      <c r="AQ345" s="253"/>
      <c r="AR345" s="253"/>
      <c r="AS345" s="253"/>
      <c r="AT345" s="253"/>
      <c r="AU345" s="2"/>
      <c r="AV345" s="253"/>
      <c r="AW345" s="253"/>
      <c r="AX345" s="253"/>
      <c r="AY345" s="253"/>
    </row>
    <row r="346" ht="15.75" customHeight="1">
      <c r="A346" s="2"/>
      <c r="B346" s="259"/>
      <c r="C346" s="163"/>
      <c r="D346" s="259"/>
      <c r="E346" s="166"/>
      <c r="F346" s="163"/>
      <c r="G346" s="166"/>
      <c r="H346" s="166"/>
      <c r="I346" s="260"/>
      <c r="J346" s="178"/>
      <c r="K346" s="166"/>
      <c r="L346" s="166"/>
      <c r="M346" s="166"/>
      <c r="N346" s="178"/>
      <c r="O346" s="178"/>
      <c r="P346" s="178"/>
      <c r="Q346" s="178"/>
      <c r="R346" s="166"/>
      <c r="S346" s="177"/>
      <c r="T346" s="234"/>
      <c r="U346" s="234"/>
      <c r="V346" s="234"/>
      <c r="W346" s="165"/>
      <c r="X346" s="165"/>
      <c r="Y346" s="165"/>
      <c r="Z346" s="165"/>
      <c r="AA346" s="165"/>
      <c r="AB346" s="253"/>
      <c r="AC346" s="2"/>
      <c r="AD346" s="253"/>
      <c r="AE346" s="253"/>
      <c r="AF346" s="253"/>
      <c r="AG346" s="253"/>
      <c r="AH346" s="253"/>
      <c r="AI346" s="2"/>
      <c r="AJ346" s="253"/>
      <c r="AK346" s="253"/>
      <c r="AL346" s="253"/>
      <c r="AM346" s="253"/>
      <c r="AN346" s="253"/>
      <c r="AO346" s="2"/>
      <c r="AP346" s="253"/>
      <c r="AQ346" s="253"/>
      <c r="AR346" s="253"/>
      <c r="AS346" s="253"/>
      <c r="AT346" s="253"/>
      <c r="AU346" s="2"/>
      <c r="AV346" s="253"/>
      <c r="AW346" s="253"/>
      <c r="AX346" s="253"/>
      <c r="AY346" s="253"/>
    </row>
    <row r="347" ht="15.75" customHeight="1">
      <c r="A347" s="2"/>
      <c r="B347" s="259"/>
      <c r="C347" s="163"/>
      <c r="D347" s="259"/>
      <c r="E347" s="166"/>
      <c r="F347" s="163"/>
      <c r="G347" s="166"/>
      <c r="H347" s="166"/>
      <c r="I347" s="260"/>
      <c r="J347" s="178"/>
      <c r="K347" s="166"/>
      <c r="L347" s="166"/>
      <c r="M347" s="166"/>
      <c r="N347" s="178"/>
      <c r="O347" s="178"/>
      <c r="P347" s="178"/>
      <c r="Q347" s="178"/>
      <c r="R347" s="166"/>
      <c r="S347" s="177"/>
      <c r="T347" s="234"/>
      <c r="U347" s="234"/>
      <c r="V347" s="234"/>
      <c r="W347" s="165"/>
      <c r="X347" s="165"/>
      <c r="Y347" s="165"/>
      <c r="Z347" s="165"/>
      <c r="AA347" s="165"/>
      <c r="AB347" s="253"/>
      <c r="AC347" s="2"/>
      <c r="AD347" s="253"/>
      <c r="AE347" s="253"/>
      <c r="AF347" s="253"/>
      <c r="AG347" s="253"/>
      <c r="AH347" s="253"/>
      <c r="AI347" s="2"/>
      <c r="AJ347" s="253"/>
      <c r="AK347" s="253"/>
      <c r="AL347" s="253"/>
      <c r="AM347" s="253"/>
      <c r="AN347" s="253"/>
      <c r="AO347" s="2"/>
      <c r="AP347" s="253"/>
      <c r="AQ347" s="253"/>
      <c r="AR347" s="253"/>
      <c r="AS347" s="253"/>
      <c r="AT347" s="253"/>
      <c r="AU347" s="2"/>
      <c r="AV347" s="253"/>
      <c r="AW347" s="253"/>
      <c r="AX347" s="253"/>
      <c r="AY347" s="253"/>
    </row>
    <row r="348" ht="15.75" customHeight="1">
      <c r="A348" s="2"/>
      <c r="B348" s="259"/>
      <c r="C348" s="163"/>
      <c r="D348" s="259"/>
      <c r="E348" s="166"/>
      <c r="F348" s="163"/>
      <c r="G348" s="166"/>
      <c r="H348" s="166"/>
      <c r="I348" s="260"/>
      <c r="J348" s="178"/>
      <c r="K348" s="166"/>
      <c r="L348" s="166"/>
      <c r="M348" s="166"/>
      <c r="N348" s="178"/>
      <c r="O348" s="178"/>
      <c r="P348" s="178"/>
      <c r="Q348" s="178"/>
      <c r="R348" s="166"/>
      <c r="S348" s="177"/>
      <c r="T348" s="234"/>
      <c r="U348" s="234"/>
      <c r="V348" s="234"/>
      <c r="W348" s="165"/>
      <c r="X348" s="165"/>
      <c r="Y348" s="165"/>
      <c r="Z348" s="165"/>
      <c r="AA348" s="165"/>
      <c r="AB348" s="253"/>
      <c r="AC348" s="2"/>
      <c r="AD348" s="253"/>
      <c r="AE348" s="253"/>
      <c r="AF348" s="253"/>
      <c r="AG348" s="253"/>
      <c r="AH348" s="253"/>
      <c r="AI348" s="2"/>
      <c r="AJ348" s="253"/>
      <c r="AK348" s="253"/>
      <c r="AL348" s="253"/>
      <c r="AM348" s="253"/>
      <c r="AN348" s="253"/>
      <c r="AO348" s="2"/>
      <c r="AP348" s="253"/>
      <c r="AQ348" s="253"/>
      <c r="AR348" s="253"/>
      <c r="AS348" s="253"/>
      <c r="AT348" s="253"/>
      <c r="AU348" s="2"/>
      <c r="AV348" s="253"/>
      <c r="AW348" s="253"/>
      <c r="AX348" s="253"/>
      <c r="AY348" s="253"/>
    </row>
    <row r="349" ht="15.75" customHeight="1">
      <c r="A349" s="2"/>
      <c r="B349" s="259"/>
      <c r="C349" s="163"/>
      <c r="D349" s="259"/>
      <c r="E349" s="166"/>
      <c r="F349" s="163"/>
      <c r="G349" s="166"/>
      <c r="H349" s="166"/>
      <c r="I349" s="260"/>
      <c r="J349" s="178"/>
      <c r="K349" s="166"/>
      <c r="L349" s="166"/>
      <c r="M349" s="166"/>
      <c r="N349" s="178"/>
      <c r="O349" s="178"/>
      <c r="P349" s="178"/>
      <c r="Q349" s="178"/>
      <c r="R349" s="166"/>
      <c r="S349" s="177"/>
      <c r="T349" s="234"/>
      <c r="U349" s="234"/>
      <c r="V349" s="234"/>
      <c r="W349" s="165"/>
      <c r="X349" s="165"/>
      <c r="Y349" s="165"/>
      <c r="Z349" s="165"/>
      <c r="AA349" s="165"/>
      <c r="AB349" s="253"/>
      <c r="AC349" s="2"/>
      <c r="AD349" s="253"/>
      <c r="AE349" s="253"/>
      <c r="AF349" s="253"/>
      <c r="AG349" s="253"/>
      <c r="AH349" s="253"/>
      <c r="AI349" s="2"/>
      <c r="AJ349" s="253"/>
      <c r="AK349" s="253"/>
      <c r="AL349" s="253"/>
      <c r="AM349" s="253"/>
      <c r="AN349" s="253"/>
      <c r="AO349" s="2"/>
      <c r="AP349" s="253"/>
      <c r="AQ349" s="253"/>
      <c r="AR349" s="253"/>
      <c r="AS349" s="253"/>
      <c r="AT349" s="253"/>
      <c r="AU349" s="2"/>
      <c r="AV349" s="253"/>
      <c r="AW349" s="253"/>
      <c r="AX349" s="253"/>
      <c r="AY349" s="253"/>
    </row>
    <row r="350" ht="15.75" customHeight="1">
      <c r="A350" s="2"/>
      <c r="B350" s="259"/>
      <c r="C350" s="163"/>
      <c r="D350" s="259"/>
      <c r="E350" s="166"/>
      <c r="F350" s="163"/>
      <c r="G350" s="166"/>
      <c r="H350" s="166"/>
      <c r="I350" s="260"/>
      <c r="J350" s="178"/>
      <c r="K350" s="166"/>
      <c r="L350" s="166"/>
      <c r="M350" s="166"/>
      <c r="N350" s="178"/>
      <c r="O350" s="178"/>
      <c r="P350" s="178"/>
      <c r="Q350" s="178"/>
      <c r="R350" s="166"/>
      <c r="S350" s="177"/>
      <c r="T350" s="234"/>
      <c r="U350" s="234"/>
      <c r="V350" s="234"/>
      <c r="W350" s="165"/>
      <c r="X350" s="165"/>
      <c r="Y350" s="165"/>
      <c r="Z350" s="165"/>
      <c r="AA350" s="165"/>
      <c r="AB350" s="253"/>
      <c r="AC350" s="2"/>
      <c r="AD350" s="253"/>
      <c r="AE350" s="253"/>
      <c r="AF350" s="253"/>
      <c r="AG350" s="253"/>
      <c r="AH350" s="253"/>
      <c r="AI350" s="2"/>
      <c r="AJ350" s="253"/>
      <c r="AK350" s="253"/>
      <c r="AL350" s="253"/>
      <c r="AM350" s="253"/>
      <c r="AN350" s="253"/>
      <c r="AO350" s="2"/>
      <c r="AP350" s="253"/>
      <c r="AQ350" s="253"/>
      <c r="AR350" s="253"/>
      <c r="AS350" s="253"/>
      <c r="AT350" s="253"/>
      <c r="AU350" s="2"/>
      <c r="AV350" s="253"/>
      <c r="AW350" s="253"/>
      <c r="AX350" s="253"/>
      <c r="AY350" s="253"/>
    </row>
    <row r="351" ht="15.75" customHeight="1">
      <c r="A351" s="2"/>
      <c r="B351" s="259"/>
      <c r="C351" s="163"/>
      <c r="D351" s="259"/>
      <c r="E351" s="166"/>
      <c r="F351" s="163"/>
      <c r="G351" s="166"/>
      <c r="H351" s="166"/>
      <c r="I351" s="260"/>
      <c r="J351" s="178"/>
      <c r="K351" s="166"/>
      <c r="L351" s="166"/>
      <c r="M351" s="166"/>
      <c r="N351" s="178"/>
      <c r="O351" s="178"/>
      <c r="P351" s="178"/>
      <c r="Q351" s="178"/>
      <c r="R351" s="166"/>
      <c r="S351" s="177"/>
      <c r="T351" s="234"/>
      <c r="U351" s="234"/>
      <c r="V351" s="234"/>
      <c r="W351" s="165"/>
      <c r="X351" s="165"/>
      <c r="Y351" s="165"/>
      <c r="Z351" s="165"/>
      <c r="AA351" s="165"/>
      <c r="AB351" s="253"/>
      <c r="AC351" s="2"/>
      <c r="AD351" s="253"/>
      <c r="AE351" s="253"/>
      <c r="AF351" s="253"/>
      <c r="AG351" s="253"/>
      <c r="AH351" s="253"/>
      <c r="AI351" s="2"/>
      <c r="AJ351" s="253"/>
      <c r="AK351" s="253"/>
      <c r="AL351" s="253"/>
      <c r="AM351" s="253"/>
      <c r="AN351" s="253"/>
      <c r="AO351" s="2"/>
      <c r="AP351" s="253"/>
      <c r="AQ351" s="253"/>
      <c r="AR351" s="253"/>
      <c r="AS351" s="253"/>
      <c r="AT351" s="253"/>
      <c r="AU351" s="2"/>
      <c r="AV351" s="253"/>
      <c r="AW351" s="253"/>
      <c r="AX351" s="253"/>
      <c r="AY351" s="253"/>
    </row>
    <row r="352" ht="15.75" customHeight="1">
      <c r="A352" s="2"/>
      <c r="B352" s="259"/>
      <c r="C352" s="163"/>
      <c r="D352" s="259"/>
      <c r="E352" s="166"/>
      <c r="F352" s="163"/>
      <c r="G352" s="166"/>
      <c r="H352" s="166"/>
      <c r="I352" s="260"/>
      <c r="J352" s="178"/>
      <c r="K352" s="166"/>
      <c r="L352" s="166"/>
      <c r="M352" s="166"/>
      <c r="N352" s="178"/>
      <c r="O352" s="178"/>
      <c r="P352" s="178"/>
      <c r="Q352" s="178"/>
      <c r="R352" s="166"/>
      <c r="S352" s="177"/>
      <c r="T352" s="234"/>
      <c r="U352" s="234"/>
      <c r="V352" s="234"/>
      <c r="W352" s="165"/>
      <c r="X352" s="165"/>
      <c r="Y352" s="165"/>
      <c r="Z352" s="165"/>
      <c r="AA352" s="165"/>
      <c r="AB352" s="253"/>
      <c r="AC352" s="2"/>
      <c r="AD352" s="253"/>
      <c r="AE352" s="253"/>
      <c r="AF352" s="253"/>
      <c r="AG352" s="253"/>
      <c r="AH352" s="253"/>
      <c r="AI352" s="2"/>
      <c r="AJ352" s="253"/>
      <c r="AK352" s="253"/>
      <c r="AL352" s="253"/>
      <c r="AM352" s="253"/>
      <c r="AN352" s="253"/>
      <c r="AO352" s="2"/>
      <c r="AP352" s="253"/>
      <c r="AQ352" s="253"/>
      <c r="AR352" s="253"/>
      <c r="AS352" s="253"/>
      <c r="AT352" s="253"/>
      <c r="AU352" s="2"/>
      <c r="AV352" s="253"/>
      <c r="AW352" s="253"/>
      <c r="AX352" s="253"/>
      <c r="AY352" s="253"/>
    </row>
    <row r="353" ht="15.75" customHeight="1">
      <c r="A353" s="2"/>
      <c r="B353" s="259"/>
      <c r="C353" s="163"/>
      <c r="D353" s="259"/>
      <c r="E353" s="166"/>
      <c r="F353" s="163"/>
      <c r="G353" s="166"/>
      <c r="H353" s="166"/>
      <c r="I353" s="260"/>
      <c r="J353" s="178"/>
      <c r="K353" s="166"/>
      <c r="L353" s="166"/>
      <c r="M353" s="166"/>
      <c r="N353" s="178"/>
      <c r="O353" s="178"/>
      <c r="P353" s="178"/>
      <c r="Q353" s="178"/>
      <c r="R353" s="166"/>
      <c r="S353" s="177"/>
      <c r="T353" s="234"/>
      <c r="U353" s="234"/>
      <c r="V353" s="234"/>
      <c r="W353" s="165"/>
      <c r="X353" s="165"/>
      <c r="Y353" s="165"/>
      <c r="Z353" s="165"/>
      <c r="AA353" s="165"/>
      <c r="AB353" s="253"/>
      <c r="AC353" s="2"/>
      <c r="AD353" s="253"/>
      <c r="AE353" s="253"/>
      <c r="AF353" s="253"/>
      <c r="AG353" s="253"/>
      <c r="AH353" s="253"/>
      <c r="AI353" s="2"/>
      <c r="AJ353" s="253"/>
      <c r="AK353" s="253"/>
      <c r="AL353" s="253"/>
      <c r="AM353" s="253"/>
      <c r="AN353" s="253"/>
      <c r="AO353" s="2"/>
      <c r="AP353" s="253"/>
      <c r="AQ353" s="253"/>
      <c r="AR353" s="253"/>
      <c r="AS353" s="253"/>
      <c r="AT353" s="253"/>
      <c r="AU353" s="2"/>
      <c r="AV353" s="253"/>
      <c r="AW353" s="253"/>
      <c r="AX353" s="253"/>
      <c r="AY353" s="253"/>
    </row>
    <row r="354" ht="15.75" customHeight="1">
      <c r="A354" s="2"/>
      <c r="B354" s="259"/>
      <c r="C354" s="163"/>
      <c r="D354" s="259"/>
      <c r="E354" s="166"/>
      <c r="F354" s="163"/>
      <c r="G354" s="166"/>
      <c r="H354" s="166"/>
      <c r="I354" s="260"/>
      <c r="J354" s="178"/>
      <c r="K354" s="166"/>
      <c r="L354" s="166"/>
      <c r="M354" s="166"/>
      <c r="N354" s="178"/>
      <c r="O354" s="178"/>
      <c r="P354" s="178"/>
      <c r="Q354" s="178"/>
      <c r="R354" s="166"/>
      <c r="S354" s="177"/>
      <c r="T354" s="234"/>
      <c r="U354" s="234"/>
      <c r="V354" s="234"/>
      <c r="W354" s="165"/>
      <c r="X354" s="165"/>
      <c r="Y354" s="165"/>
      <c r="Z354" s="165"/>
      <c r="AA354" s="165"/>
      <c r="AB354" s="253"/>
      <c r="AC354" s="2"/>
      <c r="AD354" s="253"/>
      <c r="AE354" s="253"/>
      <c r="AF354" s="253"/>
      <c r="AG354" s="253"/>
      <c r="AH354" s="253"/>
      <c r="AI354" s="2"/>
      <c r="AJ354" s="253"/>
      <c r="AK354" s="253"/>
      <c r="AL354" s="253"/>
      <c r="AM354" s="253"/>
      <c r="AN354" s="253"/>
      <c r="AO354" s="2"/>
      <c r="AP354" s="253"/>
      <c r="AQ354" s="253"/>
      <c r="AR354" s="253"/>
      <c r="AS354" s="253"/>
      <c r="AT354" s="253"/>
      <c r="AU354" s="2"/>
      <c r="AV354" s="253"/>
      <c r="AW354" s="253"/>
      <c r="AX354" s="253"/>
      <c r="AY354" s="253"/>
    </row>
    <row r="355" ht="15.75" customHeight="1">
      <c r="A355" s="2"/>
      <c r="B355" s="259"/>
      <c r="C355" s="163"/>
      <c r="D355" s="259"/>
      <c r="E355" s="166"/>
      <c r="F355" s="163"/>
      <c r="G355" s="166"/>
      <c r="H355" s="166"/>
      <c r="I355" s="260"/>
      <c r="J355" s="178"/>
      <c r="K355" s="166"/>
      <c r="L355" s="166"/>
      <c r="M355" s="166"/>
      <c r="N355" s="178"/>
      <c r="O355" s="178"/>
      <c r="P355" s="178"/>
      <c r="Q355" s="178"/>
      <c r="R355" s="166"/>
      <c r="S355" s="177"/>
      <c r="T355" s="234"/>
      <c r="U355" s="234"/>
      <c r="V355" s="234"/>
      <c r="W355" s="165"/>
      <c r="X355" s="165"/>
      <c r="Y355" s="165"/>
      <c r="Z355" s="165"/>
      <c r="AA355" s="165"/>
      <c r="AB355" s="253"/>
      <c r="AC355" s="2"/>
      <c r="AD355" s="253"/>
      <c r="AE355" s="253"/>
      <c r="AF355" s="253"/>
      <c r="AG355" s="253"/>
      <c r="AH355" s="253"/>
      <c r="AI355" s="2"/>
      <c r="AJ355" s="253"/>
      <c r="AK355" s="253"/>
      <c r="AL355" s="253"/>
      <c r="AM355" s="253"/>
      <c r="AN355" s="253"/>
      <c r="AO355" s="2"/>
      <c r="AP355" s="253"/>
      <c r="AQ355" s="253"/>
      <c r="AR355" s="253"/>
      <c r="AS355" s="253"/>
      <c r="AT355" s="253"/>
      <c r="AU355" s="2"/>
      <c r="AV355" s="253"/>
      <c r="AW355" s="253"/>
      <c r="AX355" s="253"/>
      <c r="AY355" s="253"/>
    </row>
    <row r="356" ht="15.75" customHeight="1">
      <c r="A356" s="2"/>
      <c r="B356" s="259"/>
      <c r="C356" s="163"/>
      <c r="D356" s="259"/>
      <c r="E356" s="166"/>
      <c r="F356" s="163"/>
      <c r="G356" s="166"/>
      <c r="H356" s="166"/>
      <c r="I356" s="260"/>
      <c r="J356" s="178"/>
      <c r="K356" s="166"/>
      <c r="L356" s="166"/>
      <c r="M356" s="166"/>
      <c r="N356" s="178"/>
      <c r="O356" s="178"/>
      <c r="P356" s="178"/>
      <c r="Q356" s="178"/>
      <c r="R356" s="166"/>
      <c r="S356" s="177"/>
      <c r="T356" s="234"/>
      <c r="U356" s="234"/>
      <c r="V356" s="234"/>
      <c r="W356" s="165"/>
      <c r="X356" s="165"/>
      <c r="Y356" s="165"/>
      <c r="Z356" s="165"/>
      <c r="AA356" s="165"/>
      <c r="AB356" s="253"/>
      <c r="AC356" s="2"/>
      <c r="AD356" s="253"/>
      <c r="AE356" s="253"/>
      <c r="AF356" s="253"/>
      <c r="AG356" s="253"/>
      <c r="AH356" s="253"/>
      <c r="AI356" s="2"/>
      <c r="AJ356" s="253"/>
      <c r="AK356" s="253"/>
      <c r="AL356" s="253"/>
      <c r="AM356" s="253"/>
      <c r="AN356" s="253"/>
      <c r="AO356" s="2"/>
      <c r="AP356" s="253"/>
      <c r="AQ356" s="253"/>
      <c r="AR356" s="253"/>
      <c r="AS356" s="253"/>
      <c r="AT356" s="253"/>
      <c r="AU356" s="2"/>
      <c r="AV356" s="253"/>
      <c r="AW356" s="253"/>
      <c r="AX356" s="253"/>
      <c r="AY356" s="253"/>
    </row>
    <row r="357" ht="15.75" customHeight="1">
      <c r="A357" s="2"/>
      <c r="B357" s="259"/>
      <c r="C357" s="163"/>
      <c r="D357" s="259"/>
      <c r="E357" s="166"/>
      <c r="F357" s="163"/>
      <c r="G357" s="166"/>
      <c r="H357" s="166"/>
      <c r="I357" s="260"/>
      <c r="J357" s="178"/>
      <c r="K357" s="166"/>
      <c r="L357" s="166"/>
      <c r="M357" s="166"/>
      <c r="N357" s="178"/>
      <c r="O357" s="178"/>
      <c r="P357" s="178"/>
      <c r="Q357" s="178"/>
      <c r="R357" s="166"/>
      <c r="S357" s="177"/>
      <c r="T357" s="234"/>
      <c r="U357" s="234"/>
      <c r="V357" s="234"/>
      <c r="W357" s="165"/>
      <c r="X357" s="165"/>
      <c r="Y357" s="165"/>
      <c r="Z357" s="165"/>
      <c r="AA357" s="165"/>
      <c r="AB357" s="253"/>
      <c r="AC357" s="2"/>
      <c r="AD357" s="253"/>
      <c r="AE357" s="253"/>
      <c r="AF357" s="253"/>
      <c r="AG357" s="253"/>
      <c r="AH357" s="253"/>
      <c r="AI357" s="2"/>
      <c r="AJ357" s="253"/>
      <c r="AK357" s="253"/>
      <c r="AL357" s="253"/>
      <c r="AM357" s="253"/>
      <c r="AN357" s="253"/>
      <c r="AO357" s="2"/>
      <c r="AP357" s="253"/>
      <c r="AQ357" s="253"/>
      <c r="AR357" s="253"/>
      <c r="AS357" s="253"/>
      <c r="AT357" s="253"/>
      <c r="AU357" s="2"/>
      <c r="AV357" s="253"/>
      <c r="AW357" s="253"/>
      <c r="AX357" s="253"/>
      <c r="AY357" s="253"/>
    </row>
    <row r="358" ht="15.75" customHeight="1">
      <c r="A358" s="2"/>
      <c r="B358" s="259"/>
      <c r="C358" s="163"/>
      <c r="D358" s="259"/>
      <c r="E358" s="166"/>
      <c r="F358" s="163"/>
      <c r="G358" s="166"/>
      <c r="H358" s="166"/>
      <c r="I358" s="260"/>
      <c r="J358" s="178"/>
      <c r="K358" s="166"/>
      <c r="L358" s="166"/>
      <c r="M358" s="166"/>
      <c r="N358" s="178"/>
      <c r="O358" s="178"/>
      <c r="P358" s="178"/>
      <c r="Q358" s="178"/>
      <c r="R358" s="166"/>
      <c r="S358" s="177"/>
      <c r="T358" s="234"/>
      <c r="U358" s="234"/>
      <c r="V358" s="234"/>
      <c r="W358" s="165"/>
      <c r="X358" s="165"/>
      <c r="Y358" s="165"/>
      <c r="Z358" s="165"/>
      <c r="AA358" s="165"/>
      <c r="AB358" s="253"/>
      <c r="AC358" s="2"/>
      <c r="AD358" s="253"/>
      <c r="AE358" s="253"/>
      <c r="AF358" s="253"/>
      <c r="AG358" s="253"/>
      <c r="AH358" s="253"/>
      <c r="AI358" s="2"/>
      <c r="AJ358" s="253"/>
      <c r="AK358" s="253"/>
      <c r="AL358" s="253"/>
      <c r="AM358" s="253"/>
      <c r="AN358" s="253"/>
      <c r="AO358" s="2"/>
      <c r="AP358" s="253"/>
      <c r="AQ358" s="253"/>
      <c r="AR358" s="253"/>
      <c r="AS358" s="253"/>
      <c r="AT358" s="253"/>
      <c r="AU358" s="2"/>
      <c r="AV358" s="253"/>
      <c r="AW358" s="253"/>
      <c r="AX358" s="253"/>
      <c r="AY358" s="253"/>
    </row>
    <row r="359" ht="15.75" customHeight="1">
      <c r="A359" s="2"/>
      <c r="B359" s="259"/>
      <c r="C359" s="163"/>
      <c r="D359" s="259"/>
      <c r="E359" s="166"/>
      <c r="F359" s="163"/>
      <c r="G359" s="166"/>
      <c r="H359" s="166"/>
      <c r="I359" s="260"/>
      <c r="J359" s="178"/>
      <c r="K359" s="166"/>
      <c r="L359" s="166"/>
      <c r="M359" s="166"/>
      <c r="N359" s="178"/>
      <c r="O359" s="178"/>
      <c r="P359" s="178"/>
      <c r="Q359" s="178"/>
      <c r="R359" s="166"/>
      <c r="S359" s="177"/>
      <c r="T359" s="234"/>
      <c r="U359" s="234"/>
      <c r="V359" s="234"/>
      <c r="W359" s="165"/>
      <c r="X359" s="165"/>
      <c r="Y359" s="165"/>
      <c r="Z359" s="165"/>
      <c r="AA359" s="165"/>
      <c r="AB359" s="253"/>
      <c r="AC359" s="2"/>
      <c r="AD359" s="253"/>
      <c r="AE359" s="253"/>
      <c r="AF359" s="253"/>
      <c r="AG359" s="253"/>
      <c r="AH359" s="253"/>
      <c r="AI359" s="2"/>
      <c r="AJ359" s="253"/>
      <c r="AK359" s="253"/>
      <c r="AL359" s="253"/>
      <c r="AM359" s="253"/>
      <c r="AN359" s="253"/>
      <c r="AO359" s="2"/>
      <c r="AP359" s="253"/>
      <c r="AQ359" s="253"/>
      <c r="AR359" s="253"/>
      <c r="AS359" s="253"/>
      <c r="AT359" s="253"/>
      <c r="AU359" s="2"/>
      <c r="AV359" s="253"/>
      <c r="AW359" s="253"/>
      <c r="AX359" s="253"/>
      <c r="AY359" s="253"/>
    </row>
    <row r="360" ht="15.75" customHeight="1">
      <c r="A360" s="2"/>
      <c r="B360" s="259"/>
      <c r="C360" s="163"/>
      <c r="D360" s="259"/>
      <c r="E360" s="166"/>
      <c r="F360" s="163"/>
      <c r="G360" s="166"/>
      <c r="H360" s="166"/>
      <c r="I360" s="260"/>
      <c r="J360" s="178"/>
      <c r="K360" s="166"/>
      <c r="L360" s="166"/>
      <c r="M360" s="166"/>
      <c r="N360" s="178"/>
      <c r="O360" s="178"/>
      <c r="P360" s="178"/>
      <c r="Q360" s="178"/>
      <c r="R360" s="166"/>
      <c r="S360" s="177"/>
      <c r="T360" s="234"/>
      <c r="U360" s="234"/>
      <c r="V360" s="234"/>
      <c r="W360" s="165"/>
      <c r="X360" s="165"/>
      <c r="Y360" s="165"/>
      <c r="Z360" s="165"/>
      <c r="AA360" s="165"/>
      <c r="AB360" s="253"/>
      <c r="AC360" s="2"/>
      <c r="AD360" s="253"/>
      <c r="AE360" s="253"/>
      <c r="AF360" s="253"/>
      <c r="AG360" s="253"/>
      <c r="AH360" s="253"/>
      <c r="AI360" s="2"/>
      <c r="AJ360" s="253"/>
      <c r="AK360" s="253"/>
      <c r="AL360" s="253"/>
      <c r="AM360" s="253"/>
      <c r="AN360" s="253"/>
      <c r="AO360" s="2"/>
      <c r="AP360" s="253"/>
      <c r="AQ360" s="253"/>
      <c r="AR360" s="253"/>
      <c r="AS360" s="253"/>
      <c r="AT360" s="253"/>
      <c r="AU360" s="2"/>
      <c r="AV360" s="253"/>
      <c r="AW360" s="253"/>
      <c r="AX360" s="253"/>
      <c r="AY360" s="253"/>
    </row>
    <row r="361" ht="15.75" customHeight="1">
      <c r="A361" s="2"/>
      <c r="B361" s="259"/>
      <c r="C361" s="163"/>
      <c r="D361" s="259"/>
      <c r="E361" s="166"/>
      <c r="F361" s="163"/>
      <c r="G361" s="166"/>
      <c r="H361" s="166"/>
      <c r="I361" s="260"/>
      <c r="J361" s="178"/>
      <c r="K361" s="166"/>
      <c r="L361" s="166"/>
      <c r="M361" s="166"/>
      <c r="N361" s="178"/>
      <c r="O361" s="178"/>
      <c r="P361" s="178"/>
      <c r="Q361" s="178"/>
      <c r="R361" s="166"/>
      <c r="S361" s="177"/>
      <c r="T361" s="234"/>
      <c r="U361" s="234"/>
      <c r="V361" s="234"/>
      <c r="W361" s="165"/>
      <c r="X361" s="165"/>
      <c r="Y361" s="165"/>
      <c r="Z361" s="165"/>
      <c r="AA361" s="165"/>
      <c r="AB361" s="253"/>
      <c r="AC361" s="2"/>
      <c r="AD361" s="253"/>
      <c r="AE361" s="253"/>
      <c r="AF361" s="253"/>
      <c r="AG361" s="253"/>
      <c r="AH361" s="253"/>
      <c r="AI361" s="2"/>
      <c r="AJ361" s="253"/>
      <c r="AK361" s="253"/>
      <c r="AL361" s="253"/>
      <c r="AM361" s="253"/>
      <c r="AN361" s="253"/>
      <c r="AO361" s="2"/>
      <c r="AP361" s="253"/>
      <c r="AQ361" s="253"/>
      <c r="AR361" s="253"/>
      <c r="AS361" s="253"/>
      <c r="AT361" s="253"/>
      <c r="AU361" s="2"/>
      <c r="AV361" s="253"/>
      <c r="AW361" s="253"/>
      <c r="AX361" s="253"/>
      <c r="AY361" s="253"/>
    </row>
    <row r="362" ht="15.75" customHeight="1">
      <c r="A362" s="2"/>
      <c r="B362" s="259"/>
      <c r="C362" s="163"/>
      <c r="D362" s="259"/>
      <c r="E362" s="166"/>
      <c r="F362" s="163"/>
      <c r="G362" s="166"/>
      <c r="H362" s="166"/>
      <c r="I362" s="260"/>
      <c r="J362" s="178"/>
      <c r="K362" s="166"/>
      <c r="L362" s="166"/>
      <c r="M362" s="166"/>
      <c r="N362" s="178"/>
      <c r="O362" s="178"/>
      <c r="P362" s="178"/>
      <c r="Q362" s="178"/>
      <c r="R362" s="166"/>
      <c r="S362" s="177"/>
      <c r="T362" s="234"/>
      <c r="U362" s="234"/>
      <c r="V362" s="234"/>
      <c r="W362" s="165"/>
      <c r="X362" s="165"/>
      <c r="Y362" s="165"/>
      <c r="Z362" s="165"/>
      <c r="AA362" s="165"/>
      <c r="AB362" s="253"/>
      <c r="AC362" s="2"/>
      <c r="AD362" s="253"/>
      <c r="AE362" s="253"/>
      <c r="AF362" s="253"/>
      <c r="AG362" s="253"/>
      <c r="AH362" s="253"/>
      <c r="AI362" s="2"/>
      <c r="AJ362" s="253"/>
      <c r="AK362" s="253"/>
      <c r="AL362" s="253"/>
      <c r="AM362" s="253"/>
      <c r="AN362" s="253"/>
      <c r="AO362" s="2"/>
      <c r="AP362" s="253"/>
      <c r="AQ362" s="253"/>
      <c r="AR362" s="253"/>
      <c r="AS362" s="253"/>
      <c r="AT362" s="253"/>
      <c r="AU362" s="2"/>
      <c r="AV362" s="253"/>
      <c r="AW362" s="253"/>
      <c r="AX362" s="253"/>
      <c r="AY362" s="253"/>
    </row>
    <row r="363" ht="15.75" customHeight="1">
      <c r="A363" s="2"/>
      <c r="B363" s="259"/>
      <c r="C363" s="163"/>
      <c r="D363" s="259"/>
      <c r="E363" s="166"/>
      <c r="F363" s="163"/>
      <c r="G363" s="166"/>
      <c r="H363" s="166"/>
      <c r="I363" s="260"/>
      <c r="J363" s="178"/>
      <c r="K363" s="166"/>
      <c r="L363" s="166"/>
      <c r="M363" s="166"/>
      <c r="N363" s="178"/>
      <c r="O363" s="178"/>
      <c r="P363" s="178"/>
      <c r="Q363" s="178"/>
      <c r="R363" s="166"/>
      <c r="S363" s="177"/>
      <c r="T363" s="234"/>
      <c r="U363" s="234"/>
      <c r="V363" s="234"/>
      <c r="W363" s="165"/>
      <c r="X363" s="165"/>
      <c r="Y363" s="165"/>
      <c r="Z363" s="165"/>
      <c r="AA363" s="165"/>
      <c r="AB363" s="253"/>
      <c r="AC363" s="2"/>
      <c r="AD363" s="253"/>
      <c r="AE363" s="253"/>
      <c r="AF363" s="253"/>
      <c r="AG363" s="253"/>
      <c r="AH363" s="253"/>
      <c r="AI363" s="2"/>
      <c r="AJ363" s="253"/>
      <c r="AK363" s="253"/>
      <c r="AL363" s="253"/>
      <c r="AM363" s="253"/>
      <c r="AN363" s="253"/>
      <c r="AO363" s="2"/>
      <c r="AP363" s="253"/>
      <c r="AQ363" s="253"/>
      <c r="AR363" s="253"/>
      <c r="AS363" s="253"/>
      <c r="AT363" s="253"/>
      <c r="AU363" s="2"/>
      <c r="AV363" s="253"/>
      <c r="AW363" s="253"/>
      <c r="AX363" s="253"/>
      <c r="AY363" s="253"/>
    </row>
    <row r="364" ht="15.75" customHeight="1">
      <c r="A364" s="2"/>
      <c r="B364" s="259"/>
      <c r="C364" s="163"/>
      <c r="D364" s="259"/>
      <c r="E364" s="166"/>
      <c r="F364" s="163"/>
      <c r="G364" s="166"/>
      <c r="H364" s="166"/>
      <c r="I364" s="260"/>
      <c r="J364" s="178"/>
      <c r="K364" s="166"/>
      <c r="L364" s="166"/>
      <c r="M364" s="166"/>
      <c r="N364" s="178"/>
      <c r="O364" s="178"/>
      <c r="P364" s="178"/>
      <c r="Q364" s="178"/>
      <c r="R364" s="166"/>
      <c r="S364" s="177"/>
      <c r="T364" s="234"/>
      <c r="U364" s="234"/>
      <c r="V364" s="234"/>
      <c r="W364" s="165"/>
      <c r="X364" s="165"/>
      <c r="Y364" s="165"/>
      <c r="Z364" s="165"/>
      <c r="AA364" s="165"/>
      <c r="AB364" s="253"/>
      <c r="AC364" s="2"/>
      <c r="AD364" s="253"/>
      <c r="AE364" s="253"/>
      <c r="AF364" s="253"/>
      <c r="AG364" s="253"/>
      <c r="AH364" s="253"/>
      <c r="AI364" s="2"/>
      <c r="AJ364" s="253"/>
      <c r="AK364" s="253"/>
      <c r="AL364" s="253"/>
      <c r="AM364" s="253"/>
      <c r="AN364" s="253"/>
      <c r="AO364" s="2"/>
      <c r="AP364" s="253"/>
      <c r="AQ364" s="253"/>
      <c r="AR364" s="253"/>
      <c r="AS364" s="253"/>
      <c r="AT364" s="253"/>
      <c r="AU364" s="2"/>
      <c r="AV364" s="253"/>
      <c r="AW364" s="253"/>
      <c r="AX364" s="253"/>
      <c r="AY364" s="253"/>
    </row>
    <row r="365" ht="15.75" customHeight="1">
      <c r="A365" s="2"/>
      <c r="B365" s="259"/>
      <c r="C365" s="163"/>
      <c r="D365" s="259"/>
      <c r="E365" s="166"/>
      <c r="F365" s="163"/>
      <c r="G365" s="166"/>
      <c r="H365" s="166"/>
      <c r="I365" s="260"/>
      <c r="J365" s="178"/>
      <c r="K365" s="166"/>
      <c r="L365" s="166"/>
      <c r="M365" s="166"/>
      <c r="N365" s="178"/>
      <c r="O365" s="178"/>
      <c r="P365" s="178"/>
      <c r="Q365" s="178"/>
      <c r="R365" s="166"/>
      <c r="S365" s="177"/>
      <c r="T365" s="234"/>
      <c r="U365" s="234"/>
      <c r="V365" s="234"/>
      <c r="W365" s="165"/>
      <c r="X365" s="165"/>
      <c r="Y365" s="165"/>
      <c r="Z365" s="165"/>
      <c r="AA365" s="165"/>
      <c r="AB365" s="253"/>
      <c r="AC365" s="2"/>
      <c r="AD365" s="253"/>
      <c r="AE365" s="253"/>
      <c r="AF365" s="253"/>
      <c r="AG365" s="253"/>
      <c r="AH365" s="253"/>
      <c r="AI365" s="2"/>
      <c r="AJ365" s="253"/>
      <c r="AK365" s="253"/>
      <c r="AL365" s="253"/>
      <c r="AM365" s="253"/>
      <c r="AN365" s="253"/>
      <c r="AO365" s="2"/>
      <c r="AP365" s="253"/>
      <c r="AQ365" s="253"/>
      <c r="AR365" s="253"/>
      <c r="AS365" s="253"/>
      <c r="AT365" s="253"/>
      <c r="AU365" s="2"/>
      <c r="AV365" s="253"/>
      <c r="AW365" s="253"/>
      <c r="AX365" s="253"/>
      <c r="AY365" s="253"/>
    </row>
    <row r="366" ht="15.75" customHeight="1">
      <c r="A366" s="2"/>
      <c r="B366" s="259"/>
      <c r="C366" s="163"/>
      <c r="D366" s="259"/>
      <c r="E366" s="166"/>
      <c r="F366" s="163"/>
      <c r="G366" s="166"/>
      <c r="H366" s="166"/>
      <c r="I366" s="260"/>
      <c r="J366" s="178"/>
      <c r="K366" s="166"/>
      <c r="L366" s="166"/>
      <c r="M366" s="166"/>
      <c r="N366" s="178"/>
      <c r="O366" s="178"/>
      <c r="P366" s="178"/>
      <c r="Q366" s="178"/>
      <c r="R366" s="166"/>
      <c r="S366" s="177"/>
      <c r="T366" s="234"/>
      <c r="U366" s="234"/>
      <c r="V366" s="234"/>
      <c r="W366" s="165"/>
      <c r="X366" s="165"/>
      <c r="Y366" s="165"/>
      <c r="Z366" s="165"/>
      <c r="AA366" s="165"/>
      <c r="AB366" s="253"/>
      <c r="AC366" s="2"/>
      <c r="AD366" s="253"/>
      <c r="AE366" s="253"/>
      <c r="AF366" s="253"/>
      <c r="AG366" s="253"/>
      <c r="AH366" s="253"/>
      <c r="AI366" s="2"/>
      <c r="AJ366" s="253"/>
      <c r="AK366" s="253"/>
      <c r="AL366" s="253"/>
      <c r="AM366" s="253"/>
      <c r="AN366" s="253"/>
      <c r="AO366" s="2"/>
      <c r="AP366" s="253"/>
      <c r="AQ366" s="253"/>
      <c r="AR366" s="253"/>
      <c r="AS366" s="253"/>
      <c r="AT366" s="253"/>
      <c r="AU366" s="2"/>
      <c r="AV366" s="253"/>
      <c r="AW366" s="253"/>
      <c r="AX366" s="253"/>
      <c r="AY366" s="253"/>
    </row>
    <row r="367" ht="15.75" customHeight="1">
      <c r="A367" s="2"/>
      <c r="B367" s="259"/>
      <c r="C367" s="163"/>
      <c r="D367" s="262"/>
      <c r="E367" s="166"/>
      <c r="F367" s="163"/>
      <c r="G367" s="166"/>
      <c r="H367" s="166"/>
      <c r="I367" s="260"/>
      <c r="J367" s="178"/>
      <c r="K367" s="166"/>
      <c r="L367" s="166"/>
      <c r="M367" s="166"/>
      <c r="N367" s="178"/>
      <c r="O367" s="178"/>
      <c r="P367" s="178"/>
      <c r="Q367" s="178"/>
      <c r="R367" s="166"/>
      <c r="S367" s="177"/>
      <c r="T367" s="234"/>
      <c r="U367" s="234"/>
      <c r="V367" s="234"/>
      <c r="W367" s="165"/>
      <c r="X367" s="165"/>
      <c r="Y367" s="165"/>
      <c r="Z367" s="165"/>
      <c r="AA367" s="165"/>
      <c r="AB367" s="253"/>
      <c r="AC367" s="2"/>
      <c r="AD367" s="253"/>
      <c r="AE367" s="253"/>
      <c r="AF367" s="253"/>
      <c r="AG367" s="253"/>
      <c r="AH367" s="253"/>
      <c r="AI367" s="2"/>
      <c r="AJ367" s="253"/>
      <c r="AK367" s="253"/>
      <c r="AL367" s="253"/>
      <c r="AM367" s="253"/>
      <c r="AN367" s="253"/>
      <c r="AO367" s="2"/>
      <c r="AP367" s="253"/>
      <c r="AQ367" s="253"/>
      <c r="AR367" s="253"/>
      <c r="AS367" s="253"/>
      <c r="AT367" s="253"/>
      <c r="AU367" s="2"/>
      <c r="AV367" s="253"/>
      <c r="AW367" s="253"/>
      <c r="AX367" s="253"/>
      <c r="AY367" s="253"/>
    </row>
    <row r="368" ht="15.75" customHeight="1">
      <c r="A368" s="2"/>
      <c r="B368" s="259"/>
      <c r="C368" s="163"/>
      <c r="D368" s="262"/>
      <c r="E368" s="166"/>
      <c r="F368" s="163"/>
      <c r="G368" s="166"/>
      <c r="H368" s="166"/>
      <c r="I368" s="260"/>
      <c r="J368" s="178"/>
      <c r="K368" s="166"/>
      <c r="L368" s="166"/>
      <c r="M368" s="166"/>
      <c r="N368" s="178"/>
      <c r="O368" s="178"/>
      <c r="P368" s="178"/>
      <c r="Q368" s="178"/>
      <c r="R368" s="166"/>
      <c r="S368" s="177"/>
      <c r="T368" s="234"/>
      <c r="U368" s="234"/>
      <c r="V368" s="234"/>
      <c r="W368" s="165"/>
      <c r="X368" s="165"/>
      <c r="Y368" s="165"/>
      <c r="Z368" s="165"/>
      <c r="AA368" s="165"/>
      <c r="AB368" s="253"/>
      <c r="AC368" s="2"/>
      <c r="AD368" s="253"/>
      <c r="AE368" s="253"/>
      <c r="AF368" s="253"/>
      <c r="AG368" s="253"/>
      <c r="AH368" s="253"/>
      <c r="AI368" s="2"/>
      <c r="AJ368" s="253"/>
      <c r="AK368" s="253"/>
      <c r="AL368" s="253"/>
      <c r="AM368" s="253"/>
      <c r="AN368" s="253"/>
      <c r="AO368" s="2"/>
      <c r="AP368" s="253"/>
      <c r="AQ368" s="253"/>
      <c r="AR368" s="253"/>
      <c r="AS368" s="253"/>
      <c r="AT368" s="253"/>
      <c r="AU368" s="2"/>
      <c r="AV368" s="253"/>
      <c r="AW368" s="253"/>
      <c r="AX368" s="253"/>
      <c r="AY368" s="253"/>
    </row>
    <row r="369" ht="15.75" customHeight="1">
      <c r="A369" s="2"/>
      <c r="B369" s="259"/>
      <c r="C369" s="163"/>
      <c r="D369" s="259"/>
      <c r="E369" s="166"/>
      <c r="F369" s="163"/>
      <c r="G369" s="166"/>
      <c r="H369" s="166"/>
      <c r="I369" s="260"/>
      <c r="J369" s="178"/>
      <c r="K369" s="166"/>
      <c r="L369" s="166"/>
      <c r="M369" s="166"/>
      <c r="N369" s="178"/>
      <c r="O369" s="178"/>
      <c r="P369" s="178"/>
      <c r="Q369" s="178"/>
      <c r="R369" s="166"/>
      <c r="S369" s="177"/>
      <c r="T369" s="234"/>
      <c r="U369" s="234"/>
      <c r="V369" s="234"/>
      <c r="W369" s="165"/>
      <c r="X369" s="165"/>
      <c r="Y369" s="165"/>
      <c r="Z369" s="165"/>
      <c r="AA369" s="165"/>
      <c r="AB369" s="253"/>
      <c r="AC369" s="2"/>
      <c r="AD369" s="253"/>
      <c r="AE369" s="253"/>
      <c r="AF369" s="253"/>
      <c r="AG369" s="253"/>
      <c r="AH369" s="253"/>
      <c r="AI369" s="2"/>
      <c r="AJ369" s="253"/>
      <c r="AK369" s="253"/>
      <c r="AL369" s="253"/>
      <c r="AM369" s="253"/>
      <c r="AN369" s="253"/>
      <c r="AO369" s="2"/>
      <c r="AP369" s="253"/>
      <c r="AQ369" s="253"/>
      <c r="AR369" s="253"/>
      <c r="AS369" s="253"/>
      <c r="AT369" s="253"/>
      <c r="AU369" s="2"/>
      <c r="AV369" s="253"/>
      <c r="AW369" s="253"/>
      <c r="AX369" s="253"/>
      <c r="AY369" s="253"/>
    </row>
    <row r="370" ht="15.75" customHeight="1">
      <c r="A370" s="2"/>
      <c r="B370" s="259"/>
      <c r="C370" s="163"/>
      <c r="D370" s="259"/>
      <c r="E370" s="166"/>
      <c r="F370" s="163"/>
      <c r="G370" s="166"/>
      <c r="H370" s="166"/>
      <c r="I370" s="260"/>
      <c r="J370" s="178"/>
      <c r="K370" s="166"/>
      <c r="L370" s="166"/>
      <c r="M370" s="166"/>
      <c r="N370" s="178"/>
      <c r="O370" s="178"/>
      <c r="P370" s="178"/>
      <c r="Q370" s="178"/>
      <c r="R370" s="166"/>
      <c r="S370" s="177"/>
      <c r="T370" s="234"/>
      <c r="U370" s="234"/>
      <c r="V370" s="234"/>
      <c r="W370" s="165"/>
      <c r="X370" s="165"/>
      <c r="Y370" s="165"/>
      <c r="Z370" s="165"/>
      <c r="AA370" s="165"/>
      <c r="AB370" s="253"/>
      <c r="AC370" s="2"/>
      <c r="AD370" s="253"/>
      <c r="AE370" s="253"/>
      <c r="AF370" s="253"/>
      <c r="AG370" s="253"/>
      <c r="AH370" s="253"/>
      <c r="AI370" s="2"/>
      <c r="AJ370" s="253"/>
      <c r="AK370" s="253"/>
      <c r="AL370" s="253"/>
      <c r="AM370" s="253"/>
      <c r="AN370" s="253"/>
      <c r="AO370" s="2"/>
      <c r="AP370" s="253"/>
      <c r="AQ370" s="253"/>
      <c r="AR370" s="253"/>
      <c r="AS370" s="253"/>
      <c r="AT370" s="253"/>
      <c r="AU370" s="2"/>
      <c r="AV370" s="253"/>
      <c r="AW370" s="253"/>
      <c r="AX370" s="253"/>
      <c r="AY370" s="253"/>
    </row>
    <row r="371" ht="15.75" customHeight="1">
      <c r="A371" s="2"/>
      <c r="B371" s="259"/>
      <c r="C371" s="163"/>
      <c r="D371" s="259"/>
      <c r="E371" s="166"/>
      <c r="F371" s="163"/>
      <c r="G371" s="166"/>
      <c r="H371" s="166"/>
      <c r="I371" s="260"/>
      <c r="J371" s="178"/>
      <c r="K371" s="166"/>
      <c r="L371" s="166"/>
      <c r="M371" s="166"/>
      <c r="N371" s="178"/>
      <c r="O371" s="178"/>
      <c r="P371" s="178"/>
      <c r="Q371" s="178"/>
      <c r="R371" s="166"/>
      <c r="S371" s="177"/>
      <c r="T371" s="234"/>
      <c r="U371" s="234"/>
      <c r="V371" s="234"/>
      <c r="W371" s="165"/>
      <c r="X371" s="165"/>
      <c r="Y371" s="165"/>
      <c r="Z371" s="165"/>
      <c r="AA371" s="165"/>
      <c r="AB371" s="253"/>
      <c r="AC371" s="2"/>
      <c r="AD371" s="253"/>
      <c r="AE371" s="253"/>
      <c r="AF371" s="253"/>
      <c r="AG371" s="253"/>
      <c r="AH371" s="253"/>
      <c r="AI371" s="2"/>
      <c r="AJ371" s="253"/>
      <c r="AK371" s="253"/>
      <c r="AL371" s="253"/>
      <c r="AM371" s="253"/>
      <c r="AN371" s="253"/>
      <c r="AO371" s="2"/>
      <c r="AP371" s="253"/>
      <c r="AQ371" s="253"/>
      <c r="AR371" s="253"/>
      <c r="AS371" s="253"/>
      <c r="AT371" s="253"/>
      <c r="AU371" s="2"/>
      <c r="AV371" s="253"/>
      <c r="AW371" s="253"/>
      <c r="AX371" s="253"/>
      <c r="AY371" s="253"/>
    </row>
    <row r="372" ht="15.75" customHeight="1">
      <c r="A372" s="2"/>
      <c r="B372" s="259"/>
      <c r="C372" s="163"/>
      <c r="D372" s="259"/>
      <c r="E372" s="166"/>
      <c r="F372" s="163"/>
      <c r="G372" s="166"/>
      <c r="H372" s="166"/>
      <c r="I372" s="260"/>
      <c r="J372" s="178"/>
      <c r="K372" s="166"/>
      <c r="L372" s="166"/>
      <c r="M372" s="166"/>
      <c r="N372" s="178"/>
      <c r="O372" s="178"/>
      <c r="P372" s="178"/>
      <c r="Q372" s="178"/>
      <c r="R372" s="166"/>
      <c r="S372" s="177"/>
      <c r="T372" s="234"/>
      <c r="U372" s="234"/>
      <c r="V372" s="234"/>
      <c r="W372" s="165"/>
      <c r="X372" s="165"/>
      <c r="Y372" s="165"/>
      <c r="Z372" s="165"/>
      <c r="AA372" s="165"/>
      <c r="AB372" s="253"/>
      <c r="AC372" s="2"/>
      <c r="AD372" s="253"/>
      <c r="AE372" s="253"/>
      <c r="AF372" s="253"/>
      <c r="AG372" s="253"/>
      <c r="AH372" s="253"/>
      <c r="AI372" s="2"/>
      <c r="AJ372" s="253"/>
      <c r="AK372" s="253"/>
      <c r="AL372" s="253"/>
      <c r="AM372" s="253"/>
      <c r="AN372" s="253"/>
      <c r="AO372" s="2"/>
      <c r="AP372" s="253"/>
      <c r="AQ372" s="253"/>
      <c r="AR372" s="253"/>
      <c r="AS372" s="253"/>
      <c r="AT372" s="253"/>
      <c r="AU372" s="2"/>
      <c r="AV372" s="253"/>
      <c r="AW372" s="253"/>
      <c r="AX372" s="253"/>
      <c r="AY372" s="253"/>
    </row>
    <row r="373" ht="15.75" customHeight="1">
      <c r="A373" s="2"/>
      <c r="B373" s="259"/>
      <c r="C373" s="163"/>
      <c r="D373" s="259"/>
      <c r="E373" s="166"/>
      <c r="F373" s="163"/>
      <c r="G373" s="166"/>
      <c r="H373" s="166"/>
      <c r="I373" s="260"/>
      <c r="J373" s="178"/>
      <c r="K373" s="166"/>
      <c r="L373" s="166"/>
      <c r="M373" s="166"/>
      <c r="N373" s="178"/>
      <c r="O373" s="178"/>
      <c r="P373" s="178"/>
      <c r="Q373" s="178"/>
      <c r="R373" s="166"/>
      <c r="S373" s="177"/>
      <c r="T373" s="234"/>
      <c r="U373" s="234"/>
      <c r="V373" s="234"/>
      <c r="W373" s="165"/>
      <c r="X373" s="165"/>
      <c r="Y373" s="165"/>
      <c r="Z373" s="165"/>
      <c r="AA373" s="165"/>
      <c r="AB373" s="253"/>
      <c r="AC373" s="2"/>
      <c r="AD373" s="253"/>
      <c r="AE373" s="253"/>
      <c r="AF373" s="253"/>
      <c r="AG373" s="253"/>
      <c r="AH373" s="253"/>
      <c r="AI373" s="2"/>
      <c r="AJ373" s="253"/>
      <c r="AK373" s="253"/>
      <c r="AL373" s="253"/>
      <c r="AM373" s="253"/>
      <c r="AN373" s="253"/>
      <c r="AO373" s="2"/>
      <c r="AP373" s="253"/>
      <c r="AQ373" s="253"/>
      <c r="AR373" s="253"/>
      <c r="AS373" s="253"/>
      <c r="AT373" s="253"/>
      <c r="AU373" s="2"/>
      <c r="AV373" s="253"/>
      <c r="AW373" s="253"/>
      <c r="AX373" s="253"/>
      <c r="AY373" s="253"/>
    </row>
    <row r="374" ht="15.75" customHeight="1">
      <c r="A374" s="2"/>
      <c r="B374" s="259"/>
      <c r="C374" s="163"/>
      <c r="D374" s="259"/>
      <c r="E374" s="166"/>
      <c r="F374" s="163"/>
      <c r="G374" s="166"/>
      <c r="H374" s="166"/>
      <c r="I374" s="260"/>
      <c r="J374" s="178"/>
      <c r="K374" s="166"/>
      <c r="L374" s="166"/>
      <c r="M374" s="166"/>
      <c r="N374" s="178"/>
      <c r="O374" s="178"/>
      <c r="P374" s="178"/>
      <c r="Q374" s="178"/>
      <c r="R374" s="166"/>
      <c r="S374" s="177"/>
      <c r="T374" s="234"/>
      <c r="U374" s="234"/>
      <c r="V374" s="234"/>
      <c r="W374" s="165"/>
      <c r="X374" s="165"/>
      <c r="Y374" s="165"/>
      <c r="Z374" s="165"/>
      <c r="AA374" s="165"/>
      <c r="AB374" s="253"/>
      <c r="AC374" s="2"/>
      <c r="AD374" s="253"/>
      <c r="AE374" s="253"/>
      <c r="AF374" s="253"/>
      <c r="AG374" s="253"/>
      <c r="AH374" s="253"/>
      <c r="AI374" s="2"/>
      <c r="AJ374" s="253"/>
      <c r="AK374" s="253"/>
      <c r="AL374" s="253"/>
      <c r="AM374" s="253"/>
      <c r="AN374" s="253"/>
      <c r="AO374" s="2"/>
      <c r="AP374" s="253"/>
      <c r="AQ374" s="253"/>
      <c r="AR374" s="253"/>
      <c r="AS374" s="253"/>
      <c r="AT374" s="253"/>
      <c r="AU374" s="2"/>
      <c r="AV374" s="253"/>
      <c r="AW374" s="253"/>
      <c r="AX374" s="253"/>
      <c r="AY374" s="253"/>
    </row>
    <row r="375" ht="15.75" customHeight="1">
      <c r="A375" s="2"/>
      <c r="B375" s="259"/>
      <c r="C375" s="163"/>
      <c r="D375" s="259"/>
      <c r="E375" s="166"/>
      <c r="F375" s="163"/>
      <c r="G375" s="166"/>
      <c r="H375" s="166"/>
      <c r="I375" s="260"/>
      <c r="J375" s="178"/>
      <c r="K375" s="166"/>
      <c r="L375" s="166"/>
      <c r="M375" s="166"/>
      <c r="N375" s="178"/>
      <c r="O375" s="178"/>
      <c r="P375" s="178"/>
      <c r="Q375" s="178"/>
      <c r="R375" s="166"/>
      <c r="S375" s="177"/>
      <c r="T375" s="234"/>
      <c r="U375" s="234"/>
      <c r="V375" s="234"/>
      <c r="W375" s="165"/>
      <c r="X375" s="165"/>
      <c r="Y375" s="165"/>
      <c r="Z375" s="165"/>
      <c r="AA375" s="165"/>
      <c r="AB375" s="253"/>
      <c r="AC375" s="2"/>
      <c r="AD375" s="253"/>
      <c r="AE375" s="253"/>
      <c r="AF375" s="253"/>
      <c r="AG375" s="253"/>
      <c r="AH375" s="253"/>
      <c r="AI375" s="2"/>
      <c r="AJ375" s="253"/>
      <c r="AK375" s="253"/>
      <c r="AL375" s="253"/>
      <c r="AM375" s="253"/>
      <c r="AN375" s="253"/>
      <c r="AO375" s="2"/>
      <c r="AP375" s="253"/>
      <c r="AQ375" s="253"/>
      <c r="AR375" s="253"/>
      <c r="AS375" s="253"/>
      <c r="AT375" s="253"/>
      <c r="AU375" s="2"/>
      <c r="AV375" s="253"/>
      <c r="AW375" s="253"/>
      <c r="AX375" s="253"/>
      <c r="AY375" s="253"/>
    </row>
    <row r="376" ht="15.75" customHeight="1">
      <c r="A376" s="2"/>
      <c r="B376" s="259"/>
      <c r="C376" s="163"/>
      <c r="D376" s="259"/>
      <c r="E376" s="166"/>
      <c r="F376" s="163"/>
      <c r="G376" s="166"/>
      <c r="H376" s="166"/>
      <c r="I376" s="260"/>
      <c r="J376" s="178"/>
      <c r="K376" s="166"/>
      <c r="L376" s="166"/>
      <c r="M376" s="166"/>
      <c r="N376" s="178"/>
      <c r="O376" s="178"/>
      <c r="P376" s="178"/>
      <c r="Q376" s="178"/>
      <c r="R376" s="166"/>
      <c r="S376" s="177"/>
      <c r="T376" s="234"/>
      <c r="U376" s="234"/>
      <c r="V376" s="234"/>
      <c r="W376" s="165"/>
      <c r="X376" s="165"/>
      <c r="Y376" s="165"/>
      <c r="Z376" s="165"/>
      <c r="AA376" s="165"/>
      <c r="AB376" s="253"/>
      <c r="AC376" s="2"/>
      <c r="AD376" s="253"/>
      <c r="AE376" s="253"/>
      <c r="AF376" s="253"/>
      <c r="AG376" s="253"/>
      <c r="AH376" s="253"/>
      <c r="AI376" s="2"/>
      <c r="AJ376" s="253"/>
      <c r="AK376" s="253"/>
      <c r="AL376" s="253"/>
      <c r="AM376" s="253"/>
      <c r="AN376" s="253"/>
      <c r="AO376" s="2"/>
      <c r="AP376" s="253"/>
      <c r="AQ376" s="253"/>
      <c r="AR376" s="253"/>
      <c r="AS376" s="253"/>
      <c r="AT376" s="253"/>
      <c r="AU376" s="2"/>
      <c r="AV376" s="253"/>
      <c r="AW376" s="253"/>
      <c r="AX376" s="253"/>
      <c r="AY376" s="253"/>
    </row>
    <row r="377" ht="15.75" customHeight="1">
      <c r="A377" s="2"/>
      <c r="B377" s="259"/>
      <c r="C377" s="163"/>
      <c r="D377" s="259"/>
      <c r="E377" s="166"/>
      <c r="F377" s="163"/>
      <c r="G377" s="166"/>
      <c r="H377" s="166"/>
      <c r="I377" s="260"/>
      <c r="J377" s="178"/>
      <c r="K377" s="166"/>
      <c r="L377" s="166"/>
      <c r="M377" s="166"/>
      <c r="N377" s="178"/>
      <c r="O377" s="178"/>
      <c r="P377" s="178"/>
      <c r="Q377" s="178"/>
      <c r="R377" s="166"/>
      <c r="S377" s="177"/>
      <c r="T377" s="234"/>
      <c r="U377" s="234"/>
      <c r="V377" s="234"/>
      <c r="W377" s="165"/>
      <c r="X377" s="165"/>
      <c r="Y377" s="165"/>
      <c r="Z377" s="165"/>
      <c r="AA377" s="165"/>
      <c r="AB377" s="253"/>
      <c r="AC377" s="2"/>
      <c r="AD377" s="253"/>
      <c r="AE377" s="253"/>
      <c r="AF377" s="253"/>
      <c r="AG377" s="253"/>
      <c r="AH377" s="253"/>
      <c r="AI377" s="2"/>
      <c r="AJ377" s="253"/>
      <c r="AK377" s="253"/>
      <c r="AL377" s="253"/>
      <c r="AM377" s="253"/>
      <c r="AN377" s="253"/>
      <c r="AO377" s="2"/>
      <c r="AP377" s="253"/>
      <c r="AQ377" s="253"/>
      <c r="AR377" s="253"/>
      <c r="AS377" s="253"/>
      <c r="AT377" s="253"/>
      <c r="AU377" s="2"/>
      <c r="AV377" s="253"/>
      <c r="AW377" s="253"/>
      <c r="AX377" s="253"/>
      <c r="AY377" s="253"/>
    </row>
    <row r="378" ht="15.75" customHeight="1">
      <c r="A378" s="2"/>
      <c r="B378" s="259"/>
      <c r="C378" s="163"/>
      <c r="D378" s="259"/>
      <c r="E378" s="166"/>
      <c r="F378" s="163"/>
      <c r="G378" s="166"/>
      <c r="H378" s="166"/>
      <c r="I378" s="260"/>
      <c r="J378" s="178"/>
      <c r="K378" s="166"/>
      <c r="L378" s="166"/>
      <c r="M378" s="166"/>
      <c r="N378" s="178"/>
      <c r="O378" s="178"/>
      <c r="P378" s="178"/>
      <c r="Q378" s="178"/>
      <c r="R378" s="166"/>
      <c r="S378" s="177"/>
      <c r="T378" s="234"/>
      <c r="U378" s="234"/>
      <c r="V378" s="234"/>
      <c r="W378" s="165"/>
      <c r="X378" s="165"/>
      <c r="Y378" s="165"/>
      <c r="Z378" s="165"/>
      <c r="AA378" s="165"/>
      <c r="AB378" s="253"/>
      <c r="AC378" s="2"/>
      <c r="AD378" s="253"/>
      <c r="AE378" s="253"/>
      <c r="AF378" s="253"/>
      <c r="AG378" s="253"/>
      <c r="AH378" s="253"/>
      <c r="AI378" s="2"/>
      <c r="AJ378" s="253"/>
      <c r="AK378" s="253"/>
      <c r="AL378" s="253"/>
      <c r="AM378" s="253"/>
      <c r="AN378" s="253"/>
      <c r="AO378" s="2"/>
      <c r="AP378" s="253"/>
      <c r="AQ378" s="253"/>
      <c r="AR378" s="253"/>
      <c r="AS378" s="253"/>
      <c r="AT378" s="253"/>
      <c r="AU378" s="2"/>
      <c r="AV378" s="253"/>
      <c r="AW378" s="253"/>
      <c r="AX378" s="253"/>
      <c r="AY378" s="253"/>
    </row>
    <row r="379" ht="15.75" customHeight="1">
      <c r="A379" s="2"/>
      <c r="B379" s="259"/>
      <c r="C379" s="163"/>
      <c r="D379" s="259"/>
      <c r="E379" s="166"/>
      <c r="F379" s="163"/>
      <c r="G379" s="166"/>
      <c r="H379" s="166"/>
      <c r="I379" s="260"/>
      <c r="J379" s="178"/>
      <c r="K379" s="166"/>
      <c r="L379" s="166"/>
      <c r="M379" s="166"/>
      <c r="N379" s="178"/>
      <c r="O379" s="178"/>
      <c r="P379" s="178"/>
      <c r="Q379" s="178"/>
      <c r="R379" s="166"/>
      <c r="S379" s="177"/>
      <c r="T379" s="234"/>
      <c r="U379" s="234"/>
      <c r="V379" s="234"/>
      <c r="W379" s="165"/>
      <c r="X379" s="165"/>
      <c r="Y379" s="165"/>
      <c r="Z379" s="165"/>
      <c r="AA379" s="165"/>
      <c r="AB379" s="253"/>
      <c r="AC379" s="2"/>
      <c r="AD379" s="253"/>
      <c r="AE379" s="253"/>
      <c r="AF379" s="253"/>
      <c r="AG379" s="253"/>
      <c r="AH379" s="253"/>
      <c r="AI379" s="2"/>
      <c r="AJ379" s="253"/>
      <c r="AK379" s="253"/>
      <c r="AL379" s="253"/>
      <c r="AM379" s="253"/>
      <c r="AN379" s="253"/>
      <c r="AO379" s="2"/>
      <c r="AP379" s="253"/>
      <c r="AQ379" s="253"/>
      <c r="AR379" s="253"/>
      <c r="AS379" s="253"/>
      <c r="AT379" s="253"/>
      <c r="AU379" s="2"/>
      <c r="AV379" s="253"/>
      <c r="AW379" s="253"/>
      <c r="AX379" s="253"/>
      <c r="AY379" s="253"/>
    </row>
    <row r="380" ht="15.75" customHeight="1">
      <c r="A380" s="2"/>
      <c r="B380" s="259"/>
      <c r="C380" s="163"/>
      <c r="D380" s="259"/>
      <c r="E380" s="166"/>
      <c r="F380" s="163"/>
      <c r="G380" s="166"/>
      <c r="H380" s="166"/>
      <c r="I380" s="260"/>
      <c r="J380" s="178"/>
      <c r="K380" s="166"/>
      <c r="L380" s="166"/>
      <c r="M380" s="166"/>
      <c r="N380" s="178"/>
      <c r="O380" s="178"/>
      <c r="P380" s="178"/>
      <c r="Q380" s="178"/>
      <c r="R380" s="166"/>
      <c r="S380" s="177"/>
      <c r="T380" s="234"/>
      <c r="U380" s="234"/>
      <c r="V380" s="234"/>
      <c r="W380" s="165"/>
      <c r="X380" s="165"/>
      <c r="Y380" s="165"/>
      <c r="Z380" s="165"/>
      <c r="AA380" s="165"/>
      <c r="AB380" s="253"/>
      <c r="AC380" s="2"/>
      <c r="AD380" s="253"/>
      <c r="AE380" s="253"/>
      <c r="AF380" s="253"/>
      <c r="AG380" s="253"/>
      <c r="AH380" s="253"/>
      <c r="AI380" s="2"/>
      <c r="AJ380" s="253"/>
      <c r="AK380" s="253"/>
      <c r="AL380" s="253"/>
      <c r="AM380" s="253"/>
      <c r="AN380" s="253"/>
      <c r="AO380" s="2"/>
      <c r="AP380" s="253"/>
      <c r="AQ380" s="253"/>
      <c r="AR380" s="253"/>
      <c r="AS380" s="253"/>
      <c r="AT380" s="253"/>
      <c r="AU380" s="2"/>
      <c r="AV380" s="253"/>
      <c r="AW380" s="253"/>
      <c r="AX380" s="253"/>
      <c r="AY380" s="253"/>
    </row>
    <row r="381" ht="15.75" customHeight="1">
      <c r="A381" s="2"/>
      <c r="B381" s="259"/>
      <c r="C381" s="163"/>
      <c r="D381" s="259"/>
      <c r="E381" s="166"/>
      <c r="F381" s="163"/>
      <c r="G381" s="166"/>
      <c r="H381" s="166"/>
      <c r="I381" s="260"/>
      <c r="J381" s="178"/>
      <c r="K381" s="166"/>
      <c r="L381" s="166"/>
      <c r="M381" s="166"/>
      <c r="N381" s="178"/>
      <c r="O381" s="178"/>
      <c r="P381" s="178"/>
      <c r="Q381" s="178"/>
      <c r="R381" s="166"/>
      <c r="S381" s="177"/>
      <c r="T381" s="234"/>
      <c r="U381" s="234"/>
      <c r="V381" s="234"/>
      <c r="W381" s="165"/>
      <c r="X381" s="165"/>
      <c r="Y381" s="165"/>
      <c r="Z381" s="165"/>
      <c r="AA381" s="165"/>
      <c r="AB381" s="253"/>
      <c r="AC381" s="2"/>
      <c r="AD381" s="253"/>
      <c r="AE381" s="253"/>
      <c r="AF381" s="253"/>
      <c r="AG381" s="253"/>
      <c r="AH381" s="253"/>
      <c r="AI381" s="2"/>
      <c r="AJ381" s="253"/>
      <c r="AK381" s="253"/>
      <c r="AL381" s="253"/>
      <c r="AM381" s="253"/>
      <c r="AN381" s="253"/>
      <c r="AO381" s="2"/>
      <c r="AP381" s="253"/>
      <c r="AQ381" s="253"/>
      <c r="AR381" s="253"/>
      <c r="AS381" s="253"/>
      <c r="AT381" s="253"/>
      <c r="AU381" s="2"/>
      <c r="AV381" s="253"/>
      <c r="AW381" s="253"/>
      <c r="AX381" s="253"/>
      <c r="AY381" s="253"/>
    </row>
    <row r="382" ht="15.75" customHeight="1">
      <c r="A382" s="2"/>
      <c r="B382" s="259"/>
      <c r="C382" s="163"/>
      <c r="D382" s="259"/>
      <c r="E382" s="166"/>
      <c r="F382" s="163"/>
      <c r="G382" s="166"/>
      <c r="H382" s="166"/>
      <c r="I382" s="260"/>
      <c r="J382" s="178"/>
      <c r="K382" s="166"/>
      <c r="L382" s="166"/>
      <c r="M382" s="166"/>
      <c r="N382" s="178"/>
      <c r="O382" s="178"/>
      <c r="P382" s="178"/>
      <c r="Q382" s="178"/>
      <c r="R382" s="166"/>
      <c r="S382" s="177"/>
      <c r="T382" s="234"/>
      <c r="U382" s="234"/>
      <c r="V382" s="234"/>
      <c r="W382" s="165"/>
      <c r="X382" s="165"/>
      <c r="Y382" s="165"/>
      <c r="Z382" s="165"/>
      <c r="AA382" s="165"/>
      <c r="AB382" s="253"/>
      <c r="AC382" s="2"/>
      <c r="AD382" s="253"/>
      <c r="AE382" s="253"/>
      <c r="AF382" s="253"/>
      <c r="AG382" s="253"/>
      <c r="AH382" s="253"/>
      <c r="AI382" s="2"/>
      <c r="AJ382" s="253"/>
      <c r="AK382" s="253"/>
      <c r="AL382" s="253"/>
      <c r="AM382" s="253"/>
      <c r="AN382" s="253"/>
      <c r="AO382" s="2"/>
      <c r="AP382" s="253"/>
      <c r="AQ382" s="253"/>
      <c r="AR382" s="253"/>
      <c r="AS382" s="253"/>
      <c r="AT382" s="253"/>
      <c r="AU382" s="2"/>
      <c r="AV382" s="253"/>
      <c r="AW382" s="253"/>
      <c r="AX382" s="253"/>
      <c r="AY382" s="253"/>
    </row>
    <row r="383" ht="15.75" customHeight="1">
      <c r="A383" s="2"/>
      <c r="B383" s="259"/>
      <c r="C383" s="163"/>
      <c r="D383" s="259"/>
      <c r="E383" s="166"/>
      <c r="F383" s="163"/>
      <c r="G383" s="166"/>
      <c r="H383" s="166"/>
      <c r="I383" s="260"/>
      <c r="J383" s="178"/>
      <c r="K383" s="166"/>
      <c r="L383" s="166"/>
      <c r="M383" s="166"/>
      <c r="N383" s="178"/>
      <c r="O383" s="178"/>
      <c r="P383" s="178"/>
      <c r="Q383" s="178"/>
      <c r="R383" s="166"/>
      <c r="S383" s="177"/>
      <c r="T383" s="234"/>
      <c r="U383" s="234"/>
      <c r="V383" s="234"/>
      <c r="W383" s="165"/>
      <c r="X383" s="165"/>
      <c r="Y383" s="165"/>
      <c r="Z383" s="165"/>
      <c r="AA383" s="165"/>
      <c r="AB383" s="253"/>
      <c r="AC383" s="2"/>
      <c r="AD383" s="253"/>
      <c r="AE383" s="253"/>
      <c r="AF383" s="253"/>
      <c r="AG383" s="253"/>
      <c r="AH383" s="253"/>
      <c r="AI383" s="2"/>
      <c r="AJ383" s="253"/>
      <c r="AK383" s="253"/>
      <c r="AL383" s="253"/>
      <c r="AM383" s="253"/>
      <c r="AN383" s="253"/>
      <c r="AO383" s="2"/>
      <c r="AP383" s="253"/>
      <c r="AQ383" s="253"/>
      <c r="AR383" s="253"/>
      <c r="AS383" s="253"/>
      <c r="AT383" s="253"/>
      <c r="AU383" s="2"/>
      <c r="AV383" s="253"/>
      <c r="AW383" s="253"/>
      <c r="AX383" s="253"/>
      <c r="AY383" s="253"/>
    </row>
    <row r="384" ht="15.75" customHeight="1">
      <c r="A384" s="2"/>
      <c r="B384" s="259"/>
      <c r="C384" s="163"/>
      <c r="D384" s="259"/>
      <c r="E384" s="166"/>
      <c r="F384" s="163"/>
      <c r="G384" s="166"/>
      <c r="H384" s="166"/>
      <c r="I384" s="260"/>
      <c r="J384" s="178"/>
      <c r="K384" s="166"/>
      <c r="L384" s="166"/>
      <c r="M384" s="166"/>
      <c r="N384" s="178"/>
      <c r="O384" s="178"/>
      <c r="P384" s="178"/>
      <c r="Q384" s="178"/>
      <c r="R384" s="166"/>
      <c r="S384" s="177"/>
      <c r="T384" s="234"/>
      <c r="U384" s="234"/>
      <c r="V384" s="234"/>
      <c r="W384" s="165"/>
      <c r="X384" s="165"/>
      <c r="Y384" s="165"/>
      <c r="Z384" s="165"/>
      <c r="AA384" s="165"/>
      <c r="AB384" s="253"/>
      <c r="AC384" s="2"/>
      <c r="AD384" s="253"/>
      <c r="AE384" s="253"/>
      <c r="AF384" s="253"/>
      <c r="AG384" s="253"/>
      <c r="AH384" s="253"/>
      <c r="AI384" s="2"/>
      <c r="AJ384" s="253"/>
      <c r="AK384" s="253"/>
      <c r="AL384" s="253"/>
      <c r="AM384" s="253"/>
      <c r="AN384" s="253"/>
      <c r="AO384" s="2"/>
      <c r="AP384" s="253"/>
      <c r="AQ384" s="253"/>
      <c r="AR384" s="253"/>
      <c r="AS384" s="253"/>
      <c r="AT384" s="253"/>
      <c r="AU384" s="2"/>
      <c r="AV384" s="253"/>
      <c r="AW384" s="253"/>
      <c r="AX384" s="253"/>
      <c r="AY384" s="253"/>
    </row>
    <row r="385" ht="15.75" customHeight="1">
      <c r="A385" s="2"/>
      <c r="B385" s="259"/>
      <c r="C385" s="163"/>
      <c r="D385" s="259"/>
      <c r="E385" s="166"/>
      <c r="F385" s="163"/>
      <c r="G385" s="166"/>
      <c r="H385" s="166"/>
      <c r="I385" s="260"/>
      <c r="J385" s="178"/>
      <c r="K385" s="166"/>
      <c r="L385" s="166"/>
      <c r="M385" s="166"/>
      <c r="N385" s="178"/>
      <c r="O385" s="178"/>
      <c r="P385" s="178"/>
      <c r="Q385" s="178"/>
      <c r="R385" s="166"/>
      <c r="S385" s="177"/>
      <c r="T385" s="234"/>
      <c r="U385" s="234"/>
      <c r="V385" s="234"/>
      <c r="W385" s="165"/>
      <c r="X385" s="165"/>
      <c r="Y385" s="165"/>
      <c r="Z385" s="165"/>
      <c r="AA385" s="165"/>
      <c r="AB385" s="253"/>
      <c r="AC385" s="2"/>
      <c r="AD385" s="253"/>
      <c r="AE385" s="253"/>
      <c r="AF385" s="253"/>
      <c r="AG385" s="253"/>
      <c r="AH385" s="253"/>
      <c r="AI385" s="2"/>
      <c r="AJ385" s="253"/>
      <c r="AK385" s="253"/>
      <c r="AL385" s="253"/>
      <c r="AM385" s="253"/>
      <c r="AN385" s="253"/>
      <c r="AO385" s="2"/>
      <c r="AP385" s="253"/>
      <c r="AQ385" s="253"/>
      <c r="AR385" s="253"/>
      <c r="AS385" s="253"/>
      <c r="AT385" s="253"/>
      <c r="AU385" s="2"/>
      <c r="AV385" s="253"/>
      <c r="AW385" s="253"/>
      <c r="AX385" s="253"/>
      <c r="AY385" s="253"/>
    </row>
    <row r="386" ht="15.75" customHeight="1">
      <c r="A386" s="2"/>
      <c r="B386" s="259"/>
      <c r="C386" s="163"/>
      <c r="D386" s="259"/>
      <c r="E386" s="166"/>
      <c r="F386" s="163"/>
      <c r="G386" s="166"/>
      <c r="H386" s="166"/>
      <c r="I386" s="260"/>
      <c r="J386" s="178"/>
      <c r="K386" s="166"/>
      <c r="L386" s="166"/>
      <c r="M386" s="166"/>
      <c r="N386" s="178"/>
      <c r="O386" s="178"/>
      <c r="P386" s="178"/>
      <c r="Q386" s="178"/>
      <c r="R386" s="166"/>
      <c r="S386" s="177"/>
      <c r="T386" s="234"/>
      <c r="U386" s="234"/>
      <c r="V386" s="234"/>
      <c r="W386" s="165"/>
      <c r="X386" s="165"/>
      <c r="Y386" s="165"/>
      <c r="Z386" s="165"/>
      <c r="AA386" s="165"/>
      <c r="AB386" s="253"/>
      <c r="AC386" s="2"/>
      <c r="AD386" s="253"/>
      <c r="AE386" s="253"/>
      <c r="AF386" s="253"/>
      <c r="AG386" s="253"/>
      <c r="AH386" s="253"/>
      <c r="AI386" s="2"/>
      <c r="AJ386" s="253"/>
      <c r="AK386" s="253"/>
      <c r="AL386" s="253"/>
      <c r="AM386" s="253"/>
      <c r="AN386" s="253"/>
      <c r="AO386" s="2"/>
      <c r="AP386" s="253"/>
      <c r="AQ386" s="253"/>
      <c r="AR386" s="253"/>
      <c r="AS386" s="253"/>
      <c r="AT386" s="253"/>
      <c r="AU386" s="2"/>
      <c r="AV386" s="253"/>
      <c r="AW386" s="253"/>
      <c r="AX386" s="253"/>
      <c r="AY386" s="253"/>
    </row>
    <row r="387" ht="15.75" customHeight="1">
      <c r="A387" s="2"/>
      <c r="B387" s="259"/>
      <c r="C387" s="163"/>
      <c r="D387" s="259"/>
      <c r="E387" s="166"/>
      <c r="F387" s="163"/>
      <c r="G387" s="166"/>
      <c r="H387" s="166"/>
      <c r="I387" s="260"/>
      <c r="J387" s="178"/>
      <c r="K387" s="166"/>
      <c r="L387" s="166"/>
      <c r="M387" s="166"/>
      <c r="N387" s="178"/>
      <c r="O387" s="178"/>
      <c r="P387" s="178"/>
      <c r="Q387" s="178"/>
      <c r="R387" s="166"/>
      <c r="S387" s="177"/>
      <c r="T387" s="234"/>
      <c r="U387" s="234"/>
      <c r="V387" s="234"/>
      <c r="W387" s="165"/>
      <c r="X387" s="165"/>
      <c r="Y387" s="165"/>
      <c r="Z387" s="165"/>
      <c r="AA387" s="165"/>
      <c r="AB387" s="253"/>
      <c r="AC387" s="2"/>
      <c r="AD387" s="253"/>
      <c r="AE387" s="253"/>
      <c r="AF387" s="253"/>
      <c r="AG387" s="253"/>
      <c r="AH387" s="253"/>
      <c r="AI387" s="2"/>
      <c r="AJ387" s="253"/>
      <c r="AK387" s="253"/>
      <c r="AL387" s="253"/>
      <c r="AM387" s="253"/>
      <c r="AN387" s="253"/>
      <c r="AO387" s="2"/>
      <c r="AP387" s="253"/>
      <c r="AQ387" s="253"/>
      <c r="AR387" s="253"/>
      <c r="AS387" s="253"/>
      <c r="AT387" s="253"/>
      <c r="AU387" s="2"/>
      <c r="AV387" s="253"/>
      <c r="AW387" s="253"/>
      <c r="AX387" s="253"/>
      <c r="AY387" s="253"/>
    </row>
    <row r="388" ht="15.75" customHeight="1">
      <c r="A388" s="2"/>
      <c r="B388" s="259"/>
      <c r="C388" s="163"/>
      <c r="D388" s="259"/>
      <c r="E388" s="166"/>
      <c r="F388" s="163"/>
      <c r="G388" s="166"/>
      <c r="H388" s="166"/>
      <c r="I388" s="260"/>
      <c r="J388" s="178"/>
      <c r="K388" s="166"/>
      <c r="L388" s="166"/>
      <c r="M388" s="166"/>
      <c r="N388" s="178"/>
      <c r="O388" s="178"/>
      <c r="P388" s="178"/>
      <c r="Q388" s="178"/>
      <c r="R388" s="166"/>
      <c r="S388" s="177"/>
      <c r="T388" s="234"/>
      <c r="U388" s="234"/>
      <c r="V388" s="234"/>
      <c r="W388" s="165"/>
      <c r="X388" s="165"/>
      <c r="Y388" s="165"/>
      <c r="Z388" s="165"/>
      <c r="AA388" s="165"/>
      <c r="AB388" s="253"/>
      <c r="AC388" s="2"/>
      <c r="AD388" s="253"/>
      <c r="AE388" s="253"/>
      <c r="AF388" s="253"/>
      <c r="AG388" s="253"/>
      <c r="AH388" s="253"/>
      <c r="AI388" s="2"/>
      <c r="AJ388" s="253"/>
      <c r="AK388" s="253"/>
      <c r="AL388" s="253"/>
      <c r="AM388" s="253"/>
      <c r="AN388" s="253"/>
      <c r="AO388" s="2"/>
      <c r="AP388" s="253"/>
      <c r="AQ388" s="253"/>
      <c r="AR388" s="253"/>
      <c r="AS388" s="253"/>
      <c r="AT388" s="253"/>
      <c r="AU388" s="2"/>
      <c r="AV388" s="253"/>
      <c r="AW388" s="253"/>
      <c r="AX388" s="253"/>
      <c r="AY388" s="253"/>
    </row>
    <row r="389" ht="15.75" customHeight="1">
      <c r="A389" s="2"/>
      <c r="B389" s="259"/>
      <c r="C389" s="163"/>
      <c r="D389" s="259"/>
      <c r="E389" s="166"/>
      <c r="F389" s="163"/>
      <c r="G389" s="166"/>
      <c r="H389" s="166"/>
      <c r="I389" s="178"/>
      <c r="J389" s="263"/>
      <c r="K389" s="166"/>
      <c r="L389" s="264"/>
      <c r="M389" s="264"/>
      <c r="N389" s="263"/>
      <c r="O389" s="263"/>
      <c r="P389" s="263"/>
      <c r="Q389" s="263"/>
      <c r="R389" s="264"/>
      <c r="S389" s="177"/>
      <c r="T389" s="234"/>
      <c r="U389" s="234"/>
      <c r="V389" s="234"/>
      <c r="W389" s="165"/>
      <c r="X389" s="165"/>
      <c r="Y389" s="165"/>
      <c r="Z389" s="165"/>
      <c r="AA389" s="165"/>
      <c r="AB389" s="253"/>
      <c r="AC389" s="2"/>
      <c r="AD389" s="253"/>
      <c r="AE389" s="253"/>
      <c r="AF389" s="253"/>
      <c r="AG389" s="253"/>
      <c r="AH389" s="253"/>
      <c r="AI389" s="2"/>
      <c r="AJ389" s="253"/>
      <c r="AK389" s="253"/>
      <c r="AL389" s="253"/>
      <c r="AM389" s="253"/>
      <c r="AN389" s="253"/>
      <c r="AO389" s="2"/>
      <c r="AP389" s="253"/>
      <c r="AQ389" s="253"/>
      <c r="AR389" s="253"/>
      <c r="AS389" s="253"/>
      <c r="AT389" s="253"/>
      <c r="AU389" s="2"/>
      <c r="AV389" s="253"/>
      <c r="AW389" s="253"/>
      <c r="AX389" s="253"/>
      <c r="AY389" s="253"/>
    </row>
    <row r="390" ht="15.75" customHeight="1">
      <c r="A390" s="2"/>
      <c r="B390" s="259"/>
      <c r="C390" s="163"/>
      <c r="D390" s="259"/>
      <c r="E390" s="166"/>
      <c r="F390" s="163"/>
      <c r="G390" s="166"/>
      <c r="H390" s="166"/>
      <c r="I390" s="178"/>
      <c r="J390" s="263"/>
      <c r="K390" s="166"/>
      <c r="L390" s="264"/>
      <c r="M390" s="264"/>
      <c r="N390" s="263"/>
      <c r="O390" s="263"/>
      <c r="P390" s="263"/>
      <c r="Q390" s="263"/>
      <c r="R390" s="264"/>
      <c r="S390" s="177"/>
      <c r="T390" s="234"/>
      <c r="U390" s="234"/>
      <c r="V390" s="234"/>
      <c r="W390" s="165"/>
      <c r="X390" s="165"/>
      <c r="Y390" s="165"/>
      <c r="Z390" s="165"/>
      <c r="AA390" s="165"/>
      <c r="AB390" s="253"/>
      <c r="AC390" s="2"/>
      <c r="AD390" s="253"/>
      <c r="AE390" s="253"/>
      <c r="AF390" s="253"/>
      <c r="AG390" s="253"/>
      <c r="AH390" s="253"/>
      <c r="AI390" s="2"/>
      <c r="AJ390" s="253"/>
      <c r="AK390" s="253"/>
      <c r="AL390" s="253"/>
      <c r="AM390" s="253"/>
      <c r="AN390" s="253"/>
      <c r="AO390" s="2"/>
      <c r="AP390" s="253"/>
      <c r="AQ390" s="253"/>
      <c r="AR390" s="253"/>
      <c r="AS390" s="253"/>
      <c r="AT390" s="253"/>
      <c r="AU390" s="2"/>
      <c r="AV390" s="253"/>
      <c r="AW390" s="253"/>
      <c r="AX390" s="253"/>
      <c r="AY390" s="253"/>
    </row>
    <row r="391" ht="15.75" customHeight="1">
      <c r="A391" s="2"/>
      <c r="B391" s="259"/>
      <c r="C391" s="163"/>
      <c r="D391" s="259"/>
      <c r="E391" s="166"/>
      <c r="F391" s="163"/>
      <c r="G391" s="166"/>
      <c r="H391" s="166"/>
      <c r="I391" s="178"/>
      <c r="J391" s="263"/>
      <c r="K391" s="166"/>
      <c r="L391" s="264"/>
      <c r="M391" s="264"/>
      <c r="N391" s="263"/>
      <c r="O391" s="263"/>
      <c r="P391" s="263"/>
      <c r="Q391" s="263"/>
      <c r="R391" s="264"/>
      <c r="S391" s="177"/>
      <c r="T391" s="234"/>
      <c r="U391" s="234"/>
      <c r="V391" s="234"/>
      <c r="W391" s="165"/>
      <c r="X391" s="165"/>
      <c r="Y391" s="165"/>
      <c r="Z391" s="165"/>
      <c r="AA391" s="165"/>
      <c r="AB391" s="253"/>
      <c r="AC391" s="2"/>
      <c r="AD391" s="253"/>
      <c r="AE391" s="253"/>
      <c r="AF391" s="253"/>
      <c r="AG391" s="253"/>
      <c r="AH391" s="253"/>
      <c r="AI391" s="2"/>
      <c r="AJ391" s="253"/>
      <c r="AK391" s="253"/>
      <c r="AL391" s="253"/>
      <c r="AM391" s="253"/>
      <c r="AN391" s="253"/>
      <c r="AO391" s="2"/>
      <c r="AP391" s="253"/>
      <c r="AQ391" s="253"/>
      <c r="AR391" s="253"/>
      <c r="AS391" s="253"/>
      <c r="AT391" s="253"/>
      <c r="AU391" s="2"/>
      <c r="AV391" s="253"/>
      <c r="AW391" s="253"/>
      <c r="AX391" s="253"/>
      <c r="AY391" s="253"/>
    </row>
    <row r="392" ht="15.75" customHeight="1">
      <c r="A392" s="2"/>
      <c r="B392" s="259"/>
      <c r="C392" s="163"/>
      <c r="D392" s="259"/>
      <c r="E392" s="166"/>
      <c r="F392" s="163"/>
      <c r="G392" s="166"/>
      <c r="H392" s="166"/>
      <c r="I392" s="178"/>
      <c r="J392" s="263"/>
      <c r="K392" s="166"/>
      <c r="L392" s="264"/>
      <c r="M392" s="264"/>
      <c r="N392" s="263"/>
      <c r="O392" s="263"/>
      <c r="P392" s="263"/>
      <c r="Q392" s="263"/>
      <c r="R392" s="264"/>
      <c r="S392" s="177"/>
      <c r="T392" s="234"/>
      <c r="U392" s="234"/>
      <c r="V392" s="234"/>
      <c r="W392" s="165"/>
      <c r="X392" s="165"/>
      <c r="Y392" s="165"/>
      <c r="Z392" s="165"/>
      <c r="AA392" s="165"/>
      <c r="AB392" s="253"/>
      <c r="AC392" s="2"/>
      <c r="AD392" s="253"/>
      <c r="AE392" s="253"/>
      <c r="AF392" s="253"/>
      <c r="AG392" s="253"/>
      <c r="AH392" s="253"/>
      <c r="AI392" s="2"/>
      <c r="AJ392" s="253"/>
      <c r="AK392" s="253"/>
      <c r="AL392" s="253"/>
      <c r="AM392" s="253"/>
      <c r="AN392" s="253"/>
      <c r="AO392" s="2"/>
      <c r="AP392" s="253"/>
      <c r="AQ392" s="253"/>
      <c r="AR392" s="253"/>
      <c r="AS392" s="253"/>
      <c r="AT392" s="253"/>
      <c r="AU392" s="2"/>
      <c r="AV392" s="253"/>
      <c r="AW392" s="253"/>
      <c r="AX392" s="253"/>
      <c r="AY392" s="253"/>
    </row>
    <row r="393" ht="15.75" customHeight="1">
      <c r="A393" s="2"/>
      <c r="B393" s="259"/>
      <c r="C393" s="163"/>
      <c r="D393" s="259"/>
      <c r="E393" s="166"/>
      <c r="F393" s="163"/>
      <c r="G393" s="166"/>
      <c r="H393" s="166"/>
      <c r="I393" s="178"/>
      <c r="J393" s="263"/>
      <c r="K393" s="166"/>
      <c r="L393" s="264"/>
      <c r="M393" s="264"/>
      <c r="N393" s="263"/>
      <c r="O393" s="263"/>
      <c r="P393" s="263"/>
      <c r="Q393" s="263"/>
      <c r="R393" s="264"/>
      <c r="S393" s="177"/>
      <c r="T393" s="234"/>
      <c r="U393" s="234"/>
      <c r="V393" s="234"/>
      <c r="W393" s="165"/>
      <c r="X393" s="165"/>
      <c r="Y393" s="165"/>
      <c r="Z393" s="165"/>
      <c r="AA393" s="165"/>
      <c r="AB393" s="253"/>
      <c r="AC393" s="2"/>
      <c r="AD393" s="253"/>
      <c r="AE393" s="253"/>
      <c r="AF393" s="253"/>
      <c r="AG393" s="253"/>
      <c r="AH393" s="253"/>
      <c r="AI393" s="2"/>
      <c r="AJ393" s="253"/>
      <c r="AK393" s="253"/>
      <c r="AL393" s="253"/>
      <c r="AM393" s="253"/>
      <c r="AN393" s="253"/>
      <c r="AO393" s="2"/>
      <c r="AP393" s="253"/>
      <c r="AQ393" s="253"/>
      <c r="AR393" s="253"/>
      <c r="AS393" s="253"/>
      <c r="AT393" s="253"/>
      <c r="AU393" s="2"/>
      <c r="AV393" s="253"/>
      <c r="AW393" s="253"/>
      <c r="AX393" s="253"/>
      <c r="AY393" s="253"/>
    </row>
    <row r="394" ht="15.75" customHeight="1">
      <c r="A394" s="2"/>
      <c r="B394" s="259"/>
      <c r="C394" s="163"/>
      <c r="D394" s="259"/>
      <c r="E394" s="166"/>
      <c r="F394" s="163"/>
      <c r="G394" s="166"/>
      <c r="H394" s="166"/>
      <c r="I394" s="178"/>
      <c r="J394" s="263"/>
      <c r="K394" s="166"/>
      <c r="L394" s="264"/>
      <c r="M394" s="264"/>
      <c r="N394" s="263"/>
      <c r="O394" s="263"/>
      <c r="P394" s="263"/>
      <c r="Q394" s="263"/>
      <c r="R394" s="264"/>
      <c r="S394" s="177"/>
      <c r="T394" s="234"/>
      <c r="U394" s="234"/>
      <c r="V394" s="234"/>
      <c r="W394" s="165"/>
      <c r="X394" s="165"/>
      <c r="Y394" s="165"/>
      <c r="Z394" s="165"/>
      <c r="AA394" s="165"/>
      <c r="AB394" s="253"/>
      <c r="AC394" s="2"/>
      <c r="AD394" s="253"/>
      <c r="AE394" s="253"/>
      <c r="AF394" s="253"/>
      <c r="AG394" s="253"/>
      <c r="AH394" s="253"/>
      <c r="AI394" s="2"/>
      <c r="AJ394" s="253"/>
      <c r="AK394" s="253"/>
      <c r="AL394" s="253"/>
      <c r="AM394" s="253"/>
      <c r="AN394" s="253"/>
      <c r="AO394" s="2"/>
      <c r="AP394" s="253"/>
      <c r="AQ394" s="253"/>
      <c r="AR394" s="253"/>
      <c r="AS394" s="253"/>
      <c r="AT394" s="253"/>
      <c r="AU394" s="2"/>
      <c r="AV394" s="253"/>
      <c r="AW394" s="253"/>
      <c r="AX394" s="253"/>
      <c r="AY394" s="253"/>
    </row>
    <row r="395" ht="15.75" customHeight="1">
      <c r="A395" s="2"/>
      <c r="B395" s="259"/>
      <c r="C395" s="163"/>
      <c r="D395" s="259"/>
      <c r="E395" s="166"/>
      <c r="F395" s="163"/>
      <c r="G395" s="166"/>
      <c r="H395" s="166"/>
      <c r="I395" s="178"/>
      <c r="J395" s="263"/>
      <c r="K395" s="166"/>
      <c r="L395" s="264"/>
      <c r="M395" s="264"/>
      <c r="N395" s="263"/>
      <c r="O395" s="263"/>
      <c r="P395" s="263"/>
      <c r="Q395" s="263"/>
      <c r="R395" s="264"/>
      <c r="S395" s="177"/>
      <c r="T395" s="234"/>
      <c r="U395" s="234"/>
      <c r="V395" s="234"/>
      <c r="W395" s="165"/>
      <c r="X395" s="165"/>
      <c r="Y395" s="165"/>
      <c r="Z395" s="165"/>
      <c r="AA395" s="165"/>
      <c r="AB395" s="253"/>
      <c r="AC395" s="2"/>
      <c r="AD395" s="253"/>
      <c r="AE395" s="253"/>
      <c r="AF395" s="253"/>
      <c r="AG395" s="253"/>
      <c r="AH395" s="253"/>
      <c r="AI395" s="2"/>
      <c r="AJ395" s="253"/>
      <c r="AK395" s="253"/>
      <c r="AL395" s="253"/>
      <c r="AM395" s="253"/>
      <c r="AN395" s="253"/>
      <c r="AO395" s="2"/>
      <c r="AP395" s="253"/>
      <c r="AQ395" s="253"/>
      <c r="AR395" s="253"/>
      <c r="AS395" s="253"/>
      <c r="AT395" s="253"/>
      <c r="AU395" s="2"/>
      <c r="AV395" s="253"/>
      <c r="AW395" s="253"/>
      <c r="AX395" s="253"/>
      <c r="AY395" s="253"/>
    </row>
    <row r="396" ht="15.75" customHeight="1">
      <c r="A396" s="2"/>
      <c r="B396" s="259"/>
      <c r="C396" s="163"/>
      <c r="D396" s="259"/>
      <c r="E396" s="166"/>
      <c r="F396" s="163"/>
      <c r="G396" s="166"/>
      <c r="H396" s="166"/>
      <c r="I396" s="178"/>
      <c r="J396" s="263"/>
      <c r="K396" s="166"/>
      <c r="L396" s="264"/>
      <c r="M396" s="264"/>
      <c r="N396" s="263"/>
      <c r="O396" s="263"/>
      <c r="P396" s="263"/>
      <c r="Q396" s="263"/>
      <c r="R396" s="264"/>
      <c r="S396" s="177"/>
      <c r="T396" s="234"/>
      <c r="U396" s="234"/>
      <c r="V396" s="234"/>
      <c r="W396" s="165"/>
      <c r="X396" s="165"/>
      <c r="Y396" s="165"/>
      <c r="Z396" s="165"/>
      <c r="AA396" s="165"/>
      <c r="AB396" s="253"/>
      <c r="AC396" s="2"/>
      <c r="AD396" s="253"/>
      <c r="AE396" s="253"/>
      <c r="AF396" s="253"/>
      <c r="AG396" s="253"/>
      <c r="AH396" s="253"/>
      <c r="AI396" s="2"/>
      <c r="AJ396" s="253"/>
      <c r="AK396" s="253"/>
      <c r="AL396" s="253"/>
      <c r="AM396" s="253"/>
      <c r="AN396" s="253"/>
      <c r="AO396" s="2"/>
      <c r="AP396" s="253"/>
      <c r="AQ396" s="253"/>
      <c r="AR396" s="253"/>
      <c r="AS396" s="253"/>
      <c r="AT396" s="253"/>
      <c r="AU396" s="2"/>
      <c r="AV396" s="253"/>
      <c r="AW396" s="253"/>
      <c r="AX396" s="253"/>
      <c r="AY396" s="253"/>
    </row>
    <row r="397" ht="15.75" customHeight="1">
      <c r="A397" s="2"/>
      <c r="B397" s="259"/>
      <c r="C397" s="163"/>
      <c r="D397" s="259"/>
      <c r="E397" s="166"/>
      <c r="F397" s="163"/>
      <c r="G397" s="166"/>
      <c r="H397" s="166"/>
      <c r="I397" s="178"/>
      <c r="J397" s="263"/>
      <c r="K397" s="166"/>
      <c r="L397" s="264"/>
      <c r="M397" s="264"/>
      <c r="N397" s="263"/>
      <c r="O397" s="263"/>
      <c r="P397" s="263"/>
      <c r="Q397" s="263"/>
      <c r="R397" s="264"/>
      <c r="S397" s="177"/>
      <c r="T397" s="234"/>
      <c r="U397" s="234"/>
      <c r="V397" s="234"/>
      <c r="W397" s="165"/>
      <c r="X397" s="165"/>
      <c r="Y397" s="165"/>
      <c r="Z397" s="165"/>
      <c r="AA397" s="165"/>
      <c r="AB397" s="253"/>
      <c r="AC397" s="2"/>
      <c r="AD397" s="253"/>
      <c r="AE397" s="253"/>
      <c r="AF397" s="253"/>
      <c r="AG397" s="253"/>
      <c r="AH397" s="253"/>
      <c r="AI397" s="2"/>
      <c r="AJ397" s="253"/>
      <c r="AK397" s="253"/>
      <c r="AL397" s="253"/>
      <c r="AM397" s="253"/>
      <c r="AN397" s="253"/>
      <c r="AO397" s="2"/>
      <c r="AP397" s="253"/>
      <c r="AQ397" s="253"/>
      <c r="AR397" s="253"/>
      <c r="AS397" s="253"/>
      <c r="AT397" s="253"/>
      <c r="AU397" s="2"/>
      <c r="AV397" s="253"/>
      <c r="AW397" s="253"/>
      <c r="AX397" s="253"/>
      <c r="AY397" s="253"/>
    </row>
    <row r="398" ht="15.75" customHeight="1">
      <c r="A398" s="2"/>
      <c r="B398" s="259"/>
      <c r="C398" s="163"/>
      <c r="D398" s="262"/>
      <c r="E398" s="166"/>
      <c r="F398" s="163"/>
      <c r="G398" s="166"/>
      <c r="H398" s="166"/>
      <c r="I398" s="178"/>
      <c r="J398" s="263"/>
      <c r="K398" s="166"/>
      <c r="L398" s="264"/>
      <c r="M398" s="264"/>
      <c r="N398" s="263"/>
      <c r="O398" s="263"/>
      <c r="P398" s="263"/>
      <c r="Q398" s="263"/>
      <c r="R398" s="264"/>
      <c r="S398" s="177"/>
      <c r="T398" s="234"/>
      <c r="U398" s="234"/>
      <c r="V398" s="234"/>
      <c r="W398" s="165"/>
      <c r="X398" s="165"/>
      <c r="Y398" s="165"/>
      <c r="Z398" s="165"/>
      <c r="AA398" s="165"/>
      <c r="AB398" s="253"/>
      <c r="AC398" s="2"/>
      <c r="AD398" s="253"/>
      <c r="AE398" s="253"/>
      <c r="AF398" s="253"/>
      <c r="AG398" s="253"/>
      <c r="AH398" s="253"/>
      <c r="AI398" s="2"/>
      <c r="AJ398" s="253"/>
      <c r="AK398" s="253"/>
      <c r="AL398" s="253"/>
      <c r="AM398" s="253"/>
      <c r="AN398" s="253"/>
      <c r="AO398" s="2"/>
      <c r="AP398" s="253"/>
      <c r="AQ398" s="253"/>
      <c r="AR398" s="253"/>
      <c r="AS398" s="253"/>
      <c r="AT398" s="253"/>
      <c r="AU398" s="2"/>
      <c r="AV398" s="253"/>
      <c r="AW398" s="253"/>
      <c r="AX398" s="253"/>
      <c r="AY398" s="253"/>
    </row>
    <row r="399" ht="15.75" customHeight="1">
      <c r="A399" s="2"/>
      <c r="B399" s="259"/>
      <c r="C399" s="163"/>
      <c r="D399" s="259"/>
      <c r="E399" s="166"/>
      <c r="F399" s="163"/>
      <c r="G399" s="166"/>
      <c r="H399" s="166"/>
      <c r="I399" s="178"/>
      <c r="J399" s="263"/>
      <c r="K399" s="166"/>
      <c r="L399" s="264"/>
      <c r="M399" s="264"/>
      <c r="N399" s="263"/>
      <c r="O399" s="263"/>
      <c r="P399" s="263"/>
      <c r="Q399" s="263"/>
      <c r="R399" s="264"/>
      <c r="S399" s="177"/>
      <c r="T399" s="234"/>
      <c r="U399" s="234"/>
      <c r="V399" s="234"/>
      <c r="W399" s="165"/>
      <c r="X399" s="165"/>
      <c r="Y399" s="165"/>
      <c r="Z399" s="165"/>
      <c r="AA399" s="165"/>
      <c r="AB399" s="253"/>
      <c r="AC399" s="2"/>
      <c r="AD399" s="253"/>
      <c r="AE399" s="253"/>
      <c r="AF399" s="253"/>
      <c r="AG399" s="253"/>
      <c r="AH399" s="253"/>
      <c r="AI399" s="2"/>
      <c r="AJ399" s="253"/>
      <c r="AK399" s="253"/>
      <c r="AL399" s="253"/>
      <c r="AM399" s="253"/>
      <c r="AN399" s="253"/>
      <c r="AO399" s="2"/>
      <c r="AP399" s="253"/>
      <c r="AQ399" s="253"/>
      <c r="AR399" s="253"/>
      <c r="AS399" s="253"/>
      <c r="AT399" s="253"/>
      <c r="AU399" s="2"/>
      <c r="AV399" s="253"/>
      <c r="AW399" s="253"/>
      <c r="AX399" s="253"/>
      <c r="AY399" s="253"/>
    </row>
    <row r="400" ht="15.75" customHeight="1">
      <c r="A400" s="2"/>
      <c r="B400" s="259"/>
      <c r="C400" s="163"/>
      <c r="D400" s="259"/>
      <c r="E400" s="166"/>
      <c r="F400" s="163"/>
      <c r="G400" s="166"/>
      <c r="H400" s="166"/>
      <c r="I400" s="178"/>
      <c r="J400" s="263"/>
      <c r="K400" s="166"/>
      <c r="L400" s="264"/>
      <c r="M400" s="264"/>
      <c r="N400" s="263"/>
      <c r="O400" s="263"/>
      <c r="P400" s="263"/>
      <c r="Q400" s="263"/>
      <c r="R400" s="264"/>
      <c r="S400" s="177"/>
      <c r="T400" s="234"/>
      <c r="U400" s="234"/>
      <c r="V400" s="234"/>
      <c r="W400" s="165"/>
      <c r="X400" s="165"/>
      <c r="Y400" s="165"/>
      <c r="Z400" s="165"/>
      <c r="AA400" s="165"/>
      <c r="AB400" s="253"/>
      <c r="AC400" s="2"/>
      <c r="AD400" s="253"/>
      <c r="AE400" s="253"/>
      <c r="AF400" s="253"/>
      <c r="AG400" s="253"/>
      <c r="AH400" s="253"/>
      <c r="AI400" s="2"/>
      <c r="AJ400" s="253"/>
      <c r="AK400" s="253"/>
      <c r="AL400" s="253"/>
      <c r="AM400" s="253"/>
      <c r="AN400" s="253"/>
      <c r="AO400" s="2"/>
      <c r="AP400" s="253"/>
      <c r="AQ400" s="253"/>
      <c r="AR400" s="253"/>
      <c r="AS400" s="253"/>
      <c r="AT400" s="253"/>
      <c r="AU400" s="2"/>
      <c r="AV400" s="253"/>
      <c r="AW400" s="253"/>
      <c r="AX400" s="253"/>
      <c r="AY400" s="253"/>
    </row>
    <row r="401" ht="15.75" customHeight="1">
      <c r="A401" s="2"/>
      <c r="B401" s="259"/>
      <c r="C401" s="163"/>
      <c r="D401" s="259"/>
      <c r="E401" s="166"/>
      <c r="F401" s="163"/>
      <c r="G401" s="166"/>
      <c r="H401" s="166"/>
      <c r="I401" s="178"/>
      <c r="J401" s="263"/>
      <c r="K401" s="166"/>
      <c r="L401" s="264"/>
      <c r="M401" s="264"/>
      <c r="N401" s="263"/>
      <c r="O401" s="263"/>
      <c r="P401" s="263"/>
      <c r="Q401" s="263"/>
      <c r="R401" s="264"/>
      <c r="S401" s="177"/>
      <c r="T401" s="234"/>
      <c r="U401" s="234"/>
      <c r="V401" s="234"/>
      <c r="W401" s="165"/>
      <c r="X401" s="165"/>
      <c r="Y401" s="165"/>
      <c r="Z401" s="165"/>
      <c r="AA401" s="165"/>
      <c r="AB401" s="253"/>
      <c r="AC401" s="2"/>
      <c r="AD401" s="253"/>
      <c r="AE401" s="253"/>
      <c r="AF401" s="253"/>
      <c r="AG401" s="253"/>
      <c r="AH401" s="253"/>
      <c r="AI401" s="2"/>
      <c r="AJ401" s="253"/>
      <c r="AK401" s="253"/>
      <c r="AL401" s="253"/>
      <c r="AM401" s="253"/>
      <c r="AN401" s="253"/>
      <c r="AO401" s="2"/>
      <c r="AP401" s="253"/>
      <c r="AQ401" s="253"/>
      <c r="AR401" s="253"/>
      <c r="AS401" s="253"/>
      <c r="AT401" s="253"/>
      <c r="AU401" s="2"/>
      <c r="AV401" s="253"/>
      <c r="AW401" s="253"/>
      <c r="AX401" s="253"/>
      <c r="AY401" s="253"/>
    </row>
    <row r="402" ht="15.75" customHeight="1">
      <c r="A402" s="2"/>
      <c r="B402" s="259"/>
      <c r="C402" s="163"/>
      <c r="D402" s="259"/>
      <c r="E402" s="166"/>
      <c r="F402" s="163"/>
      <c r="G402" s="166"/>
      <c r="H402" s="166"/>
      <c r="I402" s="178"/>
      <c r="J402" s="263"/>
      <c r="K402" s="166"/>
      <c r="L402" s="264"/>
      <c r="M402" s="264"/>
      <c r="N402" s="263"/>
      <c r="O402" s="263"/>
      <c r="P402" s="263"/>
      <c r="Q402" s="263"/>
      <c r="R402" s="264"/>
      <c r="S402" s="177"/>
      <c r="T402" s="234"/>
      <c r="U402" s="234"/>
      <c r="V402" s="234"/>
      <c r="W402" s="165"/>
      <c r="X402" s="165"/>
      <c r="Y402" s="165"/>
      <c r="Z402" s="165"/>
      <c r="AA402" s="165"/>
      <c r="AB402" s="253"/>
      <c r="AC402" s="2"/>
      <c r="AD402" s="253"/>
      <c r="AE402" s="253"/>
      <c r="AF402" s="253"/>
      <c r="AG402" s="253"/>
      <c r="AH402" s="253"/>
      <c r="AI402" s="2"/>
      <c r="AJ402" s="253"/>
      <c r="AK402" s="253"/>
      <c r="AL402" s="253"/>
      <c r="AM402" s="253"/>
      <c r="AN402" s="253"/>
      <c r="AO402" s="2"/>
      <c r="AP402" s="253"/>
      <c r="AQ402" s="253"/>
      <c r="AR402" s="253"/>
      <c r="AS402" s="253"/>
      <c r="AT402" s="253"/>
      <c r="AU402" s="2"/>
      <c r="AV402" s="253"/>
      <c r="AW402" s="253"/>
      <c r="AX402" s="253"/>
      <c r="AY402" s="253"/>
    </row>
    <row r="403" ht="15.75" customHeight="1">
      <c r="A403" s="2"/>
      <c r="B403" s="259"/>
      <c r="C403" s="163"/>
      <c r="D403" s="259"/>
      <c r="E403" s="166"/>
      <c r="F403" s="163"/>
      <c r="G403" s="166"/>
      <c r="H403" s="166"/>
      <c r="I403" s="178"/>
      <c r="J403" s="263"/>
      <c r="K403" s="166"/>
      <c r="L403" s="264"/>
      <c r="M403" s="264"/>
      <c r="N403" s="263"/>
      <c r="O403" s="263"/>
      <c r="P403" s="263"/>
      <c r="Q403" s="263"/>
      <c r="R403" s="264"/>
      <c r="S403" s="177"/>
      <c r="T403" s="234"/>
      <c r="U403" s="234"/>
      <c r="V403" s="234"/>
      <c r="W403" s="165"/>
      <c r="X403" s="165"/>
      <c r="Y403" s="165"/>
      <c r="Z403" s="165"/>
      <c r="AA403" s="165"/>
      <c r="AB403" s="253"/>
      <c r="AC403" s="2"/>
      <c r="AD403" s="253"/>
      <c r="AE403" s="253"/>
      <c r="AF403" s="253"/>
      <c r="AG403" s="253"/>
      <c r="AH403" s="253"/>
      <c r="AI403" s="2"/>
      <c r="AJ403" s="253"/>
      <c r="AK403" s="253"/>
      <c r="AL403" s="253"/>
      <c r="AM403" s="253"/>
      <c r="AN403" s="253"/>
      <c r="AO403" s="2"/>
      <c r="AP403" s="253"/>
      <c r="AQ403" s="253"/>
      <c r="AR403" s="253"/>
      <c r="AS403" s="253"/>
      <c r="AT403" s="253"/>
      <c r="AU403" s="2"/>
      <c r="AV403" s="253"/>
      <c r="AW403" s="253"/>
      <c r="AX403" s="253"/>
      <c r="AY403" s="253"/>
    </row>
    <row r="404" ht="15.75" customHeight="1">
      <c r="A404" s="2"/>
      <c r="B404" s="259"/>
      <c r="C404" s="163"/>
      <c r="D404" s="259"/>
      <c r="E404" s="166"/>
      <c r="F404" s="163"/>
      <c r="G404" s="166"/>
      <c r="H404" s="166"/>
      <c r="I404" s="178"/>
      <c r="J404" s="263"/>
      <c r="K404" s="166"/>
      <c r="L404" s="264"/>
      <c r="M404" s="264"/>
      <c r="N404" s="263"/>
      <c r="O404" s="263"/>
      <c r="P404" s="263"/>
      <c r="Q404" s="263"/>
      <c r="R404" s="264"/>
      <c r="S404" s="177"/>
      <c r="T404" s="234"/>
      <c r="U404" s="234"/>
      <c r="V404" s="234"/>
      <c r="W404" s="165"/>
      <c r="X404" s="165"/>
      <c r="Y404" s="165"/>
      <c r="Z404" s="165"/>
      <c r="AA404" s="165"/>
      <c r="AB404" s="253"/>
      <c r="AC404" s="2"/>
      <c r="AD404" s="253"/>
      <c r="AE404" s="253"/>
      <c r="AF404" s="253"/>
      <c r="AG404" s="253"/>
      <c r="AH404" s="253"/>
      <c r="AI404" s="2"/>
      <c r="AJ404" s="253"/>
      <c r="AK404" s="253"/>
      <c r="AL404" s="253"/>
      <c r="AM404" s="253"/>
      <c r="AN404" s="253"/>
      <c r="AO404" s="2"/>
      <c r="AP404" s="253"/>
      <c r="AQ404" s="253"/>
      <c r="AR404" s="253"/>
      <c r="AS404" s="253"/>
      <c r="AT404" s="253"/>
      <c r="AU404" s="2"/>
      <c r="AV404" s="253"/>
      <c r="AW404" s="253"/>
      <c r="AX404" s="253"/>
      <c r="AY404" s="253"/>
    </row>
    <row r="405" ht="15.75" customHeight="1">
      <c r="A405" s="2"/>
      <c r="B405" s="259"/>
      <c r="C405" s="163"/>
      <c r="D405" s="259"/>
      <c r="E405" s="166"/>
      <c r="F405" s="163"/>
      <c r="G405" s="166"/>
      <c r="H405" s="166"/>
      <c r="I405" s="178"/>
      <c r="J405" s="263"/>
      <c r="K405" s="166"/>
      <c r="L405" s="264"/>
      <c r="M405" s="264"/>
      <c r="N405" s="263"/>
      <c r="O405" s="263"/>
      <c r="P405" s="263"/>
      <c r="Q405" s="263"/>
      <c r="R405" s="264"/>
      <c r="S405" s="177"/>
      <c r="T405" s="234"/>
      <c r="U405" s="234"/>
      <c r="V405" s="234"/>
      <c r="W405" s="165"/>
      <c r="X405" s="165"/>
      <c r="Y405" s="165"/>
      <c r="Z405" s="165"/>
      <c r="AA405" s="165"/>
      <c r="AB405" s="253"/>
      <c r="AC405" s="2"/>
      <c r="AD405" s="253"/>
      <c r="AE405" s="253"/>
      <c r="AF405" s="253"/>
      <c r="AG405" s="253"/>
      <c r="AH405" s="253"/>
      <c r="AI405" s="2"/>
      <c r="AJ405" s="253"/>
      <c r="AK405" s="253"/>
      <c r="AL405" s="253"/>
      <c r="AM405" s="253"/>
      <c r="AN405" s="253"/>
      <c r="AO405" s="2"/>
      <c r="AP405" s="253"/>
      <c r="AQ405" s="253"/>
      <c r="AR405" s="253"/>
      <c r="AS405" s="253"/>
      <c r="AT405" s="253"/>
      <c r="AU405" s="2"/>
      <c r="AV405" s="253"/>
      <c r="AW405" s="253"/>
      <c r="AX405" s="253"/>
      <c r="AY405" s="253"/>
    </row>
    <row r="406" ht="15.75" customHeight="1">
      <c r="A406" s="2"/>
      <c r="B406" s="259"/>
      <c r="C406" s="163"/>
      <c r="D406" s="259"/>
      <c r="E406" s="166"/>
      <c r="F406" s="163"/>
      <c r="G406" s="166"/>
      <c r="H406" s="166"/>
      <c r="I406" s="178"/>
      <c r="J406" s="263"/>
      <c r="K406" s="166"/>
      <c r="L406" s="264"/>
      <c r="M406" s="264"/>
      <c r="N406" s="263"/>
      <c r="O406" s="263"/>
      <c r="P406" s="263"/>
      <c r="Q406" s="263"/>
      <c r="R406" s="264"/>
      <c r="S406" s="177"/>
      <c r="T406" s="234"/>
      <c r="U406" s="234"/>
      <c r="V406" s="234"/>
      <c r="W406" s="165"/>
      <c r="X406" s="165"/>
      <c r="Y406" s="165"/>
      <c r="Z406" s="165"/>
      <c r="AA406" s="165"/>
      <c r="AB406" s="253"/>
      <c r="AC406" s="2"/>
      <c r="AD406" s="253"/>
      <c r="AE406" s="253"/>
      <c r="AF406" s="253"/>
      <c r="AG406" s="253"/>
      <c r="AH406" s="253"/>
      <c r="AI406" s="2"/>
      <c r="AJ406" s="253"/>
      <c r="AK406" s="253"/>
      <c r="AL406" s="253"/>
      <c r="AM406" s="253"/>
      <c r="AN406" s="253"/>
      <c r="AO406" s="2"/>
      <c r="AP406" s="253"/>
      <c r="AQ406" s="253"/>
      <c r="AR406" s="253"/>
      <c r="AS406" s="253"/>
      <c r="AT406" s="253"/>
      <c r="AU406" s="2"/>
      <c r="AV406" s="253"/>
      <c r="AW406" s="253"/>
      <c r="AX406" s="253"/>
      <c r="AY406" s="253"/>
    </row>
    <row r="407" ht="15.75" customHeight="1">
      <c r="A407" s="2"/>
      <c r="B407" s="259"/>
      <c r="C407" s="163"/>
      <c r="D407" s="259"/>
      <c r="E407" s="166"/>
      <c r="F407" s="163"/>
      <c r="G407" s="166"/>
      <c r="H407" s="166"/>
      <c r="I407" s="178"/>
      <c r="J407" s="263"/>
      <c r="K407" s="166"/>
      <c r="L407" s="264"/>
      <c r="M407" s="264"/>
      <c r="N407" s="263"/>
      <c r="O407" s="263"/>
      <c r="P407" s="263"/>
      <c r="Q407" s="263"/>
      <c r="R407" s="264"/>
      <c r="S407" s="177"/>
      <c r="T407" s="234"/>
      <c r="U407" s="234"/>
      <c r="V407" s="234"/>
      <c r="W407" s="165"/>
      <c r="X407" s="165"/>
      <c r="Y407" s="165"/>
      <c r="Z407" s="165"/>
      <c r="AA407" s="165"/>
      <c r="AB407" s="253"/>
      <c r="AC407" s="2"/>
      <c r="AD407" s="253"/>
      <c r="AE407" s="253"/>
      <c r="AF407" s="253"/>
      <c r="AG407" s="253"/>
      <c r="AH407" s="253"/>
      <c r="AI407" s="2"/>
      <c r="AJ407" s="253"/>
      <c r="AK407" s="253"/>
      <c r="AL407" s="253"/>
      <c r="AM407" s="253"/>
      <c r="AN407" s="253"/>
      <c r="AO407" s="2"/>
      <c r="AP407" s="253"/>
      <c r="AQ407" s="253"/>
      <c r="AR407" s="253"/>
      <c r="AS407" s="253"/>
      <c r="AT407" s="253"/>
      <c r="AU407" s="2"/>
      <c r="AV407" s="253"/>
      <c r="AW407" s="253"/>
      <c r="AX407" s="253"/>
      <c r="AY407" s="253"/>
    </row>
    <row r="408" ht="15.75" customHeight="1">
      <c r="A408" s="2"/>
      <c r="B408" s="259"/>
      <c r="C408" s="163"/>
      <c r="D408" s="259"/>
      <c r="E408" s="166"/>
      <c r="F408" s="163"/>
      <c r="G408" s="166"/>
      <c r="H408" s="166"/>
      <c r="I408" s="178"/>
      <c r="J408" s="263"/>
      <c r="K408" s="166"/>
      <c r="L408" s="264"/>
      <c r="M408" s="264"/>
      <c r="N408" s="263"/>
      <c r="O408" s="263"/>
      <c r="P408" s="263"/>
      <c r="Q408" s="263"/>
      <c r="R408" s="264"/>
      <c r="S408" s="177"/>
      <c r="T408" s="234"/>
      <c r="U408" s="234"/>
      <c r="V408" s="234"/>
      <c r="W408" s="165"/>
      <c r="X408" s="165"/>
      <c r="Y408" s="165"/>
      <c r="Z408" s="165"/>
      <c r="AA408" s="165"/>
      <c r="AB408" s="253"/>
      <c r="AC408" s="2"/>
      <c r="AD408" s="253"/>
      <c r="AE408" s="253"/>
      <c r="AF408" s="253"/>
      <c r="AG408" s="253"/>
      <c r="AH408" s="253"/>
      <c r="AI408" s="2"/>
      <c r="AJ408" s="253"/>
      <c r="AK408" s="253"/>
      <c r="AL408" s="253"/>
      <c r="AM408" s="253"/>
      <c r="AN408" s="253"/>
      <c r="AO408" s="2"/>
      <c r="AP408" s="253"/>
      <c r="AQ408" s="253"/>
      <c r="AR408" s="253"/>
      <c r="AS408" s="253"/>
      <c r="AT408" s="253"/>
      <c r="AU408" s="2"/>
      <c r="AV408" s="253"/>
      <c r="AW408" s="253"/>
      <c r="AX408" s="253"/>
      <c r="AY408" s="253"/>
    </row>
    <row r="409" ht="15.75" customHeight="1">
      <c r="A409" s="2"/>
      <c r="B409" s="259"/>
      <c r="C409" s="163"/>
      <c r="D409" s="259"/>
      <c r="E409" s="166"/>
      <c r="F409" s="163"/>
      <c r="G409" s="166"/>
      <c r="H409" s="166"/>
      <c r="I409" s="178"/>
      <c r="J409" s="263"/>
      <c r="K409" s="166"/>
      <c r="L409" s="264"/>
      <c r="M409" s="264"/>
      <c r="N409" s="263"/>
      <c r="O409" s="263"/>
      <c r="P409" s="263"/>
      <c r="Q409" s="263"/>
      <c r="R409" s="264"/>
      <c r="S409" s="177"/>
      <c r="T409" s="234"/>
      <c r="U409" s="234"/>
      <c r="V409" s="234"/>
      <c r="W409" s="165"/>
      <c r="X409" s="165"/>
      <c r="Y409" s="165"/>
      <c r="Z409" s="165"/>
      <c r="AA409" s="165"/>
      <c r="AB409" s="253"/>
      <c r="AC409" s="2"/>
      <c r="AD409" s="253"/>
      <c r="AE409" s="253"/>
      <c r="AF409" s="253"/>
      <c r="AG409" s="253"/>
      <c r="AH409" s="253"/>
      <c r="AI409" s="2"/>
      <c r="AJ409" s="253"/>
      <c r="AK409" s="253"/>
      <c r="AL409" s="253"/>
      <c r="AM409" s="253"/>
      <c r="AN409" s="253"/>
      <c r="AO409" s="2"/>
      <c r="AP409" s="253"/>
      <c r="AQ409" s="253"/>
      <c r="AR409" s="253"/>
      <c r="AS409" s="253"/>
      <c r="AT409" s="253"/>
      <c r="AU409" s="2"/>
      <c r="AV409" s="253"/>
      <c r="AW409" s="253"/>
      <c r="AX409" s="253"/>
      <c r="AY409" s="253"/>
    </row>
    <row r="410" ht="15.75" customHeight="1">
      <c r="A410" s="2"/>
      <c r="B410" s="259"/>
      <c r="C410" s="163"/>
      <c r="D410" s="259"/>
      <c r="E410" s="166"/>
      <c r="F410" s="163"/>
      <c r="G410" s="166"/>
      <c r="H410" s="166"/>
      <c r="I410" s="178"/>
      <c r="J410" s="263"/>
      <c r="K410" s="166"/>
      <c r="L410" s="264"/>
      <c r="M410" s="264"/>
      <c r="N410" s="263"/>
      <c r="O410" s="263"/>
      <c r="P410" s="263"/>
      <c r="Q410" s="263"/>
      <c r="R410" s="264"/>
      <c r="S410" s="177"/>
      <c r="T410" s="234"/>
      <c r="U410" s="234"/>
      <c r="V410" s="234"/>
      <c r="W410" s="165"/>
      <c r="X410" s="165"/>
      <c r="Y410" s="165"/>
      <c r="Z410" s="165"/>
      <c r="AA410" s="165"/>
      <c r="AB410" s="253"/>
      <c r="AC410" s="2"/>
      <c r="AD410" s="253"/>
      <c r="AE410" s="253"/>
      <c r="AF410" s="253"/>
      <c r="AG410" s="253"/>
      <c r="AH410" s="253"/>
      <c r="AI410" s="2"/>
      <c r="AJ410" s="253"/>
      <c r="AK410" s="253"/>
      <c r="AL410" s="253"/>
      <c r="AM410" s="253"/>
      <c r="AN410" s="253"/>
      <c r="AO410" s="2"/>
      <c r="AP410" s="253"/>
      <c r="AQ410" s="253"/>
      <c r="AR410" s="253"/>
      <c r="AS410" s="253"/>
      <c r="AT410" s="253"/>
      <c r="AU410" s="2"/>
      <c r="AV410" s="253"/>
      <c r="AW410" s="253"/>
      <c r="AX410" s="253"/>
      <c r="AY410" s="253"/>
    </row>
    <row r="411" ht="15.75" customHeight="1">
      <c r="A411" s="2"/>
      <c r="B411" s="259"/>
      <c r="C411" s="163"/>
      <c r="D411" s="259"/>
      <c r="E411" s="166"/>
      <c r="F411" s="163"/>
      <c r="G411" s="166"/>
      <c r="H411" s="166"/>
      <c r="I411" s="178"/>
      <c r="J411" s="263"/>
      <c r="K411" s="166"/>
      <c r="L411" s="264"/>
      <c r="M411" s="264"/>
      <c r="N411" s="263"/>
      <c r="O411" s="263"/>
      <c r="P411" s="263"/>
      <c r="Q411" s="263"/>
      <c r="R411" s="264"/>
      <c r="S411" s="177"/>
      <c r="T411" s="234"/>
      <c r="U411" s="234"/>
      <c r="V411" s="234"/>
      <c r="W411" s="165"/>
      <c r="X411" s="165"/>
      <c r="Y411" s="165"/>
      <c r="Z411" s="165"/>
      <c r="AA411" s="165"/>
      <c r="AB411" s="253"/>
      <c r="AC411" s="2"/>
      <c r="AD411" s="253"/>
      <c r="AE411" s="253"/>
      <c r="AF411" s="253"/>
      <c r="AG411" s="253"/>
      <c r="AH411" s="253"/>
      <c r="AI411" s="2"/>
      <c r="AJ411" s="253"/>
      <c r="AK411" s="253"/>
      <c r="AL411" s="253"/>
      <c r="AM411" s="253"/>
      <c r="AN411" s="253"/>
      <c r="AO411" s="2"/>
      <c r="AP411" s="253"/>
      <c r="AQ411" s="253"/>
      <c r="AR411" s="253"/>
      <c r="AS411" s="253"/>
      <c r="AT411" s="253"/>
      <c r="AU411" s="2"/>
      <c r="AV411" s="253"/>
      <c r="AW411" s="253"/>
      <c r="AX411" s="253"/>
      <c r="AY411" s="253"/>
    </row>
    <row r="412" ht="15.75" customHeight="1">
      <c r="A412" s="2"/>
      <c r="B412" s="259"/>
      <c r="C412" s="163"/>
      <c r="D412" s="259"/>
      <c r="E412" s="166"/>
      <c r="F412" s="163"/>
      <c r="G412" s="166"/>
      <c r="H412" s="166"/>
      <c r="I412" s="178"/>
      <c r="J412" s="263"/>
      <c r="K412" s="166"/>
      <c r="L412" s="264"/>
      <c r="M412" s="264"/>
      <c r="N412" s="263"/>
      <c r="O412" s="263"/>
      <c r="P412" s="263"/>
      <c r="Q412" s="263"/>
      <c r="R412" s="264"/>
      <c r="S412" s="177"/>
      <c r="T412" s="234"/>
      <c r="U412" s="234"/>
      <c r="V412" s="234"/>
      <c r="W412" s="165"/>
      <c r="X412" s="165"/>
      <c r="Y412" s="165"/>
      <c r="Z412" s="165"/>
      <c r="AA412" s="165"/>
      <c r="AB412" s="253"/>
      <c r="AC412" s="2"/>
      <c r="AD412" s="253"/>
      <c r="AE412" s="253"/>
      <c r="AF412" s="253"/>
      <c r="AG412" s="253"/>
      <c r="AH412" s="253"/>
      <c r="AI412" s="2"/>
      <c r="AJ412" s="253"/>
      <c r="AK412" s="253"/>
      <c r="AL412" s="253"/>
      <c r="AM412" s="253"/>
      <c r="AN412" s="253"/>
      <c r="AO412" s="2"/>
      <c r="AP412" s="253"/>
      <c r="AQ412" s="253"/>
      <c r="AR412" s="253"/>
      <c r="AS412" s="253"/>
      <c r="AT412" s="253"/>
      <c r="AU412" s="2"/>
      <c r="AV412" s="253"/>
      <c r="AW412" s="253"/>
      <c r="AX412" s="253"/>
      <c r="AY412" s="253"/>
    </row>
    <row r="413" ht="15.75" customHeight="1">
      <c r="A413" s="2"/>
      <c r="B413" s="259"/>
      <c r="C413" s="163"/>
      <c r="D413" s="259"/>
      <c r="E413" s="166"/>
      <c r="F413" s="163"/>
      <c r="G413" s="166"/>
      <c r="H413" s="166"/>
      <c r="I413" s="178"/>
      <c r="J413" s="263"/>
      <c r="K413" s="166"/>
      <c r="L413" s="264"/>
      <c r="M413" s="264"/>
      <c r="N413" s="263"/>
      <c r="O413" s="263"/>
      <c r="P413" s="263"/>
      <c r="Q413" s="263"/>
      <c r="R413" s="264"/>
      <c r="S413" s="177"/>
      <c r="T413" s="234"/>
      <c r="U413" s="234"/>
      <c r="V413" s="234"/>
      <c r="W413" s="165"/>
      <c r="X413" s="165"/>
      <c r="Y413" s="165"/>
      <c r="Z413" s="165"/>
      <c r="AA413" s="165"/>
      <c r="AB413" s="253"/>
      <c r="AC413" s="2"/>
      <c r="AD413" s="253"/>
      <c r="AE413" s="253"/>
      <c r="AF413" s="253"/>
      <c r="AG413" s="253"/>
      <c r="AH413" s="253"/>
      <c r="AI413" s="2"/>
      <c r="AJ413" s="253"/>
      <c r="AK413" s="253"/>
      <c r="AL413" s="253"/>
      <c r="AM413" s="253"/>
      <c r="AN413" s="253"/>
      <c r="AO413" s="2"/>
      <c r="AP413" s="253"/>
      <c r="AQ413" s="253"/>
      <c r="AR413" s="253"/>
      <c r="AS413" s="253"/>
      <c r="AT413" s="253"/>
      <c r="AU413" s="2"/>
      <c r="AV413" s="253"/>
      <c r="AW413" s="253"/>
      <c r="AX413" s="253"/>
      <c r="AY413" s="253"/>
    </row>
    <row r="414" ht="15.75" customHeight="1">
      <c r="A414" s="2"/>
      <c r="B414" s="259"/>
      <c r="C414" s="163"/>
      <c r="D414" s="259"/>
      <c r="E414" s="166"/>
      <c r="F414" s="163"/>
      <c r="G414" s="166"/>
      <c r="H414" s="166"/>
      <c r="I414" s="178"/>
      <c r="J414" s="263"/>
      <c r="K414" s="166"/>
      <c r="L414" s="264"/>
      <c r="M414" s="264"/>
      <c r="N414" s="263"/>
      <c r="O414" s="263"/>
      <c r="P414" s="263"/>
      <c r="Q414" s="263"/>
      <c r="R414" s="264"/>
      <c r="S414" s="177"/>
      <c r="T414" s="234"/>
      <c r="U414" s="234"/>
      <c r="V414" s="234"/>
      <c r="W414" s="165"/>
      <c r="X414" s="165"/>
      <c r="Y414" s="165"/>
      <c r="Z414" s="165"/>
      <c r="AA414" s="165"/>
      <c r="AB414" s="253"/>
      <c r="AC414" s="2"/>
      <c r="AD414" s="253"/>
      <c r="AE414" s="253"/>
      <c r="AF414" s="253"/>
      <c r="AG414" s="253"/>
      <c r="AH414" s="253"/>
      <c r="AI414" s="2"/>
      <c r="AJ414" s="253"/>
      <c r="AK414" s="253"/>
      <c r="AL414" s="253"/>
      <c r="AM414" s="253"/>
      <c r="AN414" s="253"/>
      <c r="AO414" s="2"/>
      <c r="AP414" s="253"/>
      <c r="AQ414" s="253"/>
      <c r="AR414" s="253"/>
      <c r="AS414" s="253"/>
      <c r="AT414" s="253"/>
      <c r="AU414" s="2"/>
      <c r="AV414" s="253"/>
      <c r="AW414" s="253"/>
      <c r="AX414" s="253"/>
      <c r="AY414" s="253"/>
    </row>
    <row r="415" ht="15.75" customHeight="1">
      <c r="A415" s="2"/>
      <c r="B415" s="259"/>
      <c r="C415" s="163"/>
      <c r="D415" s="259"/>
      <c r="E415" s="166"/>
      <c r="F415" s="163"/>
      <c r="G415" s="166"/>
      <c r="H415" s="166"/>
      <c r="I415" s="178"/>
      <c r="J415" s="263"/>
      <c r="K415" s="166"/>
      <c r="L415" s="264"/>
      <c r="M415" s="264"/>
      <c r="N415" s="263"/>
      <c r="O415" s="263"/>
      <c r="P415" s="263"/>
      <c r="Q415" s="263"/>
      <c r="R415" s="264"/>
      <c r="S415" s="177"/>
      <c r="T415" s="234"/>
      <c r="U415" s="234"/>
      <c r="V415" s="234"/>
      <c r="W415" s="165"/>
      <c r="X415" s="165"/>
      <c r="Y415" s="165"/>
      <c r="Z415" s="165"/>
      <c r="AA415" s="165"/>
      <c r="AB415" s="253"/>
      <c r="AC415" s="2"/>
      <c r="AD415" s="253"/>
      <c r="AE415" s="253"/>
      <c r="AF415" s="253"/>
      <c r="AG415" s="253"/>
      <c r="AH415" s="253"/>
      <c r="AI415" s="2"/>
      <c r="AJ415" s="253"/>
      <c r="AK415" s="253"/>
      <c r="AL415" s="253"/>
      <c r="AM415" s="253"/>
      <c r="AN415" s="253"/>
      <c r="AO415" s="2"/>
      <c r="AP415" s="253"/>
      <c r="AQ415" s="253"/>
      <c r="AR415" s="253"/>
      <c r="AS415" s="253"/>
      <c r="AT415" s="253"/>
      <c r="AU415" s="2"/>
      <c r="AV415" s="253"/>
      <c r="AW415" s="253"/>
      <c r="AX415" s="253"/>
      <c r="AY415" s="253"/>
    </row>
    <row r="416" ht="15.75" customHeight="1">
      <c r="A416" s="2"/>
      <c r="B416" s="259"/>
      <c r="C416" s="163"/>
      <c r="D416" s="259"/>
      <c r="E416" s="166"/>
      <c r="F416" s="163"/>
      <c r="G416" s="166"/>
      <c r="H416" s="166"/>
      <c r="I416" s="178"/>
      <c r="J416" s="263"/>
      <c r="K416" s="166"/>
      <c r="L416" s="264"/>
      <c r="M416" s="264"/>
      <c r="N416" s="263"/>
      <c r="O416" s="263"/>
      <c r="P416" s="263"/>
      <c r="Q416" s="263"/>
      <c r="R416" s="264"/>
      <c r="S416" s="177"/>
      <c r="T416" s="234"/>
      <c r="U416" s="234"/>
      <c r="V416" s="234"/>
      <c r="W416" s="165"/>
      <c r="X416" s="165"/>
      <c r="Y416" s="165"/>
      <c r="Z416" s="165"/>
      <c r="AA416" s="165"/>
      <c r="AB416" s="253"/>
      <c r="AC416" s="2"/>
      <c r="AD416" s="253"/>
      <c r="AE416" s="253"/>
      <c r="AF416" s="253"/>
      <c r="AG416" s="253"/>
      <c r="AH416" s="253"/>
      <c r="AI416" s="2"/>
      <c r="AJ416" s="253"/>
      <c r="AK416" s="253"/>
      <c r="AL416" s="253"/>
      <c r="AM416" s="253"/>
      <c r="AN416" s="253"/>
      <c r="AO416" s="2"/>
      <c r="AP416" s="253"/>
      <c r="AQ416" s="253"/>
      <c r="AR416" s="253"/>
      <c r="AS416" s="253"/>
      <c r="AT416" s="253"/>
      <c r="AU416" s="2"/>
      <c r="AV416" s="253"/>
      <c r="AW416" s="253"/>
      <c r="AX416" s="253"/>
      <c r="AY416" s="253"/>
    </row>
    <row r="417" ht="15.75" customHeight="1">
      <c r="A417" s="2"/>
      <c r="B417" s="259"/>
      <c r="C417" s="163"/>
      <c r="D417" s="259"/>
      <c r="E417" s="166"/>
      <c r="F417" s="163"/>
      <c r="G417" s="166"/>
      <c r="H417" s="166"/>
      <c r="I417" s="178"/>
      <c r="J417" s="263"/>
      <c r="K417" s="166"/>
      <c r="L417" s="264"/>
      <c r="M417" s="264"/>
      <c r="N417" s="263"/>
      <c r="O417" s="263"/>
      <c r="P417" s="263"/>
      <c r="Q417" s="263"/>
      <c r="R417" s="264"/>
      <c r="S417" s="177"/>
      <c r="T417" s="234"/>
      <c r="U417" s="234"/>
      <c r="V417" s="234"/>
      <c r="W417" s="165"/>
      <c r="X417" s="165"/>
      <c r="Y417" s="165"/>
      <c r="Z417" s="165"/>
      <c r="AA417" s="165"/>
      <c r="AB417" s="253"/>
      <c r="AC417" s="2"/>
      <c r="AD417" s="253"/>
      <c r="AE417" s="253"/>
      <c r="AF417" s="253"/>
      <c r="AG417" s="253"/>
      <c r="AH417" s="253"/>
      <c r="AI417" s="2"/>
      <c r="AJ417" s="253"/>
      <c r="AK417" s="253"/>
      <c r="AL417" s="253"/>
      <c r="AM417" s="253"/>
      <c r="AN417" s="253"/>
      <c r="AO417" s="2"/>
      <c r="AP417" s="253"/>
      <c r="AQ417" s="253"/>
      <c r="AR417" s="253"/>
      <c r="AS417" s="253"/>
      <c r="AT417" s="253"/>
      <c r="AU417" s="2"/>
      <c r="AV417" s="253"/>
      <c r="AW417" s="253"/>
      <c r="AX417" s="253"/>
      <c r="AY417" s="253"/>
    </row>
    <row r="418" ht="15.75" customHeight="1">
      <c r="A418" s="2"/>
      <c r="B418" s="259"/>
      <c r="C418" s="163"/>
      <c r="D418" s="259"/>
      <c r="E418" s="166"/>
      <c r="F418" s="163"/>
      <c r="G418" s="166"/>
      <c r="H418" s="166"/>
      <c r="I418" s="178"/>
      <c r="J418" s="263"/>
      <c r="K418" s="166"/>
      <c r="L418" s="264"/>
      <c r="M418" s="264"/>
      <c r="N418" s="263"/>
      <c r="O418" s="263"/>
      <c r="P418" s="263"/>
      <c r="Q418" s="263"/>
      <c r="R418" s="264"/>
      <c r="S418" s="177"/>
      <c r="T418" s="234"/>
      <c r="U418" s="234"/>
      <c r="V418" s="234"/>
      <c r="W418" s="165"/>
      <c r="X418" s="165"/>
      <c r="Y418" s="165"/>
      <c r="Z418" s="165"/>
      <c r="AA418" s="165"/>
      <c r="AB418" s="253"/>
      <c r="AC418" s="2"/>
      <c r="AD418" s="253"/>
      <c r="AE418" s="253"/>
      <c r="AF418" s="253"/>
      <c r="AG418" s="253"/>
      <c r="AH418" s="253"/>
      <c r="AI418" s="2"/>
      <c r="AJ418" s="253"/>
      <c r="AK418" s="253"/>
      <c r="AL418" s="253"/>
      <c r="AM418" s="253"/>
      <c r="AN418" s="253"/>
      <c r="AO418" s="2"/>
      <c r="AP418" s="253"/>
      <c r="AQ418" s="253"/>
      <c r="AR418" s="253"/>
      <c r="AS418" s="253"/>
      <c r="AT418" s="253"/>
      <c r="AU418" s="2"/>
      <c r="AV418" s="253"/>
      <c r="AW418" s="253"/>
      <c r="AX418" s="253"/>
      <c r="AY418" s="253"/>
    </row>
    <row r="419" ht="15.75" customHeight="1">
      <c r="A419" s="2"/>
      <c r="B419" s="259"/>
      <c r="C419" s="163"/>
      <c r="D419" s="259"/>
      <c r="E419" s="166"/>
      <c r="F419" s="163"/>
      <c r="G419" s="166"/>
      <c r="H419" s="166"/>
      <c r="I419" s="178"/>
      <c r="J419" s="263"/>
      <c r="K419" s="166"/>
      <c r="L419" s="264"/>
      <c r="M419" s="264"/>
      <c r="N419" s="263"/>
      <c r="O419" s="263"/>
      <c r="P419" s="263"/>
      <c r="Q419" s="263"/>
      <c r="R419" s="264"/>
      <c r="S419" s="177"/>
      <c r="T419" s="234"/>
      <c r="U419" s="234"/>
      <c r="V419" s="234"/>
      <c r="W419" s="165"/>
      <c r="X419" s="165"/>
      <c r="Y419" s="165"/>
      <c r="Z419" s="165"/>
      <c r="AA419" s="165"/>
      <c r="AB419" s="253"/>
      <c r="AC419" s="2"/>
      <c r="AD419" s="253"/>
      <c r="AE419" s="253"/>
      <c r="AF419" s="253"/>
      <c r="AG419" s="253"/>
      <c r="AH419" s="253"/>
      <c r="AI419" s="2"/>
      <c r="AJ419" s="253"/>
      <c r="AK419" s="253"/>
      <c r="AL419" s="253"/>
      <c r="AM419" s="253"/>
      <c r="AN419" s="253"/>
      <c r="AO419" s="2"/>
      <c r="AP419" s="253"/>
      <c r="AQ419" s="253"/>
      <c r="AR419" s="253"/>
      <c r="AS419" s="253"/>
      <c r="AT419" s="253"/>
      <c r="AU419" s="2"/>
      <c r="AV419" s="253"/>
      <c r="AW419" s="253"/>
      <c r="AX419" s="253"/>
      <c r="AY419" s="253"/>
    </row>
    <row r="420" ht="15.75" customHeight="1">
      <c r="A420" s="2"/>
      <c r="B420" s="259"/>
      <c r="C420" s="163"/>
      <c r="D420" s="259"/>
      <c r="E420" s="166"/>
      <c r="F420" s="163"/>
      <c r="G420" s="166"/>
      <c r="H420" s="166"/>
      <c r="I420" s="178"/>
      <c r="J420" s="263"/>
      <c r="K420" s="166"/>
      <c r="L420" s="264"/>
      <c r="M420" s="264"/>
      <c r="N420" s="263"/>
      <c r="O420" s="263"/>
      <c r="P420" s="263"/>
      <c r="Q420" s="263"/>
      <c r="R420" s="264"/>
      <c r="S420" s="177"/>
      <c r="T420" s="234"/>
      <c r="U420" s="234"/>
      <c r="V420" s="234"/>
      <c r="W420" s="165"/>
      <c r="X420" s="165"/>
      <c r="Y420" s="165"/>
      <c r="Z420" s="165"/>
      <c r="AA420" s="165"/>
      <c r="AB420" s="253"/>
      <c r="AC420" s="2"/>
      <c r="AD420" s="253"/>
      <c r="AE420" s="253"/>
      <c r="AF420" s="253"/>
      <c r="AG420" s="253"/>
      <c r="AH420" s="253"/>
      <c r="AI420" s="2"/>
      <c r="AJ420" s="253"/>
      <c r="AK420" s="253"/>
      <c r="AL420" s="253"/>
      <c r="AM420" s="253"/>
      <c r="AN420" s="253"/>
      <c r="AO420" s="2"/>
      <c r="AP420" s="253"/>
      <c r="AQ420" s="253"/>
      <c r="AR420" s="253"/>
      <c r="AS420" s="253"/>
      <c r="AT420" s="253"/>
      <c r="AU420" s="2"/>
      <c r="AV420" s="253"/>
      <c r="AW420" s="253"/>
      <c r="AX420" s="253"/>
      <c r="AY420" s="253"/>
    </row>
    <row r="421" ht="15.75" customHeight="1">
      <c r="A421" s="2"/>
      <c r="B421" s="259"/>
      <c r="C421" s="163"/>
      <c r="D421" s="259"/>
      <c r="E421" s="166"/>
      <c r="F421" s="163"/>
      <c r="G421" s="166"/>
      <c r="H421" s="166"/>
      <c r="I421" s="178"/>
      <c r="J421" s="263"/>
      <c r="K421" s="166"/>
      <c r="L421" s="264"/>
      <c r="M421" s="264"/>
      <c r="N421" s="263"/>
      <c r="O421" s="263"/>
      <c r="P421" s="263"/>
      <c r="Q421" s="263"/>
      <c r="R421" s="264"/>
      <c r="S421" s="177"/>
      <c r="T421" s="234"/>
      <c r="U421" s="234"/>
      <c r="V421" s="234"/>
      <c r="W421" s="165"/>
      <c r="X421" s="165"/>
      <c r="Y421" s="165"/>
      <c r="Z421" s="165"/>
      <c r="AA421" s="165"/>
      <c r="AB421" s="253"/>
      <c r="AC421" s="2"/>
      <c r="AD421" s="253"/>
      <c r="AE421" s="253"/>
      <c r="AF421" s="253"/>
      <c r="AG421" s="253"/>
      <c r="AH421" s="253"/>
      <c r="AI421" s="2"/>
      <c r="AJ421" s="253"/>
      <c r="AK421" s="253"/>
      <c r="AL421" s="253"/>
      <c r="AM421" s="253"/>
      <c r="AN421" s="253"/>
      <c r="AO421" s="2"/>
      <c r="AP421" s="253"/>
      <c r="AQ421" s="253"/>
      <c r="AR421" s="253"/>
      <c r="AS421" s="253"/>
      <c r="AT421" s="253"/>
      <c r="AU421" s="2"/>
      <c r="AV421" s="253"/>
      <c r="AW421" s="253"/>
      <c r="AX421" s="253"/>
      <c r="AY421" s="253"/>
    </row>
    <row r="422" ht="15.75" customHeight="1">
      <c r="A422" s="2"/>
      <c r="B422" s="259"/>
      <c r="C422" s="163"/>
      <c r="D422" s="259"/>
      <c r="E422" s="166"/>
      <c r="F422" s="163"/>
      <c r="G422" s="166"/>
      <c r="H422" s="166"/>
      <c r="I422" s="178"/>
      <c r="J422" s="263"/>
      <c r="K422" s="166"/>
      <c r="L422" s="264"/>
      <c r="M422" s="264"/>
      <c r="N422" s="263"/>
      <c r="O422" s="263"/>
      <c r="P422" s="263"/>
      <c r="Q422" s="263"/>
      <c r="R422" s="264"/>
      <c r="S422" s="177"/>
      <c r="T422" s="234"/>
      <c r="U422" s="234"/>
      <c r="V422" s="234"/>
      <c r="W422" s="165"/>
      <c r="X422" s="165"/>
      <c r="Y422" s="165"/>
      <c r="Z422" s="165"/>
      <c r="AA422" s="165"/>
      <c r="AB422" s="253"/>
      <c r="AC422" s="2"/>
      <c r="AD422" s="253"/>
      <c r="AE422" s="253"/>
      <c r="AF422" s="253"/>
      <c r="AG422" s="253"/>
      <c r="AH422" s="253"/>
      <c r="AI422" s="2"/>
      <c r="AJ422" s="253"/>
      <c r="AK422" s="253"/>
      <c r="AL422" s="253"/>
      <c r="AM422" s="253"/>
      <c r="AN422" s="253"/>
      <c r="AO422" s="2"/>
      <c r="AP422" s="253"/>
      <c r="AQ422" s="253"/>
      <c r="AR422" s="253"/>
      <c r="AS422" s="253"/>
      <c r="AT422" s="253"/>
      <c r="AU422" s="2"/>
      <c r="AV422" s="253"/>
      <c r="AW422" s="253"/>
      <c r="AX422" s="253"/>
      <c r="AY422" s="253"/>
    </row>
    <row r="423" ht="15.75" customHeight="1">
      <c r="A423" s="2"/>
      <c r="B423" s="259"/>
      <c r="C423" s="163"/>
      <c r="D423" s="259"/>
      <c r="E423" s="166"/>
      <c r="F423" s="163"/>
      <c r="G423" s="166"/>
      <c r="H423" s="166"/>
      <c r="I423" s="178"/>
      <c r="J423" s="263"/>
      <c r="K423" s="166"/>
      <c r="L423" s="264"/>
      <c r="M423" s="264"/>
      <c r="N423" s="263"/>
      <c r="O423" s="263"/>
      <c r="P423" s="263"/>
      <c r="Q423" s="263"/>
      <c r="R423" s="264"/>
      <c r="S423" s="177"/>
      <c r="T423" s="234"/>
      <c r="U423" s="234"/>
      <c r="V423" s="234"/>
      <c r="W423" s="165"/>
      <c r="X423" s="165"/>
      <c r="Y423" s="165"/>
      <c r="Z423" s="165"/>
      <c r="AA423" s="165"/>
      <c r="AB423" s="253"/>
      <c r="AC423" s="2"/>
      <c r="AD423" s="253"/>
      <c r="AE423" s="253"/>
      <c r="AF423" s="253"/>
      <c r="AG423" s="253"/>
      <c r="AH423" s="253"/>
      <c r="AI423" s="2"/>
      <c r="AJ423" s="253"/>
      <c r="AK423" s="253"/>
      <c r="AL423" s="253"/>
      <c r="AM423" s="253"/>
      <c r="AN423" s="253"/>
      <c r="AO423" s="2"/>
      <c r="AP423" s="253"/>
      <c r="AQ423" s="253"/>
      <c r="AR423" s="253"/>
      <c r="AS423" s="253"/>
      <c r="AT423" s="253"/>
      <c r="AU423" s="2"/>
      <c r="AV423" s="253"/>
      <c r="AW423" s="253"/>
      <c r="AX423" s="253"/>
      <c r="AY423" s="253"/>
    </row>
    <row r="424" ht="15.75" customHeight="1">
      <c r="A424" s="2"/>
      <c r="B424" s="259"/>
      <c r="C424" s="163"/>
      <c r="D424" s="259"/>
      <c r="E424" s="166"/>
      <c r="F424" s="163"/>
      <c r="G424" s="166"/>
      <c r="H424" s="166"/>
      <c r="I424" s="178"/>
      <c r="J424" s="263"/>
      <c r="K424" s="166"/>
      <c r="L424" s="264"/>
      <c r="M424" s="264"/>
      <c r="N424" s="263"/>
      <c r="O424" s="263"/>
      <c r="P424" s="263"/>
      <c r="Q424" s="263"/>
      <c r="R424" s="264"/>
      <c r="S424" s="177"/>
      <c r="T424" s="234"/>
      <c r="U424" s="234"/>
      <c r="V424" s="234"/>
      <c r="W424" s="165"/>
      <c r="X424" s="165"/>
      <c r="Y424" s="165"/>
      <c r="Z424" s="165"/>
      <c r="AA424" s="165"/>
      <c r="AB424" s="253"/>
      <c r="AC424" s="2"/>
      <c r="AD424" s="253"/>
      <c r="AE424" s="253"/>
      <c r="AF424" s="253"/>
      <c r="AG424" s="253"/>
      <c r="AH424" s="253"/>
      <c r="AI424" s="2"/>
      <c r="AJ424" s="253"/>
      <c r="AK424" s="253"/>
      <c r="AL424" s="253"/>
      <c r="AM424" s="253"/>
      <c r="AN424" s="253"/>
      <c r="AO424" s="2"/>
      <c r="AP424" s="253"/>
      <c r="AQ424" s="253"/>
      <c r="AR424" s="253"/>
      <c r="AS424" s="253"/>
      <c r="AT424" s="253"/>
      <c r="AU424" s="2"/>
      <c r="AV424" s="253"/>
      <c r="AW424" s="253"/>
      <c r="AX424" s="253"/>
      <c r="AY424" s="253"/>
    </row>
    <row r="425" ht="15.75" customHeight="1">
      <c r="A425" s="2"/>
      <c r="B425" s="259"/>
      <c r="C425" s="163"/>
      <c r="D425" s="259"/>
      <c r="E425" s="166"/>
      <c r="F425" s="163"/>
      <c r="G425" s="166"/>
      <c r="H425" s="166"/>
      <c r="I425" s="178"/>
      <c r="J425" s="263"/>
      <c r="K425" s="166"/>
      <c r="L425" s="264"/>
      <c r="M425" s="264"/>
      <c r="N425" s="263"/>
      <c r="O425" s="263"/>
      <c r="P425" s="263"/>
      <c r="Q425" s="263"/>
      <c r="R425" s="264"/>
      <c r="S425" s="177"/>
      <c r="T425" s="234"/>
      <c r="U425" s="234"/>
      <c r="V425" s="234"/>
      <c r="W425" s="165"/>
      <c r="X425" s="165"/>
      <c r="Y425" s="165"/>
      <c r="Z425" s="165"/>
      <c r="AA425" s="165"/>
      <c r="AB425" s="253"/>
      <c r="AC425" s="2"/>
      <c r="AD425" s="253"/>
      <c r="AE425" s="253"/>
      <c r="AF425" s="253"/>
      <c r="AG425" s="253"/>
      <c r="AH425" s="253"/>
      <c r="AI425" s="2"/>
      <c r="AJ425" s="253"/>
      <c r="AK425" s="253"/>
      <c r="AL425" s="253"/>
      <c r="AM425" s="253"/>
      <c r="AN425" s="253"/>
      <c r="AO425" s="2"/>
      <c r="AP425" s="253"/>
      <c r="AQ425" s="253"/>
      <c r="AR425" s="253"/>
      <c r="AS425" s="253"/>
      <c r="AT425" s="253"/>
      <c r="AU425" s="2"/>
      <c r="AV425" s="253"/>
      <c r="AW425" s="253"/>
      <c r="AX425" s="253"/>
      <c r="AY425" s="253"/>
    </row>
    <row r="426" ht="15.75" customHeight="1">
      <c r="A426" s="2"/>
      <c r="B426" s="259"/>
      <c r="C426" s="163"/>
      <c r="D426" s="259"/>
      <c r="E426" s="166"/>
      <c r="F426" s="163"/>
      <c r="G426" s="166"/>
      <c r="H426" s="166"/>
      <c r="I426" s="178"/>
      <c r="J426" s="263"/>
      <c r="K426" s="166"/>
      <c r="L426" s="264"/>
      <c r="M426" s="264"/>
      <c r="N426" s="263"/>
      <c r="O426" s="263"/>
      <c r="P426" s="263"/>
      <c r="Q426" s="263"/>
      <c r="R426" s="264"/>
      <c r="S426" s="177"/>
      <c r="T426" s="234"/>
      <c r="U426" s="234"/>
      <c r="V426" s="234"/>
      <c r="W426" s="165"/>
      <c r="X426" s="165"/>
      <c r="Y426" s="165"/>
      <c r="Z426" s="165"/>
      <c r="AA426" s="165"/>
      <c r="AB426" s="253"/>
      <c r="AC426" s="2"/>
      <c r="AD426" s="253"/>
      <c r="AE426" s="253"/>
      <c r="AF426" s="253"/>
      <c r="AG426" s="253"/>
      <c r="AH426" s="253"/>
      <c r="AI426" s="2"/>
      <c r="AJ426" s="253"/>
      <c r="AK426" s="253"/>
      <c r="AL426" s="253"/>
      <c r="AM426" s="253"/>
      <c r="AN426" s="253"/>
      <c r="AO426" s="2"/>
      <c r="AP426" s="253"/>
      <c r="AQ426" s="253"/>
      <c r="AR426" s="253"/>
      <c r="AS426" s="253"/>
      <c r="AT426" s="253"/>
      <c r="AU426" s="2"/>
      <c r="AV426" s="253"/>
      <c r="AW426" s="253"/>
      <c r="AX426" s="253"/>
      <c r="AY426" s="253"/>
    </row>
    <row r="427" ht="15.75" customHeight="1">
      <c r="A427" s="2"/>
      <c r="B427" s="259"/>
      <c r="C427" s="163"/>
      <c r="D427" s="259"/>
      <c r="E427" s="166"/>
      <c r="F427" s="163"/>
      <c r="G427" s="166"/>
      <c r="H427" s="166"/>
      <c r="I427" s="178"/>
      <c r="J427" s="263"/>
      <c r="K427" s="166"/>
      <c r="L427" s="264"/>
      <c r="M427" s="264"/>
      <c r="N427" s="263"/>
      <c r="O427" s="263"/>
      <c r="P427" s="263"/>
      <c r="Q427" s="263"/>
      <c r="R427" s="264"/>
      <c r="S427" s="177"/>
      <c r="T427" s="234"/>
      <c r="U427" s="234"/>
      <c r="V427" s="234"/>
      <c r="W427" s="165"/>
      <c r="X427" s="165"/>
      <c r="Y427" s="165"/>
      <c r="Z427" s="165"/>
      <c r="AA427" s="165"/>
      <c r="AB427" s="253"/>
      <c r="AC427" s="2"/>
      <c r="AD427" s="253"/>
      <c r="AE427" s="253"/>
      <c r="AF427" s="253"/>
      <c r="AG427" s="253"/>
      <c r="AH427" s="253"/>
      <c r="AI427" s="2"/>
      <c r="AJ427" s="253"/>
      <c r="AK427" s="253"/>
      <c r="AL427" s="253"/>
      <c r="AM427" s="253"/>
      <c r="AN427" s="253"/>
      <c r="AO427" s="2"/>
      <c r="AP427" s="253"/>
      <c r="AQ427" s="253"/>
      <c r="AR427" s="253"/>
      <c r="AS427" s="253"/>
      <c r="AT427" s="253"/>
      <c r="AU427" s="2"/>
      <c r="AV427" s="253"/>
      <c r="AW427" s="253"/>
      <c r="AX427" s="253"/>
      <c r="AY427" s="253"/>
    </row>
    <row r="428" ht="15.75" customHeight="1">
      <c r="A428" s="2"/>
      <c r="B428" s="259"/>
      <c r="C428" s="163"/>
      <c r="D428" s="259"/>
      <c r="E428" s="166"/>
      <c r="F428" s="163"/>
      <c r="G428" s="166"/>
      <c r="H428" s="166"/>
      <c r="I428" s="178"/>
      <c r="J428" s="263"/>
      <c r="K428" s="166"/>
      <c r="L428" s="264"/>
      <c r="M428" s="264"/>
      <c r="N428" s="263"/>
      <c r="O428" s="263"/>
      <c r="P428" s="263"/>
      <c r="Q428" s="263"/>
      <c r="R428" s="264"/>
      <c r="S428" s="177"/>
      <c r="T428" s="234"/>
      <c r="U428" s="234"/>
      <c r="V428" s="234"/>
      <c r="W428" s="165"/>
      <c r="X428" s="165"/>
      <c r="Y428" s="165"/>
      <c r="Z428" s="165"/>
      <c r="AA428" s="165"/>
      <c r="AB428" s="253"/>
      <c r="AC428" s="2"/>
      <c r="AD428" s="253"/>
      <c r="AE428" s="253"/>
      <c r="AF428" s="253"/>
      <c r="AG428" s="253"/>
      <c r="AH428" s="253"/>
      <c r="AI428" s="2"/>
      <c r="AJ428" s="253"/>
      <c r="AK428" s="253"/>
      <c r="AL428" s="253"/>
      <c r="AM428" s="253"/>
      <c r="AN428" s="253"/>
      <c r="AO428" s="2"/>
      <c r="AP428" s="253"/>
      <c r="AQ428" s="253"/>
      <c r="AR428" s="253"/>
      <c r="AS428" s="253"/>
      <c r="AT428" s="253"/>
      <c r="AU428" s="2"/>
      <c r="AV428" s="253"/>
      <c r="AW428" s="253"/>
      <c r="AX428" s="253"/>
      <c r="AY428" s="253"/>
    </row>
    <row r="429" ht="15.75" customHeight="1">
      <c r="A429" s="2"/>
      <c r="B429" s="259"/>
      <c r="C429" s="163"/>
      <c r="D429" s="259"/>
      <c r="E429" s="166"/>
      <c r="F429" s="163"/>
      <c r="G429" s="166"/>
      <c r="H429" s="166"/>
      <c r="I429" s="178"/>
      <c r="J429" s="263"/>
      <c r="K429" s="166"/>
      <c r="L429" s="264"/>
      <c r="M429" s="264"/>
      <c r="N429" s="263"/>
      <c r="O429" s="263"/>
      <c r="P429" s="263"/>
      <c r="Q429" s="263"/>
      <c r="R429" s="264"/>
      <c r="S429" s="177"/>
      <c r="T429" s="234"/>
      <c r="U429" s="234"/>
      <c r="V429" s="234"/>
      <c r="W429" s="165"/>
      <c r="X429" s="165"/>
      <c r="Y429" s="165"/>
      <c r="Z429" s="165"/>
      <c r="AA429" s="165"/>
      <c r="AB429" s="253"/>
      <c r="AC429" s="2"/>
      <c r="AD429" s="253"/>
      <c r="AE429" s="253"/>
      <c r="AF429" s="253"/>
      <c r="AG429" s="253"/>
      <c r="AH429" s="253"/>
      <c r="AI429" s="2"/>
      <c r="AJ429" s="253"/>
      <c r="AK429" s="253"/>
      <c r="AL429" s="253"/>
      <c r="AM429" s="253"/>
      <c r="AN429" s="253"/>
      <c r="AO429" s="2"/>
      <c r="AP429" s="253"/>
      <c r="AQ429" s="253"/>
      <c r="AR429" s="253"/>
      <c r="AS429" s="253"/>
      <c r="AT429" s="253"/>
      <c r="AU429" s="2"/>
      <c r="AV429" s="253"/>
      <c r="AW429" s="253"/>
      <c r="AX429" s="253"/>
      <c r="AY429" s="253"/>
    </row>
    <row r="430" ht="15.75" customHeight="1">
      <c r="A430" s="2"/>
      <c r="B430" s="259"/>
      <c r="C430" s="163"/>
      <c r="D430" s="259"/>
      <c r="E430" s="166"/>
      <c r="F430" s="163"/>
      <c r="G430" s="166"/>
      <c r="H430" s="166"/>
      <c r="I430" s="178"/>
      <c r="J430" s="263"/>
      <c r="K430" s="166"/>
      <c r="L430" s="264"/>
      <c r="M430" s="264"/>
      <c r="N430" s="263"/>
      <c r="O430" s="263"/>
      <c r="P430" s="263"/>
      <c r="Q430" s="263"/>
      <c r="R430" s="264"/>
      <c r="S430" s="177"/>
      <c r="T430" s="234"/>
      <c r="U430" s="234"/>
      <c r="V430" s="234"/>
      <c r="W430" s="165"/>
      <c r="X430" s="165"/>
      <c r="Y430" s="165"/>
      <c r="Z430" s="165"/>
      <c r="AA430" s="165"/>
      <c r="AB430" s="253"/>
      <c r="AC430" s="2"/>
      <c r="AD430" s="253"/>
      <c r="AE430" s="253"/>
      <c r="AF430" s="253"/>
      <c r="AG430" s="253"/>
      <c r="AH430" s="253"/>
      <c r="AI430" s="2"/>
      <c r="AJ430" s="253"/>
      <c r="AK430" s="253"/>
      <c r="AL430" s="253"/>
      <c r="AM430" s="253"/>
      <c r="AN430" s="253"/>
      <c r="AO430" s="2"/>
      <c r="AP430" s="253"/>
      <c r="AQ430" s="253"/>
      <c r="AR430" s="253"/>
      <c r="AS430" s="253"/>
      <c r="AT430" s="253"/>
      <c r="AU430" s="2"/>
      <c r="AV430" s="253"/>
      <c r="AW430" s="253"/>
      <c r="AX430" s="253"/>
      <c r="AY430" s="253"/>
    </row>
    <row r="431" ht="15.75" customHeight="1">
      <c r="A431" s="2"/>
      <c r="B431" s="259"/>
      <c r="C431" s="163"/>
      <c r="D431" s="259"/>
      <c r="E431" s="166"/>
      <c r="F431" s="163"/>
      <c r="G431" s="166"/>
      <c r="H431" s="166"/>
      <c r="I431" s="178"/>
      <c r="J431" s="263"/>
      <c r="K431" s="166"/>
      <c r="L431" s="264"/>
      <c r="M431" s="264"/>
      <c r="N431" s="263"/>
      <c r="O431" s="263"/>
      <c r="P431" s="263"/>
      <c r="Q431" s="263"/>
      <c r="R431" s="264"/>
      <c r="S431" s="177"/>
      <c r="T431" s="234"/>
      <c r="U431" s="234"/>
      <c r="V431" s="234"/>
      <c r="W431" s="165"/>
      <c r="X431" s="165"/>
      <c r="Y431" s="165"/>
      <c r="Z431" s="165"/>
      <c r="AA431" s="165"/>
      <c r="AB431" s="253"/>
      <c r="AC431" s="2"/>
      <c r="AD431" s="253"/>
      <c r="AE431" s="253"/>
      <c r="AF431" s="253"/>
      <c r="AG431" s="253"/>
      <c r="AH431" s="253"/>
      <c r="AI431" s="2"/>
      <c r="AJ431" s="253"/>
      <c r="AK431" s="253"/>
      <c r="AL431" s="253"/>
      <c r="AM431" s="253"/>
      <c r="AN431" s="253"/>
      <c r="AO431" s="2"/>
      <c r="AP431" s="253"/>
      <c r="AQ431" s="253"/>
      <c r="AR431" s="253"/>
      <c r="AS431" s="253"/>
      <c r="AT431" s="253"/>
      <c r="AU431" s="2"/>
      <c r="AV431" s="253"/>
      <c r="AW431" s="253"/>
      <c r="AX431" s="253"/>
      <c r="AY431" s="253"/>
    </row>
    <row r="432" ht="15.75" customHeight="1">
      <c r="A432" s="2"/>
      <c r="B432" s="259"/>
      <c r="C432" s="163"/>
      <c r="D432" s="262"/>
      <c r="E432" s="166"/>
      <c r="F432" s="163"/>
      <c r="G432" s="262"/>
      <c r="H432" s="166"/>
      <c r="I432" s="178"/>
      <c r="J432" s="263"/>
      <c r="K432" s="166"/>
      <c r="L432" s="264"/>
      <c r="M432" s="264"/>
      <c r="N432" s="263"/>
      <c r="O432" s="263"/>
      <c r="P432" s="263"/>
      <c r="Q432" s="263"/>
      <c r="R432" s="264"/>
      <c r="S432" s="177"/>
      <c r="T432" s="234"/>
      <c r="U432" s="234"/>
      <c r="V432" s="234"/>
      <c r="W432" s="165"/>
      <c r="X432" s="165"/>
      <c r="Y432" s="165"/>
      <c r="Z432" s="165"/>
      <c r="AA432" s="165"/>
      <c r="AB432" s="253"/>
      <c r="AC432" s="2"/>
      <c r="AD432" s="253"/>
      <c r="AE432" s="253"/>
      <c r="AF432" s="253"/>
      <c r="AG432" s="253"/>
      <c r="AH432" s="253"/>
      <c r="AI432" s="2"/>
      <c r="AJ432" s="253"/>
      <c r="AK432" s="253"/>
      <c r="AL432" s="253"/>
      <c r="AM432" s="253"/>
      <c r="AN432" s="253"/>
      <c r="AO432" s="2"/>
      <c r="AP432" s="253"/>
      <c r="AQ432" s="253"/>
      <c r="AR432" s="253"/>
      <c r="AS432" s="253"/>
      <c r="AT432" s="253"/>
      <c r="AU432" s="2"/>
      <c r="AV432" s="253"/>
      <c r="AW432" s="253"/>
      <c r="AX432" s="253"/>
      <c r="AY432" s="253"/>
    </row>
    <row r="433" ht="15.75" customHeight="1">
      <c r="A433" s="2"/>
      <c r="B433" s="259"/>
      <c r="C433" s="163"/>
      <c r="D433" s="259"/>
      <c r="E433" s="166"/>
      <c r="F433" s="163"/>
      <c r="G433" s="166"/>
      <c r="H433" s="166"/>
      <c r="I433" s="178"/>
      <c r="J433" s="263"/>
      <c r="K433" s="166"/>
      <c r="L433" s="264"/>
      <c r="M433" s="264"/>
      <c r="N433" s="263"/>
      <c r="O433" s="263"/>
      <c r="P433" s="263"/>
      <c r="Q433" s="263"/>
      <c r="R433" s="264"/>
      <c r="S433" s="177"/>
      <c r="T433" s="234"/>
      <c r="U433" s="234"/>
      <c r="V433" s="234"/>
      <c r="W433" s="165"/>
      <c r="X433" s="165"/>
      <c r="Y433" s="165"/>
      <c r="Z433" s="165"/>
      <c r="AA433" s="165"/>
      <c r="AB433" s="253"/>
      <c r="AC433" s="2"/>
      <c r="AD433" s="253"/>
      <c r="AE433" s="253"/>
      <c r="AF433" s="253"/>
      <c r="AG433" s="253"/>
      <c r="AH433" s="253"/>
      <c r="AI433" s="2"/>
      <c r="AJ433" s="253"/>
      <c r="AK433" s="253"/>
      <c r="AL433" s="253"/>
      <c r="AM433" s="253"/>
      <c r="AN433" s="253"/>
      <c r="AO433" s="2"/>
      <c r="AP433" s="253"/>
      <c r="AQ433" s="253"/>
      <c r="AR433" s="253"/>
      <c r="AS433" s="253"/>
      <c r="AT433" s="253"/>
      <c r="AU433" s="2"/>
      <c r="AV433" s="253"/>
      <c r="AW433" s="253"/>
      <c r="AX433" s="253"/>
      <c r="AY433" s="253"/>
    </row>
    <row r="434" ht="15.75" customHeight="1">
      <c r="A434" s="2"/>
      <c r="B434" s="259"/>
      <c r="C434" s="163"/>
      <c r="D434" s="259"/>
      <c r="E434" s="166"/>
      <c r="F434" s="163"/>
      <c r="G434" s="166"/>
      <c r="H434" s="166"/>
      <c r="I434" s="178"/>
      <c r="J434" s="263"/>
      <c r="K434" s="166"/>
      <c r="L434" s="264"/>
      <c r="M434" s="264"/>
      <c r="N434" s="263"/>
      <c r="O434" s="263"/>
      <c r="P434" s="263"/>
      <c r="Q434" s="263"/>
      <c r="R434" s="264"/>
      <c r="S434" s="177"/>
      <c r="T434" s="234"/>
      <c r="U434" s="234"/>
      <c r="V434" s="234"/>
      <c r="W434" s="165"/>
      <c r="X434" s="165"/>
      <c r="Y434" s="165"/>
      <c r="Z434" s="165"/>
      <c r="AA434" s="165"/>
      <c r="AB434" s="253"/>
      <c r="AC434" s="253"/>
      <c r="AD434" s="253"/>
      <c r="AE434" s="253"/>
      <c r="AF434" s="253"/>
      <c r="AG434" s="253"/>
      <c r="AH434" s="253"/>
      <c r="AI434" s="253"/>
      <c r="AJ434" s="253"/>
      <c r="AK434" s="253"/>
      <c r="AL434" s="253"/>
      <c r="AM434" s="253"/>
      <c r="AN434" s="253"/>
      <c r="AO434" s="253"/>
      <c r="AP434" s="253"/>
      <c r="AQ434" s="253"/>
      <c r="AR434" s="253"/>
      <c r="AS434" s="253"/>
      <c r="AT434" s="253"/>
      <c r="AU434" s="253"/>
      <c r="AV434" s="253"/>
      <c r="AW434" s="253"/>
      <c r="AX434" s="253"/>
      <c r="AY434" s="253"/>
    </row>
    <row r="435" ht="15.75" customHeight="1">
      <c r="A435" s="2"/>
      <c r="B435" s="259"/>
      <c r="C435" s="163"/>
      <c r="D435" s="259"/>
      <c r="E435" s="166"/>
      <c r="F435" s="163"/>
      <c r="G435" s="166"/>
      <c r="H435" s="166"/>
      <c r="I435" s="178"/>
      <c r="J435" s="263"/>
      <c r="K435" s="166"/>
      <c r="L435" s="264"/>
      <c r="M435" s="264"/>
      <c r="N435" s="263"/>
      <c r="O435" s="263"/>
      <c r="P435" s="263"/>
      <c r="Q435" s="263"/>
      <c r="R435" s="264"/>
      <c r="S435" s="177"/>
      <c r="T435" s="234"/>
      <c r="U435" s="234"/>
      <c r="V435" s="234"/>
      <c r="W435" s="165"/>
      <c r="X435" s="165"/>
      <c r="Y435" s="165"/>
      <c r="Z435" s="165"/>
      <c r="AA435" s="165"/>
      <c r="AB435" s="253"/>
      <c r="AC435" s="253"/>
      <c r="AD435" s="253"/>
      <c r="AE435" s="253"/>
      <c r="AF435" s="253"/>
      <c r="AG435" s="253"/>
      <c r="AH435" s="253"/>
      <c r="AI435" s="253"/>
      <c r="AJ435" s="253"/>
      <c r="AK435" s="253"/>
      <c r="AL435" s="253"/>
      <c r="AM435" s="253"/>
      <c r="AN435" s="253"/>
      <c r="AO435" s="253"/>
      <c r="AP435" s="253"/>
      <c r="AQ435" s="253"/>
      <c r="AR435" s="253"/>
      <c r="AS435" s="253"/>
      <c r="AT435" s="253"/>
      <c r="AU435" s="253"/>
      <c r="AV435" s="253"/>
      <c r="AW435" s="253"/>
      <c r="AX435" s="253"/>
      <c r="AY435" s="253"/>
    </row>
    <row r="436" ht="15.75" customHeight="1">
      <c r="A436" s="2"/>
      <c r="B436" s="259"/>
      <c r="C436" s="163"/>
      <c r="D436" s="259"/>
      <c r="E436" s="166"/>
      <c r="F436" s="163"/>
      <c r="G436" s="166"/>
      <c r="H436" s="166"/>
      <c r="I436" s="178"/>
      <c r="J436" s="263"/>
      <c r="K436" s="166"/>
      <c r="L436" s="264"/>
      <c r="M436" s="264"/>
      <c r="N436" s="263"/>
      <c r="O436" s="263"/>
      <c r="P436" s="263"/>
      <c r="Q436" s="263"/>
      <c r="R436" s="264"/>
      <c r="S436" s="177"/>
      <c r="T436" s="234"/>
      <c r="U436" s="234"/>
      <c r="V436" s="234"/>
      <c r="W436" s="165"/>
      <c r="X436" s="165"/>
      <c r="Y436" s="165"/>
      <c r="Z436" s="165"/>
      <c r="AA436" s="165"/>
      <c r="AB436" s="253"/>
      <c r="AC436" s="253"/>
      <c r="AD436" s="253"/>
      <c r="AE436" s="253"/>
      <c r="AF436" s="253"/>
      <c r="AG436" s="253"/>
      <c r="AH436" s="253"/>
      <c r="AI436" s="253"/>
      <c r="AJ436" s="253"/>
      <c r="AK436" s="253"/>
      <c r="AL436" s="253"/>
      <c r="AM436" s="253"/>
      <c r="AN436" s="253"/>
      <c r="AO436" s="253"/>
      <c r="AP436" s="253"/>
      <c r="AQ436" s="253"/>
      <c r="AR436" s="253"/>
      <c r="AS436" s="253"/>
      <c r="AT436" s="253"/>
      <c r="AU436" s="253"/>
      <c r="AV436" s="253"/>
      <c r="AW436" s="253"/>
      <c r="AX436" s="253"/>
      <c r="AY436" s="253"/>
    </row>
    <row r="437" ht="15.75" customHeight="1">
      <c r="A437" s="2"/>
      <c r="B437" s="259"/>
      <c r="C437" s="163"/>
      <c r="D437" s="259"/>
      <c r="E437" s="166"/>
      <c r="F437" s="163"/>
      <c r="G437" s="166"/>
      <c r="H437" s="166"/>
      <c r="I437" s="178"/>
      <c r="J437" s="263"/>
      <c r="K437" s="166"/>
      <c r="L437" s="264"/>
      <c r="M437" s="264"/>
      <c r="N437" s="263"/>
      <c r="O437" s="263"/>
      <c r="P437" s="263"/>
      <c r="Q437" s="263"/>
      <c r="R437" s="264"/>
      <c r="S437" s="177"/>
      <c r="T437" s="234"/>
      <c r="U437" s="234"/>
      <c r="V437" s="234"/>
      <c r="W437" s="165"/>
      <c r="X437" s="165"/>
      <c r="Y437" s="165"/>
      <c r="Z437" s="165"/>
      <c r="AA437" s="165"/>
      <c r="AB437" s="253"/>
      <c r="AC437" s="253"/>
      <c r="AD437" s="253"/>
      <c r="AE437" s="253"/>
      <c r="AF437" s="253"/>
      <c r="AG437" s="253"/>
      <c r="AH437" s="253"/>
      <c r="AI437" s="253"/>
      <c r="AJ437" s="253"/>
      <c r="AK437" s="253"/>
      <c r="AL437" s="253"/>
      <c r="AM437" s="253"/>
      <c r="AN437" s="253"/>
      <c r="AO437" s="253"/>
      <c r="AP437" s="253"/>
      <c r="AQ437" s="253"/>
      <c r="AR437" s="253"/>
      <c r="AS437" s="253"/>
      <c r="AT437" s="253"/>
      <c r="AU437" s="253"/>
      <c r="AV437" s="253"/>
      <c r="AW437" s="253"/>
      <c r="AX437" s="253"/>
      <c r="AY437" s="253"/>
    </row>
    <row r="438" ht="15.75" customHeight="1">
      <c r="A438" s="2"/>
      <c r="B438" s="259"/>
      <c r="C438" s="163"/>
      <c r="D438" s="259"/>
      <c r="E438" s="166"/>
      <c r="F438" s="163"/>
      <c r="G438" s="166"/>
      <c r="H438" s="166"/>
      <c r="I438" s="178"/>
      <c r="J438" s="263"/>
      <c r="K438" s="166"/>
      <c r="L438" s="264"/>
      <c r="M438" s="264"/>
      <c r="N438" s="263"/>
      <c r="O438" s="263"/>
      <c r="P438" s="263"/>
      <c r="Q438" s="263"/>
      <c r="R438" s="264"/>
      <c r="S438" s="177"/>
      <c r="T438" s="234"/>
      <c r="U438" s="234"/>
      <c r="V438" s="234"/>
      <c r="W438" s="165"/>
      <c r="X438" s="165"/>
      <c r="Y438" s="165"/>
      <c r="Z438" s="165"/>
      <c r="AA438" s="165"/>
      <c r="AB438" s="253"/>
      <c r="AC438" s="253"/>
      <c r="AD438" s="253"/>
      <c r="AE438" s="253"/>
      <c r="AF438" s="253"/>
      <c r="AG438" s="253"/>
      <c r="AH438" s="253"/>
      <c r="AI438" s="253"/>
      <c r="AJ438" s="253"/>
      <c r="AK438" s="253"/>
      <c r="AL438" s="253"/>
      <c r="AM438" s="253"/>
      <c r="AN438" s="253"/>
      <c r="AO438" s="253"/>
      <c r="AP438" s="253"/>
      <c r="AQ438" s="253"/>
      <c r="AR438" s="253"/>
      <c r="AS438" s="253"/>
      <c r="AT438" s="253"/>
      <c r="AU438" s="253"/>
      <c r="AV438" s="253"/>
      <c r="AW438" s="253"/>
      <c r="AX438" s="253"/>
      <c r="AY438" s="253"/>
    </row>
    <row r="439" ht="15.75" customHeight="1">
      <c r="A439" s="2"/>
      <c r="B439" s="259"/>
      <c r="C439" s="163"/>
      <c r="D439" s="259"/>
      <c r="E439" s="166"/>
      <c r="F439" s="163"/>
      <c r="G439" s="166"/>
      <c r="H439" s="166"/>
      <c r="I439" s="178"/>
      <c r="J439" s="263"/>
      <c r="K439" s="166"/>
      <c r="L439" s="264"/>
      <c r="M439" s="264"/>
      <c r="N439" s="263"/>
      <c r="O439" s="263"/>
      <c r="P439" s="263"/>
      <c r="Q439" s="263"/>
      <c r="R439" s="264"/>
      <c r="S439" s="177"/>
      <c r="T439" s="234"/>
      <c r="U439" s="234"/>
      <c r="V439" s="234"/>
      <c r="W439" s="165"/>
      <c r="X439" s="165"/>
      <c r="Y439" s="165"/>
      <c r="Z439" s="165"/>
      <c r="AA439" s="165"/>
      <c r="AB439" s="253"/>
      <c r="AC439" s="253"/>
      <c r="AD439" s="253"/>
      <c r="AE439" s="253"/>
      <c r="AF439" s="253"/>
      <c r="AG439" s="253"/>
      <c r="AH439" s="253"/>
      <c r="AI439" s="253"/>
      <c r="AJ439" s="253"/>
      <c r="AK439" s="253"/>
      <c r="AL439" s="253"/>
      <c r="AM439" s="253"/>
      <c r="AN439" s="253"/>
      <c r="AO439" s="253"/>
      <c r="AP439" s="253"/>
      <c r="AQ439" s="253"/>
      <c r="AR439" s="253"/>
      <c r="AS439" s="253"/>
      <c r="AT439" s="253"/>
      <c r="AU439" s="253"/>
      <c r="AV439" s="253"/>
      <c r="AW439" s="253"/>
      <c r="AX439" s="253"/>
      <c r="AY439" s="253"/>
    </row>
    <row r="440" ht="15.75" customHeight="1">
      <c r="A440" s="2"/>
      <c r="B440" s="259"/>
      <c r="C440" s="163"/>
      <c r="D440" s="259"/>
      <c r="E440" s="166"/>
      <c r="F440" s="163"/>
      <c r="G440" s="166"/>
      <c r="H440" s="166"/>
      <c r="I440" s="178"/>
      <c r="J440" s="263"/>
      <c r="K440" s="166"/>
      <c r="L440" s="264"/>
      <c r="M440" s="264"/>
      <c r="N440" s="263"/>
      <c r="O440" s="263"/>
      <c r="P440" s="263"/>
      <c r="Q440" s="263"/>
      <c r="R440" s="264"/>
      <c r="S440" s="177"/>
      <c r="T440" s="234"/>
      <c r="U440" s="234"/>
      <c r="V440" s="234"/>
      <c r="W440" s="165"/>
      <c r="X440" s="165"/>
      <c r="Y440" s="165"/>
      <c r="Z440" s="165"/>
      <c r="AA440" s="165"/>
      <c r="AB440" s="253"/>
      <c r="AC440" s="253"/>
      <c r="AD440" s="253"/>
      <c r="AE440" s="253"/>
      <c r="AF440" s="253"/>
      <c r="AG440" s="253"/>
      <c r="AH440" s="253"/>
      <c r="AI440" s="253"/>
      <c r="AJ440" s="253"/>
      <c r="AK440" s="253"/>
      <c r="AL440" s="253"/>
      <c r="AM440" s="253"/>
      <c r="AN440" s="253"/>
      <c r="AO440" s="253"/>
      <c r="AP440" s="253"/>
      <c r="AQ440" s="253"/>
      <c r="AR440" s="253"/>
      <c r="AS440" s="253"/>
      <c r="AT440" s="253"/>
      <c r="AU440" s="253"/>
      <c r="AV440" s="253"/>
      <c r="AW440" s="253"/>
      <c r="AX440" s="253"/>
      <c r="AY440" s="253"/>
    </row>
    <row r="441" ht="15.75" customHeight="1">
      <c r="A441" s="2"/>
      <c r="B441" s="259"/>
      <c r="C441" s="163"/>
      <c r="D441" s="259"/>
      <c r="E441" s="166"/>
      <c r="F441" s="163"/>
      <c r="G441" s="166"/>
      <c r="H441" s="166"/>
      <c r="I441" s="178"/>
      <c r="J441" s="263"/>
      <c r="K441" s="166"/>
      <c r="L441" s="264"/>
      <c r="M441" s="264"/>
      <c r="N441" s="263"/>
      <c r="O441" s="263"/>
      <c r="P441" s="263"/>
      <c r="Q441" s="263"/>
      <c r="R441" s="264"/>
      <c r="S441" s="177"/>
      <c r="T441" s="234"/>
      <c r="U441" s="234"/>
      <c r="V441" s="234"/>
      <c r="W441" s="165"/>
      <c r="X441" s="165"/>
      <c r="Y441" s="165"/>
      <c r="Z441" s="165"/>
      <c r="AA441" s="165"/>
      <c r="AB441" s="253"/>
      <c r="AC441" s="253"/>
      <c r="AD441" s="253"/>
      <c r="AE441" s="253"/>
      <c r="AF441" s="253"/>
      <c r="AG441" s="253"/>
      <c r="AH441" s="253"/>
      <c r="AI441" s="253"/>
      <c r="AJ441" s="253"/>
      <c r="AK441" s="253"/>
      <c r="AL441" s="253"/>
      <c r="AM441" s="253"/>
      <c r="AN441" s="253"/>
      <c r="AO441" s="253"/>
      <c r="AP441" s="253"/>
      <c r="AQ441" s="253"/>
      <c r="AR441" s="253"/>
      <c r="AS441" s="253"/>
      <c r="AT441" s="253"/>
      <c r="AU441" s="253"/>
      <c r="AV441" s="253"/>
      <c r="AW441" s="253"/>
      <c r="AX441" s="253"/>
      <c r="AY441" s="253"/>
    </row>
    <row r="442" ht="15.75" customHeight="1">
      <c r="A442" s="2"/>
      <c r="B442" s="259"/>
      <c r="C442" s="163"/>
      <c r="D442" s="259"/>
      <c r="E442" s="166"/>
      <c r="F442" s="163"/>
      <c r="G442" s="166"/>
      <c r="H442" s="166"/>
      <c r="I442" s="178"/>
      <c r="J442" s="263"/>
      <c r="K442" s="166"/>
      <c r="L442" s="264"/>
      <c r="M442" s="264"/>
      <c r="N442" s="263"/>
      <c r="O442" s="263"/>
      <c r="P442" s="263"/>
      <c r="Q442" s="263"/>
      <c r="R442" s="264"/>
      <c r="S442" s="177"/>
      <c r="T442" s="234"/>
      <c r="U442" s="234"/>
      <c r="V442" s="234"/>
      <c r="W442" s="165"/>
      <c r="X442" s="165"/>
      <c r="Y442" s="165"/>
      <c r="Z442" s="165"/>
      <c r="AA442" s="165"/>
      <c r="AB442" s="253"/>
      <c r="AC442" s="253"/>
      <c r="AD442" s="253"/>
      <c r="AE442" s="253"/>
      <c r="AF442" s="253"/>
      <c r="AG442" s="253"/>
      <c r="AH442" s="253"/>
      <c r="AI442" s="253"/>
      <c r="AJ442" s="253"/>
      <c r="AK442" s="253"/>
      <c r="AL442" s="253"/>
      <c r="AM442" s="253"/>
      <c r="AN442" s="253"/>
      <c r="AO442" s="253"/>
      <c r="AP442" s="253"/>
      <c r="AQ442" s="253"/>
      <c r="AR442" s="253"/>
      <c r="AS442" s="253"/>
      <c r="AT442" s="253"/>
      <c r="AU442" s="253"/>
      <c r="AV442" s="253"/>
      <c r="AW442" s="253"/>
      <c r="AX442" s="253"/>
      <c r="AY442" s="253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</row>
  </sheetData>
  <mergeCells count="9">
    <mergeCell ref="AN9:AR9"/>
    <mergeCell ref="AT9:AX9"/>
    <mergeCell ref="C2:D2"/>
    <mergeCell ref="F2:G2"/>
    <mergeCell ref="I2:J2"/>
    <mergeCell ref="L2:M2"/>
    <mergeCell ref="AD3:AD4"/>
    <mergeCell ref="AB9:AF9"/>
    <mergeCell ref="AH9:AL9"/>
  </mergeCells>
  <printOptions/>
  <pageMargins bottom="1.0" footer="0.0" header="0.0" left="0.75" right="0.75" top="1.0"/>
  <pageSetup orientation="landscape"/>
  <drawing r:id="rId1"/>
  <tableParts count="10"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0" outlineLevelCol="1"/>
  <cols>
    <col customWidth="1" min="1" max="1" width="11.38"/>
    <col customWidth="1" min="2" max="3" width="15.13"/>
    <col customWidth="1" min="4" max="4" width="15.38"/>
    <col customWidth="1" min="5" max="5" width="5.38"/>
    <col customWidth="1" min="6" max="7" width="15.13"/>
    <col customWidth="1" min="8" max="8" width="5.38"/>
    <col customWidth="1" min="9" max="10" width="15.13"/>
    <col customWidth="1" min="11" max="11" width="5.38"/>
    <col customWidth="1" min="12" max="17" width="15.13"/>
    <col customWidth="1" min="18" max="18" width="11.5"/>
    <col customWidth="1" min="19" max="19" width="7.63"/>
    <col customWidth="1" hidden="1" min="20" max="20" width="15.13" outlineLevel="1"/>
    <col customWidth="1" hidden="1" min="21" max="22" width="14.38" outlineLevel="1"/>
    <col customWidth="1" hidden="1" min="23" max="26" width="11.88" outlineLevel="1"/>
    <col customWidth="1" min="27" max="27" width="7.63"/>
    <col customWidth="1" min="28" max="28" width="20.13"/>
    <col customWidth="1" min="29" max="29" width="16.63"/>
    <col customWidth="1" min="30" max="34" width="15.13"/>
    <col customWidth="1" min="35" max="35" width="16.63"/>
    <col customWidth="1" min="36" max="38" width="15.13"/>
    <col customWidth="1" min="39" max="40" width="14.38"/>
    <col customWidth="1" min="41" max="41" width="16.63"/>
    <col customWidth="1" min="42" max="46" width="14.38"/>
    <col customWidth="1" min="47" max="47" width="16.63"/>
    <col customWidth="1" min="48" max="51" width="14.38"/>
  </cols>
  <sheetData>
    <row r="1" ht="17.25" customHeight="1">
      <c r="A1" s="162"/>
      <c r="B1" s="164"/>
      <c r="C1" s="162"/>
      <c r="D1" s="162"/>
      <c r="E1" s="162"/>
      <c r="F1" s="162"/>
      <c r="G1" s="162"/>
      <c r="H1" s="162"/>
      <c r="I1" s="162"/>
      <c r="J1" s="162"/>
      <c r="K1" s="162"/>
      <c r="L1" s="53"/>
      <c r="M1" s="53"/>
      <c r="N1" s="265"/>
      <c r="O1" s="265"/>
      <c r="P1" s="231"/>
      <c r="Q1" s="231"/>
      <c r="R1" s="162"/>
      <c r="S1" s="162"/>
      <c r="T1" s="266"/>
      <c r="U1" s="266"/>
      <c r="V1" s="162"/>
      <c r="W1" s="162"/>
      <c r="X1" s="162"/>
      <c r="Y1" s="162"/>
      <c r="Z1" s="162"/>
      <c r="AA1" s="162"/>
      <c r="AB1" s="162"/>
      <c r="AC1" s="162"/>
      <c r="AD1" s="267"/>
      <c r="AE1" s="167"/>
      <c r="AF1" s="268"/>
      <c r="AG1" s="268"/>
      <c r="AH1" s="268"/>
      <c r="AI1" s="268"/>
      <c r="AJ1" s="268"/>
      <c r="AK1" s="268"/>
      <c r="AL1" s="268"/>
      <c r="AM1" s="268"/>
      <c r="AN1" s="268"/>
      <c r="AO1" s="268"/>
      <c r="AP1" s="268"/>
      <c r="AQ1" s="269"/>
      <c r="AR1" s="269"/>
      <c r="AS1" s="268"/>
      <c r="AT1" s="167"/>
      <c r="AU1" s="167"/>
      <c r="AV1" s="167"/>
      <c r="AW1" s="167"/>
      <c r="AX1" s="167"/>
      <c r="AY1" s="167"/>
    </row>
    <row r="2" ht="17.25" customHeight="1">
      <c r="A2" s="162"/>
      <c r="B2" s="164"/>
      <c r="C2" s="170" t="s">
        <v>199</v>
      </c>
      <c r="D2" s="171"/>
      <c r="E2" s="53"/>
      <c r="F2" s="270" t="s">
        <v>200</v>
      </c>
      <c r="G2" s="171"/>
      <c r="H2" s="53"/>
      <c r="I2" s="271" t="s">
        <v>201</v>
      </c>
      <c r="J2" s="171"/>
      <c r="K2" s="53"/>
      <c r="L2" s="174" t="s">
        <v>273</v>
      </c>
      <c r="M2" s="171"/>
      <c r="N2" s="265"/>
      <c r="O2" s="265"/>
      <c r="P2" s="231"/>
      <c r="Q2" s="231"/>
      <c r="R2" s="162"/>
      <c r="S2" s="162"/>
      <c r="T2" s="2"/>
      <c r="V2" s="162"/>
      <c r="W2" s="162"/>
      <c r="X2" s="162"/>
      <c r="Y2" s="162"/>
      <c r="Z2" s="162"/>
      <c r="AA2" s="162"/>
      <c r="AB2" s="162"/>
      <c r="AC2" s="162"/>
      <c r="AD2" s="272"/>
      <c r="AE2" s="273"/>
      <c r="AF2" s="179" t="s">
        <v>290</v>
      </c>
      <c r="AG2" s="179" t="s">
        <v>291</v>
      </c>
      <c r="AH2" s="179" t="s">
        <v>292</v>
      </c>
      <c r="AI2" s="179" t="s">
        <v>293</v>
      </c>
      <c r="AJ2" s="179" t="s">
        <v>294</v>
      </c>
      <c r="AK2" s="179" t="s">
        <v>295</v>
      </c>
      <c r="AL2" s="179" t="s">
        <v>296</v>
      </c>
      <c r="AM2" s="179" t="s">
        <v>297</v>
      </c>
      <c r="AN2" s="179" t="s">
        <v>298</v>
      </c>
      <c r="AO2" s="179" t="s">
        <v>299</v>
      </c>
      <c r="AP2" s="179" t="s">
        <v>300</v>
      </c>
      <c r="AQ2" s="180" t="s">
        <v>301</v>
      </c>
      <c r="AR2" s="180" t="s">
        <v>302</v>
      </c>
      <c r="AS2" s="179" t="s">
        <v>303</v>
      </c>
      <c r="AT2" s="167"/>
      <c r="AU2" s="167"/>
      <c r="AV2" s="167"/>
      <c r="AW2" s="167"/>
      <c r="AX2" s="167"/>
      <c r="AY2" s="167"/>
    </row>
    <row r="3" ht="15.75" customHeight="1">
      <c r="A3" s="176"/>
      <c r="B3" s="274" t="s">
        <v>304</v>
      </c>
      <c r="C3" s="182" t="s">
        <v>305</v>
      </c>
      <c r="D3" s="182" t="s">
        <v>306</v>
      </c>
      <c r="E3" s="2"/>
      <c r="F3" s="182" t="s">
        <v>305</v>
      </c>
      <c r="G3" s="182" t="s">
        <v>306</v>
      </c>
      <c r="H3" s="2"/>
      <c r="I3" s="182" t="s">
        <v>305</v>
      </c>
      <c r="J3" s="182" t="s">
        <v>306</v>
      </c>
      <c r="K3" s="2"/>
      <c r="L3" s="182" t="s">
        <v>305</v>
      </c>
      <c r="M3" s="182" t="s">
        <v>306</v>
      </c>
      <c r="N3" s="231"/>
      <c r="O3" s="231"/>
      <c r="P3" s="275"/>
      <c r="Q3" s="275"/>
      <c r="R3" s="2"/>
      <c r="S3" s="2"/>
      <c r="T3" s="182" t="s">
        <v>305</v>
      </c>
      <c r="U3" s="182" t="s">
        <v>306</v>
      </c>
      <c r="V3" s="184"/>
      <c r="W3" s="53"/>
      <c r="X3" s="53"/>
      <c r="Y3" s="53"/>
      <c r="Z3" s="53"/>
      <c r="AA3" s="53"/>
      <c r="AB3" s="185" t="s">
        <v>307</v>
      </c>
      <c r="AC3" s="186" t="s">
        <v>308</v>
      </c>
      <c r="AD3" s="187">
        <v>2023.0</v>
      </c>
      <c r="AE3" s="188" t="s">
        <v>309</v>
      </c>
      <c r="AF3" s="189" t="s">
        <v>310</v>
      </c>
      <c r="AG3" s="189" t="s">
        <v>310</v>
      </c>
      <c r="AH3" s="190" t="s">
        <v>310</v>
      </c>
      <c r="AI3" s="190" t="s">
        <v>310</v>
      </c>
      <c r="AJ3" s="189" t="s">
        <v>310</v>
      </c>
      <c r="AK3" s="189" t="s">
        <v>310</v>
      </c>
      <c r="AL3" s="191"/>
      <c r="AM3" s="191" t="str">
        <f t="shared" ref="AM3:AQ3" si="1">IFERROR((VLOOKUP((#REF!-2021)*12 + AM$2, $A$10:$I1004, 4, FALSE)-VLOOKUP((#REF!-2021)*12 + AM$2-1, $A$10:$I1004, 4, FALSE))/VLOOKUP((#REF!-2021)*12 + AM$2-1, $A$10:$I1004, 4, FALSE), "")</f>
        <v/>
      </c>
      <c r="AN3" s="191" t="str">
        <f t="shared" si="1"/>
        <v/>
      </c>
      <c r="AO3" s="191" t="str">
        <f t="shared" si="1"/>
        <v/>
      </c>
      <c r="AP3" s="191" t="str">
        <f t="shared" si="1"/>
        <v/>
      </c>
      <c r="AQ3" s="191" t="str">
        <f t="shared" si="1"/>
        <v/>
      </c>
      <c r="AR3" s="191"/>
      <c r="AS3" s="191"/>
      <c r="AT3" s="276"/>
      <c r="AU3" s="276"/>
      <c r="AV3" s="276"/>
      <c r="AW3" s="276"/>
      <c r="AX3" s="276"/>
      <c r="AY3" s="276"/>
    </row>
    <row r="4" ht="15.75" customHeight="1">
      <c r="A4" s="176"/>
      <c r="B4" s="277">
        <f>WORKDAY(B6,-1,Feriados!A:A)</f>
        <v>45168</v>
      </c>
      <c r="C4" s="194">
        <f> SUMIFS($AF11:$AF1000,AC$11:AC$1000,"&lt;&gt;"&amp;"Futuros")  + D$4</f>
        <v>108074559.1</v>
      </c>
      <c r="D4" s="194">
        <f t="array" ref="D4">XLOOKUP($B$4,$B$10:$B$901,$D$10:$D$901)*(1+$AC$6) + 
SUMIFS($AF$11:$AF$1000,$AC$11:$AC$1000,"="&amp;"Futuros") + 
SUMIFS('Alocação'!$M:$M, 'Alocação'!$B:$B, $B$6,'Alocação'!$D:$D,"&lt;&gt;"&amp;"Futuros",'Alocação'!$F:$F,"="&amp;C2) - 
(XLOOKUP($B$4,$B$10:$B$901,$C$10:$C$901)*(POWER(1+$AC$4,1/252)-1))</f>
        <v>117620923.4</v>
      </c>
      <c r="E4" s="196"/>
      <c r="F4" s="194">
        <f> SUMIFS($AL11:$AL1000,AI$11:AI$1000,"&lt;&gt;"&amp;"Futuros")  + G$4</f>
        <v>112467432.2</v>
      </c>
      <c r="G4" s="194">
        <f t="array" ref="G4">XLOOKUP($B$4,$B$10:$B$1000,$G$10:$G$1000)*(1+$AC$6) + 
SUMIFS($AL$11:$AL$1000,$AI$11:$AI$1000,"="&amp;"Futuros") + 
SUMIFS('Alocação'!$M:$M, 'Alocação'!$B:$B, $B$6,'Alocação'!$D:$D,"&lt;&gt;"&amp;"Futuros",'Alocação'!$F:$F,"="&amp;F2) - 
(XLOOKUP($B$4,$B$10:$B$1000,$F$10:$F$1000)*(POWER(1+$AC$4,1/252)-1))</f>
        <v>104527446.5</v>
      </c>
      <c r="H4" s="196"/>
      <c r="I4" s="194">
        <f> SUMIFS($AR11:$AR1000,AO$11:AO$1000,"&lt;&gt;"&amp;"Futuros")  + J$4</f>
        <v>107629364.5</v>
      </c>
      <c r="J4" s="194">
        <f t="array" ref="J4">XLOOKUP($B$4,$B$10:$B$901,$J$10:$J$901)*(1+$AC$6) + 
SUMIFS($AR$11:$AR$1000,$AO$11:$AO$1000,"="&amp;"Futuros") + 
SUMIFS('Alocação'!$M:$M, 'Alocação'!$B:$B, $B$6,'Alocação'!$D:$D,"&lt;&gt;"&amp;"Futuros",'Alocação'!$F:$F,"="&amp;I2) - 
(XLOOKUP($B$4,$B$10:$B$901,$I$10:$I$901)*(POWER(1+$AC$4,1/252)-1))</f>
        <v>69735069.96</v>
      </c>
      <c r="K4" s="196"/>
      <c r="L4" s="194">
        <f> SUMIFS($AX11:$AX1000,AU$11:AU$1000,"&lt;&gt;"&amp;"Futuros")  + M$4</f>
        <v>102759595.3</v>
      </c>
      <c r="M4" s="194">
        <f t="array" ref="M4">XLOOKUP($B$4,$B$10:$B$901,$M$10:$M$901)*(1+$AC$6) + 
SUMIFS($AX$11:$AX$1000,$AU$11:$AU$1000,"="&amp;"Futuros") + 
SUMIFS('Alocação'!$M:$M, 'Alocação'!$B:$B, $B$6,'Alocação'!$D:$D,"&lt;&gt;"&amp;"Futuros",'Alocação'!$F:$F,"="&amp;L2) - 
(XLOOKUP($B$4,$B$10:$B$901,$L$10:$L$901)*(POWER(1+$AC$4,1/252)-1))</f>
        <v>73988709.71</v>
      </c>
      <c r="N4" s="278"/>
      <c r="O4" s="278"/>
      <c r="P4" s="278"/>
      <c r="Q4" s="278"/>
      <c r="R4" s="2"/>
      <c r="S4" s="2"/>
      <c r="T4" s="195">
        <f t="shared" ref="T4:U4" si="2">SUM(C4,F4,I4)</f>
        <v>328171355.8</v>
      </c>
      <c r="U4" s="195">
        <f t="shared" si="2"/>
        <v>291883439.8</v>
      </c>
      <c r="V4" s="196"/>
      <c r="W4" s="53"/>
      <c r="X4" s="53"/>
      <c r="Y4" s="53"/>
      <c r="Z4" s="53"/>
      <c r="AA4" s="53"/>
      <c r="AB4" s="197">
        <f>VLOOKUP(B4,$B$10:$U$1001,12,FALSE)*(1+$AC$6)</f>
        <v>73994795.24</v>
      </c>
      <c r="AC4" s="198">
        <v>0.015</v>
      </c>
      <c r="AE4" s="199" t="s">
        <v>281</v>
      </c>
      <c r="AF4" s="200" t="s">
        <v>310</v>
      </c>
      <c r="AG4" s="200" t="s">
        <v>310</v>
      </c>
      <c r="AH4" s="201" t="s">
        <v>310</v>
      </c>
      <c r="AI4" s="201" t="s">
        <v>310</v>
      </c>
      <c r="AJ4" s="200" t="s">
        <v>310</v>
      </c>
      <c r="AK4" s="200" t="s">
        <v>310</v>
      </c>
      <c r="AL4" s="202" t="str">
        <f t="shared" ref="AL4:AQ4" si="3">IFERROR((VLOOKUP((#REF!-2021)*12 + AL$2, $A$10:$I1004, 8, FALSE)-VLOOKUP((#REF!-2021)*12 + AL$2-1, $A$10:$I1004, 8, FALSE))/VLOOKUP((#REF!-2021)*12 + AL$2-1, $A$10:$I1004, 8, FALSE), "")</f>
        <v/>
      </c>
      <c r="AM4" s="202" t="str">
        <f t="shared" si="3"/>
        <v/>
      </c>
      <c r="AN4" s="202" t="str">
        <f t="shared" si="3"/>
        <v/>
      </c>
      <c r="AO4" s="202" t="str">
        <f t="shared" si="3"/>
        <v/>
      </c>
      <c r="AP4" s="202" t="str">
        <f t="shared" si="3"/>
        <v/>
      </c>
      <c r="AQ4" s="202" t="str">
        <f t="shared" si="3"/>
        <v/>
      </c>
      <c r="AR4" s="202"/>
      <c r="AS4" s="203"/>
      <c r="AT4" s="204"/>
      <c r="AU4" s="204"/>
      <c r="AV4" s="204"/>
      <c r="AW4" s="204"/>
      <c r="AX4" s="204"/>
      <c r="AY4" s="204"/>
    </row>
    <row r="5" ht="15.75" customHeight="1">
      <c r="A5" s="176"/>
      <c r="B5" s="279" t="s">
        <v>311</v>
      </c>
      <c r="C5" s="182" t="s">
        <v>312</v>
      </c>
      <c r="D5" s="182" t="s">
        <v>313</v>
      </c>
      <c r="E5" s="53"/>
      <c r="F5" s="182" t="s">
        <v>312</v>
      </c>
      <c r="G5" s="182" t="s">
        <v>313</v>
      </c>
      <c r="H5" s="53"/>
      <c r="I5" s="182" t="s">
        <v>312</v>
      </c>
      <c r="J5" s="182" t="s">
        <v>313</v>
      </c>
      <c r="K5" s="53"/>
      <c r="L5" s="182" t="s">
        <v>312</v>
      </c>
      <c r="M5" s="182" t="s">
        <v>313</v>
      </c>
      <c r="N5" s="231"/>
      <c r="O5" s="231"/>
      <c r="P5" s="275"/>
      <c r="Q5" s="275"/>
      <c r="R5" s="2"/>
      <c r="S5" s="2"/>
      <c r="T5" s="182" t="s">
        <v>312</v>
      </c>
      <c r="U5" s="182" t="s">
        <v>313</v>
      </c>
      <c r="V5" s="184"/>
      <c r="W5" s="53"/>
      <c r="X5" s="53"/>
      <c r="Y5" s="53"/>
      <c r="Z5" s="53"/>
      <c r="AA5" s="53"/>
      <c r="AB5" s="207" t="s">
        <v>314</v>
      </c>
      <c r="AC5" s="208" t="str">
        <f>"CDI Diário "&amp;DAY($B$6)&amp;"/"&amp;MONTH($B$6)&amp;" :"</f>
        <v>CDI Diário 31/8 :</v>
      </c>
      <c r="AD5" s="53"/>
      <c r="AE5" s="53"/>
      <c r="AF5" s="53"/>
      <c r="AG5" s="53"/>
      <c r="AH5" s="53"/>
      <c r="AI5" s="53"/>
      <c r="AJ5" s="178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</row>
    <row r="6" ht="15.75" customHeight="1">
      <c r="A6" s="280">
        <f>WORKDAY(B6,1,Feriados!A:A)</f>
        <v>45170</v>
      </c>
      <c r="B6" s="281">
        <f>Controle!B4</f>
        <v>45169</v>
      </c>
      <c r="C6" s="194">
        <f>SUMIFS($AF$11:$AF$901,$AC$11:$AC$901,"&lt;&gt;"&amp;"Futuros")</f>
        <v>-9546364.282</v>
      </c>
      <c r="D6" s="211">
        <f t="array" ref="D6">(XLOOKUP($B$6,$B$10:$B$1001,$C$10:$C$1001)/XLOOKUP($B$4,$B$10:$B$1001,$C$10:$C$1001))-1</f>
        <v>0.007526343998</v>
      </c>
      <c r="E6" s="53"/>
      <c r="F6" s="194">
        <f>SUMIFS($AL$11:$AL$901,$AI$11:$AI$901,"&lt;&gt;"&amp;"Futuros")</f>
        <v>7939985.663</v>
      </c>
      <c r="G6" s="211">
        <f t="array" ref="G6">(XLOOKUP($B$6,$B$10:$B$1001,$F$10:$F$1001)/XLOOKUP($B$4,$B$10:$B$1001,$F$10:$F$1001))-1</f>
        <v>0.002646650583</v>
      </c>
      <c r="H6" s="53"/>
      <c r="I6" s="194">
        <f>SUMIFS($AR$11:$AR$901,$AO$11:$AO$901,"&lt;&gt;"&amp;"Futuros")</f>
        <v>37894294.56</v>
      </c>
      <c r="J6" s="212">
        <f t="array" ref="J6">(XLOOKUP($B$6,$B$10:$B$1001,$I$10:$I$1001)/XLOOKUP($B$4,$B$10:$B$1001,$I$10:$I$1001))-1</f>
        <v>0.001873496595</v>
      </c>
      <c r="K6" s="53"/>
      <c r="L6" s="194">
        <f>SUMIFS($AX$11:$AX$901,$AT$11:$AT$901,"&lt;&gt;"&amp;"Futuros")</f>
        <v>28770885.61</v>
      </c>
      <c r="M6" s="212">
        <f t="array" ref="M6">(XLOOKUP($B$6,$B$10:$B$1001,$I$10:$I$1001)/XLOOKUP($B$4,$B$10:$B$1001,$I$10:$I$1001))-1</f>
        <v>0.001873496595</v>
      </c>
      <c r="N6" s="282"/>
      <c r="O6" s="282"/>
      <c r="P6" s="282"/>
      <c r="Q6" s="282"/>
      <c r="R6" s="2"/>
      <c r="S6" s="2"/>
      <c r="T6" s="195">
        <f>SUM(C6,F6,I6)</f>
        <v>36287915.94</v>
      </c>
      <c r="U6" s="212">
        <f t="array" ref="U6">(XLOOKUP($B$6,$B$10:$B$1001,$T$10:$T$1001)/XLOOKUP($B$4,$B$10:$B$1001,$T$10:$T$1001))-1</f>
        <v>0.003993908743</v>
      </c>
      <c r="V6" s="283"/>
      <c r="W6" s="53"/>
      <c r="X6" s="53"/>
      <c r="Y6" s="53"/>
      <c r="Z6" s="53"/>
      <c r="AA6" s="53"/>
      <c r="AB6" s="214">
        <f>SUMIFS('Alocação'!$M:$M, 'Alocação'!$B:$B, $B$6,'Alocação'!$D:$D,"&lt;&gt;"&amp;"Futuros")</f>
        <v>0</v>
      </c>
      <c r="AC6" s="215">
        <f t="array" ref="AC6">INDEX('Histórico'!$B$1:$AEB981, MATCH($B$6, 'Histórico'!$A:$A, 0), MATCH("CDI", 'Histórico'!$1:$1, 0)-1)</f>
        <v>0.00049037</v>
      </c>
      <c r="AD6" s="53"/>
      <c r="AE6" s="53"/>
      <c r="AF6" s="53"/>
      <c r="AG6" s="53"/>
      <c r="AH6" s="81"/>
      <c r="AI6" s="53"/>
      <c r="AJ6" s="53"/>
      <c r="AK6" s="216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</row>
    <row r="7" ht="15.75" customHeight="1">
      <c r="A7" s="176"/>
      <c r="B7" s="176"/>
      <c r="C7" s="216"/>
      <c r="D7" s="216"/>
      <c r="E7" s="2"/>
      <c r="F7" s="53"/>
      <c r="G7" s="2"/>
      <c r="H7" s="178"/>
      <c r="I7" s="183"/>
      <c r="J7" s="176"/>
      <c r="K7" s="178"/>
      <c r="L7" s="183"/>
      <c r="M7" s="175"/>
      <c r="N7" s="176"/>
      <c r="O7" s="176"/>
      <c r="P7" s="176"/>
      <c r="Q7" s="176"/>
      <c r="R7" s="177"/>
      <c r="S7" s="177"/>
      <c r="T7" s="53"/>
      <c r="U7" s="178"/>
      <c r="V7" s="178"/>
      <c r="W7" s="177"/>
      <c r="X7" s="177"/>
      <c r="Y7" s="177"/>
      <c r="Z7" s="177"/>
      <c r="AA7" s="177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</row>
    <row r="8" ht="15.75" customHeight="1">
      <c r="A8" s="176"/>
      <c r="B8" s="2"/>
      <c r="C8" s="216"/>
      <c r="D8" s="216"/>
      <c r="E8" s="175"/>
      <c r="F8" s="216"/>
      <c r="G8" s="284"/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218"/>
      <c r="S8" s="53"/>
      <c r="T8" s="218"/>
      <c r="U8" s="175"/>
      <c r="V8" s="175"/>
      <c r="W8" s="218"/>
      <c r="X8" s="218"/>
      <c r="Y8" s="218"/>
      <c r="Z8" s="218"/>
      <c r="AA8" s="218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</row>
    <row r="9" ht="15.75" customHeight="1">
      <c r="A9" s="176"/>
      <c r="B9" s="219" t="s">
        <v>182</v>
      </c>
      <c r="C9" s="220" t="s">
        <v>315</v>
      </c>
      <c r="D9" s="220" t="s">
        <v>316</v>
      </c>
      <c r="E9" s="2"/>
      <c r="F9" s="221" t="s">
        <v>315</v>
      </c>
      <c r="G9" s="221" t="s">
        <v>316</v>
      </c>
      <c r="H9" s="2"/>
      <c r="I9" s="285" t="s">
        <v>315</v>
      </c>
      <c r="J9" s="285" t="s">
        <v>316</v>
      </c>
      <c r="K9" s="286"/>
      <c r="L9" s="223" t="s">
        <v>315</v>
      </c>
      <c r="M9" s="223" t="s">
        <v>316</v>
      </c>
      <c r="N9" s="220" t="s">
        <v>317</v>
      </c>
      <c r="O9" s="221" t="s">
        <v>317</v>
      </c>
      <c r="P9" s="222" t="s">
        <v>317</v>
      </c>
      <c r="Q9" s="223" t="s">
        <v>317</v>
      </c>
      <c r="R9" s="224" t="s">
        <v>318</v>
      </c>
      <c r="S9" s="287"/>
      <c r="T9" s="224" t="s">
        <v>327</v>
      </c>
      <c r="U9" s="225" t="s">
        <v>328</v>
      </c>
      <c r="V9" s="225" t="s">
        <v>321</v>
      </c>
      <c r="W9" s="226" t="s">
        <v>317</v>
      </c>
      <c r="X9" s="226" t="s">
        <v>322</v>
      </c>
      <c r="Y9" s="226" t="s">
        <v>323</v>
      </c>
      <c r="Z9" s="226" t="s">
        <v>281</v>
      </c>
      <c r="AA9" s="165"/>
      <c r="AB9" s="227" t="str">
        <f>$C$2</f>
        <v>Endor</v>
      </c>
      <c r="AC9" s="97"/>
      <c r="AD9" s="97"/>
      <c r="AE9" s="97"/>
      <c r="AF9" s="171"/>
      <c r="AG9" s="53"/>
      <c r="AH9" s="228" t="str">
        <f>$F$2</f>
        <v>Polaris</v>
      </c>
      <c r="AI9" s="97"/>
      <c r="AJ9" s="97"/>
      <c r="AK9" s="97"/>
      <c r="AL9" s="171"/>
      <c r="AM9" s="53"/>
      <c r="AN9" s="229" t="str">
        <f>$I$2</f>
        <v>Vega</v>
      </c>
      <c r="AO9" s="97"/>
      <c r="AP9" s="97"/>
      <c r="AQ9" s="97"/>
      <c r="AR9" s="171"/>
      <c r="AS9" s="53"/>
      <c r="AT9" s="230" t="s">
        <v>273</v>
      </c>
      <c r="AU9" s="97"/>
      <c r="AV9" s="97"/>
      <c r="AW9" s="97"/>
      <c r="AX9" s="171"/>
      <c r="AY9" s="53"/>
    </row>
    <row r="10" ht="15.75" customHeight="1">
      <c r="A10" s="176"/>
      <c r="B10" s="288">
        <f>Controle!B10</f>
        <v>45005</v>
      </c>
      <c r="C10" s="233">
        <f>Controle!C10</f>
        <v>100000000</v>
      </c>
      <c r="D10" s="289">
        <f>Controle!D10</f>
        <v>100000000</v>
      </c>
      <c r="E10" s="290"/>
      <c r="F10" s="291">
        <f>Controle!F10</f>
        <v>100000000</v>
      </c>
      <c r="G10" s="289">
        <f>Controle!G10</f>
        <v>100000000</v>
      </c>
      <c r="H10" s="290"/>
      <c r="I10" s="291">
        <f>Controle!I10</f>
        <v>100000000</v>
      </c>
      <c r="J10" s="233">
        <f>Controle!J10</f>
        <v>100000000</v>
      </c>
      <c r="K10" s="292"/>
      <c r="L10" s="233">
        <f>Controle!L10</f>
        <v>100000000</v>
      </c>
      <c r="M10" s="233">
        <f>Controle!M10</f>
        <v>100000000</v>
      </c>
      <c r="N10" s="235" t="str">
        <f>Controle!N10</f>
        <v/>
      </c>
      <c r="O10" s="235" t="str">
        <f>Controle!O10</f>
        <v/>
      </c>
      <c r="P10" s="235" t="str">
        <f>Controle!P10</f>
        <v/>
      </c>
      <c r="Q10" s="235" t="str">
        <f>Controle!Q10</f>
        <v/>
      </c>
      <c r="R10" s="293">
        <f>Controle!R10</f>
        <v>100</v>
      </c>
      <c r="S10" s="287"/>
      <c r="T10" s="233">
        <f t="shared" ref="T10:U10" si="4">IF(AND(C10&lt;&gt;"",F10&lt;&gt;"",I10&lt;&gt;""), SUM(I10,F10,C10),"")</f>
        <v>300000000</v>
      </c>
      <c r="U10" s="233">
        <f t="shared" si="4"/>
        <v>300000000</v>
      </c>
      <c r="V10" s="233">
        <f t="shared" ref="V10:V242" si="6">if(T10&lt;&gt;"",T10/1000000,"")</f>
        <v>300</v>
      </c>
      <c r="W10" s="233"/>
      <c r="X10" s="233"/>
      <c r="Y10" s="233"/>
      <c r="Z10" s="233">
        <f t="shared" ref="Z10:Z242" si="7">if(T10&lt;&gt;"",R10*3,"")</f>
        <v>300</v>
      </c>
      <c r="AA10" s="294"/>
      <c r="AB10" s="237" t="s">
        <v>183</v>
      </c>
      <c r="AC10" s="237" t="s">
        <v>2</v>
      </c>
      <c r="AD10" s="237" t="s">
        <v>324</v>
      </c>
      <c r="AE10" s="237" t="s">
        <v>325</v>
      </c>
      <c r="AF10" s="238" t="s">
        <v>326</v>
      </c>
      <c r="AG10" s="53"/>
      <c r="AH10" s="237" t="s">
        <v>183</v>
      </c>
      <c r="AI10" s="237" t="s">
        <v>2</v>
      </c>
      <c r="AJ10" s="237" t="s">
        <v>324</v>
      </c>
      <c r="AK10" s="237" t="s">
        <v>325</v>
      </c>
      <c r="AL10" s="238" t="s">
        <v>326</v>
      </c>
      <c r="AM10" s="53"/>
      <c r="AN10" s="237" t="s">
        <v>183</v>
      </c>
      <c r="AO10" s="237" t="s">
        <v>2</v>
      </c>
      <c r="AP10" s="237" t="s">
        <v>324</v>
      </c>
      <c r="AQ10" s="237" t="s">
        <v>325</v>
      </c>
      <c r="AR10" s="238" t="s">
        <v>326</v>
      </c>
      <c r="AS10" s="53"/>
      <c r="AT10" s="237" t="s">
        <v>183</v>
      </c>
      <c r="AU10" s="237" t="s">
        <v>2</v>
      </c>
      <c r="AV10" s="237" t="s">
        <v>324</v>
      </c>
      <c r="AW10" s="237" t="s">
        <v>325</v>
      </c>
      <c r="AX10" s="238" t="s">
        <v>326</v>
      </c>
      <c r="AY10" s="53"/>
    </row>
    <row r="11" ht="15.75" customHeight="1">
      <c r="A11" s="176"/>
      <c r="B11" s="288">
        <f>Controle!B11</f>
        <v>45006</v>
      </c>
      <c r="C11" s="233">
        <f>Controle!C11</f>
        <v>100044879.5</v>
      </c>
      <c r="D11" s="289">
        <f>Controle!D11</f>
        <v>100044892.4</v>
      </c>
      <c r="E11" s="290"/>
      <c r="F11" s="291">
        <f>Controle!F11</f>
        <v>100044879.5</v>
      </c>
      <c r="G11" s="289">
        <f>Controle!G11</f>
        <v>100044892.4</v>
      </c>
      <c r="H11" s="290"/>
      <c r="I11" s="291">
        <f>Controle!I11</f>
        <v>100044879.5</v>
      </c>
      <c r="J11" s="233">
        <f>Controle!J11</f>
        <v>100044892.4</v>
      </c>
      <c r="K11" s="292"/>
      <c r="L11" s="233">
        <f>Controle!L11</f>
        <v>100043128.6</v>
      </c>
      <c r="M11" s="233">
        <f>Controle!M11</f>
        <v>100044879.6</v>
      </c>
      <c r="N11" s="240">
        <f>Controle!N11</f>
        <v>0.000448795059</v>
      </c>
      <c r="O11" s="240">
        <f>Controle!O11</f>
        <v>0.000448795059</v>
      </c>
      <c r="P11" s="240">
        <f>Controle!P11</f>
        <v>0.000448795059</v>
      </c>
      <c r="Q11" s="240">
        <f>Controle!Q11</f>
        <v>0.000431286459</v>
      </c>
      <c r="R11" s="293">
        <f>Controle!R11</f>
        <v>100.049037</v>
      </c>
      <c r="S11" s="287"/>
      <c r="T11" s="233">
        <f t="shared" ref="T11:U11" si="5">IF(AND(C11&lt;&gt;"",F11&lt;&gt;"",I11&lt;&gt;""), SUM(I11,F11,C11),"")</f>
        <v>300134638.5</v>
      </c>
      <c r="U11" s="233">
        <f t="shared" si="5"/>
        <v>300134677.3</v>
      </c>
      <c r="V11" s="233">
        <f t="shared" si="6"/>
        <v>300.1346385</v>
      </c>
      <c r="W11" s="241">
        <f t="shared" ref="W11:W242" si="9">IFERROR(if(T11&lt;&gt;"",(T11/T10)-1,""),"")</f>
        <v>0.000448795059</v>
      </c>
      <c r="X11" s="241">
        <f t="shared" ref="X11:X242" si="10">IF(T11&lt;&gt;"",(T11/MAX($T$10:T11))-1,"")</f>
        <v>0</v>
      </c>
      <c r="Y11" s="233"/>
      <c r="Z11" s="233">
        <f t="shared" si="7"/>
        <v>300.147111</v>
      </c>
      <c r="AA11" s="294"/>
      <c r="AB11" s="242" t="str">
        <f>IFERROR(__xludf.DUMMYFUNCTION("iferror(UNIQUE(FILTER('Alocação'!$C$3:$C$1002,'Alocação'!$S$3:$S$1002&lt;&gt;0,'Alocação'!$F$3:$F$1002=$AB$9)),"""")"),"AZUL4")</f>
        <v>AZUL4</v>
      </c>
      <c r="AC11" s="242" t="str">
        <f>IF(ISTEXT(AB11),VLOOKUP(AB11,'Cadastro dos Ativos'!$A$2:$C$1000,3,0),"")</f>
        <v>Ações Listadas na B3</v>
      </c>
      <c r="AD11" s="242">
        <f>IF(AB11 &lt;&gt; "",SUMIFS('Alocação'!$O$3:$O$1002,'Alocação'!$C$3:$C$1002,AB11,'Alocação'!$F$3:$F$1002,AB$9,'Alocação'!$B$3:$B$1002,"&lt;="&amp;$B$6), "")</f>
        <v>-1</v>
      </c>
      <c r="AE11" s="243">
        <f>iferror(IF(AC11="Ações Americanas", HLOOKUP(AB11,'Histórico'!$A$1:$DD$990,MATCH($B$6,'Histórico'!$A:$A),FALSE)*HLOOKUP("PTAX",'Histórico'!$A$1:$FG$983,MATCH($B$6,'Histórico'!$A:$A),FALSE),IF(AC11="Ações Europeias", HLOOKUP(AB11,'Histórico'!$A$1:$DD$990,MATCH($B$6,'Histórico'!$A:$A),FALSE)*HLOOKUP("EUR/BRL",'Histórico'!$A$1:$FG$983,MATCH($B$6,'Histórico'!$A:$A),FALSE),  HLOOKUP(AB11,'Histórico'!$A$1:$DD$990,MATCH($B$6,'Histórico'!$A:$A),FALSE))),"")</f>
        <v>14.48999977</v>
      </c>
      <c r="AF11" s="243">
        <f>IF(AD11&lt;&gt;"",AD11*AE11,"")</f>
        <v>-14.48999977</v>
      </c>
      <c r="AG11" s="53"/>
      <c r="AH11" s="242" t="str">
        <f>IFERROR(__xludf.DUMMYFUNCTION("iferror(UNIQUE(FILTER('Alocação'!$C$3:$C$1002,'Alocação'!$S$3:$S$1002&lt;&gt;0,'Alocação'!$F$3:$F$1002=$AH$9, 'Alocação'!$B$3:$B$1002&lt;=$B$6)),"""")"),"AZUL4")</f>
        <v>AZUL4</v>
      </c>
      <c r="AI11" s="242" t="str">
        <f>IF(ISTEXT(AH11),VLOOKUP(AH11,'Cadastro dos Ativos'!$A$2:$C$1000,3,0),"")</f>
        <v>Ações Listadas na B3</v>
      </c>
      <c r="AJ11" s="242">
        <f>IF(AH11 &lt;&gt; "",SUMIFS('Alocação'!$O$3:$O$1002,'Alocação'!$C$3:$C$1002,AH11,'Alocação'!$F$3:$F$1002,AH$9,'Alocação'!$B$3:$B$1002,"&lt;="&amp;$B$6), "")</f>
        <v>-1</v>
      </c>
      <c r="AK11" s="243">
        <f>iferror(IF(AI11="Ações Americanas", HLOOKUP(AH11,'Histórico'!$A$1:$DD$990,MATCH($B$6,'Histórico'!$A:$A),FALSE)*HLOOKUP("PTAX",'Histórico'!$A$1:$FG$983,MATCH($B$6,'Histórico'!$A:$A),FALSE),IF(AI11="Ações Europeias", HLOOKUP(AH11,'Histórico'!$A$1:$DD$990,MATCH($B$6,'Histórico'!$A:$A),FALSE)*HLOOKUP("EUR/BRL",'Histórico'!$A$1:$FG$983,MATCH($B$6,'Histórico'!$A:$A),FALSE),  HLOOKUP(AH11,'Histórico'!$A$1:$DD$990,MATCH($B$6,'Histórico'!$A:$A),FALSE))),"")</f>
        <v>14.48999977</v>
      </c>
      <c r="AL11" s="243">
        <f t="shared" ref="AL11:AL221" si="11">IF(AJ11&lt;&gt;"", AJ11*AK11, "")</f>
        <v>-14.48999977</v>
      </c>
      <c r="AM11" s="53"/>
      <c r="AN11" s="242" t="str">
        <f>IFERROR(__xludf.DUMMYFUNCTION("IFERROR(UNIQUE(FILTER('Alocação'!$C$3:$C$1002,'Alocação'!$S$3:$S$1002&lt;&gt;0,'Alocação'!$F$3:$F$1002=$AN$9, 'Alocação'!$B$3:$B$1002&lt;=$B$6)),"""")"),"AZUL4")</f>
        <v>AZUL4</v>
      </c>
      <c r="AO11" s="242" t="str">
        <f>IF(ISTEXT(AN11),VLOOKUP(AN11,'Cadastro dos Ativos'!$A$2:$C$1000,3,0),"")</f>
        <v>Ações Listadas na B3</v>
      </c>
      <c r="AP11" s="242">
        <f>IF(AN11 &lt;&gt; "",SUMIFS('Alocação'!$O$3:$O$1002,'Alocação'!$C$3:$C$1002,AN11,'Alocação'!$F$3:$F$1002,AN$9,'Alocação'!$B$3:$B$1002,"&lt;="&amp;$B$6), "")</f>
        <v>-1</v>
      </c>
      <c r="AQ11" s="243">
        <f>iferror(IF(AO11="Ações Americanas", HLOOKUP(AN11,'Histórico'!$A$1:$DD$990,MATCH($B$6,'Histórico'!$A:$A),FALSE)*HLOOKUP("PTAX",'Histórico'!$A$1:$FG$983,MATCH($B$6,'Histórico'!$A:$A),FALSE),IF(AO11="Ações Europeias", HLOOKUP(AN11,'Histórico'!$A$1:$DD$990,MATCH($B$6,'Histórico'!$A:$A),FALSE)*HLOOKUP("EUR/BRL",'Histórico'!$A$1:$FG$983,MATCH($B$6,'Histórico'!$A:$A),FALSE),  HLOOKUP(AN11,'Histórico'!$A$1:$DD$990,MATCH($B$6,'Histórico'!$A:$A),FALSE))),"")</f>
        <v>14.48999977</v>
      </c>
      <c r="AR11" s="243">
        <f t="shared" ref="AR11:AR221" si="12">IF(AP11&lt;&gt;"", AP11*AQ11, "")</f>
        <v>-14.48999977</v>
      </c>
      <c r="AS11" s="53"/>
      <c r="AT11" s="242" t="str">
        <f>IFERROR(__xludf.DUMMYFUNCTION("IFERROR(UNIQUE(FILTER('Alocação'!$C$3:$C$1002,'Alocação'!$S$3:$S$1002&lt;&gt;0,'Alocação'!$F$3:$F$1002=$AT$9, 'Alocação'!$B$3:$B$1002&lt;=$B$6)),"""")"),"AZUL4")</f>
        <v>AZUL4</v>
      </c>
      <c r="AU11" s="242" t="str">
        <f>IF(ISTEXT(AT11),VLOOKUP(AT11,'Cadastro dos Ativos'!$A$2:$C$1000,3,0),"")</f>
        <v>Ações Listadas na B3</v>
      </c>
      <c r="AV11" s="242">
        <f>IF(AT11 &lt;&gt; "",SUMIFS('Alocação'!$O$3:$O$996,'Alocação'!$C$3:$C$996,AT11,'Alocação'!$F$3:$F$996,AT$9,'Alocação'!$B$3:$B$996,"&lt;="&amp;$B$6), "")</f>
        <v>-1</v>
      </c>
      <c r="AW11" s="243">
        <f>iferror(IF(AU11="Ações Americanas", HLOOKUP(AT11,'Histórico'!$A$1:$DD$990,MATCH($B$6,'Histórico'!$A:$A),FALSE)*HLOOKUP("PTAX",'Histórico'!$A$1:$FG$983,MATCH($B$6,'Histórico'!$A:$A),FALSE),IF(AU11="Ações Europeias", HLOOKUP(AT11,'Histórico'!$A$1:$DD$990,MATCH($B$6,'Histórico'!$A:$A),FALSE)*HLOOKUP("EUR/BRL",'Histórico'!$A$1:$FG$983,MATCH($B$6,'Histórico'!$A:$A),FALSE),  HLOOKUP(AT11,'Histórico'!$A$1:$DD$990,MATCH($B$6,'Histórico'!$A:$A),FALSE))),"")</f>
        <v>14.48999977</v>
      </c>
      <c r="AX11" s="243">
        <f t="shared" ref="AX11:AX221" si="13">IF(AV11&lt;&gt;"", AV11*AW11, "")</f>
        <v>-14.48999977</v>
      </c>
      <c r="AY11" s="53"/>
    </row>
    <row r="12" ht="15.75" customHeight="1">
      <c r="A12" s="176"/>
      <c r="B12" s="288">
        <f>Controle!B12</f>
        <v>45007</v>
      </c>
      <c r="C12" s="233">
        <f>Controle!C12</f>
        <v>100089780</v>
      </c>
      <c r="D12" s="289">
        <f>Controle!D12</f>
        <v>100089792.2</v>
      </c>
      <c r="E12" s="290"/>
      <c r="F12" s="291">
        <f>Controle!F12</f>
        <v>100089780</v>
      </c>
      <c r="G12" s="289">
        <f>Controle!G12</f>
        <v>100089792.2</v>
      </c>
      <c r="H12" s="290"/>
      <c r="I12" s="291">
        <f>Controle!I12</f>
        <v>100089780</v>
      </c>
      <c r="J12" s="233">
        <f>Controle!J12</f>
        <v>100089792.2</v>
      </c>
      <c r="K12" s="292"/>
      <c r="L12" s="233">
        <f>Controle!L12</f>
        <v>100086275.9</v>
      </c>
      <c r="M12" s="233">
        <f>Controle!M12</f>
        <v>100089779.4</v>
      </c>
      <c r="N12" s="240">
        <f>Controle!N12</f>
        <v>0.0004488031218</v>
      </c>
      <c r="O12" s="240">
        <f>Controle!O12</f>
        <v>0.0004488031218</v>
      </c>
      <c r="P12" s="240">
        <f>Controle!P12</f>
        <v>0.0004488031218</v>
      </c>
      <c r="Q12" s="240">
        <f>Controle!Q12</f>
        <v>0.000431286459</v>
      </c>
      <c r="R12" s="293">
        <f>Controle!R12</f>
        <v>100.098098</v>
      </c>
      <c r="S12" s="287"/>
      <c r="T12" s="233">
        <f t="shared" ref="T12:U12" si="8">IF(AND(C12&lt;&gt;"",F12&lt;&gt;"",I12&lt;&gt;""), SUM(I12,F12,C12),"")</f>
        <v>300269339.9</v>
      </c>
      <c r="U12" s="233">
        <f t="shared" si="8"/>
        <v>300269376.7</v>
      </c>
      <c r="V12" s="233">
        <f t="shared" si="6"/>
        <v>300.2693399</v>
      </c>
      <c r="W12" s="241">
        <f t="shared" si="9"/>
        <v>0.0004488031218</v>
      </c>
      <c r="X12" s="241">
        <f t="shared" si="10"/>
        <v>0</v>
      </c>
      <c r="Y12" s="233"/>
      <c r="Z12" s="233">
        <f t="shared" si="7"/>
        <v>300.2942941</v>
      </c>
      <c r="AA12" s="294"/>
      <c r="AB12" s="242" t="str">
        <f>IFERROR(__xludf.DUMMYFUNCTION("""COMPUTED_VALUE"""),"BOVA11")</f>
        <v>BOVA11</v>
      </c>
      <c r="AC12" s="242" t="str">
        <f>IF(ISTEXT(AB12),VLOOKUP(AB12,'Cadastro dos Ativos'!$A$2:$C$1000,3,0),"")</f>
        <v>Ações Listadas na B3</v>
      </c>
      <c r="AD12" s="242">
        <f>IF(AB12 &lt;&gt; "",SUMIFS('Alocação'!$O$3:$O$1002,'Alocação'!$C$3:$C$1002,AB12,'Alocação'!$F$3:$F$1002,AB$9,'Alocação'!$B$3:$B$1002,"&lt;="&amp;$B$6), "")</f>
        <v>-85000</v>
      </c>
      <c r="AE12" s="243">
        <f>iferror(IF(AC12="Ações Americanas", HLOOKUP(AB12,'Histórico'!$A$1:$DD$990,MATCH($B$6,'Histórico'!$A:$A),FALSE)*HLOOKUP("PTAX",'Histórico'!$A$1:$FG$983,MATCH($B$6,'Histórico'!$A:$A),FALSE),IF(AC12="Ações Europeias", HLOOKUP(AB12,'Histórico'!$A$1:$DD$990,MATCH($B$6,'Histórico'!$A:$A),FALSE)*HLOOKUP("EUR/BRL",'Histórico'!$A$1:$FG$983,MATCH($B$6,'Histórico'!$A:$A),FALSE),  HLOOKUP(AB12,'Histórico'!$A$1:$DD$990,MATCH($B$6,'Histórico'!$A:$A),FALSE))),"")</f>
        <v>112.3099976</v>
      </c>
      <c r="AF12" s="243">
        <f t="shared" ref="AF12:AF221" si="15">IF(AD12&lt;&gt;"", AD12*AE12, "")</f>
        <v>-9546349.792</v>
      </c>
      <c r="AG12" s="53"/>
      <c r="AH12" s="242" t="str">
        <f>IFERROR(__xludf.DUMMYFUNCTION("""COMPUTED_VALUE"""),"DIVO11")</f>
        <v>DIVO11</v>
      </c>
      <c r="AI12" s="242" t="str">
        <f>IF(ISTEXT(AH12),VLOOKUP(AH12,'Cadastro dos Ativos'!$A$2:$C$1000,3,0),"")</f>
        <v>Ações Listadas na B3</v>
      </c>
      <c r="AJ12" s="242">
        <f>IF(AH12 &lt;&gt; "",SUMIFS('Alocação'!$O$3:$O$1002,'Alocação'!$C$3:$C$1002,AH12,'Alocação'!$F$3:$F$1002,AH$9,'Alocação'!$B$3:$B$1002,"&lt;="&amp;$B$6), "")</f>
        <v>100000</v>
      </c>
      <c r="AK12" s="243">
        <f>iferror(IF(AI12="Ações Americanas", HLOOKUP(AH12,'Histórico'!$A$1:$DD$990,MATCH($B$6,'Histórico'!$A:$A),FALSE)*HLOOKUP("PTAX",'Histórico'!$A$1:$FG$983,MATCH($B$6,'Histórico'!$A:$A),FALSE),IF(AI12="Ações Europeias", HLOOKUP(AH12,'Histórico'!$A$1:$DD$990,MATCH($B$6,'Histórico'!$A:$A),FALSE)*HLOOKUP("EUR/BRL",'Histórico'!$A$1:$FG$983,MATCH($B$6,'Histórico'!$A:$A),FALSE),  HLOOKUP(AH12,'Histórico'!$A$1:$DD$990,MATCH($B$6,'Histórico'!$A:$A),FALSE))),"")</f>
        <v>79.40000153</v>
      </c>
      <c r="AL12" s="243">
        <f t="shared" si="11"/>
        <v>7940000.153</v>
      </c>
      <c r="AM12" s="53"/>
      <c r="AN12" s="242" t="str">
        <f>IFERROR(__xludf.DUMMYFUNCTION("""COMPUTED_VALUE"""),"DRIV")</f>
        <v>DRIV</v>
      </c>
      <c r="AO12" s="242" t="str">
        <f>IF(ISTEXT(AN12),VLOOKUP(AN12,'Cadastro dos Ativos'!$A$2:$C$1000,3,0),"")</f>
        <v>Ações Americanas</v>
      </c>
      <c r="AP12" s="242">
        <f>IF(AN12 &lt;&gt; "",SUMIFS('Alocação'!$O$3:$O$1002,'Alocação'!$C$3:$C$1002,AN12,'Alocação'!$F$3:$F$1002,AN$9,'Alocação'!$B$3:$B$1002,"&lt;="&amp;$B$6), "")</f>
        <v>50000</v>
      </c>
      <c r="AQ12" s="243">
        <f>iferror(IF(AO12="Ações Americanas", HLOOKUP(AN12,'Histórico'!$A$1:$DD$990,MATCH($B$6,'Histórico'!$A:$A),FALSE)*HLOOKUP("PTAX",'Histórico'!$A$1:$FG$983,MATCH($B$6,'Histórico'!$A:$A),FALSE),IF(AO12="Ações Europeias", HLOOKUP(AN12,'Histórico'!$A$1:$DD$990,MATCH($B$6,'Histórico'!$A:$A),FALSE)*HLOOKUP("EUR/BRL",'Histórico'!$A$1:$FG$983,MATCH($B$6,'Histórico'!$A:$A),FALSE),  HLOOKUP(AN12,'Histórico'!$A$1:$DD$990,MATCH($B$6,'Histórico'!$A:$A),FALSE))),"")</f>
        <v>123.3941735</v>
      </c>
      <c r="AR12" s="243">
        <f t="shared" si="12"/>
        <v>6169708.675</v>
      </c>
      <c r="AS12" s="53"/>
      <c r="AT12" s="242" t="str">
        <f>IFERROR(__xludf.DUMMYFUNCTION("""COMPUTED_VALUE"""),"RDOR3")</f>
        <v>RDOR3</v>
      </c>
      <c r="AU12" s="242" t="str">
        <f>IF(ISTEXT(AT12),VLOOKUP(AT12,'Cadastro dos Ativos'!$A$2:$C$1000,3,0),"")</f>
        <v>Ações Listadas na B3</v>
      </c>
      <c r="AV12" s="242">
        <f>IF(AT12 &lt;&gt; "",SUMIFS('Alocação'!$O$3:$O$1002,'Alocação'!$C$3:$C$1002,AT12,'Alocação'!$F$3:$F$1002,AT$9,'Alocação'!$B$3:$B$1002,"&lt;="&amp;$B$6), "")</f>
        <v>355000</v>
      </c>
      <c r="AW12" s="243">
        <f>iferror(IF(AU12="Ações Americanas", HLOOKUP(AT12,'Histórico'!$A$1:$DD$990,MATCH($B$6,'Histórico'!$A:$A),FALSE)*HLOOKUP("PTAX",'Histórico'!$A$1:$FG$983,MATCH($B$6,'Histórico'!$A:$A),FALSE),IF(AU12="Ações Europeias", HLOOKUP(AT12,'Histórico'!$A$1:$DD$990,MATCH($B$6,'Histórico'!$A:$A),FALSE)*HLOOKUP("EUR/BRL",'Histórico'!$A$1:$FG$983,MATCH($B$6,'Histórico'!$A:$A),FALSE),  HLOOKUP(AT12,'Histórico'!$A$1:$DD$990,MATCH($B$6,'Histórico'!$A:$A),FALSE))),"")</f>
        <v>28.65999985</v>
      </c>
      <c r="AX12" s="243">
        <f t="shared" si="13"/>
        <v>10174299.95</v>
      </c>
      <c r="AY12" s="53"/>
    </row>
    <row r="13" ht="15.75" customHeight="1">
      <c r="A13" s="176"/>
      <c r="B13" s="288">
        <f>Controle!B13</f>
        <v>45008</v>
      </c>
      <c r="C13" s="233">
        <f>Controle!C13</f>
        <v>100134701</v>
      </c>
      <c r="D13" s="289">
        <f>Controle!D13</f>
        <v>100134712.2</v>
      </c>
      <c r="E13" s="290"/>
      <c r="F13" s="291">
        <f>Controle!F13</f>
        <v>100134701</v>
      </c>
      <c r="G13" s="289">
        <f>Controle!G13</f>
        <v>100134712.2</v>
      </c>
      <c r="H13" s="290"/>
      <c r="I13" s="291">
        <f>Controle!I13</f>
        <v>100134701</v>
      </c>
      <c r="J13" s="233">
        <f>Controle!J13</f>
        <v>100134712.2</v>
      </c>
      <c r="K13" s="292"/>
      <c r="L13" s="233">
        <f>Controle!L13</f>
        <v>100129441.7</v>
      </c>
      <c r="M13" s="233">
        <f>Controle!M13</f>
        <v>100134699.4</v>
      </c>
      <c r="N13" s="240">
        <f>Controle!N13</f>
        <v>0.0004488074116</v>
      </c>
      <c r="O13" s="240">
        <f>Controle!O13</f>
        <v>0.0004488074116</v>
      </c>
      <c r="P13" s="240">
        <f>Controle!P13</f>
        <v>0.0004488074116</v>
      </c>
      <c r="Q13" s="240">
        <f>Controle!Q13</f>
        <v>0.000431286459</v>
      </c>
      <c r="R13" s="293">
        <f>Controle!R13</f>
        <v>100.1471832</v>
      </c>
      <c r="S13" s="287"/>
      <c r="T13" s="233">
        <f t="shared" ref="T13:U13" si="14">IF(AND(C13&lt;&gt;"",F13&lt;&gt;"",I13&lt;&gt;""), SUM(I13,F13,C13),"")</f>
        <v>300404103</v>
      </c>
      <c r="U13" s="233">
        <f t="shared" si="14"/>
        <v>300404136.6</v>
      </c>
      <c r="V13" s="233">
        <f t="shared" si="6"/>
        <v>300.404103</v>
      </c>
      <c r="W13" s="241">
        <f t="shared" si="9"/>
        <v>0.0004488074116</v>
      </c>
      <c r="X13" s="241">
        <f t="shared" si="10"/>
        <v>0</v>
      </c>
      <c r="Y13" s="233"/>
      <c r="Z13" s="233">
        <f t="shared" si="7"/>
        <v>300.4415495</v>
      </c>
      <c r="AA13" s="294"/>
      <c r="AB13" s="242" t="str">
        <f>IFERROR(__xludf.DUMMYFUNCTION("""COMPUTED_VALUE"""),"DOL-U23")</f>
        <v>DOL-U23</v>
      </c>
      <c r="AC13" s="242" t="str">
        <f>IF(ISTEXT(AB13),VLOOKUP(AB13,'Cadastro dos Ativos'!$A$2:$C$1000,3,0),"")</f>
        <v>Futuros</v>
      </c>
      <c r="AD13" s="242">
        <f>IF(AB13 &lt;&gt; "",SUMIFS('Alocação'!$O$3:$O$1002,'Alocação'!$C$3:$C$1002,AB13,'Alocação'!$F$3:$F$1002,AB$9,'Alocação'!$B$3:$B$1002,"&lt;="&amp;$B$6), "")</f>
        <v>225</v>
      </c>
      <c r="AE13" s="243">
        <f>iferror(IF(AC13="Ações Americanas", HLOOKUP(AB13,'Histórico'!$A$1:$DD$990,MATCH($B$6,'Histórico'!$A:$A),FALSE)*HLOOKUP("PTAX",'Histórico'!$A$1:$FG$983,MATCH($B$6,'Histórico'!$A:$A),FALSE),IF(AC13="Ações Europeias", HLOOKUP(AB13,'Histórico'!$A$1:$DD$990,MATCH($B$6,'Histórico'!$A:$A),FALSE)*HLOOKUP("EUR/BRL",'Histórico'!$A$1:$FG$983,MATCH($B$6,'Histórico'!$A:$A),FALSE),  HLOOKUP(AB13,'Histórico'!$A$1:$DD$990,MATCH($B$6,'Histórico'!$A:$A),FALSE))),"")</f>
        <v>2760.75</v>
      </c>
      <c r="AF13" s="243">
        <f t="shared" si="15"/>
        <v>621168.75</v>
      </c>
      <c r="AG13" s="53"/>
      <c r="AH13" s="242" t="str">
        <f>IFERROR(__xludf.DUMMYFUNCTION("""COMPUTED_VALUE"""),"CNH-V23")</f>
        <v>CNH-V23</v>
      </c>
      <c r="AI13" s="242" t="str">
        <f>IF(ISTEXT(AH13),VLOOKUP(AH13,'Cadastro dos Ativos'!$A$2:$C$1000,3,0),"")</f>
        <v>Futuros</v>
      </c>
      <c r="AJ13" s="242">
        <f>IF(AH13 &lt;&gt; "",SUMIFS('Alocação'!$O$3:$O$1002,'Alocação'!$C$3:$C$1002,AH13,'Alocação'!$F$3:$F$1002,AH$9,'Alocação'!$B$3:$B$1002,"&lt;="&amp;$B$6), "")</f>
        <v>600</v>
      </c>
      <c r="AK13" s="243">
        <f>iferror(IF(AI13="Ações Americanas", HLOOKUP(AH13,'Histórico'!$A$1:$DD$990,MATCH($B$6,'Histórico'!$A:$A),FALSE)*HLOOKUP("PTAX",'Histórico'!$A$1:$FG$983,MATCH($B$6,'Histórico'!$A:$A),FALSE),IF(AI13="Ações Europeias", HLOOKUP(AH13,'Histórico'!$A$1:$DD$990,MATCH($B$6,'Histórico'!$A:$A),FALSE)*HLOOKUP("EUR/BRL",'Histórico'!$A$1:$FG$983,MATCH($B$6,'Histórico'!$A:$A),FALSE),  HLOOKUP(AH13,'Histórico'!$A$1:$DD$990,MATCH($B$6,'Histórico'!$A:$A),FALSE))),"")</f>
        <v>-155.11</v>
      </c>
      <c r="AL13" s="243">
        <f t="shared" si="11"/>
        <v>-93066</v>
      </c>
      <c r="AM13" s="53"/>
      <c r="AN13" s="242" t="str">
        <f>IFERROR(__xludf.DUMMYFUNCTION("""COMPUTED_VALUE"""),"XLP")</f>
        <v>XLP</v>
      </c>
      <c r="AO13" s="242" t="str">
        <f>IF(ISTEXT(AN13),VLOOKUP(AN13,'Cadastro dos Ativos'!$A$2:$C$1000,3,0),"")</f>
        <v>Ações Americanas</v>
      </c>
      <c r="AP13" s="242">
        <f>IF(AN13 &lt;&gt; "",SUMIFS('Alocação'!$O$3:$O$1002,'Alocação'!$C$3:$C$1002,AN13,'Alocação'!$F$3:$F$1002,AN$9,'Alocação'!$B$3:$B$1002,"&lt;="&amp;$B$6), "")</f>
        <v>30000</v>
      </c>
      <c r="AQ13" s="243">
        <f>iferror(IF(AO13="Ações Americanas", HLOOKUP(AN13,'Histórico'!$A$1:$DD$990,MATCH($B$6,'Histórico'!$A:$A),FALSE)*HLOOKUP("PTAX",'Histórico'!$A$1:$FG$983,MATCH($B$6,'Histórico'!$A:$A),FALSE),IF(AO13="Ações Europeias", HLOOKUP(AN13,'Histórico'!$A$1:$DD$990,MATCH($B$6,'Histórico'!$A:$A),FALSE)*HLOOKUP("EUR/BRL",'Histórico'!$A$1:$FG$983,MATCH($B$6,'Histórico'!$A:$A),FALSE),  HLOOKUP(AN13,'Histórico'!$A$1:$DD$990,MATCH($B$6,'Histórico'!$A:$A),FALSE))),"")</f>
        <v>360.4239415</v>
      </c>
      <c r="AR13" s="243">
        <f t="shared" si="12"/>
        <v>10812718.24</v>
      </c>
      <c r="AS13" s="53"/>
      <c r="AT13" s="242" t="str">
        <f>IFERROR(__xludf.DUMMYFUNCTION("""COMPUTED_VALUE"""),"VIVA3")</f>
        <v>VIVA3</v>
      </c>
      <c r="AU13" s="242" t="str">
        <f>IF(ISTEXT(AT13),VLOOKUP(AT13,'Cadastro dos Ativos'!$A$2:$C$1000,3,0),"")</f>
        <v>Ações Listadas na B3</v>
      </c>
      <c r="AV13" s="242">
        <f>IF(AT13 &lt;&gt; "",SUMIFS('Alocação'!$O$3:$O$1002,'Alocação'!$C$3:$C$1002,AT13,'Alocação'!$F$3:$F$1002,AT$9,'Alocação'!$B$3:$B$1002,"&lt;="&amp;$B$6), "")</f>
        <v>410000</v>
      </c>
      <c r="AW13" s="243">
        <f>iferror(IF(AU13="Ações Americanas", HLOOKUP(AT13,'Histórico'!$A$1:$DD$990,MATCH($B$6,'Histórico'!$A:$A),FALSE)*HLOOKUP("PTAX",'Histórico'!$A$1:$FG$983,MATCH($B$6,'Histórico'!$A:$A),FALSE),IF(AU13="Ações Europeias", HLOOKUP(AT13,'Histórico'!$A$1:$DD$990,MATCH($B$6,'Histórico'!$A:$A),FALSE)*HLOOKUP("EUR/BRL",'Histórico'!$A$1:$FG$983,MATCH($B$6,'Histórico'!$A:$A),FALSE),  HLOOKUP(AT13,'Histórico'!$A$1:$DD$990,MATCH($B$6,'Histórico'!$A:$A),FALSE))),"")</f>
        <v>27.18000031</v>
      </c>
      <c r="AX13" s="243">
        <f t="shared" si="13"/>
        <v>11143800.13</v>
      </c>
      <c r="AY13" s="53"/>
    </row>
    <row r="14" ht="15.75" customHeight="1">
      <c r="A14" s="176"/>
      <c r="B14" s="288">
        <f>Controle!B14</f>
        <v>45009</v>
      </c>
      <c r="C14" s="233">
        <f>Controle!C14</f>
        <v>100179652.3</v>
      </c>
      <c r="D14" s="289">
        <f>Controle!D14</f>
        <v>100179652.3</v>
      </c>
      <c r="E14" s="290"/>
      <c r="F14" s="291">
        <f>Controle!F14</f>
        <v>100179652.3</v>
      </c>
      <c r="G14" s="289">
        <f>Controle!G14</f>
        <v>100179652.3</v>
      </c>
      <c r="H14" s="290"/>
      <c r="I14" s="291">
        <f>Controle!I14</f>
        <v>100179652.3</v>
      </c>
      <c r="J14" s="233">
        <f>Controle!J14</f>
        <v>100179652.3</v>
      </c>
      <c r="K14" s="292"/>
      <c r="L14" s="233">
        <f>Controle!L14</f>
        <v>100172626.2</v>
      </c>
      <c r="M14" s="233">
        <f>Controle!M14</f>
        <v>100179639.5</v>
      </c>
      <c r="N14" s="240">
        <f>Controle!N14</f>
        <v>0.0004489082653</v>
      </c>
      <c r="O14" s="240">
        <f>Controle!O14</f>
        <v>0.0004489082653</v>
      </c>
      <c r="P14" s="240">
        <f>Controle!P14</f>
        <v>0.0004489082653</v>
      </c>
      <c r="Q14" s="240">
        <f>Controle!Q14</f>
        <v>0.000431286459</v>
      </c>
      <c r="R14" s="293">
        <f>Controle!R14</f>
        <v>100.1962923</v>
      </c>
      <c r="S14" s="287"/>
      <c r="T14" s="233">
        <f t="shared" ref="T14:U14" si="16">IF(AND(C14&lt;&gt;"",F14&lt;&gt;"",I14&lt;&gt;""), SUM(I14,F14,C14),"")</f>
        <v>300538956.9</v>
      </c>
      <c r="U14" s="233">
        <f t="shared" si="16"/>
        <v>300538956.9</v>
      </c>
      <c r="V14" s="233">
        <f t="shared" si="6"/>
        <v>300.5389569</v>
      </c>
      <c r="W14" s="241">
        <f t="shared" si="9"/>
        <v>0.0004489082653</v>
      </c>
      <c r="X14" s="241">
        <f t="shared" si="10"/>
        <v>0</v>
      </c>
      <c r="Y14" s="233"/>
      <c r="Z14" s="233">
        <f t="shared" si="7"/>
        <v>300.588877</v>
      </c>
      <c r="AA14" s="294"/>
      <c r="AB14" s="242"/>
      <c r="AC14" s="242" t="str">
        <f>IF(ISTEXT(AB14),VLOOKUP(AB14,'Cadastro dos Ativos'!$A$2:$C$1000,3,0),"")</f>
        <v/>
      </c>
      <c r="AD14" s="242" t="str">
        <f>IF(AB14 &lt;&gt; "",SUMIFS('Alocação'!$O$3:$O$1002,'Alocação'!$C$3:$C$1002,AB14,'Alocação'!$F$3:$F$1002,AB$9,'Alocação'!$B$3:$B$1002,"&lt;="&amp;$B$6), "")</f>
        <v/>
      </c>
      <c r="AE14" s="243" t="str">
        <f>iferror(IF(AC14="Ações Americanas", HLOOKUP(AB14,'Histórico'!$A$1:$DD$990,MATCH($B$6,'Histórico'!$A:$A),FALSE)*HLOOKUP("PTAX",'Histórico'!$A$1:$FG$983,MATCH($B$6,'Histórico'!$A:$A),FALSE),IF(AC14="Ações Europeias", HLOOKUP(AB14,'Histórico'!$A$1:$DD$990,MATCH($B$6,'Histórico'!$A:$A),FALSE)*HLOOKUP("EUR/BRL",'Histórico'!$A$1:$FG$983,MATCH($B$6,'Histórico'!$A:$A),FALSE),  HLOOKUP(AB14,'Histórico'!$A$1:$DD$990,MATCH($B$6,'Histórico'!$A:$A),FALSE))),"")</f>
        <v/>
      </c>
      <c r="AF14" s="243" t="str">
        <f t="shared" si="15"/>
        <v/>
      </c>
      <c r="AG14" s="53"/>
      <c r="AH14" s="242" t="str">
        <f>IFERROR(__xludf.DUMMYFUNCTION("""COMPUTED_VALUE"""),"DI1-J24")</f>
        <v>DI1-J24</v>
      </c>
      <c r="AI14" s="242" t="str">
        <f>IF(ISTEXT(AH14),VLOOKUP(AH14,'Cadastro dos Ativos'!$A$2:$C$1000,3,0),"")</f>
        <v>Futuros</v>
      </c>
      <c r="AJ14" s="242">
        <f>IF(AH14 &lt;&gt; "",SUMIFS('Alocação'!$O$3:$O$1002,'Alocação'!$C$3:$C$1002,AH14,'Alocação'!$F$3:$F$1002,AH$9,'Alocação'!$B$3:$B$1002,"&lt;="&amp;$B$6), "")</f>
        <v>300</v>
      </c>
      <c r="AK14" s="243">
        <f>iferror(IF(AI14="Ações Americanas", HLOOKUP(AH14,'Histórico'!$A$1:$DD$990,MATCH($B$6,'Histórico'!$A:$A),FALSE)*HLOOKUP("PTAX",'Histórico'!$A$1:$FG$983,MATCH($B$6,'Histórico'!$A:$A),FALSE),IF(AI14="Ações Europeias", HLOOKUP(AH14,'Histórico'!$A$1:$DD$990,MATCH($B$6,'Histórico'!$A:$A),FALSE)*HLOOKUP("EUR/BRL",'Histórico'!$A$1:$FG$983,MATCH($B$6,'Histórico'!$A:$A),FALSE),  HLOOKUP(AH14,'Histórico'!$A$1:$DD$990,MATCH($B$6,'Histórico'!$A:$A),FALSE))),"")</f>
        <v>-17.27</v>
      </c>
      <c r="AL14" s="243">
        <f t="shared" si="11"/>
        <v>-5181</v>
      </c>
      <c r="AM14" s="53"/>
      <c r="AN14" s="242" t="str">
        <f>IFERROR(__xludf.DUMMYFUNCTION("""COMPUTED_VALUE"""),"NKE")</f>
        <v>NKE</v>
      </c>
      <c r="AO14" s="242" t="str">
        <f>IF(ISTEXT(AN14),VLOOKUP(AN14,'Cadastro dos Ativos'!$A$2:$C$1000,3,0),"")</f>
        <v>Ações Americanas</v>
      </c>
      <c r="AP14" s="242">
        <f>IF(AN14 &lt;&gt; "",SUMIFS('Alocação'!$O$3:$O$1002,'Alocação'!$C$3:$C$1002,AN14,'Alocação'!$F$3:$F$1002,AN$9,'Alocação'!$B$3:$B$1002,"&lt;="&amp;$B$6), "")</f>
        <v>11000</v>
      </c>
      <c r="AQ14" s="243">
        <f>iferror(IF(AO14="Ações Americanas", HLOOKUP(AN14,'Histórico'!$A$1:$DD$990,MATCH($B$6,'Histórico'!$A:$A),FALSE)*HLOOKUP("PTAX",'Histórico'!$A$1:$FG$983,MATCH($B$6,'Histórico'!$A:$A),FALSE),IF(AO14="Ações Europeias", HLOOKUP(AN14,'Histórico'!$A$1:$DD$990,MATCH($B$6,'Histórico'!$A:$A),FALSE)*HLOOKUP("EUR/BRL",'Histórico'!$A$1:$FG$983,MATCH($B$6,'Histórico'!$A:$A),FALSE),  HLOOKUP(AN14,'Histórico'!$A$1:$DD$990,MATCH($B$6,'Histórico'!$A:$A),FALSE))),"")</f>
        <v>503.8306443</v>
      </c>
      <c r="AR14" s="243">
        <f t="shared" si="12"/>
        <v>5542137.088</v>
      </c>
      <c r="AS14" s="53"/>
      <c r="AT14" s="242" t="str">
        <f>IFERROR(__xludf.DUMMYFUNCTION("""COMPUTED_VALUE"""),"PETZ3")</f>
        <v>PETZ3</v>
      </c>
      <c r="AU14" s="242" t="str">
        <f>IF(ISTEXT(AT14),VLOOKUP(AT14,'Cadastro dos Ativos'!$A$2:$C$1000,3,0),"")</f>
        <v>Ações Listadas na B3</v>
      </c>
      <c r="AV14" s="242">
        <f>IF(AT14 &lt;&gt; "",SUMIFS('Alocação'!$O$3:$O$1002,'Alocação'!$C$3:$C$1002,AT14,'Alocação'!$F$3:$F$1002,AT$9,'Alocação'!$B$3:$B$1002,"&lt;="&amp;$B$6), "")</f>
        <v>1360000</v>
      </c>
      <c r="AW14" s="243">
        <f>iferror(IF(AU14="Ações Americanas", HLOOKUP(AT14,'Histórico'!$A$1:$DD$990,MATCH($B$6,'Histórico'!$A:$A),FALSE)*HLOOKUP("PTAX",'Histórico'!$A$1:$FG$983,MATCH($B$6,'Histórico'!$A:$A),FALSE),IF(AU14="Ações Europeias", HLOOKUP(AT14,'Histórico'!$A$1:$DD$990,MATCH($B$6,'Histórico'!$A:$A),FALSE)*HLOOKUP("EUR/BRL",'Histórico'!$A$1:$FG$983,MATCH($B$6,'Histórico'!$A:$A),FALSE),  HLOOKUP(AT14,'Histórico'!$A$1:$DD$990,MATCH($B$6,'Histórico'!$A:$A),FALSE))),"")</f>
        <v>5.480000019</v>
      </c>
      <c r="AX14" s="243">
        <f t="shared" si="13"/>
        <v>7452800.026</v>
      </c>
      <c r="AY14" s="53"/>
    </row>
    <row r="15" ht="15.75" customHeight="1">
      <c r="A15" s="176"/>
      <c r="B15" s="288">
        <f>Controle!B15</f>
        <v>45012</v>
      </c>
      <c r="C15" s="233">
        <f>Controle!C15</f>
        <v>100224612.6</v>
      </c>
      <c r="D15" s="289">
        <f>Controle!D15</f>
        <v>100224612.6</v>
      </c>
      <c r="E15" s="290"/>
      <c r="F15" s="291">
        <f>Controle!F15</f>
        <v>100224612.6</v>
      </c>
      <c r="G15" s="289">
        <f>Controle!G15</f>
        <v>100224612.6</v>
      </c>
      <c r="H15" s="290"/>
      <c r="I15" s="291">
        <f>Controle!I15</f>
        <v>100224612.6</v>
      </c>
      <c r="J15" s="233">
        <f>Controle!J15</f>
        <v>100224612.6</v>
      </c>
      <c r="K15" s="292"/>
      <c r="L15" s="233">
        <f>Controle!L15</f>
        <v>100215829.3</v>
      </c>
      <c r="M15" s="233">
        <f>Controle!M15</f>
        <v>100224599.7</v>
      </c>
      <c r="N15" s="240">
        <f>Controle!N15</f>
        <v>0.000448796459</v>
      </c>
      <c r="O15" s="240">
        <f>Controle!O15</f>
        <v>0.000448796459</v>
      </c>
      <c r="P15" s="240">
        <f>Controle!P15</f>
        <v>0.000448796459</v>
      </c>
      <c r="Q15" s="240">
        <f>Controle!Q15</f>
        <v>0.000431286459</v>
      </c>
      <c r="R15" s="293">
        <f>Controle!R15</f>
        <v>100.2454256</v>
      </c>
      <c r="S15" s="287"/>
      <c r="T15" s="233">
        <f t="shared" ref="T15:U15" si="17">IF(AND(C15&lt;&gt;"",F15&lt;&gt;"",I15&lt;&gt;""), SUM(I15,F15,C15),"")</f>
        <v>300673837.7</v>
      </c>
      <c r="U15" s="233">
        <f t="shared" si="17"/>
        <v>300673837.7</v>
      </c>
      <c r="V15" s="233">
        <f t="shared" si="6"/>
        <v>300.6738377</v>
      </c>
      <c r="W15" s="241">
        <f t="shared" si="9"/>
        <v>0.000448796459</v>
      </c>
      <c r="X15" s="241">
        <f t="shared" si="10"/>
        <v>0</v>
      </c>
      <c r="Y15" s="241">
        <f t="shared" ref="Y15:Y242" si="19">IF(W15&lt;&gt;"", STDEV(W11:W15),"")</f>
        <v>0.00000004844853248</v>
      </c>
      <c r="Z15" s="233">
        <f t="shared" si="7"/>
        <v>300.7362767</v>
      </c>
      <c r="AA15" s="294"/>
      <c r="AB15" s="242"/>
      <c r="AC15" s="242" t="str">
        <f>IF(ISTEXT(AB15),VLOOKUP(AB15,'Cadastro dos Ativos'!$A$2:$C$1000,3,0),"")</f>
        <v/>
      </c>
      <c r="AD15" s="242" t="str">
        <f>IF(AB15 &lt;&gt; "",SUMIFS('Alocação'!$O$3:$O$1002,'Alocação'!$C$3:$C$1002,AB15,'Alocação'!$F$3:$F$1002,AB$9,'Alocação'!$B$3:$B$1002,"&lt;="&amp;$B$6), "")</f>
        <v/>
      </c>
      <c r="AE15" s="243" t="str">
        <f>iferror(IF(AC15="Ações Americanas", HLOOKUP(AB15,'Histórico'!$A$1:$DD$990,MATCH($B$6,'Histórico'!$A:$A),FALSE)*HLOOKUP("PTAX",'Histórico'!$A$1:$FG$983,MATCH($B$6,'Histórico'!$A:$A),FALSE),IF(AC15="Ações Europeias", HLOOKUP(AB15,'Histórico'!$A$1:$DD$990,MATCH($B$6,'Histórico'!$A:$A),FALSE)*HLOOKUP("EUR/BRL",'Histórico'!$A$1:$FG$983,MATCH($B$6,'Histórico'!$A:$A),FALSE),  HLOOKUP(AB15,'Histórico'!$A$1:$DD$990,MATCH($B$6,'Histórico'!$A:$A),FALSE))),"")</f>
        <v/>
      </c>
      <c r="AF15" s="243" t="str">
        <f t="shared" si="15"/>
        <v/>
      </c>
      <c r="AG15" s="53"/>
      <c r="AH15" s="242" t="str">
        <f>IFERROR(__xludf.DUMMYFUNCTION("""COMPUTED_VALUE"""),"DI1-F24")</f>
        <v>DI1-F24</v>
      </c>
      <c r="AI15" s="242" t="str">
        <f>IF(ISTEXT(AH15),VLOOKUP(AH15,'Cadastro dos Ativos'!$A$2:$C$1000,3,0),"")</f>
        <v>Futuros</v>
      </c>
      <c r="AJ15" s="242">
        <f>IF(AH15 &lt;&gt; "",SUMIFS('Alocação'!$O$3:$O$1002,'Alocação'!$C$3:$C$1002,AH15,'Alocação'!$F$3:$F$1002,AH$9,'Alocação'!$B$3:$B$1002,"&lt;="&amp;$B$6), "")</f>
        <v>-280</v>
      </c>
      <c r="AK15" s="243">
        <f>iferror(IF(AI15="Ações Americanas", HLOOKUP(AH15,'Histórico'!$A$1:$DD$990,MATCH($B$6,'Histórico'!$A:$A),FALSE)*HLOOKUP("PTAX",'Histórico'!$A$1:$FG$983,MATCH($B$6,'Histórico'!$A:$A),FALSE),IF(AI15="Ações Europeias", HLOOKUP(AH15,'Histórico'!$A$1:$DD$990,MATCH($B$6,'Histórico'!$A:$A),FALSE)*HLOOKUP("EUR/BRL",'Histórico'!$A$1:$FG$983,MATCH($B$6,'Histórico'!$A:$A),FALSE),  HLOOKUP(AH15,'Histórico'!$A$1:$DD$990,MATCH($B$6,'Histórico'!$A:$A),FALSE))),"")</f>
        <v>-6.8</v>
      </c>
      <c r="AL15" s="243">
        <f t="shared" si="11"/>
        <v>1904</v>
      </c>
      <c r="AM15" s="53"/>
      <c r="AN15" s="242" t="str">
        <f>IFERROR(__xludf.DUMMYFUNCTION("""COMPUTED_VALUE"""),"SJC-F24")</f>
        <v>SJC-F24</v>
      </c>
      <c r="AO15" s="242" t="str">
        <f>IF(ISTEXT(AN15),VLOOKUP(AN15,'Cadastro dos Ativos'!$A$2:$C$1000,3,0),"")</f>
        <v>Futuros</v>
      </c>
      <c r="AP15" s="242">
        <f>IF(AN15 &lt;&gt; "",SUMIFS('Alocação'!$O$3:$O$1002,'Alocação'!$C$3:$C$1002,AN15,'Alocação'!$F$3:$F$1002,AN$9,'Alocação'!$B$3:$B$1002,"&lt;="&amp;$B$6), "")</f>
        <v>120</v>
      </c>
      <c r="AQ15" s="243">
        <f>iferror(IF(AO15="Ações Americanas", HLOOKUP(AN15,'Histórico'!$A$1:$DD$990,MATCH($B$6,'Histórico'!$A:$A),FALSE)*HLOOKUP("PTAX",'Histórico'!$A$1:$FG$983,MATCH($B$6,'Histórico'!$A:$A),FALSE),IF(AO15="Ações Europeias", HLOOKUP(AN15,'Histórico'!$A$1:$DD$990,MATCH($B$6,'Histórico'!$A:$A),FALSE)*HLOOKUP("EUR/BRL",'Histórico'!$A$1:$FG$983,MATCH($B$6,'Histórico'!$A:$A),FALSE),  HLOOKUP(AN15,'Histórico'!$A$1:$DD$990,MATCH($B$6,'Histórico'!$A:$A),FALSE))),"")</f>
        <v>-871.09</v>
      </c>
      <c r="AR15" s="243">
        <f t="shared" si="12"/>
        <v>-104530.8</v>
      </c>
      <c r="AS15" s="53"/>
      <c r="AT15" s="242"/>
      <c r="AU15" s="242" t="str">
        <f>IF(ISTEXT(AT15),VLOOKUP(AT15,'Cadastro dos Ativos'!$A$2:$C$1000,3,0),"")</f>
        <v/>
      </c>
      <c r="AV15" s="242" t="str">
        <f>IF(AT15 &lt;&gt; "",SUMIFS('Alocação'!$O$3:$O$1002,'Alocação'!$C$3:$C$1002,AT15,'Alocação'!$F$3:$F$1002,AT$9,'Alocação'!$B$3:$B$1002,"&lt;="&amp;$B$6), "")</f>
        <v/>
      </c>
      <c r="AW15" s="243" t="str">
        <f>iferror(IF(AU15="Ações Americanas", HLOOKUP(AT15,'Histórico'!$A$1:$DD$990,MATCH($B$6,'Histórico'!$A:$A),FALSE)*HLOOKUP("PTAX",'Histórico'!$A$1:$FG$983,MATCH($B$6,'Histórico'!$A:$A),FALSE),IF(AU15="Ações Europeias", HLOOKUP(AT15,'Histórico'!$A$1:$DD$990,MATCH($B$6,'Histórico'!$A:$A),FALSE)*HLOOKUP("EUR/BRL",'Histórico'!$A$1:$FG$983,MATCH($B$6,'Histórico'!$A:$A),FALSE),  HLOOKUP(AT15,'Histórico'!$A$1:$DD$990,MATCH($B$6,'Histórico'!$A:$A),FALSE))),"")</f>
        <v/>
      </c>
      <c r="AX15" s="243" t="str">
        <f t="shared" si="13"/>
        <v/>
      </c>
      <c r="AY15" s="53"/>
    </row>
    <row r="16" ht="15.75" customHeight="1">
      <c r="A16" s="176"/>
      <c r="B16" s="288">
        <f>Controle!B16</f>
        <v>45013</v>
      </c>
      <c r="C16" s="233">
        <f>Controle!C16</f>
        <v>100269593</v>
      </c>
      <c r="D16" s="289">
        <f>Controle!D16</f>
        <v>100269593</v>
      </c>
      <c r="E16" s="290"/>
      <c r="F16" s="291">
        <f>Controle!F16</f>
        <v>100269593</v>
      </c>
      <c r="G16" s="289">
        <f>Controle!G16</f>
        <v>100269593</v>
      </c>
      <c r="H16" s="290"/>
      <c r="I16" s="291">
        <f>Controle!I16</f>
        <v>100269593</v>
      </c>
      <c r="J16" s="233">
        <f>Controle!J16</f>
        <v>100269593</v>
      </c>
      <c r="K16" s="292"/>
      <c r="L16" s="233">
        <f>Controle!L16</f>
        <v>100259051</v>
      </c>
      <c r="M16" s="233">
        <f>Controle!M16</f>
        <v>100269580.2</v>
      </c>
      <c r="N16" s="240">
        <f>Controle!N16</f>
        <v>0.000448796459</v>
      </c>
      <c r="O16" s="240">
        <f>Controle!O16</f>
        <v>0.000448796459</v>
      </c>
      <c r="P16" s="240">
        <f>Controle!P16</f>
        <v>0.000448796459</v>
      </c>
      <c r="Q16" s="240">
        <f>Controle!Q16</f>
        <v>0.000431286459</v>
      </c>
      <c r="R16" s="293">
        <f>Controle!R16</f>
        <v>100.2945829</v>
      </c>
      <c r="S16" s="287"/>
      <c r="T16" s="233">
        <f t="shared" ref="T16:U16" si="18">IF(AND(C16&lt;&gt;"",F16&lt;&gt;"",I16&lt;&gt;""), SUM(I16,F16,C16),"")</f>
        <v>300808779</v>
      </c>
      <c r="U16" s="233">
        <f t="shared" si="18"/>
        <v>300808779</v>
      </c>
      <c r="V16" s="233">
        <f t="shared" si="6"/>
        <v>300.808779</v>
      </c>
      <c r="W16" s="241">
        <f t="shared" si="9"/>
        <v>0.000448796459</v>
      </c>
      <c r="X16" s="241">
        <f t="shared" si="10"/>
        <v>0</v>
      </c>
      <c r="Y16" s="241">
        <f t="shared" si="19"/>
        <v>0.00000004825711712</v>
      </c>
      <c r="Z16" s="233">
        <f t="shared" si="7"/>
        <v>300.8837488</v>
      </c>
      <c r="AA16" s="294"/>
      <c r="AB16" s="242"/>
      <c r="AC16" s="242" t="str">
        <f>IF(ISTEXT(AB16),VLOOKUP(AB16,'Cadastro dos Ativos'!$A$2:$C$1000,3,0),"")</f>
        <v/>
      </c>
      <c r="AD16" s="242" t="str">
        <f>IF(AB16 &lt;&gt; "",SUMIFS('Alocação'!$O$3:$O$1002,'Alocação'!$C$3:$C$1002,AB16,'Alocação'!$F$3:$F$1002,AB$9,'Alocação'!$B$3:$B$1002,"&lt;="&amp;$B$6), "")</f>
        <v/>
      </c>
      <c r="AE16" s="243" t="str">
        <f>iferror(IF(AC16="Ações Americanas", HLOOKUP(AB16,'Histórico'!$A$1:$DD$990,MATCH($B$6,'Histórico'!$A:$A),FALSE)*HLOOKUP("PTAX",'Histórico'!$A$1:$FG$983,MATCH($B$6,'Histórico'!$A:$A),FALSE),IF(AC16="Ações Europeias", HLOOKUP(AB16,'Histórico'!$A$1:$DD$990,MATCH($B$6,'Histórico'!$A:$A),FALSE)*HLOOKUP("EUR/BRL",'Histórico'!$A$1:$FG$983,MATCH($B$6,'Histórico'!$A:$A),FALSE),  HLOOKUP(AB16,'Histórico'!$A$1:$DD$990,MATCH($B$6,'Histórico'!$A:$A),FALSE))),"")</f>
        <v/>
      </c>
      <c r="AF16" s="243" t="str">
        <f t="shared" si="15"/>
        <v/>
      </c>
      <c r="AG16" s="53"/>
      <c r="AH16" s="242" t="str">
        <f>IFERROR(__xludf.DUMMYFUNCTION("""COMPUTED_VALUE"""),"T10-Z23")</f>
        <v>T10-Z23</v>
      </c>
      <c r="AI16" s="242" t="str">
        <f>IF(ISTEXT(AH16),VLOOKUP(AH16,'Cadastro dos Ativos'!$A$2:$C$1000,3,0),"")</f>
        <v>Futuros</v>
      </c>
      <c r="AJ16" s="242">
        <f>IF(AH16 &lt;&gt; "",SUMIFS('Alocação'!$O$3:$O$1002,'Alocação'!$C$3:$C$1002,AH16,'Alocação'!$F$3:$F$1002,AH$9,'Alocação'!$B$3:$B$1002,"&lt;="&amp;$B$6), "")</f>
        <v>50</v>
      </c>
      <c r="AK16" s="243">
        <f>iferror(IF(AI16="Ações Americanas", HLOOKUP(AH16,'Histórico'!$A$1:$DD$990,MATCH($B$6,'Histórico'!$A:$A),FALSE)*HLOOKUP("PTAX",'Histórico'!$A$1:$FG$983,MATCH($B$6,'Histórico'!$A:$A),FALSE),IF(AI16="Ações Europeias", HLOOKUP(AH16,'Histórico'!$A$1:$DD$990,MATCH($B$6,'Histórico'!$A:$A),FALSE)*HLOOKUP("EUR/BRL",'Histórico'!$A$1:$FG$983,MATCH($B$6,'Histórico'!$A:$A),FALSE),  HLOOKUP(AH16,'Histórico'!$A$1:$DD$990,MATCH($B$6,'Histórico'!$A:$A),FALSE))),"")</f>
        <v>922.85</v>
      </c>
      <c r="AL16" s="243">
        <f t="shared" si="11"/>
        <v>46142.5</v>
      </c>
      <c r="AM16" s="53"/>
      <c r="AN16" s="242" t="str">
        <f>IFERROR(__xludf.DUMMYFUNCTION("""COMPUTED_VALUE"""),"BP")</f>
        <v>BP</v>
      </c>
      <c r="AO16" s="242" t="str">
        <f>IF(ISTEXT(AN16),VLOOKUP(AN16,'Cadastro dos Ativos'!$A$2:$C$1000,3,0),"")</f>
        <v>Ações Americanas</v>
      </c>
      <c r="AP16" s="242">
        <f>IF(AN16 &lt;&gt; "",SUMIFS('Alocação'!$O$3:$O$1002,'Alocação'!$C$3:$C$1002,AN16,'Alocação'!$F$3:$F$1002,AN$9,'Alocação'!$B$3:$B$1002,"&lt;="&amp;$B$6), "")</f>
        <v>30000</v>
      </c>
      <c r="AQ16" s="243">
        <f>iferror(IF(AO16="Ações Americanas", HLOOKUP(AN16,'Histórico'!$A$1:$DD$990,MATCH($B$6,'Histórico'!$A:$A),FALSE)*HLOOKUP("PTAX",'Histórico'!$A$1:$FG$983,MATCH($B$6,'Histórico'!$A:$A),FALSE),IF(AO16="Ações Europeias", HLOOKUP(AN16,'Histórico'!$A$1:$DD$990,MATCH($B$6,'Histórico'!$A:$A),FALSE)*HLOOKUP("EUR/BRL",'Histórico'!$A$1:$FG$983,MATCH($B$6,'Histórico'!$A:$A),FALSE),  HLOOKUP(AN16,'Histórico'!$A$1:$DD$990,MATCH($B$6,'Histórico'!$A:$A),FALSE))),"")</f>
        <v>184.1748469</v>
      </c>
      <c r="AR16" s="243">
        <f t="shared" si="12"/>
        <v>5525245.407</v>
      </c>
      <c r="AS16" s="53"/>
      <c r="AT16" s="242"/>
      <c r="AU16" s="242" t="str">
        <f>IF(ISTEXT(AT16),VLOOKUP(AT16,'Cadastro dos Ativos'!$A$2:$C$1000,3,0),"")</f>
        <v/>
      </c>
      <c r="AV16" s="242" t="str">
        <f>IF(AT16 &lt;&gt; "",SUMIFS('Alocação'!$O$3:$O$1002,'Alocação'!$C$3:$C$1002,AT16,'Alocação'!$F$3:$F$1002,AT$9,'Alocação'!$B$3:$B$1002,"&lt;="&amp;$B$6), "")</f>
        <v/>
      </c>
      <c r="AW16" s="243" t="str">
        <f>iferror(IF(AU16="Ações Americanas", HLOOKUP(AT16,'Histórico'!$A$1:$DD$990,MATCH($B$6,'Histórico'!$A:$A),FALSE)*HLOOKUP("PTAX",'Histórico'!$A$1:$FG$983,MATCH($B$6,'Histórico'!$A:$A),FALSE),IF(AU16="Ações Europeias", HLOOKUP(AT16,'Histórico'!$A$1:$DD$990,MATCH($B$6,'Histórico'!$A:$A),FALSE)*HLOOKUP("EUR/BRL",'Histórico'!$A$1:$FG$983,MATCH($B$6,'Histórico'!$A:$A),FALSE),  HLOOKUP(AT16,'Histórico'!$A$1:$DD$990,MATCH($B$6,'Histórico'!$A:$A),FALSE))),"")</f>
        <v/>
      </c>
      <c r="AX16" s="243" t="str">
        <f t="shared" si="13"/>
        <v/>
      </c>
      <c r="AY16" s="53"/>
    </row>
    <row r="17" ht="15.75" customHeight="1">
      <c r="A17" s="176"/>
      <c r="B17" s="288">
        <f>Controle!B17</f>
        <v>45014</v>
      </c>
      <c r="C17" s="233">
        <f>Controle!C17</f>
        <v>100314593.7</v>
      </c>
      <c r="D17" s="289">
        <f>Controle!D17</f>
        <v>100314593.7</v>
      </c>
      <c r="E17" s="290"/>
      <c r="F17" s="291">
        <f>Controle!F17</f>
        <v>100330892.4</v>
      </c>
      <c r="G17" s="289">
        <f>Controle!G17</f>
        <v>100330892.4</v>
      </c>
      <c r="H17" s="290"/>
      <c r="I17" s="291">
        <f>Controle!I17</f>
        <v>100314593.7</v>
      </c>
      <c r="J17" s="233">
        <f>Controle!J17</f>
        <v>100314593.7</v>
      </c>
      <c r="K17" s="292"/>
      <c r="L17" s="233">
        <f>Controle!L17</f>
        <v>100302291.4</v>
      </c>
      <c r="M17" s="233">
        <f>Controle!M17</f>
        <v>100314580.8</v>
      </c>
      <c r="N17" s="240">
        <f>Controle!N17</f>
        <v>0.000448796459</v>
      </c>
      <c r="O17" s="240">
        <f>Controle!O17</f>
        <v>0.0006113459518</v>
      </c>
      <c r="P17" s="240">
        <f>Controle!P17</f>
        <v>0.000448796459</v>
      </c>
      <c r="Q17" s="240">
        <f>Controle!Q17</f>
        <v>0.000431286459</v>
      </c>
      <c r="R17" s="293">
        <f>Controle!R17</f>
        <v>100.3437644</v>
      </c>
      <c r="S17" s="287"/>
      <c r="T17" s="233">
        <f t="shared" ref="T17:U17" si="20">IF(AND(C17&lt;&gt;"",F17&lt;&gt;"",I17&lt;&gt;""), SUM(I17,F17,C17),"")</f>
        <v>300960079.7</v>
      </c>
      <c r="U17" s="233">
        <f t="shared" si="20"/>
        <v>300960079.7</v>
      </c>
      <c r="V17" s="233">
        <f t="shared" si="6"/>
        <v>300.9600797</v>
      </c>
      <c r="W17" s="241">
        <f t="shared" si="9"/>
        <v>0.0005029796233</v>
      </c>
      <c r="X17" s="241">
        <f t="shared" si="10"/>
        <v>0</v>
      </c>
      <c r="Y17" s="241">
        <f t="shared" si="19"/>
        <v>0.00002421776856</v>
      </c>
      <c r="Z17" s="233">
        <f t="shared" si="7"/>
        <v>301.0312932</v>
      </c>
      <c r="AA17" s="294"/>
      <c r="AB17" s="242"/>
      <c r="AC17" s="242" t="str">
        <f>IF(ISTEXT(AB17),VLOOKUP(AB17,'Cadastro dos Ativos'!$A$2:$C$1000,3,0),"")</f>
        <v/>
      </c>
      <c r="AD17" s="242" t="str">
        <f>IF(AB17 &lt;&gt; "",SUMIFS('Alocação'!$O$3:$O$1002,'Alocação'!$C$3:$C$1002,AB17,'Alocação'!$F$3:$F$1002,AB$9,'Alocação'!$B$3:$B$1002,"&lt;="&amp;$B$6), "")</f>
        <v/>
      </c>
      <c r="AE17" s="243" t="str">
        <f>iferror(IF(AC17="Ações Americanas", HLOOKUP(AB17,'Histórico'!$A$1:$DD$990,MATCH($B$6,'Histórico'!$A:$A),FALSE)*HLOOKUP("PTAX",'Histórico'!$A$1:$FG$983,MATCH($B$6,'Histórico'!$A:$A),FALSE),IF(AC17="Ações Europeias", HLOOKUP(AB17,'Histórico'!$A$1:$DD$990,MATCH($B$6,'Histórico'!$A:$A),FALSE)*HLOOKUP("EUR/BRL",'Histórico'!$A$1:$FG$983,MATCH($B$6,'Histórico'!$A:$A),FALSE),  HLOOKUP(AB17,'Histórico'!$A$1:$DD$990,MATCH($B$6,'Histórico'!$A:$A),FALSE))),"")</f>
        <v/>
      </c>
      <c r="AF17" s="243" t="str">
        <f t="shared" si="15"/>
        <v/>
      </c>
      <c r="AG17" s="53"/>
      <c r="AH17" s="242" t="str">
        <f>IFERROR(__xludf.DUMMYFUNCTION("""COMPUTED_VALUE"""),"DOL-Z23")</f>
        <v>DOL-Z23</v>
      </c>
      <c r="AI17" s="242" t="str">
        <f>IF(ISTEXT(AH17),VLOOKUP(AH17,'Cadastro dos Ativos'!$A$2:$C$1000,3,0),"")</f>
        <v>Futuros</v>
      </c>
      <c r="AJ17" s="242">
        <f>IF(AH17 &lt;&gt; "",SUMIFS('Alocação'!$O$3:$O$1002,'Alocação'!$C$3:$C$1002,AH17,'Alocação'!$F$3:$F$1002,AH$9,'Alocação'!$B$3:$B$1002,"&lt;="&amp;$B$6), "")</f>
        <v>100</v>
      </c>
      <c r="AK17" s="243">
        <f>iferror(IF(AI17="Ações Americanas", HLOOKUP(AH17,'Histórico'!$A$1:$DD$990,MATCH($B$6,'Histórico'!$A:$A),FALSE)*HLOOKUP("PTAX",'Histórico'!$A$1:$FG$983,MATCH($B$6,'Histórico'!$A:$A),FALSE),IF(AI17="Ações Europeias", HLOOKUP(AH17,'Histórico'!$A$1:$DD$990,MATCH($B$6,'Histórico'!$A:$A),FALSE)*HLOOKUP("EUR/BRL",'Histórico'!$A$1:$FG$983,MATCH($B$6,'Histórico'!$A:$A),FALSE),  HLOOKUP(AH17,'Histórico'!$A$1:$DD$990,MATCH($B$6,'Histórico'!$A:$A),FALSE))),"")</f>
        <v>4206.5</v>
      </c>
      <c r="AL17" s="243">
        <f t="shared" si="11"/>
        <v>420650</v>
      </c>
      <c r="AM17" s="53"/>
      <c r="AN17" s="242" t="str">
        <f>IFERROR(__xludf.DUMMYFUNCTION("""COMPUTED_VALUE"""),"IND-V23")</f>
        <v>IND-V23</v>
      </c>
      <c r="AO17" s="242" t="str">
        <f>IF(ISTEXT(AN17),VLOOKUP(AN17,'Cadastro dos Ativos'!$A$2:$C$1000,3,0),"")</f>
        <v>Futuros</v>
      </c>
      <c r="AP17" s="242">
        <f>IF(AN17 &lt;&gt; "",SUMIFS('Alocação'!$O$3:$O$1002,'Alocação'!$C$3:$C$1002,AN17,'Alocação'!$F$3:$F$1002,AN$9,'Alocação'!$B$3:$B$1002,"&lt;="&amp;$B$6), "")</f>
        <v>115</v>
      </c>
      <c r="AQ17" s="243">
        <f>iferror(IF(AO17="Ações Americanas", HLOOKUP(AN17,'Histórico'!$A$1:$DD$990,MATCH($B$6,'Histórico'!$A:$A),FALSE)*HLOOKUP("PTAX",'Histórico'!$A$1:$FG$983,MATCH($B$6,'Histórico'!$A:$A),FALSE),IF(AO17="Ações Europeias", HLOOKUP(AN17,'Histórico'!$A$1:$DD$990,MATCH($B$6,'Histórico'!$A:$A),FALSE)*HLOOKUP("EUR/BRL",'Histórico'!$A$1:$FG$983,MATCH($B$6,'Histórico'!$A:$A),FALSE),  HLOOKUP(AN17,'Histórico'!$A$1:$DD$990,MATCH($B$6,'Histórico'!$A:$A),FALSE))),"")</f>
        <v>-1852</v>
      </c>
      <c r="AR17" s="243">
        <f t="shared" si="12"/>
        <v>-212980</v>
      </c>
      <c r="AS17" s="53"/>
      <c r="AT17" s="242"/>
      <c r="AU17" s="242" t="str">
        <f>IF(ISTEXT(AT17),VLOOKUP(AT17,'Cadastro dos Ativos'!$A$2:$C$1000,3,0),"")</f>
        <v/>
      </c>
      <c r="AV17" s="242" t="str">
        <f>IF(AT17 &lt;&gt; "",SUMIFS('Alocação'!$O$3:$O$1002,'Alocação'!$C$3:$C$1002,AT17,'Alocação'!$F$3:$F$1002,AT$9,'Alocação'!$B$3:$B$1002,"&lt;="&amp;$B$6), "")</f>
        <v/>
      </c>
      <c r="AW17" s="243" t="str">
        <f>iferror(IF(AU17="Ações Americanas", HLOOKUP(AT17,'Histórico'!$A$1:$DD$990,MATCH($B$6,'Histórico'!$A:$A),FALSE)*HLOOKUP("PTAX",'Histórico'!$A$1:$FG$983,MATCH($B$6,'Histórico'!$A:$A),FALSE),IF(AU17="Ações Europeias", HLOOKUP(AT17,'Histórico'!$A$1:$DD$990,MATCH($B$6,'Histórico'!$A:$A),FALSE)*HLOOKUP("EUR/BRL",'Histórico'!$A$1:$FG$983,MATCH($B$6,'Histórico'!$A:$A),FALSE),  HLOOKUP(AT17,'Histórico'!$A$1:$DD$990,MATCH($B$6,'Histórico'!$A:$A),FALSE))),"")</f>
        <v/>
      </c>
      <c r="AX17" s="243" t="str">
        <f t="shared" si="13"/>
        <v/>
      </c>
      <c r="AY17" s="53"/>
    </row>
    <row r="18" ht="15.75" customHeight="1">
      <c r="A18" s="176"/>
      <c r="B18" s="288">
        <f>Controle!B18</f>
        <v>45015</v>
      </c>
      <c r="C18" s="233">
        <f>Controle!C18</f>
        <v>100359602.4</v>
      </c>
      <c r="D18" s="289">
        <f>Controle!D18</f>
        <v>100359614.5</v>
      </c>
      <c r="E18" s="290"/>
      <c r="F18" s="291">
        <f>Controle!F18</f>
        <v>100375908.5</v>
      </c>
      <c r="G18" s="289">
        <f>Controle!G18</f>
        <v>100375920.6</v>
      </c>
      <c r="H18" s="290"/>
      <c r="I18" s="291">
        <f>Controle!I18</f>
        <v>100359602.4</v>
      </c>
      <c r="J18" s="233">
        <f>Controle!J18</f>
        <v>100359614.5</v>
      </c>
      <c r="K18" s="292"/>
      <c r="L18" s="233">
        <f>Controle!L18</f>
        <v>100345550.4</v>
      </c>
      <c r="M18" s="233">
        <f>Controle!M18</f>
        <v>100359601.6</v>
      </c>
      <c r="N18" s="240">
        <f>Controle!N18</f>
        <v>0.0004486756391</v>
      </c>
      <c r="O18" s="240">
        <f>Controle!O18</f>
        <v>0.0004486756587</v>
      </c>
      <c r="P18" s="240">
        <f>Controle!P18</f>
        <v>0.0004486756391</v>
      </c>
      <c r="Q18" s="240">
        <f>Controle!Q18</f>
        <v>0.000431286459</v>
      </c>
      <c r="R18" s="293">
        <f>Controle!R18</f>
        <v>100.39297</v>
      </c>
      <c r="S18" s="287"/>
      <c r="T18" s="233">
        <f t="shared" ref="T18:U18" si="21">IF(AND(C18&lt;&gt;"",F18&lt;&gt;"",I18&lt;&gt;""), SUM(I18,F18,C18),"")</f>
        <v>301095113.2</v>
      </c>
      <c r="U18" s="233">
        <f t="shared" si="21"/>
        <v>301095149.5</v>
      </c>
      <c r="V18" s="233">
        <f t="shared" si="6"/>
        <v>301.0951132</v>
      </c>
      <c r="W18" s="241">
        <f t="shared" si="9"/>
        <v>0.0004486756457</v>
      </c>
      <c r="X18" s="241">
        <f t="shared" si="10"/>
        <v>0</v>
      </c>
      <c r="Y18" s="241">
        <f t="shared" si="19"/>
        <v>0.0000242325944</v>
      </c>
      <c r="Z18" s="233">
        <f t="shared" si="7"/>
        <v>301.1789099</v>
      </c>
      <c r="AA18" s="294"/>
      <c r="AB18" s="242"/>
      <c r="AC18" s="242" t="str">
        <f>IF(ISTEXT(AB18),VLOOKUP(AB18,'Cadastro dos Ativos'!$A$2:$C$1000,3,0),"")</f>
        <v/>
      </c>
      <c r="AD18" s="242" t="str">
        <f>IF(AB18 &lt;&gt; "",SUMIFS('Alocação'!$O$3:$O$1002,'Alocação'!$C$3:$C$1002,AB18,'Alocação'!$F$3:$F$1002,AB$9,'Alocação'!$B$3:$B$1002,"&lt;="&amp;$B$6), "")</f>
        <v/>
      </c>
      <c r="AE18" s="243" t="str">
        <f>iferror(IF(AC18="Ações Americanas", HLOOKUP(AB18,'Histórico'!$A$1:$DD$990,MATCH($B$6,'Histórico'!$A:$A),FALSE)*HLOOKUP("PTAX",'Histórico'!$A$1:$FG$983,MATCH($B$6,'Histórico'!$A:$A),FALSE),IF(AC18="Ações Europeias", HLOOKUP(AB18,'Histórico'!$A$1:$DD$990,MATCH($B$6,'Histórico'!$A:$A),FALSE)*HLOOKUP("EUR/BRL",'Histórico'!$A$1:$FG$983,MATCH($B$6,'Histórico'!$A:$A),FALSE),  HLOOKUP(AB18,'Histórico'!$A$1:$DD$990,MATCH($B$6,'Histórico'!$A:$A),FALSE))),"")</f>
        <v/>
      </c>
      <c r="AF18" s="243" t="str">
        <f t="shared" si="15"/>
        <v/>
      </c>
      <c r="AG18" s="53"/>
      <c r="AH18" s="242"/>
      <c r="AI18" s="242" t="str">
        <f>IF(ISTEXT(AH18),VLOOKUP(AH18,'Cadastro dos Ativos'!$A$2:$C$1000,3,0),"")</f>
        <v/>
      </c>
      <c r="AJ18" s="242" t="str">
        <f>IF(AH18 &lt;&gt; "",SUMIFS('Alocação'!$O$3:$O$1002,'Alocação'!$C$3:$C$1002,AH18,'Alocação'!$F$3:$F$1002,AH$9,'Alocação'!$B$3:$B$1002,"&lt;="&amp;$B$6), "")</f>
        <v/>
      </c>
      <c r="AK18" s="243" t="str">
        <f>iferror(IF(AI18="Ações Americanas", HLOOKUP(AH18,'Histórico'!$A$1:$DD$990,MATCH($B$6,'Histórico'!$A:$A),FALSE)*HLOOKUP("PTAX",'Histórico'!$A$1:$FG$983,MATCH($B$6,'Histórico'!$A:$A),FALSE),IF(AI18="Ações Europeias", HLOOKUP(AH18,'Histórico'!$A$1:$DD$990,MATCH($B$6,'Histórico'!$A:$A),FALSE)*HLOOKUP("EUR/BRL",'Histórico'!$A$1:$FG$983,MATCH($B$6,'Histórico'!$A:$A),FALSE),  HLOOKUP(AH18,'Histórico'!$A$1:$DD$990,MATCH($B$6,'Histórico'!$A:$A),FALSE))),"")</f>
        <v/>
      </c>
      <c r="AL18" s="243" t="str">
        <f t="shared" si="11"/>
        <v/>
      </c>
      <c r="AM18" s="53"/>
      <c r="AN18" s="242" t="str">
        <f>IFERROR(__xludf.DUMMYFUNCTION("""COMPUTED_VALUE"""),"ASAI3")</f>
        <v>ASAI3</v>
      </c>
      <c r="AO18" s="242" t="str">
        <f>IF(ISTEXT(AN18),VLOOKUP(AN18,'Cadastro dos Ativos'!$A$2:$C$1000,3,0),"")</f>
        <v>Ações Listadas na B3</v>
      </c>
      <c r="AP18" s="242">
        <f>IF(AN18 &lt;&gt; "",SUMIFS('Alocação'!$O$3:$O$1002,'Alocação'!$C$3:$C$1002,AN18,'Alocação'!$F$3:$F$1002,AN$9,'Alocação'!$B$3:$B$1002,"&lt;="&amp;$B$6), "")</f>
        <v>450000</v>
      </c>
      <c r="AQ18" s="243">
        <f>iferror(IF(AO18="Ações Americanas", HLOOKUP(AN18,'Histórico'!$A$1:$DD$990,MATCH($B$6,'Histórico'!$A:$A),FALSE)*HLOOKUP("PTAX",'Histórico'!$A$1:$FG$983,MATCH($B$6,'Histórico'!$A:$A),FALSE),IF(AO18="Ações Europeias", HLOOKUP(AN18,'Histórico'!$A$1:$DD$990,MATCH($B$6,'Histórico'!$A:$A),FALSE)*HLOOKUP("EUR/BRL",'Histórico'!$A$1:$FG$983,MATCH($B$6,'Histórico'!$A:$A),FALSE),  HLOOKUP(AN18,'Histórico'!$A$1:$DD$990,MATCH($B$6,'Histórico'!$A:$A),FALSE))),"")</f>
        <v>11.60999966</v>
      </c>
      <c r="AR18" s="243">
        <f t="shared" si="12"/>
        <v>5224499.846</v>
      </c>
      <c r="AS18" s="53"/>
      <c r="AT18" s="242"/>
      <c r="AU18" s="242" t="str">
        <f>IF(ISTEXT(AT18),VLOOKUP(AT18,'Cadastro dos Ativos'!$A$2:$C$1000,3,0),"")</f>
        <v/>
      </c>
      <c r="AV18" s="242" t="str">
        <f>IF(AT18 &lt;&gt; "",SUMIFS('Alocação'!$O$3:$O$1002,'Alocação'!$C$3:$C$1002,AT18,'Alocação'!$F$3:$F$1002,AT$9,'Alocação'!$B$3:$B$1002,"&lt;="&amp;$B$6), "")</f>
        <v/>
      </c>
      <c r="AW18" s="243" t="str">
        <f>iferror(IF(AU18="Ações Americanas", HLOOKUP(AT18,'Histórico'!$A$1:$DD$990,MATCH($B$6,'Histórico'!$A:$A),FALSE)*HLOOKUP("PTAX",'Histórico'!$A$1:$FG$983,MATCH($B$6,'Histórico'!$A:$A),FALSE),IF(AU18="Ações Europeias", HLOOKUP(AT18,'Histórico'!$A$1:$DD$990,MATCH($B$6,'Histórico'!$A:$A),FALSE)*HLOOKUP("EUR/BRL",'Histórico'!$A$1:$FG$983,MATCH($B$6,'Histórico'!$A:$A),FALSE),  HLOOKUP(AT18,'Histórico'!$A$1:$DD$990,MATCH($B$6,'Histórico'!$A:$A),FALSE))),"")</f>
        <v/>
      </c>
      <c r="AX18" s="243" t="str">
        <f t="shared" si="13"/>
        <v/>
      </c>
      <c r="AY18" s="53"/>
    </row>
    <row r="19" ht="15.75" customHeight="1">
      <c r="A19" s="176"/>
      <c r="B19" s="288">
        <f>Controle!B19</f>
        <v>45016</v>
      </c>
      <c r="C19" s="233">
        <f>Controle!C19</f>
        <v>100404643.5</v>
      </c>
      <c r="D19" s="289">
        <f>Controle!D19</f>
        <v>100404655.5</v>
      </c>
      <c r="E19" s="290"/>
      <c r="F19" s="291">
        <f>Controle!F19</f>
        <v>100825879.1</v>
      </c>
      <c r="G19" s="289">
        <f>Controle!G19</f>
        <v>24513604.33</v>
      </c>
      <c r="H19" s="290"/>
      <c r="I19" s="291">
        <f>Controle!I19</f>
        <v>100404643.5</v>
      </c>
      <c r="J19" s="233">
        <f>Controle!J19</f>
        <v>100404655.5</v>
      </c>
      <c r="K19" s="292"/>
      <c r="L19" s="233">
        <f>Controle!L19</f>
        <v>100388828.1</v>
      </c>
      <c r="M19" s="233">
        <f>Controle!M19</f>
        <v>100404642.7</v>
      </c>
      <c r="N19" s="240">
        <f>Controle!N19</f>
        <v>0.0004487974171</v>
      </c>
      <c r="O19" s="240">
        <f>Controle!O19</f>
        <v>0.00448285481</v>
      </c>
      <c r="P19" s="240">
        <f>Controle!P19</f>
        <v>0.0004487974171</v>
      </c>
      <c r="Q19" s="240">
        <f>Controle!Q19</f>
        <v>0.000431286459</v>
      </c>
      <c r="R19" s="293">
        <f>Controle!R19</f>
        <v>100.4421997</v>
      </c>
      <c r="S19" s="287"/>
      <c r="T19" s="233">
        <f t="shared" ref="T19:U19" si="22">IF(AND(C19&lt;&gt;"",F19&lt;&gt;"",I19&lt;&gt;""), SUM(I19,F19,C19),"")</f>
        <v>301635166.1</v>
      </c>
      <c r="U19" s="233">
        <f t="shared" si="22"/>
        <v>225322915.4</v>
      </c>
      <c r="V19" s="233">
        <f t="shared" si="6"/>
        <v>301.6351661</v>
      </c>
      <c r="W19" s="241">
        <f t="shared" si="9"/>
        <v>0.00179362886</v>
      </c>
      <c r="X19" s="241">
        <f t="shared" si="10"/>
        <v>0</v>
      </c>
      <c r="Y19" s="241">
        <f t="shared" si="19"/>
        <v>0.0005958457669</v>
      </c>
      <c r="Z19" s="233">
        <f t="shared" si="7"/>
        <v>301.326599</v>
      </c>
      <c r="AA19" s="294"/>
      <c r="AB19" s="242"/>
      <c r="AC19" s="242" t="str">
        <f>IF(ISTEXT(AB19),VLOOKUP(AB19,'Cadastro dos Ativos'!$A$2:$C$1000,3,0),"")</f>
        <v/>
      </c>
      <c r="AD19" s="242" t="str">
        <f>IF(AB19 &lt;&gt; "",SUMIFS('Alocação'!$O$3:$O$1002,'Alocação'!$C$3:$C$1002,AB19,'Alocação'!$F$3:$F$1002,AB$9,'Alocação'!$B$3:$B$1002,"&lt;="&amp;$B$6), "")</f>
        <v/>
      </c>
      <c r="AE19" s="243" t="str">
        <f>iferror(IF(AC19="Ações Americanas", HLOOKUP(AB19,'Histórico'!$A$1:$DD$990,MATCH($B$6,'Histórico'!$A:$A),FALSE)*HLOOKUP("PTAX",'Histórico'!$A$1:$FG$983,MATCH($B$6,'Histórico'!$A:$A),FALSE),IF(AC19="Ações Europeias", HLOOKUP(AB19,'Histórico'!$A$1:$DD$990,MATCH($B$6,'Histórico'!$A:$A),FALSE)*HLOOKUP("EUR/BRL",'Histórico'!$A$1:$FG$983,MATCH($B$6,'Histórico'!$A:$A),FALSE),  HLOOKUP(AB19,'Histórico'!$A$1:$DD$990,MATCH($B$6,'Histórico'!$A:$A),FALSE))),"")</f>
        <v/>
      </c>
      <c r="AF19" s="243" t="str">
        <f t="shared" si="15"/>
        <v/>
      </c>
      <c r="AG19" s="53"/>
      <c r="AH19" s="242"/>
      <c r="AI19" s="242" t="str">
        <f>IF(ISTEXT(AH19),VLOOKUP(AH19,'Cadastro dos Ativos'!$A$2:$C$1000,3,0),"")</f>
        <v/>
      </c>
      <c r="AJ19" s="242" t="str">
        <f>IF(AH19 &lt;&gt; "",SUMIFS('Alocação'!$O$3:$O$1002,'Alocação'!$C$3:$C$1002,AH19,'Alocação'!$F$3:$F$1002,AH$9,'Alocação'!$B$3:$B$1002,"&lt;="&amp;$B$6), "")</f>
        <v/>
      </c>
      <c r="AK19" s="243" t="str">
        <f>iferror(IF(AI19="Ações Americanas", HLOOKUP(AH19,'Histórico'!$A$1:$DD$990,MATCH($B$6,'Histórico'!$A:$A),FALSE)*HLOOKUP("PTAX",'Histórico'!$A$1:$FG$983,MATCH($B$6,'Histórico'!$A:$A),FALSE),IF(AI19="Ações Europeias", HLOOKUP(AH19,'Histórico'!$A$1:$DD$990,MATCH($B$6,'Histórico'!$A:$A),FALSE)*HLOOKUP("EUR/BRL",'Histórico'!$A$1:$FG$983,MATCH($B$6,'Histórico'!$A:$A),FALSE),  HLOOKUP(AH19,'Histórico'!$A$1:$DD$990,MATCH($B$6,'Histórico'!$A:$A),FALSE))),"")</f>
        <v/>
      </c>
      <c r="AL19" s="243" t="str">
        <f t="shared" si="11"/>
        <v/>
      </c>
      <c r="AM19" s="53"/>
      <c r="AN19" s="242" t="str">
        <f>IFERROR(__xludf.DUMMYFUNCTION("""COMPUTED_VALUE"""),"DI1-F24")</f>
        <v>DI1-F24</v>
      </c>
      <c r="AO19" s="242" t="str">
        <f>IF(ISTEXT(AN19),VLOOKUP(AN19,'Cadastro dos Ativos'!$A$2:$C$1000,3,0),"")</f>
        <v>Futuros</v>
      </c>
      <c r="AP19" s="242">
        <f>IF(AN19 &lt;&gt; "",SUMIFS('Alocação'!$O$3:$O$1002,'Alocação'!$C$3:$C$1002,AN19,'Alocação'!$F$3:$F$1002,AN$9,'Alocação'!$B$3:$B$1002,"&lt;="&amp;$B$6), "")</f>
        <v>403</v>
      </c>
      <c r="AQ19" s="243">
        <f>iferror(IF(AO19="Ações Americanas", HLOOKUP(AN19,'Histórico'!$A$1:$DD$990,MATCH($B$6,'Histórico'!$A:$A),FALSE)*HLOOKUP("PTAX",'Histórico'!$A$1:$FG$983,MATCH($B$6,'Histórico'!$A:$A),FALSE),IF(AO19="Ações Europeias", HLOOKUP(AN19,'Histórico'!$A$1:$DD$990,MATCH($B$6,'Histórico'!$A:$A),FALSE)*HLOOKUP("EUR/BRL",'Histórico'!$A$1:$FG$983,MATCH($B$6,'Histórico'!$A:$A),FALSE),  HLOOKUP(AN19,'Histórico'!$A$1:$DD$990,MATCH($B$6,'Histórico'!$A:$A),FALSE))),"")</f>
        <v>-6.8</v>
      </c>
      <c r="AR19" s="243">
        <f t="shared" si="12"/>
        <v>-2740.4</v>
      </c>
      <c r="AS19" s="53"/>
      <c r="AT19" s="242"/>
      <c r="AU19" s="242" t="str">
        <f>IF(ISTEXT(AT19),VLOOKUP(AT19,'Cadastro dos Ativos'!$A$2:$C$1000,3,0),"")</f>
        <v/>
      </c>
      <c r="AV19" s="242" t="str">
        <f>IF(AT19 &lt;&gt; "",SUMIFS('Alocação'!$O$3:$O$1002,'Alocação'!$C$3:$C$1002,AT19,'Alocação'!$F$3:$F$1002,AT$9,'Alocação'!$B$3:$B$1002,"&lt;="&amp;$B$6), "")</f>
        <v/>
      </c>
      <c r="AW19" s="243" t="str">
        <f>iferror(IF(AU19="Ações Americanas", HLOOKUP(AT19,'Histórico'!$A$1:$DD$990,MATCH($B$6,'Histórico'!$A:$A),FALSE)*HLOOKUP("PTAX",'Histórico'!$A$1:$FG$983,MATCH($B$6,'Histórico'!$A:$A),FALSE),IF(AU19="Ações Europeias", HLOOKUP(AT19,'Histórico'!$A$1:$DD$990,MATCH($B$6,'Histórico'!$A:$A),FALSE)*HLOOKUP("EUR/BRL",'Histórico'!$A$1:$FG$983,MATCH($B$6,'Histórico'!$A:$A),FALSE),  HLOOKUP(AT19,'Histórico'!$A$1:$DD$990,MATCH($B$6,'Histórico'!$A:$A),FALSE))),"")</f>
        <v/>
      </c>
      <c r="AX19" s="243" t="str">
        <f t="shared" si="13"/>
        <v/>
      </c>
      <c r="AY19" s="53"/>
    </row>
    <row r="20" ht="15.75" customHeight="1">
      <c r="A20" s="176"/>
      <c r="B20" s="288">
        <f>Controle!B20</f>
        <v>45019</v>
      </c>
      <c r="C20" s="233">
        <f>Controle!C20</f>
        <v>100449705.3</v>
      </c>
      <c r="D20" s="289">
        <f>Controle!D20</f>
        <v>100449716.8</v>
      </c>
      <c r="E20" s="290"/>
      <c r="F20" s="291">
        <f>Controle!F20</f>
        <v>102936653.9</v>
      </c>
      <c r="G20" s="289">
        <f>Controle!G20</f>
        <v>24590983.45</v>
      </c>
      <c r="H20" s="290"/>
      <c r="I20" s="291">
        <f>Controle!I20</f>
        <v>100449705.3</v>
      </c>
      <c r="J20" s="233">
        <f>Controle!J20</f>
        <v>100449716.8</v>
      </c>
      <c r="K20" s="292"/>
      <c r="L20" s="233">
        <f>Controle!L20</f>
        <v>100432124.5</v>
      </c>
      <c r="M20" s="233">
        <f>Controle!M20</f>
        <v>100449703.9</v>
      </c>
      <c r="N20" s="240">
        <f>Controle!N20</f>
        <v>0.0004488014997</v>
      </c>
      <c r="O20" s="240">
        <f>Controle!O20</f>
        <v>0.0209348518</v>
      </c>
      <c r="P20" s="240">
        <f>Controle!P20</f>
        <v>0.0004488014997</v>
      </c>
      <c r="Q20" s="240">
        <f>Controle!Q20</f>
        <v>0.000431286459</v>
      </c>
      <c r="R20" s="293">
        <f>Controle!R20</f>
        <v>100.4914535</v>
      </c>
      <c r="S20" s="287"/>
      <c r="T20" s="233">
        <f t="shared" ref="T20:U20" si="23">IF(AND(C20&lt;&gt;"",F20&lt;&gt;"",I20&lt;&gt;""), SUM(I20,F20,C20),"")</f>
        <v>303836064.4</v>
      </c>
      <c r="U20" s="233">
        <f t="shared" si="23"/>
        <v>225490417</v>
      </c>
      <c r="V20" s="233">
        <f t="shared" si="6"/>
        <v>303.8360644</v>
      </c>
      <c r="W20" s="241">
        <f t="shared" si="9"/>
        <v>0.007296557541</v>
      </c>
      <c r="X20" s="241">
        <f t="shared" si="10"/>
        <v>0</v>
      </c>
      <c r="Y20" s="241">
        <f t="shared" si="19"/>
        <v>0.002962341783</v>
      </c>
      <c r="Z20" s="233">
        <f t="shared" si="7"/>
        <v>301.4743605</v>
      </c>
      <c r="AA20" s="294"/>
      <c r="AB20" s="242"/>
      <c r="AC20" s="242" t="str">
        <f>IF(ISTEXT(AB20),VLOOKUP(AB20,'Cadastro dos Ativos'!$A$2:$C$1000,3,0),"")</f>
        <v/>
      </c>
      <c r="AD20" s="242" t="str">
        <f>IF(AB20 &lt;&gt; "",SUMIFS('Alocação'!$O$3:$O$1002,'Alocação'!$C$3:$C$1002,AB20,'Alocação'!$F$3:$F$1002,AB$9,'Alocação'!$B$3:$B$1002,"&lt;="&amp;$B$6), "")</f>
        <v/>
      </c>
      <c r="AE20" s="243" t="str">
        <f>iferror(IF(AC20="Ações Americanas", HLOOKUP(AB20,'Histórico'!$A$1:$DD$990,MATCH($B$6,'Histórico'!$A:$A),FALSE)*HLOOKUP("PTAX",'Histórico'!$A$1:$FG$983,MATCH($B$6,'Histórico'!$A:$A),FALSE),IF(AC20="Ações Europeias", HLOOKUP(AB20,'Histórico'!$A$1:$DD$990,MATCH($B$6,'Histórico'!$A:$A),FALSE)*HLOOKUP("EUR/BRL",'Histórico'!$A$1:$FG$983,MATCH($B$6,'Histórico'!$A:$A),FALSE),  HLOOKUP(AB20,'Histórico'!$A$1:$DD$990,MATCH($B$6,'Histórico'!$A:$A),FALSE))),"")</f>
        <v/>
      </c>
      <c r="AF20" s="243" t="str">
        <f t="shared" si="15"/>
        <v/>
      </c>
      <c r="AG20" s="53"/>
      <c r="AH20" s="242"/>
      <c r="AI20" s="242" t="str">
        <f>IF(ISTEXT(AH20),VLOOKUP(AH20,'Cadastro dos Ativos'!$A$2:$C$1000,3,0),"")</f>
        <v/>
      </c>
      <c r="AJ20" s="242" t="str">
        <f>IF(AH20 &lt;&gt; "",SUMIFS('Alocação'!$O$3:$O$1002,'Alocação'!$C$3:$C$1002,AH20,'Alocação'!$F$3:$F$1002,AH$9,'Alocação'!$B$3:$B$1002,"&lt;="&amp;$B$6), "")</f>
        <v/>
      </c>
      <c r="AK20" s="243" t="str">
        <f>iferror(IF(AI20="Ações Americanas", HLOOKUP(AH20,'Histórico'!$A$1:$DD$990,MATCH($B$6,'Histórico'!$A:$A),FALSE)*HLOOKUP("PTAX",'Histórico'!$A$1:$FG$983,MATCH($B$6,'Histórico'!$A:$A),FALSE),IF(AI20="Ações Europeias", HLOOKUP(AH20,'Histórico'!$A$1:$DD$990,MATCH($B$6,'Histórico'!$A:$A),FALSE)*HLOOKUP("EUR/BRL",'Histórico'!$A$1:$FG$983,MATCH($B$6,'Histórico'!$A:$A),FALSE),  HLOOKUP(AH20,'Histórico'!$A$1:$DD$990,MATCH($B$6,'Histórico'!$A:$A),FALSE))),"")</f>
        <v/>
      </c>
      <c r="AL20" s="243" t="str">
        <f t="shared" si="11"/>
        <v/>
      </c>
      <c r="AM20" s="53"/>
      <c r="AN20" s="242" t="str">
        <f>IFERROR(__xludf.DUMMYFUNCTION("""COMPUTED_VALUE"""),"DI1-F27")</f>
        <v>DI1-F27</v>
      </c>
      <c r="AO20" s="242" t="str">
        <f>IF(ISTEXT(AN20),VLOOKUP(AN20,'Cadastro dos Ativos'!$A$2:$C$1000,3,0),"")</f>
        <v>Futuros</v>
      </c>
      <c r="AP20" s="242">
        <f>IF(AN20 &lt;&gt; "",SUMIFS('Alocação'!$O$3:$O$1002,'Alocação'!$C$3:$C$1002,AN20,'Alocação'!$F$3:$F$1002,AN$9,'Alocação'!$B$3:$B$1002,"&lt;="&amp;$B$6), "")</f>
        <v>-650</v>
      </c>
      <c r="AQ20" s="243">
        <f>iferror(IF(AO20="Ações Americanas", HLOOKUP(AN20,'Histórico'!$A$1:$DD$990,MATCH($B$6,'Histórico'!$A:$A),FALSE)*HLOOKUP("PTAX",'Histórico'!$A$1:$FG$983,MATCH($B$6,'Histórico'!$A:$A),FALSE),IF(AO20="Ações Europeias", HLOOKUP(AN20,'Histórico'!$A$1:$DD$990,MATCH($B$6,'Histórico'!$A:$A),FALSE)*HLOOKUP("EUR/BRL",'Histórico'!$A$1:$FG$983,MATCH($B$6,'Histórico'!$A:$A),FALSE),  HLOOKUP(AN20,'Histórico'!$A$1:$DD$990,MATCH($B$6,'Histórico'!$A:$A),FALSE))),"")</f>
        <v>-466.13</v>
      </c>
      <c r="AR20" s="243">
        <f t="shared" si="12"/>
        <v>302984.5</v>
      </c>
      <c r="AS20" s="53"/>
      <c r="AT20" s="242"/>
      <c r="AU20" s="242" t="str">
        <f>IF(ISTEXT(AT20),VLOOKUP(AT20,'Cadastro dos Ativos'!$A$2:$C$1000,3,0),"")</f>
        <v/>
      </c>
      <c r="AV20" s="242" t="str">
        <f>IF(AT20 &lt;&gt; "",SUMIFS('Alocação'!$O$3:$O$1002,'Alocação'!$C$3:$C$1002,AT20,'Alocação'!$F$3:$F$1002,AT$9,'Alocação'!$B$3:$B$1002,"&lt;="&amp;$B$6), "")</f>
        <v/>
      </c>
      <c r="AW20" s="243" t="str">
        <f>iferror(IF(AU20="Ações Americanas", HLOOKUP(AT20,'Histórico'!$A$1:$DD$990,MATCH($B$6,'Histórico'!$A:$A),FALSE)*HLOOKUP("PTAX",'Histórico'!$A$1:$FG$983,MATCH($B$6,'Histórico'!$A:$A),FALSE),IF(AU20="Ações Europeias", HLOOKUP(AT20,'Histórico'!$A$1:$DD$990,MATCH($B$6,'Histórico'!$A:$A),FALSE)*HLOOKUP("EUR/BRL",'Histórico'!$A$1:$FG$983,MATCH($B$6,'Histórico'!$A:$A),FALSE),  HLOOKUP(AT20,'Histórico'!$A$1:$DD$990,MATCH($B$6,'Histórico'!$A:$A),FALSE))),"")</f>
        <v/>
      </c>
      <c r="AX20" s="243" t="str">
        <f t="shared" si="13"/>
        <v/>
      </c>
      <c r="AY20" s="53"/>
    </row>
    <row r="21" ht="15.75" customHeight="1">
      <c r="A21" s="176"/>
      <c r="B21" s="288">
        <f>Controle!B21</f>
        <v>45020</v>
      </c>
      <c r="C21" s="233">
        <f>Controle!C21</f>
        <v>101323694.2</v>
      </c>
      <c r="D21" s="289">
        <f>Controle!D21</f>
        <v>115907978.9</v>
      </c>
      <c r="E21" s="290"/>
      <c r="F21" s="291">
        <f>Controle!F21</f>
        <v>102270102.2</v>
      </c>
      <c r="G21" s="289">
        <f>Controle!G21</f>
        <v>48297580.65</v>
      </c>
      <c r="H21" s="290"/>
      <c r="I21" s="291">
        <f>Controle!I21</f>
        <v>100494787.1</v>
      </c>
      <c r="J21" s="233">
        <f>Controle!J21</f>
        <v>100494798.3</v>
      </c>
      <c r="K21" s="292"/>
      <c r="L21" s="233">
        <f>Controle!L21</f>
        <v>100475439.5</v>
      </c>
      <c r="M21" s="233">
        <f>Controle!M21</f>
        <v>100494785.4</v>
      </c>
      <c r="N21" s="240">
        <f>Controle!N21</f>
        <v>0.008700761448</v>
      </c>
      <c r="O21" s="240">
        <f>Controle!O21</f>
        <v>-0.006475358256</v>
      </c>
      <c r="P21" s="240">
        <f>Controle!P21</f>
        <v>0.000448799703</v>
      </c>
      <c r="Q21" s="240">
        <f>Controle!Q21</f>
        <v>0.000431286459</v>
      </c>
      <c r="R21" s="293">
        <f>Controle!R21</f>
        <v>100.5407315</v>
      </c>
      <c r="S21" s="287"/>
      <c r="T21" s="233">
        <f t="shared" ref="T21:U21" si="24">IF(AND(C21&lt;&gt;"",F21&lt;&gt;"",I21&lt;&gt;""), SUM(I21,F21,C21),"")</f>
        <v>304088583.4</v>
      </c>
      <c r="U21" s="233">
        <f t="shared" si="24"/>
        <v>264700357.8</v>
      </c>
      <c r="V21" s="233">
        <f t="shared" si="6"/>
        <v>304.0885834</v>
      </c>
      <c r="W21" s="241">
        <f t="shared" si="9"/>
        <v>0.0008311028171</v>
      </c>
      <c r="X21" s="241">
        <f t="shared" si="10"/>
        <v>0</v>
      </c>
      <c r="Y21" s="241">
        <f t="shared" si="19"/>
        <v>0.002913661884</v>
      </c>
      <c r="Z21" s="233">
        <f t="shared" si="7"/>
        <v>301.6221945</v>
      </c>
      <c r="AA21" s="294"/>
      <c r="AB21" s="242"/>
      <c r="AC21" s="242" t="str">
        <f>IF(ISTEXT(AB21),VLOOKUP(AB21,'Cadastro dos Ativos'!$A$2:$C$1000,3,0),"")</f>
        <v/>
      </c>
      <c r="AD21" s="242" t="str">
        <f>IF(AB21 &lt;&gt; "",SUMIFS('Alocação'!$O$3:$O$1002,'Alocação'!$C$3:$C$1002,AB21,'Alocação'!$F$3:$F$1002,AB$9,'Alocação'!$B$3:$B$1002,"&lt;="&amp;$B$6), "")</f>
        <v/>
      </c>
      <c r="AE21" s="243" t="str">
        <f>iferror(IF(AC21="Ações Americanas", HLOOKUP(AB21,'Histórico'!$A$1:$DD$990,MATCH($B$6,'Histórico'!$A:$A),FALSE)*HLOOKUP("PTAX",'Histórico'!$A$1:$FG$983,MATCH($B$6,'Histórico'!$A:$A),FALSE),IF(AC21="Ações Europeias", HLOOKUP(AB21,'Histórico'!$A$1:$DD$990,MATCH($B$6,'Histórico'!$A:$A),FALSE)*HLOOKUP("EUR/BRL",'Histórico'!$A$1:$FG$983,MATCH($B$6,'Histórico'!$A:$A),FALSE),  HLOOKUP(AB21,'Histórico'!$A$1:$DD$990,MATCH($B$6,'Histórico'!$A:$A),FALSE))),"")</f>
        <v/>
      </c>
      <c r="AF21" s="243" t="str">
        <f t="shared" si="15"/>
        <v/>
      </c>
      <c r="AG21" s="53"/>
      <c r="AH21" s="242"/>
      <c r="AI21" s="242" t="str">
        <f>IF(ISTEXT(AH21),VLOOKUP(AH21,'Cadastro dos Ativos'!$A$2:$C$1000,3,0),"")</f>
        <v/>
      </c>
      <c r="AJ21" s="242" t="str">
        <f>IF(AH21 &lt;&gt; "",SUMIFS('Alocação'!$O$3:$O$1002,'Alocação'!$C$3:$C$1002,AH21,'Alocação'!$F$3:$F$1002,AH$9,'Alocação'!$B$3:$B$1002,"&lt;="&amp;$B$6), "")</f>
        <v/>
      </c>
      <c r="AK21" s="243" t="str">
        <f>iferror(IF(AI21="Ações Americanas", HLOOKUP(AH21,'Histórico'!$A$1:$DD$990,MATCH($B$6,'Histórico'!$A:$A),FALSE)*HLOOKUP("PTAX",'Histórico'!$A$1:$FG$983,MATCH($B$6,'Histórico'!$A:$A),FALSE),IF(AI21="Ações Europeias", HLOOKUP(AH21,'Histórico'!$A$1:$DD$990,MATCH($B$6,'Histórico'!$A:$A),FALSE)*HLOOKUP("EUR/BRL",'Histórico'!$A$1:$FG$983,MATCH($B$6,'Histórico'!$A:$A),FALSE),  HLOOKUP(AH21,'Histórico'!$A$1:$DD$990,MATCH($B$6,'Histórico'!$A:$A),FALSE))),"")</f>
        <v/>
      </c>
      <c r="AL21" s="243" t="str">
        <f t="shared" si="11"/>
        <v/>
      </c>
      <c r="AM21" s="53"/>
      <c r="AN21" s="242" t="str">
        <f>IFERROR(__xludf.DUMMYFUNCTION("""COMPUTED_VALUE"""),"BEEF3")</f>
        <v>BEEF3</v>
      </c>
      <c r="AO21" s="242" t="str">
        <f>IF(ISTEXT(AN21),VLOOKUP(AN21,'Cadastro dos Ativos'!$A$2:$C$1000,3,0),"")</f>
        <v>Ações Listadas na B3</v>
      </c>
      <c r="AP21" s="242">
        <f>IF(AN21 &lt;&gt; "",SUMIFS('Alocação'!$O$3:$O$1002,'Alocação'!$C$3:$C$1002,AN21,'Alocação'!$F$3:$F$1002,AN$9,'Alocação'!$B$3:$B$1002,"&lt;="&amp;$B$6), "")</f>
        <v>550000</v>
      </c>
      <c r="AQ21" s="243">
        <f>iferror(IF(AO21="Ações Americanas", HLOOKUP(AN21,'Histórico'!$A$1:$DD$990,MATCH($B$6,'Histórico'!$A:$A),FALSE)*HLOOKUP("PTAX",'Histórico'!$A$1:$FG$983,MATCH($B$6,'Histórico'!$A:$A),FALSE),IF(AO21="Ações Europeias", HLOOKUP(AN21,'Histórico'!$A$1:$DD$990,MATCH($B$6,'Histórico'!$A:$A),FALSE)*HLOOKUP("EUR/BRL",'Histórico'!$A$1:$FG$983,MATCH($B$6,'Histórico'!$A:$A),FALSE),  HLOOKUP(AN21,'Histórico'!$A$1:$DD$990,MATCH($B$6,'Histórico'!$A:$A),FALSE))),"")</f>
        <v>8.399999619</v>
      </c>
      <c r="AR21" s="243">
        <f t="shared" si="12"/>
        <v>4619999.79</v>
      </c>
      <c r="AS21" s="53"/>
      <c r="AT21" s="242"/>
      <c r="AU21" s="242" t="str">
        <f>IF(ISTEXT(AT21),VLOOKUP(AT21,'Cadastro dos Ativos'!$A$2:$C$1000,3,0),"")</f>
        <v/>
      </c>
      <c r="AV21" s="242" t="str">
        <f>IF(AT21 &lt;&gt; "",SUMIFS('Alocação'!$O$3:$O$1002,'Alocação'!$C$3:$C$1002,AT21,'Alocação'!$F$3:$F$1002,AT$9,'Alocação'!$B$3:$B$1002,"&lt;="&amp;$B$6), "")</f>
        <v/>
      </c>
      <c r="AW21" s="243" t="str">
        <f>iferror(IF(AU21="Ações Americanas", HLOOKUP(AT21,'Histórico'!$A$1:$DD$990,MATCH($B$6,'Histórico'!$A:$A),FALSE)*HLOOKUP("PTAX",'Histórico'!$A$1:$FG$983,MATCH($B$6,'Histórico'!$A:$A),FALSE),IF(AU21="Ações Europeias", HLOOKUP(AT21,'Histórico'!$A$1:$DD$990,MATCH($B$6,'Histórico'!$A:$A),FALSE)*HLOOKUP("EUR/BRL",'Histórico'!$A$1:$FG$983,MATCH($B$6,'Histórico'!$A:$A),FALSE),  HLOOKUP(AT21,'Histórico'!$A$1:$DD$990,MATCH($B$6,'Histórico'!$A:$A),FALSE))),"")</f>
        <v/>
      </c>
      <c r="AX21" s="243" t="str">
        <f t="shared" si="13"/>
        <v/>
      </c>
      <c r="AY21" s="53"/>
    </row>
    <row r="22" ht="15.75" customHeight="1">
      <c r="A22" s="176"/>
      <c r="B22" s="288">
        <f>Controle!B22</f>
        <v>45021</v>
      </c>
      <c r="C22" s="233">
        <f>Controle!C22</f>
        <v>100811402.7</v>
      </c>
      <c r="D22" s="289">
        <f>Controle!D22</f>
        <v>115345238.9</v>
      </c>
      <c r="E22" s="290"/>
      <c r="F22" s="291">
        <f>Controle!F22</f>
        <v>101549624.7</v>
      </c>
      <c r="G22" s="289">
        <f>Controle!G22</f>
        <v>48042095.94</v>
      </c>
      <c r="H22" s="290"/>
      <c r="I22" s="291">
        <f>Controle!I22</f>
        <v>100539889.2</v>
      </c>
      <c r="J22" s="233">
        <f>Controle!J22</f>
        <v>100539900</v>
      </c>
      <c r="K22" s="292"/>
      <c r="L22" s="233">
        <f>Controle!L22</f>
        <v>100518773.2</v>
      </c>
      <c r="M22" s="233">
        <f>Controle!M22</f>
        <v>100539887.1</v>
      </c>
      <c r="N22" s="240">
        <f>Controle!N22</f>
        <v>-0.005055988642</v>
      </c>
      <c r="O22" s="240">
        <f>Controle!O22</f>
        <v>-0.007044849856</v>
      </c>
      <c r="P22" s="240">
        <f>Controle!P22</f>
        <v>0.0004488005955</v>
      </c>
      <c r="Q22" s="240">
        <f>Controle!Q22</f>
        <v>0.000431286459</v>
      </c>
      <c r="R22" s="293">
        <f>Controle!R22</f>
        <v>100.5900337</v>
      </c>
      <c r="S22" s="287"/>
      <c r="T22" s="233">
        <f t="shared" ref="T22:U22" si="25">IF(AND(C22&lt;&gt;"",F22&lt;&gt;"",I22&lt;&gt;""), SUM(I22,F22,C22),"")</f>
        <v>302900916.6</v>
      </c>
      <c r="U22" s="233">
        <f t="shared" si="25"/>
        <v>263927234.8</v>
      </c>
      <c r="V22" s="233">
        <f t="shared" si="6"/>
        <v>302.9009166</v>
      </c>
      <c r="W22" s="241">
        <f t="shared" si="9"/>
        <v>-0.003905660739</v>
      </c>
      <c r="X22" s="241">
        <f t="shared" si="10"/>
        <v>-0.003905660739</v>
      </c>
      <c r="Y22" s="241">
        <f t="shared" si="19"/>
        <v>0.004007668849</v>
      </c>
      <c r="Z22" s="233">
        <f t="shared" si="7"/>
        <v>301.770101</v>
      </c>
      <c r="AA22" s="294"/>
      <c r="AB22" s="245"/>
      <c r="AC22" s="242" t="str">
        <f>IF(ISTEXT(AB22),VLOOKUP(AB22,'Cadastro dos Ativos'!$A$2:$C$1000,3,0),"")</f>
        <v/>
      </c>
      <c r="AD22" s="242" t="str">
        <f>IF(AB22 &lt;&gt; "",SUMIFS('Alocação'!$O$3:$O$1002,'Alocação'!$C$3:$C$1002,AB22,'Alocação'!$F$3:$F$1002,AB$9,'Alocação'!$B$3:$B$1002,"&lt;="&amp;$B$6), "")</f>
        <v/>
      </c>
      <c r="AE22" s="243" t="str">
        <f>iferror(IF(AC22="Ações Americanas", HLOOKUP(AB22,'Histórico'!$A$1:$DD$990,MATCH($B$6,'Histórico'!$A:$A),FALSE)*HLOOKUP("PTAX",'Histórico'!$A$1:$FG$983,MATCH($B$6,'Histórico'!$A:$A),FALSE),IF(AC22="Ações Europeias", HLOOKUP(AB22,'Histórico'!$A$1:$DD$990,MATCH($B$6,'Histórico'!$A:$A),FALSE)*HLOOKUP("EUR/BRL",'Histórico'!$A$1:$FG$983,MATCH($B$6,'Histórico'!$A:$A),FALSE),  HLOOKUP(AB22,'Histórico'!$A$1:$DD$990,MATCH($B$6,'Histórico'!$A:$A),FALSE))),"")</f>
        <v/>
      </c>
      <c r="AF22" s="243" t="str">
        <f t="shared" si="15"/>
        <v/>
      </c>
      <c r="AG22" s="53"/>
      <c r="AH22" s="245"/>
      <c r="AI22" s="242" t="str">
        <f>IF(ISTEXT(AH22),VLOOKUP(AH22,'Cadastro dos Ativos'!$A$2:$C$1000,3,0),"")</f>
        <v/>
      </c>
      <c r="AJ22" s="242" t="str">
        <f>IF(AH22 &lt;&gt; "",SUMIFS('Alocação'!$O$3:$O$1002,'Alocação'!$C$3:$C$1002,AH22,'Alocação'!$F$3:$F$1002,AH$9,'Alocação'!$B$3:$B$1002,"&lt;="&amp;$B$6), "")</f>
        <v/>
      </c>
      <c r="AK22" s="243" t="str">
        <f>iferror(IF(AI22="Ações Americanas", HLOOKUP(AH22,'Histórico'!$A$1:$DD$990,MATCH($B$6,'Histórico'!$A:$A),FALSE)*HLOOKUP("PTAX",'Histórico'!$A$1:$FG$983,MATCH($B$6,'Histórico'!$A:$A),FALSE),IF(AI22="Ações Europeias", HLOOKUP(AH22,'Histórico'!$A$1:$DD$990,MATCH($B$6,'Histórico'!$A:$A),FALSE)*HLOOKUP("EUR/BRL",'Histórico'!$A$1:$FG$983,MATCH($B$6,'Histórico'!$A:$A),FALSE),  HLOOKUP(AH22,'Histórico'!$A$1:$DD$990,MATCH($B$6,'Histórico'!$A:$A),FALSE))),"")</f>
        <v/>
      </c>
      <c r="AL22" s="243" t="str">
        <f t="shared" si="11"/>
        <v/>
      </c>
      <c r="AM22" s="53"/>
      <c r="AN22" s="245" t="str">
        <f>IFERROR(__xludf.DUMMYFUNCTION("""COMPUTED_VALUE"""),"T10-Z23")</f>
        <v>T10-Z23</v>
      </c>
      <c r="AO22" s="242" t="str">
        <f>IF(ISTEXT(AN22),VLOOKUP(AN22,'Cadastro dos Ativos'!$A$2:$C$1000,3,0),"")</f>
        <v>Futuros</v>
      </c>
      <c r="AP22" s="242">
        <f>IF(AN22 &lt;&gt; "",SUMIFS('Alocação'!$O$3:$O$1002,'Alocação'!$C$3:$C$1002,AN22,'Alocação'!$F$3:$F$1002,AN$9,'Alocação'!$B$3:$B$1002,"&lt;="&amp;$B$6), "")</f>
        <v>-20</v>
      </c>
      <c r="AQ22" s="243">
        <f>iferror(IF(AO22="Ações Americanas", HLOOKUP(AN22,'Histórico'!$A$1:$DD$990,MATCH($B$6,'Histórico'!$A:$A),FALSE)*HLOOKUP("PTAX",'Histórico'!$A$1:$FG$983,MATCH($B$6,'Histórico'!$A:$A),FALSE),IF(AO22="Ações Europeias", HLOOKUP(AN22,'Histórico'!$A$1:$DD$990,MATCH($B$6,'Histórico'!$A:$A),FALSE)*HLOOKUP("EUR/BRL",'Histórico'!$A$1:$FG$983,MATCH($B$6,'Histórico'!$A:$A),FALSE),  HLOOKUP(AN22,'Histórico'!$A$1:$DD$990,MATCH($B$6,'Histórico'!$A:$A),FALSE))),"")</f>
        <v>922.85</v>
      </c>
      <c r="AR22" s="243">
        <f t="shared" si="12"/>
        <v>-18457</v>
      </c>
      <c r="AS22" s="53"/>
      <c r="AT22" s="245"/>
      <c r="AU22" s="242" t="str">
        <f>IF(ISTEXT(AT22),VLOOKUP(AT22,'Cadastro dos Ativos'!$A$2:$C$1000,3,0),"")</f>
        <v/>
      </c>
      <c r="AV22" s="242" t="str">
        <f>IF(AT22 &lt;&gt; "",SUMIFS('Alocação'!$O$3:$O$1002,'Alocação'!$C$3:$C$1002,AT22,'Alocação'!$F$3:$F$1002,AT$9,'Alocação'!$B$3:$B$1002,"&lt;="&amp;$B$6), "")</f>
        <v/>
      </c>
      <c r="AW22" s="243" t="str">
        <f>iferror(IF(AU22="Ações Americanas", HLOOKUP(AT22,'Histórico'!$A$1:$DD$990,MATCH($B$6,'Histórico'!$A:$A),FALSE)*HLOOKUP("PTAX",'Histórico'!$A$1:$FG$983,MATCH($B$6,'Histórico'!$A:$A),FALSE),IF(AU22="Ações Europeias", HLOOKUP(AT22,'Histórico'!$A$1:$DD$990,MATCH($B$6,'Histórico'!$A:$A),FALSE)*HLOOKUP("EUR/BRL",'Histórico'!$A$1:$FG$983,MATCH($B$6,'Histórico'!$A:$A),FALSE),  HLOOKUP(AT22,'Histórico'!$A$1:$DD$990,MATCH($B$6,'Histórico'!$A:$A),FALSE))),"")</f>
        <v/>
      </c>
      <c r="AX22" s="243" t="str">
        <f t="shared" si="13"/>
        <v/>
      </c>
      <c r="AY22" s="53"/>
    </row>
    <row r="23" ht="15.75" customHeight="1">
      <c r="A23" s="176"/>
      <c r="B23" s="288">
        <f>Controle!B23</f>
        <v>45022</v>
      </c>
      <c r="C23" s="233">
        <f>Controle!C23</f>
        <v>100626604.1</v>
      </c>
      <c r="D23" s="289">
        <f>Controle!D23</f>
        <v>115410188</v>
      </c>
      <c r="E23" s="290"/>
      <c r="F23" s="291">
        <f>Controle!F23</f>
        <v>101520247.5</v>
      </c>
      <c r="G23" s="289">
        <f>Controle!G23</f>
        <v>57288889.9</v>
      </c>
      <c r="H23" s="290"/>
      <c r="I23" s="291">
        <f>Controle!I23</f>
        <v>100585011.2</v>
      </c>
      <c r="J23" s="233">
        <f>Controle!J23</f>
        <v>100585021.9</v>
      </c>
      <c r="K23" s="292"/>
      <c r="L23" s="233">
        <f>Controle!L23</f>
        <v>100562125.6</v>
      </c>
      <c r="M23" s="233">
        <f>Controle!M23</f>
        <v>100585009</v>
      </c>
      <c r="N23" s="240">
        <f>Controle!N23</f>
        <v>-0.001833112793</v>
      </c>
      <c r="O23" s="240">
        <f>Controle!O23</f>
        <v>-0.0002892888165</v>
      </c>
      <c r="P23" s="240">
        <f>Controle!P23</f>
        <v>0.0004487969114</v>
      </c>
      <c r="Q23" s="240">
        <f>Controle!Q23</f>
        <v>0.000431286459</v>
      </c>
      <c r="R23" s="293">
        <f>Controle!R23</f>
        <v>100.63936</v>
      </c>
      <c r="S23" s="287"/>
      <c r="T23" s="233">
        <f t="shared" ref="T23:U23" si="26">IF(AND(C23&lt;&gt;"",F23&lt;&gt;"",I23&lt;&gt;""), SUM(I23,F23,C23),"")</f>
        <v>302731862.7</v>
      </c>
      <c r="U23" s="233">
        <f t="shared" si="26"/>
        <v>273284099.8</v>
      </c>
      <c r="V23" s="233">
        <f t="shared" si="6"/>
        <v>302.7318627</v>
      </c>
      <c r="W23" s="241">
        <f t="shared" si="9"/>
        <v>-0.0005581160101</v>
      </c>
      <c r="X23" s="241">
        <f t="shared" si="10"/>
        <v>-0.004461596937</v>
      </c>
      <c r="Y23" s="241">
        <f t="shared" si="19"/>
        <v>0.004085228854</v>
      </c>
      <c r="Z23" s="233">
        <f t="shared" si="7"/>
        <v>301.91808</v>
      </c>
      <c r="AA23" s="294"/>
      <c r="AB23" s="245"/>
      <c r="AC23" s="242" t="str">
        <f>IF(ISTEXT(AB23),VLOOKUP(AB23,'Cadastro dos Ativos'!$A$2:$C$1000,3,0),"")</f>
        <v/>
      </c>
      <c r="AD23" s="242" t="str">
        <f>IF(AB23 &lt;&gt; "",SUMIFS('Alocação'!$O$3:$O$1002,'Alocação'!$C$3:$C$1002,AB23,'Alocação'!$F$3:$F$1002,AB$9,'Alocação'!$B$3:$B$1002,"&lt;="&amp;$B$6), "")</f>
        <v/>
      </c>
      <c r="AE23" s="243" t="str">
        <f>iferror(IF(AC23="Ações Americanas", HLOOKUP(AB23,'Histórico'!$A$1:$DD$990,MATCH($B$6,'Histórico'!$A:$A),FALSE)*HLOOKUP("PTAX",'Histórico'!$A$1:$FG$983,MATCH($B$6,'Histórico'!$A:$A),FALSE),IF(AC23="Ações Europeias", HLOOKUP(AB23,'Histórico'!$A$1:$DD$990,MATCH($B$6,'Histórico'!$A:$A),FALSE)*HLOOKUP("EUR/BRL",'Histórico'!$A$1:$FG$983,MATCH($B$6,'Histórico'!$A:$A),FALSE),  HLOOKUP(AB23,'Histórico'!$A$1:$DD$990,MATCH($B$6,'Histórico'!$A:$A),FALSE))),"")</f>
        <v/>
      </c>
      <c r="AF23" s="243" t="str">
        <f t="shared" si="15"/>
        <v/>
      </c>
      <c r="AG23" s="53"/>
      <c r="AH23" s="245"/>
      <c r="AI23" s="242" t="str">
        <f>IF(ISTEXT(AH23),VLOOKUP(AH23,'Cadastro dos Ativos'!$A$2:$C$1000,3,0),"")</f>
        <v/>
      </c>
      <c r="AJ23" s="242" t="str">
        <f>IF(AH23 &lt;&gt; "",SUMIFS('Alocação'!$O$3:$O$1002,'Alocação'!$C$3:$C$1002,AH23,'Alocação'!$F$3:$F$1002,AH$9,'Alocação'!$B$3:$B$1002,"&lt;="&amp;$B$6), "")</f>
        <v/>
      </c>
      <c r="AK23" s="243" t="str">
        <f>iferror(IF(AI23="Ações Americanas", HLOOKUP(AH23,'Histórico'!$A$1:$DD$990,MATCH($B$6,'Histórico'!$A:$A),FALSE)*HLOOKUP("PTAX",'Histórico'!$A$1:$FG$983,MATCH($B$6,'Histórico'!$A:$A),FALSE),IF(AI23="Ações Europeias", HLOOKUP(AH23,'Histórico'!$A$1:$DD$990,MATCH($B$6,'Histórico'!$A:$A),FALSE)*HLOOKUP("EUR/BRL",'Histórico'!$A$1:$FG$983,MATCH($B$6,'Histórico'!$A:$A),FALSE),  HLOOKUP(AH23,'Histórico'!$A$1:$DD$990,MATCH($B$6,'Histórico'!$A:$A),FALSE))),"")</f>
        <v/>
      </c>
      <c r="AL23" s="243" t="str">
        <f t="shared" si="11"/>
        <v/>
      </c>
      <c r="AM23" s="53"/>
      <c r="AN23" s="245" t="str">
        <f>IFERROR(__xludf.DUMMYFUNCTION("""COMPUTED_VALUE"""),"CNH-V23")</f>
        <v>CNH-V23</v>
      </c>
      <c r="AO23" s="242" t="str">
        <f>IF(ISTEXT(AN23),VLOOKUP(AN23,'Cadastro dos Ativos'!$A$2:$C$1000,3,0),"")</f>
        <v>Futuros</v>
      </c>
      <c r="AP23" s="242">
        <f>IF(AN23 &lt;&gt; "",SUMIFS('Alocação'!$O$3:$O$1002,'Alocação'!$C$3:$C$1002,AN23,'Alocação'!$F$3:$F$1002,AN$9,'Alocação'!$B$3:$B$1002,"&lt;="&amp;$B$6), "")</f>
        <v>450</v>
      </c>
      <c r="AQ23" s="243">
        <f>iferror(IF(AO23="Ações Americanas", HLOOKUP(AN23,'Histórico'!$A$1:$DD$990,MATCH($B$6,'Histórico'!$A:$A),FALSE)*HLOOKUP("PTAX",'Histórico'!$A$1:$FG$983,MATCH($B$6,'Histórico'!$A:$A),FALSE),IF(AO23="Ações Europeias", HLOOKUP(AN23,'Histórico'!$A$1:$DD$990,MATCH($B$6,'Histórico'!$A:$A),FALSE)*HLOOKUP("EUR/BRL",'Histórico'!$A$1:$FG$983,MATCH($B$6,'Histórico'!$A:$A),FALSE),  HLOOKUP(AN23,'Histórico'!$A$1:$DD$990,MATCH($B$6,'Histórico'!$A:$A),FALSE))),"")</f>
        <v>-155.11</v>
      </c>
      <c r="AR23" s="243">
        <f t="shared" si="12"/>
        <v>-69799.5</v>
      </c>
      <c r="AS23" s="53"/>
      <c r="AT23" s="245"/>
      <c r="AU23" s="242" t="str">
        <f>IF(ISTEXT(AT23),VLOOKUP(AT23,'Cadastro dos Ativos'!$A$2:$C$1000,3,0),"")</f>
        <v/>
      </c>
      <c r="AV23" s="242" t="str">
        <f>IF(AT23 &lt;&gt; "",SUMIFS('Alocação'!$O$3:$O$1002,'Alocação'!$C$3:$C$1002,AT23,'Alocação'!$F$3:$F$1002,AT$9,'Alocação'!$B$3:$B$1002,"&lt;="&amp;$B$6), "")</f>
        <v/>
      </c>
      <c r="AW23" s="243" t="str">
        <f>iferror(IF(AU23="Ações Americanas", HLOOKUP(AT23,'Histórico'!$A$1:$DD$990,MATCH($B$6,'Histórico'!$A:$A),FALSE)*HLOOKUP("PTAX",'Histórico'!$A$1:$FG$983,MATCH($B$6,'Histórico'!$A:$A),FALSE),IF(AU23="Ações Europeias", HLOOKUP(AT23,'Histórico'!$A$1:$DD$990,MATCH($B$6,'Histórico'!$A:$A),FALSE)*HLOOKUP("EUR/BRL",'Histórico'!$A$1:$FG$983,MATCH($B$6,'Histórico'!$A:$A),FALSE),  HLOOKUP(AT23,'Histórico'!$A$1:$DD$990,MATCH($B$6,'Histórico'!$A:$A),FALSE))),"")</f>
        <v/>
      </c>
      <c r="AX23" s="243" t="str">
        <f t="shared" si="13"/>
        <v/>
      </c>
      <c r="AY23" s="53"/>
    </row>
    <row r="24" ht="15.75" customHeight="1">
      <c r="A24" s="176"/>
      <c r="B24" s="288">
        <f>Controle!B24</f>
        <v>45026</v>
      </c>
      <c r="C24" s="233">
        <f>Controle!C24</f>
        <v>99842460.17</v>
      </c>
      <c r="D24" s="289">
        <f>Controle!D24</f>
        <v>114668082.6</v>
      </c>
      <c r="E24" s="290"/>
      <c r="F24" s="291">
        <f>Controle!F24</f>
        <v>100643164</v>
      </c>
      <c r="G24" s="289">
        <f>Controle!G24</f>
        <v>56703220.41</v>
      </c>
      <c r="H24" s="290"/>
      <c r="I24" s="291">
        <f>Controle!I24</f>
        <v>100475721.6</v>
      </c>
      <c r="J24" s="233">
        <f>Controle!J24</f>
        <v>92667095.61</v>
      </c>
      <c r="K24" s="292"/>
      <c r="L24" s="233">
        <f>Controle!L24</f>
        <v>100605496.6</v>
      </c>
      <c r="M24" s="233">
        <f>Controle!M24</f>
        <v>100630151.2</v>
      </c>
      <c r="N24" s="240">
        <f>Controle!N24</f>
        <v>-0.00779261002</v>
      </c>
      <c r="O24" s="240">
        <f>Controle!O24</f>
        <v>-0.00863949359</v>
      </c>
      <c r="P24" s="240">
        <f>Controle!P24</f>
        <v>-0.001086539633</v>
      </c>
      <c r="Q24" s="240">
        <f>Controle!Q24</f>
        <v>0.000431286459</v>
      </c>
      <c r="R24" s="293">
        <f>Controle!R24</f>
        <v>100.6887105</v>
      </c>
      <c r="S24" s="287"/>
      <c r="T24" s="233">
        <f t="shared" ref="T24:U24" si="27">IF(AND(C24&lt;&gt;"",F24&lt;&gt;"",I24&lt;&gt;""), SUM(I24,F24,C24),"")</f>
        <v>300961345.7</v>
      </c>
      <c r="U24" s="233">
        <f t="shared" si="27"/>
        <v>264038398.6</v>
      </c>
      <c r="V24" s="233">
        <f t="shared" si="6"/>
        <v>300.9613457</v>
      </c>
      <c r="W24" s="241">
        <f t="shared" si="9"/>
        <v>-0.005848466018</v>
      </c>
      <c r="X24" s="241">
        <f t="shared" si="10"/>
        <v>-0.01028396946</v>
      </c>
      <c r="Y24" s="241">
        <f t="shared" si="19"/>
        <v>0.005068190945</v>
      </c>
      <c r="Z24" s="233">
        <f t="shared" si="7"/>
        <v>302.0661315</v>
      </c>
      <c r="AA24" s="294"/>
      <c r="AB24" s="245"/>
      <c r="AC24" s="242" t="str">
        <f>IF(ISTEXT(AB24),VLOOKUP(AB24,'Cadastro dos Ativos'!$A$2:$C$1000,3,0),"")</f>
        <v/>
      </c>
      <c r="AD24" s="242" t="str">
        <f>IF(AB24 &lt;&gt; "",SUMIFS('Alocação'!$O$3:$O$1002,'Alocação'!$C$3:$C$1002,AB24,'Alocação'!$F$3:$F$1002,AB$9,'Alocação'!$B$3:$B$1002,"&lt;="&amp;$B$6), "")</f>
        <v/>
      </c>
      <c r="AE24" s="243" t="str">
        <f>iferror(IF(AC24="Ações Americanas", HLOOKUP(AB24,'Histórico'!$A$1:$DD$990,MATCH($B$6,'Histórico'!$A:$A),FALSE)*HLOOKUP("PTAX",'Histórico'!$A$1:$FG$983,MATCH($B$6,'Histórico'!$A:$A),FALSE),IF(AC24="Ações Europeias", HLOOKUP(AB24,'Histórico'!$A$1:$DD$990,MATCH($B$6,'Histórico'!$A:$A),FALSE)*HLOOKUP("EUR/BRL",'Histórico'!$A$1:$FG$983,MATCH($B$6,'Histórico'!$A:$A),FALSE),  HLOOKUP(AB24,'Histórico'!$A$1:$DD$990,MATCH($B$6,'Histórico'!$A:$A),FALSE))),"")</f>
        <v/>
      </c>
      <c r="AF24" s="243" t="str">
        <f t="shared" si="15"/>
        <v/>
      </c>
      <c r="AG24" s="53"/>
      <c r="AH24" s="245"/>
      <c r="AI24" s="242" t="str">
        <f>IF(ISTEXT(AH24),VLOOKUP(AH24,'Cadastro dos Ativos'!$A$2:$C$1000,3,0),"")</f>
        <v/>
      </c>
      <c r="AJ24" s="242" t="str">
        <f>IF(AH24 &lt;&gt; "",SUMIFS('Alocação'!$O$3:$O$1002,'Alocação'!$C$3:$C$1002,AH24,'Alocação'!$F$3:$F$1002,AH$9,'Alocação'!$B$3:$B$1002,"&lt;="&amp;$B$6), "")</f>
        <v/>
      </c>
      <c r="AK24" s="243" t="str">
        <f>iferror(IF(AI24="Ações Americanas", HLOOKUP(AH24,'Histórico'!$A$1:$DD$990,MATCH($B$6,'Histórico'!$A:$A),FALSE)*HLOOKUP("PTAX",'Histórico'!$A$1:$FG$983,MATCH($B$6,'Histórico'!$A:$A),FALSE),IF(AI24="Ações Europeias", HLOOKUP(AH24,'Histórico'!$A$1:$DD$990,MATCH($B$6,'Histórico'!$A:$A),FALSE)*HLOOKUP("EUR/BRL",'Histórico'!$A$1:$FG$983,MATCH($B$6,'Histórico'!$A:$A),FALSE),  HLOOKUP(AH24,'Histórico'!$A$1:$DD$990,MATCH($B$6,'Histórico'!$A:$A),FALSE))),"")</f>
        <v/>
      </c>
      <c r="AL24" s="243" t="str">
        <f t="shared" si="11"/>
        <v/>
      </c>
      <c r="AM24" s="53"/>
      <c r="AN24" s="245"/>
      <c r="AO24" s="242" t="str">
        <f>IF(ISTEXT(AN24),VLOOKUP(AN24,'Cadastro dos Ativos'!$A$2:$C$1000,3,0),"")</f>
        <v/>
      </c>
      <c r="AP24" s="242" t="str">
        <f>IF(AN24 &lt;&gt; "",SUMIFS('Alocação'!$O$3:$O$1002,'Alocação'!$C$3:$C$1002,AN24,'Alocação'!$F$3:$F$1002,AN$9,'Alocação'!$B$3:$B$1002,"&lt;="&amp;$B$6), "")</f>
        <v/>
      </c>
      <c r="AQ24" s="243" t="str">
        <f>iferror(IF(AO24="Ações Americanas", HLOOKUP(AN24,'Histórico'!$A$1:$DD$990,MATCH($B$6,'Histórico'!$A:$A),FALSE)*HLOOKUP("PTAX",'Histórico'!$A$1:$FG$983,MATCH($B$6,'Histórico'!$A:$A),FALSE),IF(AO24="Ações Europeias", HLOOKUP(AN24,'Histórico'!$A$1:$DD$990,MATCH($B$6,'Histórico'!$A:$A),FALSE)*HLOOKUP("EUR/BRL",'Histórico'!$A$1:$FG$983,MATCH($B$6,'Histórico'!$A:$A),FALSE),  HLOOKUP(AN24,'Histórico'!$A$1:$DD$990,MATCH($B$6,'Histórico'!$A:$A),FALSE))),"")</f>
        <v/>
      </c>
      <c r="AR24" s="243" t="str">
        <f t="shared" si="12"/>
        <v/>
      </c>
      <c r="AS24" s="53"/>
      <c r="AT24" s="245"/>
      <c r="AU24" s="242" t="str">
        <f>IF(ISTEXT(AT24),VLOOKUP(AT24,'Cadastro dos Ativos'!$A$2:$C$1000,3,0),"")</f>
        <v/>
      </c>
      <c r="AV24" s="242" t="str">
        <f>IF(AT24 &lt;&gt; "",SUMIFS('Alocação'!$O$3:$O$1002,'Alocação'!$C$3:$C$1002,AT24,'Alocação'!$F$3:$F$1002,AT$9,'Alocação'!$B$3:$B$1002,"&lt;="&amp;$B$6), "")</f>
        <v/>
      </c>
      <c r="AW24" s="243" t="str">
        <f>iferror(IF(AU24="Ações Americanas", HLOOKUP(AT24,'Histórico'!$A$1:$DD$990,MATCH($B$6,'Histórico'!$A:$A),FALSE)*HLOOKUP("PTAX",'Histórico'!$A$1:$FG$983,MATCH($B$6,'Histórico'!$A:$A),FALSE),IF(AU24="Ações Europeias", HLOOKUP(AT24,'Histórico'!$A$1:$DD$990,MATCH($B$6,'Histórico'!$A:$A),FALSE)*HLOOKUP("EUR/BRL",'Histórico'!$A$1:$FG$983,MATCH($B$6,'Histórico'!$A:$A),FALSE),  HLOOKUP(AT24,'Histórico'!$A$1:$DD$990,MATCH($B$6,'Histórico'!$A:$A),FALSE))),"")</f>
        <v/>
      </c>
      <c r="AX24" s="243" t="str">
        <f t="shared" si="13"/>
        <v/>
      </c>
      <c r="AY24" s="53"/>
    </row>
    <row r="25" ht="15.75" customHeight="1">
      <c r="A25" s="176"/>
      <c r="B25" s="288">
        <f>Controle!B25</f>
        <v>45027</v>
      </c>
      <c r="C25" s="233">
        <f>Controle!C25</f>
        <v>100600879.1</v>
      </c>
      <c r="D25" s="289">
        <f>Controle!D25</f>
        <v>115396946.5</v>
      </c>
      <c r="E25" s="290"/>
      <c r="F25" s="291">
        <f>Controle!F25</f>
        <v>101357943.9</v>
      </c>
      <c r="G25" s="289">
        <f>Controle!G25</f>
        <v>110490524.4</v>
      </c>
      <c r="H25" s="290"/>
      <c r="I25" s="291">
        <f>Controle!I25</f>
        <v>100528015.7</v>
      </c>
      <c r="J25" s="233">
        <f>Controle!J25</f>
        <v>92980508.61</v>
      </c>
      <c r="K25" s="292"/>
      <c r="L25" s="233">
        <f>Controle!L25</f>
        <v>100648886.4</v>
      </c>
      <c r="M25" s="233">
        <f>Controle!M25</f>
        <v>100675313.7</v>
      </c>
      <c r="N25" s="240">
        <f>Controle!N25</f>
        <v>0.007596156493</v>
      </c>
      <c r="O25" s="240">
        <f>Controle!O25</f>
        <v>0.007102120703</v>
      </c>
      <c r="P25" s="240">
        <f>Controle!P25</f>
        <v>0.0005204652372</v>
      </c>
      <c r="Q25" s="240">
        <f>Controle!Q25</f>
        <v>0.000431286459</v>
      </c>
      <c r="R25" s="293">
        <f>Controle!R25</f>
        <v>100.7380852</v>
      </c>
      <c r="S25" s="287"/>
      <c r="T25" s="233">
        <f t="shared" ref="T25:U25" si="28">IF(AND(C25&lt;&gt;"",F25&lt;&gt;"",I25&lt;&gt;""), SUM(I25,F25,C25),"")</f>
        <v>302486838.7</v>
      </c>
      <c r="U25" s="233">
        <f t="shared" si="28"/>
        <v>318867979.5</v>
      </c>
      <c r="V25" s="233">
        <f t="shared" si="6"/>
        <v>302.4868387</v>
      </c>
      <c r="W25" s="241">
        <f t="shared" si="9"/>
        <v>0.005068733884</v>
      </c>
      <c r="X25" s="241">
        <f t="shared" si="10"/>
        <v>-0.005267362277</v>
      </c>
      <c r="Y25" s="241">
        <f t="shared" si="19"/>
        <v>0.004250269511</v>
      </c>
      <c r="Z25" s="233">
        <f t="shared" si="7"/>
        <v>302.2142557</v>
      </c>
      <c r="AA25" s="294"/>
      <c r="AB25" s="245"/>
      <c r="AC25" s="242" t="str">
        <f>IF(ISTEXT(AB25),VLOOKUP(AB25,'Cadastro dos Ativos'!$A$2:$C$1000,3,0),"")</f>
        <v/>
      </c>
      <c r="AD25" s="242" t="str">
        <f>IF(AB25 &lt;&gt; "",SUMIFS('Alocação'!$O$3:$O$1002,'Alocação'!$C$3:$C$1002,AB25,'Alocação'!$F$3:$F$1002,AB$9,'Alocação'!$B$3:$B$1002,"&lt;="&amp;$B$6), "")</f>
        <v/>
      </c>
      <c r="AE25" s="243" t="str">
        <f>iferror(IF(AC25="Ações Americanas", HLOOKUP(AB25,'Histórico'!$A$1:$DD$990,MATCH($B$6,'Histórico'!$A:$A),FALSE)*HLOOKUP("PTAX",'Histórico'!$A$1:$FG$983,MATCH($B$6,'Histórico'!$A:$A),FALSE),IF(AC25="Ações Europeias", HLOOKUP(AB25,'Histórico'!$A$1:$DD$990,MATCH($B$6,'Histórico'!$A:$A),FALSE)*HLOOKUP("EUR/BRL",'Histórico'!$A$1:$FG$983,MATCH($B$6,'Histórico'!$A:$A),FALSE),  HLOOKUP(AB25,'Histórico'!$A$1:$DD$990,MATCH($B$6,'Histórico'!$A:$A),FALSE))),"")</f>
        <v/>
      </c>
      <c r="AF25" s="243" t="str">
        <f t="shared" si="15"/>
        <v/>
      </c>
      <c r="AG25" s="53"/>
      <c r="AH25" s="245"/>
      <c r="AI25" s="242" t="str">
        <f>IF(ISTEXT(AH25),VLOOKUP(AH25,'Cadastro dos Ativos'!$A$2:$C$1000,3,0),"")</f>
        <v/>
      </c>
      <c r="AJ25" s="242" t="str">
        <f>IF(AH25 &lt;&gt; "",SUMIFS('Alocação'!$O$3:$O$1002,'Alocação'!$C$3:$C$1002,AH25,'Alocação'!$F$3:$F$1002,AH$9,'Alocação'!$B$3:$B$1002,"&lt;="&amp;$B$6), "")</f>
        <v/>
      </c>
      <c r="AK25" s="243" t="str">
        <f>iferror(IF(AI25="Ações Americanas", HLOOKUP(AH25,'Histórico'!$A$1:$DD$990,MATCH($B$6,'Histórico'!$A:$A),FALSE)*HLOOKUP("PTAX",'Histórico'!$A$1:$FG$983,MATCH($B$6,'Histórico'!$A:$A),FALSE),IF(AI25="Ações Europeias", HLOOKUP(AH25,'Histórico'!$A$1:$DD$990,MATCH($B$6,'Histórico'!$A:$A),FALSE)*HLOOKUP("EUR/BRL",'Histórico'!$A$1:$FG$983,MATCH($B$6,'Histórico'!$A:$A),FALSE),  HLOOKUP(AH25,'Histórico'!$A$1:$DD$990,MATCH($B$6,'Histórico'!$A:$A),FALSE))),"")</f>
        <v/>
      </c>
      <c r="AL25" s="243" t="str">
        <f t="shared" si="11"/>
        <v/>
      </c>
      <c r="AM25" s="53"/>
      <c r="AN25" s="245"/>
      <c r="AO25" s="242" t="str">
        <f>IF(ISTEXT(AN25),VLOOKUP(AN25,'Cadastro dos Ativos'!$A$2:$C$1000,3,0),"")</f>
        <v/>
      </c>
      <c r="AP25" s="242" t="str">
        <f>IF(AN25 &lt;&gt; "",SUMIFS('Alocação'!$O$3:$O$1002,'Alocação'!$C$3:$C$1002,AN25,'Alocação'!$F$3:$F$1002,AN$9,'Alocação'!$B$3:$B$1002,"&lt;="&amp;$B$6), "")</f>
        <v/>
      </c>
      <c r="AQ25" s="243" t="str">
        <f>iferror(IF(AO25="Ações Americanas", HLOOKUP(AN25,'Histórico'!$A$1:$DD$990,MATCH($B$6,'Histórico'!$A:$A),FALSE)*HLOOKUP("PTAX",'Histórico'!$A$1:$FG$983,MATCH($B$6,'Histórico'!$A:$A),FALSE),IF(AO25="Ações Europeias", HLOOKUP(AN25,'Histórico'!$A$1:$DD$990,MATCH($B$6,'Histórico'!$A:$A),FALSE)*HLOOKUP("EUR/BRL",'Histórico'!$A$1:$FG$983,MATCH($B$6,'Histórico'!$A:$A),FALSE),  HLOOKUP(AN25,'Histórico'!$A$1:$DD$990,MATCH($B$6,'Histórico'!$A:$A),FALSE))),"")</f>
        <v/>
      </c>
      <c r="AR25" s="243" t="str">
        <f t="shared" si="12"/>
        <v/>
      </c>
      <c r="AS25" s="53"/>
      <c r="AT25" s="245"/>
      <c r="AU25" s="242" t="str">
        <f>IF(ISTEXT(AT25),VLOOKUP(AT25,'Cadastro dos Ativos'!$A$2:$C$1000,3,0),"")</f>
        <v/>
      </c>
      <c r="AV25" s="242" t="str">
        <f>IF(AT25 &lt;&gt; "",SUMIFS('Alocação'!$O$3:$O$1002,'Alocação'!$C$3:$C$1002,AT25,'Alocação'!$F$3:$F$1002,AT$9,'Alocação'!$B$3:$B$1002,"&lt;="&amp;$B$6), "")</f>
        <v/>
      </c>
      <c r="AW25" s="243" t="str">
        <f>iferror(IF(AU25="Ações Americanas", HLOOKUP(AT25,'Histórico'!$A$1:$DD$990,MATCH($B$6,'Histórico'!$A:$A),FALSE)*HLOOKUP("PTAX",'Histórico'!$A$1:$FG$983,MATCH($B$6,'Histórico'!$A:$A),FALSE),IF(AU25="Ações Europeias", HLOOKUP(AT25,'Histórico'!$A$1:$DD$990,MATCH($B$6,'Histórico'!$A:$A),FALSE)*HLOOKUP("EUR/BRL",'Histórico'!$A$1:$FG$983,MATCH($B$6,'Histórico'!$A:$A),FALSE),  HLOOKUP(AT25,'Histórico'!$A$1:$DD$990,MATCH($B$6,'Histórico'!$A:$A),FALSE))),"")</f>
        <v/>
      </c>
      <c r="AX25" s="243" t="str">
        <f t="shared" si="13"/>
        <v/>
      </c>
      <c r="AY25" s="53"/>
    </row>
    <row r="26" ht="15.75" customHeight="1">
      <c r="A26" s="176"/>
      <c r="B26" s="288">
        <f>Controle!B26</f>
        <v>45028</v>
      </c>
      <c r="C26" s="233">
        <f>Controle!C26</f>
        <v>101116291.5</v>
      </c>
      <c r="D26" s="289">
        <f>Controle!D26</f>
        <v>116002116.8</v>
      </c>
      <c r="E26" s="290"/>
      <c r="F26" s="291">
        <f>Controle!F26</f>
        <v>102062846.5</v>
      </c>
      <c r="G26" s="289">
        <f>Controle!G26</f>
        <v>126325573.9</v>
      </c>
      <c r="H26" s="290"/>
      <c r="I26" s="291">
        <f>Controle!I26</f>
        <v>100633209.4</v>
      </c>
      <c r="J26" s="233">
        <f>Controle!J26</f>
        <v>93152444.33</v>
      </c>
      <c r="K26" s="292"/>
      <c r="L26" s="233">
        <f>Controle!L26</f>
        <v>100692294.9</v>
      </c>
      <c r="M26" s="233">
        <f>Controle!M26</f>
        <v>100720496.4</v>
      </c>
      <c r="N26" s="240">
        <f>Controle!N26</f>
        <v>0.005123338379</v>
      </c>
      <c r="O26" s="240">
        <f>Controle!O26</f>
        <v>0.006954586842</v>
      </c>
      <c r="P26" s="240">
        <f>Controle!P26</f>
        <v>0.001046411699</v>
      </c>
      <c r="Q26" s="240">
        <f>Controle!Q26</f>
        <v>0.000431286459</v>
      </c>
      <c r="R26" s="293">
        <f>Controle!R26</f>
        <v>100.7874842</v>
      </c>
      <c r="S26" s="287"/>
      <c r="T26" s="233">
        <f t="shared" ref="T26:U26" si="29">IF(AND(C26&lt;&gt;"",F26&lt;&gt;"",I26&lt;&gt;""), SUM(I26,F26,C26),"")</f>
        <v>303812347.4</v>
      </c>
      <c r="U26" s="233">
        <f t="shared" si="29"/>
        <v>335480135</v>
      </c>
      <c r="V26" s="233">
        <f t="shared" si="6"/>
        <v>303.8123474</v>
      </c>
      <c r="W26" s="241">
        <f t="shared" si="9"/>
        <v>0.004382037464</v>
      </c>
      <c r="X26" s="241">
        <f t="shared" si="10"/>
        <v>-0.0009084065922</v>
      </c>
      <c r="Y26" s="241">
        <f t="shared" si="19"/>
        <v>0.004860970144</v>
      </c>
      <c r="Z26" s="233">
        <f t="shared" si="7"/>
        <v>302.3624525</v>
      </c>
      <c r="AA26" s="294"/>
      <c r="AB26" s="245"/>
      <c r="AC26" s="242" t="str">
        <f>IF(ISTEXT(AB26),VLOOKUP(AB26,'Cadastro dos Ativos'!$A$2:$C$1000,3,0),"")</f>
        <v/>
      </c>
      <c r="AD26" s="242" t="str">
        <f>IF(AB26 &lt;&gt; "",SUMIFS('Alocação'!$O$3:$O$1002,'Alocação'!$C$3:$C$1002,AB26,'Alocação'!$F$3:$F$1002,AB$9,'Alocação'!$B$3:$B$1002,"&lt;="&amp;$B$6), "")</f>
        <v/>
      </c>
      <c r="AE26" s="243" t="str">
        <f>iferror(IF(AC26="Ações Americanas", HLOOKUP(AB26,'Histórico'!$A$1:$DD$990,MATCH($B$6,'Histórico'!$A:$A),FALSE)*HLOOKUP("PTAX",'Histórico'!$A$1:$FG$983,MATCH($B$6,'Histórico'!$A:$A),FALSE),IF(AC26="Ações Europeias", HLOOKUP(AB26,'Histórico'!$A$1:$DD$990,MATCH($B$6,'Histórico'!$A:$A),FALSE)*HLOOKUP("EUR/BRL",'Histórico'!$A$1:$FG$983,MATCH($B$6,'Histórico'!$A:$A),FALSE),  HLOOKUP(AB26,'Histórico'!$A$1:$DD$990,MATCH($B$6,'Histórico'!$A:$A),FALSE))),"")</f>
        <v/>
      </c>
      <c r="AF26" s="243" t="str">
        <f t="shared" si="15"/>
        <v/>
      </c>
      <c r="AG26" s="53"/>
      <c r="AH26" s="245"/>
      <c r="AI26" s="242" t="str">
        <f>IF(ISTEXT(AH26),VLOOKUP(AH26,'Cadastro dos Ativos'!$A$2:$C$1000,3,0),"")</f>
        <v/>
      </c>
      <c r="AJ26" s="242" t="str">
        <f>IF(AH26 &lt;&gt; "",SUMIFS('Alocação'!$O$3:$O$1002,'Alocação'!$C$3:$C$1002,AH26,'Alocação'!$F$3:$F$1002,AH$9,'Alocação'!$B$3:$B$1002,"&lt;="&amp;$B$6), "")</f>
        <v/>
      </c>
      <c r="AK26" s="243" t="str">
        <f>iferror(IF(AI26="Ações Americanas", HLOOKUP(AH26,'Histórico'!$A$1:$DD$990,MATCH($B$6,'Histórico'!$A:$A),FALSE)*HLOOKUP("PTAX",'Histórico'!$A$1:$FG$983,MATCH($B$6,'Histórico'!$A:$A),FALSE),IF(AI26="Ações Europeias", HLOOKUP(AH26,'Histórico'!$A$1:$DD$990,MATCH($B$6,'Histórico'!$A:$A),FALSE)*HLOOKUP("EUR/BRL",'Histórico'!$A$1:$FG$983,MATCH($B$6,'Histórico'!$A:$A),FALSE),  HLOOKUP(AH26,'Histórico'!$A$1:$DD$990,MATCH($B$6,'Histórico'!$A:$A),FALSE))),"")</f>
        <v/>
      </c>
      <c r="AL26" s="243" t="str">
        <f t="shared" si="11"/>
        <v/>
      </c>
      <c r="AM26" s="53"/>
      <c r="AN26" s="245"/>
      <c r="AO26" s="242" t="str">
        <f>IF(ISTEXT(AN26),VLOOKUP(AN26,'Cadastro dos Ativos'!$A$2:$C$1000,3,0),"")</f>
        <v/>
      </c>
      <c r="AP26" s="242" t="str">
        <f>IF(AN26 &lt;&gt; "",SUMIFS('Alocação'!$O$3:$O$1002,'Alocação'!$C$3:$C$1002,AN26,'Alocação'!$F$3:$F$1002,AN$9,'Alocação'!$B$3:$B$1002,"&lt;="&amp;$B$6), "")</f>
        <v/>
      </c>
      <c r="AQ26" s="243" t="str">
        <f>iferror(IF(AO26="Ações Americanas", HLOOKUP(AN26,'Histórico'!$A$1:$DD$990,MATCH($B$6,'Histórico'!$A:$A),FALSE)*HLOOKUP("PTAX",'Histórico'!$A$1:$FG$983,MATCH($B$6,'Histórico'!$A:$A),FALSE),IF(AO26="Ações Europeias", HLOOKUP(AN26,'Histórico'!$A$1:$DD$990,MATCH($B$6,'Histórico'!$A:$A),FALSE)*HLOOKUP("EUR/BRL",'Histórico'!$A$1:$FG$983,MATCH($B$6,'Histórico'!$A:$A),FALSE),  HLOOKUP(AN26,'Histórico'!$A$1:$DD$990,MATCH($B$6,'Histórico'!$A:$A),FALSE))),"")</f>
        <v/>
      </c>
      <c r="AR26" s="243" t="str">
        <f t="shared" si="12"/>
        <v/>
      </c>
      <c r="AS26" s="53"/>
      <c r="AT26" s="245"/>
      <c r="AU26" s="242" t="str">
        <f>IF(ISTEXT(AT26),VLOOKUP(AT26,'Cadastro dos Ativos'!$A$2:$C$1000,3,0),"")</f>
        <v/>
      </c>
      <c r="AV26" s="242" t="str">
        <f>IF(AT26 &lt;&gt; "",SUMIFS('Alocação'!$O$3:$O$1002,'Alocação'!$C$3:$C$1002,AT26,'Alocação'!$F$3:$F$1002,AT$9,'Alocação'!$B$3:$B$1002,"&lt;="&amp;$B$6), "")</f>
        <v/>
      </c>
      <c r="AW26" s="243" t="str">
        <f>iferror(IF(AU26="Ações Americanas", HLOOKUP(AT26,'Histórico'!$A$1:$DD$990,MATCH($B$6,'Histórico'!$A:$A),FALSE)*HLOOKUP("PTAX",'Histórico'!$A$1:$FG$983,MATCH($B$6,'Histórico'!$A:$A),FALSE),IF(AU26="Ações Europeias", HLOOKUP(AT26,'Histórico'!$A$1:$DD$990,MATCH($B$6,'Histórico'!$A:$A),FALSE)*HLOOKUP("EUR/BRL",'Histórico'!$A$1:$FG$983,MATCH($B$6,'Histórico'!$A:$A),FALSE),  HLOOKUP(AT26,'Histórico'!$A$1:$DD$990,MATCH($B$6,'Histórico'!$A:$A),FALSE))),"")</f>
        <v/>
      </c>
      <c r="AX26" s="243" t="str">
        <f t="shared" si="13"/>
        <v/>
      </c>
      <c r="AY26" s="53"/>
    </row>
    <row r="27" ht="15.75" customHeight="1">
      <c r="A27" s="176"/>
      <c r="B27" s="288">
        <f>Controle!B27</f>
        <v>45029</v>
      </c>
      <c r="C27" s="233">
        <f>Controle!C27</f>
        <v>101737184.1</v>
      </c>
      <c r="D27" s="289">
        <f>Controle!D27</f>
        <v>116587174.2</v>
      </c>
      <c r="E27" s="290"/>
      <c r="F27" s="291">
        <f>Controle!F27</f>
        <v>103029683.8</v>
      </c>
      <c r="G27" s="289">
        <f>Controle!G27</f>
        <v>127018735.8</v>
      </c>
      <c r="H27" s="290"/>
      <c r="I27" s="291">
        <f>Controle!I27</f>
        <v>100882353.1</v>
      </c>
      <c r="J27" s="233">
        <f>Controle!J27</f>
        <v>93305650.93</v>
      </c>
      <c r="K27" s="292"/>
      <c r="L27" s="233">
        <f>Controle!L27</f>
        <v>100735722.2</v>
      </c>
      <c r="M27" s="233">
        <f>Controle!M27</f>
        <v>100765699.4</v>
      </c>
      <c r="N27" s="240">
        <f>Controle!N27</f>
        <v>0.006140382109</v>
      </c>
      <c r="O27" s="240">
        <f>Controle!O27</f>
        <v>0.00947296</v>
      </c>
      <c r="P27" s="240">
        <f>Controle!P27</f>
        <v>0.002475760945</v>
      </c>
      <c r="Q27" s="240">
        <f>Controle!Q27</f>
        <v>0.000431286459</v>
      </c>
      <c r="R27" s="293">
        <f>Controle!R27</f>
        <v>100.8369073</v>
      </c>
      <c r="S27" s="287"/>
      <c r="T27" s="233">
        <f t="shared" ref="T27:U27" si="30">IF(AND(C27&lt;&gt;"",F27&lt;&gt;"",I27&lt;&gt;""), SUM(I27,F27,C27),"")</f>
        <v>305649221.1</v>
      </c>
      <c r="U27" s="233">
        <f t="shared" si="30"/>
        <v>336911561</v>
      </c>
      <c r="V27" s="233">
        <f t="shared" si="6"/>
        <v>305.6492211</v>
      </c>
      <c r="W27" s="241">
        <f t="shared" si="9"/>
        <v>0.006046079809</v>
      </c>
      <c r="X27" s="241">
        <f t="shared" si="10"/>
        <v>0</v>
      </c>
      <c r="Y27" s="241">
        <f t="shared" si="19"/>
        <v>0.00498595142</v>
      </c>
      <c r="Z27" s="233">
        <f t="shared" si="7"/>
        <v>302.510722</v>
      </c>
      <c r="AA27" s="294"/>
      <c r="AB27" s="245"/>
      <c r="AC27" s="242" t="str">
        <f>IF(ISTEXT(AB27),VLOOKUP(AB27,'Cadastro dos Ativos'!$A$2:$C$1000,3,0),"")</f>
        <v/>
      </c>
      <c r="AD27" s="242" t="str">
        <f>IF(AB27 &lt;&gt; "",SUMIFS('Alocação'!$O$3:$O$1002,'Alocação'!$C$3:$C$1002,AB27,'Alocação'!$F$3:$F$1002,AB$9,'Alocação'!$B$3:$B$1002,"&lt;="&amp;$B$6), "")</f>
        <v/>
      </c>
      <c r="AE27" s="243" t="str">
        <f>iferror(IF(AC27="Ações Americanas", HLOOKUP(AB27,'Histórico'!$A$1:$DD$990,MATCH($B$6,'Histórico'!$A:$A),FALSE)*HLOOKUP("PTAX",'Histórico'!$A$1:$FG$983,MATCH($B$6,'Histórico'!$A:$A),FALSE),IF(AC27="Ações Europeias", HLOOKUP(AB27,'Histórico'!$A$1:$DD$990,MATCH($B$6,'Histórico'!$A:$A),FALSE)*HLOOKUP("EUR/BRL",'Histórico'!$A$1:$FG$983,MATCH($B$6,'Histórico'!$A:$A),FALSE),  HLOOKUP(AB27,'Histórico'!$A$1:$DD$990,MATCH($B$6,'Histórico'!$A:$A),FALSE))),"")</f>
        <v/>
      </c>
      <c r="AF27" s="243" t="str">
        <f t="shared" si="15"/>
        <v/>
      </c>
      <c r="AG27" s="53"/>
      <c r="AH27" s="245"/>
      <c r="AI27" s="242" t="str">
        <f>IF(ISTEXT(AH27),VLOOKUP(AH27,'Cadastro dos Ativos'!$A$2:$C$1000,3,0),"")</f>
        <v/>
      </c>
      <c r="AJ27" s="242" t="str">
        <f>IF(AH27 &lt;&gt; "",SUMIFS('Alocação'!$O$3:$O$1002,'Alocação'!$C$3:$C$1002,AH27,'Alocação'!$F$3:$F$1002,AH$9,'Alocação'!$B$3:$B$1002,"&lt;="&amp;$B$6), "")</f>
        <v/>
      </c>
      <c r="AK27" s="243" t="str">
        <f>iferror(IF(AI27="Ações Americanas", HLOOKUP(AH27,'Histórico'!$A$1:$DD$990,MATCH($B$6,'Histórico'!$A:$A),FALSE)*HLOOKUP("PTAX",'Histórico'!$A$1:$FG$983,MATCH($B$6,'Histórico'!$A:$A),FALSE),IF(AI27="Ações Europeias", HLOOKUP(AH27,'Histórico'!$A$1:$DD$990,MATCH($B$6,'Histórico'!$A:$A),FALSE)*HLOOKUP("EUR/BRL",'Histórico'!$A$1:$FG$983,MATCH($B$6,'Histórico'!$A:$A),FALSE),  HLOOKUP(AH27,'Histórico'!$A$1:$DD$990,MATCH($B$6,'Histórico'!$A:$A),FALSE))),"")</f>
        <v/>
      </c>
      <c r="AL27" s="243" t="str">
        <f t="shared" si="11"/>
        <v/>
      </c>
      <c r="AM27" s="53"/>
      <c r="AN27" s="245"/>
      <c r="AO27" s="242" t="str">
        <f>IF(ISTEXT(AN27),VLOOKUP(AN27,'Cadastro dos Ativos'!$A$2:$C$1000,3,0),"")</f>
        <v/>
      </c>
      <c r="AP27" s="242" t="str">
        <f>IF(AN27 &lt;&gt; "",SUMIFS('Alocação'!$O$3:$O$1002,'Alocação'!$C$3:$C$1002,AN27,'Alocação'!$F$3:$F$1002,AN$9,'Alocação'!$B$3:$B$1002,"&lt;="&amp;$B$6), "")</f>
        <v/>
      </c>
      <c r="AQ27" s="243" t="str">
        <f>iferror(IF(AO27="Ações Americanas", HLOOKUP(AN27,'Histórico'!$A$1:$DD$990,MATCH($B$6,'Histórico'!$A:$A),FALSE)*HLOOKUP("PTAX",'Histórico'!$A$1:$FG$983,MATCH($B$6,'Histórico'!$A:$A),FALSE),IF(AO27="Ações Europeias", HLOOKUP(AN27,'Histórico'!$A$1:$DD$990,MATCH($B$6,'Histórico'!$A:$A),FALSE)*HLOOKUP("EUR/BRL",'Histórico'!$A$1:$FG$983,MATCH($B$6,'Histórico'!$A:$A),FALSE),  HLOOKUP(AN27,'Histórico'!$A$1:$DD$990,MATCH($B$6,'Histórico'!$A:$A),FALSE))),"")</f>
        <v/>
      </c>
      <c r="AR27" s="243" t="str">
        <f t="shared" si="12"/>
        <v/>
      </c>
      <c r="AS27" s="53"/>
      <c r="AT27" s="245"/>
      <c r="AU27" s="242" t="str">
        <f>IF(ISTEXT(AT27),VLOOKUP(AT27,'Cadastro dos Ativos'!$A$2:$C$1000,3,0),"")</f>
        <v/>
      </c>
      <c r="AV27" s="242" t="str">
        <f>IF(AT27 &lt;&gt; "",SUMIFS('Alocação'!$O$3:$O$1002,'Alocação'!$C$3:$C$1002,AT27,'Alocação'!$F$3:$F$1002,AT$9,'Alocação'!$B$3:$B$1002,"&lt;="&amp;$B$6), "")</f>
        <v/>
      </c>
      <c r="AW27" s="243" t="str">
        <f>iferror(IF(AU27="Ações Americanas", HLOOKUP(AT27,'Histórico'!$A$1:$DD$990,MATCH($B$6,'Histórico'!$A:$A),FALSE)*HLOOKUP("PTAX",'Histórico'!$A$1:$FG$983,MATCH($B$6,'Histórico'!$A:$A),FALSE),IF(AU27="Ações Europeias", HLOOKUP(AT27,'Histórico'!$A$1:$DD$990,MATCH($B$6,'Histórico'!$A:$A),FALSE)*HLOOKUP("EUR/BRL",'Histórico'!$A$1:$FG$983,MATCH($B$6,'Histórico'!$A:$A),FALSE),  HLOOKUP(AT27,'Histórico'!$A$1:$DD$990,MATCH($B$6,'Histórico'!$A:$A),FALSE))),"")</f>
        <v/>
      </c>
      <c r="AX27" s="243" t="str">
        <f t="shared" si="13"/>
        <v/>
      </c>
      <c r="AY27" s="53"/>
    </row>
    <row r="28" ht="15.75" customHeight="1">
      <c r="A28" s="176"/>
      <c r="B28" s="288">
        <f>Controle!B28</f>
        <v>45030</v>
      </c>
      <c r="C28" s="233">
        <f>Controle!C28</f>
        <v>101182665.1</v>
      </c>
      <c r="D28" s="289">
        <f>Controle!D28</f>
        <v>116113377.6</v>
      </c>
      <c r="E28" s="290"/>
      <c r="F28" s="291">
        <f>Controle!F28</f>
        <v>102516734.4</v>
      </c>
      <c r="G28" s="289">
        <f>Controle!G28</f>
        <v>138203375.8</v>
      </c>
      <c r="H28" s="290"/>
      <c r="I28" s="291">
        <f>Controle!I28</f>
        <v>100850267.7</v>
      </c>
      <c r="J28" s="233">
        <f>Controle!J28</f>
        <v>93256730.36</v>
      </c>
      <c r="K28" s="292"/>
      <c r="L28" s="233">
        <f>Controle!L28</f>
        <v>100779168.1</v>
      </c>
      <c r="M28" s="233">
        <f>Controle!M28</f>
        <v>100810922.7</v>
      </c>
      <c r="N28" s="240">
        <f>Controle!N28</f>
        <v>-0.005450505461</v>
      </c>
      <c r="O28" s="240">
        <f>Controle!O28</f>
        <v>-0.004978656382</v>
      </c>
      <c r="P28" s="240">
        <f>Controle!P28</f>
        <v>-0.0003180477646</v>
      </c>
      <c r="Q28" s="240">
        <f>Controle!Q28</f>
        <v>0.000431286459</v>
      </c>
      <c r="R28" s="293">
        <f>Controle!R28</f>
        <v>100.8863547</v>
      </c>
      <c r="S28" s="287"/>
      <c r="T28" s="233">
        <f t="shared" ref="T28:U28" si="31">IF(AND(C28&lt;&gt;"",F28&lt;&gt;"",I28&lt;&gt;""), SUM(I28,F28,C28),"")</f>
        <v>304549667.2</v>
      </c>
      <c r="U28" s="233">
        <f t="shared" si="31"/>
        <v>347573483.7</v>
      </c>
      <c r="V28" s="233">
        <f t="shared" si="6"/>
        <v>304.5496672</v>
      </c>
      <c r="W28" s="241">
        <f t="shared" si="9"/>
        <v>-0.003597437198</v>
      </c>
      <c r="X28" s="241">
        <f t="shared" si="10"/>
        <v>-0.003597437198</v>
      </c>
      <c r="Y28" s="241">
        <f t="shared" si="19"/>
        <v>0.005506194501</v>
      </c>
      <c r="Z28" s="233">
        <f t="shared" si="7"/>
        <v>302.6590642</v>
      </c>
      <c r="AA28" s="294"/>
      <c r="AB28" s="245"/>
      <c r="AC28" s="242" t="str">
        <f>IF(ISTEXT(AB28),VLOOKUP(AB28,'Cadastro dos Ativos'!$A$2:$C$1000,3,0),"")</f>
        <v/>
      </c>
      <c r="AD28" s="242" t="str">
        <f>IF(AB28 &lt;&gt; "",SUMIFS('Alocação'!$O$3:$O$1002,'Alocação'!$C$3:$C$1002,AB28,'Alocação'!$F$3:$F$1002,AB$9,'Alocação'!$B$3:$B$1002,"&lt;="&amp;$B$6), "")</f>
        <v/>
      </c>
      <c r="AE28" s="243" t="str">
        <f>iferror(IF(AC28="Ações Americanas", HLOOKUP(AB28,'Histórico'!$A$1:$DD$990,MATCH($B$6,'Histórico'!$A:$A),FALSE)*HLOOKUP("PTAX",'Histórico'!$A$1:$FG$983,MATCH($B$6,'Histórico'!$A:$A),FALSE),IF(AC28="Ações Europeias", HLOOKUP(AB28,'Histórico'!$A$1:$DD$990,MATCH($B$6,'Histórico'!$A:$A),FALSE)*HLOOKUP("EUR/BRL",'Histórico'!$A$1:$FG$983,MATCH($B$6,'Histórico'!$A:$A),FALSE),  HLOOKUP(AB28,'Histórico'!$A$1:$DD$990,MATCH($B$6,'Histórico'!$A:$A),FALSE))),"")</f>
        <v/>
      </c>
      <c r="AF28" s="243" t="str">
        <f t="shared" si="15"/>
        <v/>
      </c>
      <c r="AG28" s="53"/>
      <c r="AH28" s="245"/>
      <c r="AI28" s="242" t="str">
        <f>IF(ISTEXT(AH28),VLOOKUP(AH28,'Cadastro dos Ativos'!$A$2:$C$1000,3,0),"")</f>
        <v/>
      </c>
      <c r="AJ28" s="242" t="str">
        <f>IF(AH28 &lt;&gt; "",SUMIFS('Alocação'!$O$3:$O$1002,'Alocação'!$C$3:$C$1002,AH28,'Alocação'!$F$3:$F$1002,AH$9,'Alocação'!$B$3:$B$1002,"&lt;="&amp;$B$6), "")</f>
        <v/>
      </c>
      <c r="AK28" s="243" t="str">
        <f>iferror(IF(AI28="Ações Americanas", HLOOKUP(AH28,'Histórico'!$A$1:$DD$990,MATCH($B$6,'Histórico'!$A:$A),FALSE)*HLOOKUP("PTAX",'Histórico'!$A$1:$FG$983,MATCH($B$6,'Histórico'!$A:$A),FALSE),IF(AI28="Ações Europeias", HLOOKUP(AH28,'Histórico'!$A$1:$DD$990,MATCH($B$6,'Histórico'!$A:$A),FALSE)*HLOOKUP("EUR/BRL",'Histórico'!$A$1:$FG$983,MATCH($B$6,'Histórico'!$A:$A),FALSE),  HLOOKUP(AH28,'Histórico'!$A$1:$DD$990,MATCH($B$6,'Histórico'!$A:$A),FALSE))),"")</f>
        <v/>
      </c>
      <c r="AL28" s="243" t="str">
        <f t="shared" si="11"/>
        <v/>
      </c>
      <c r="AM28" s="53"/>
      <c r="AN28" s="245"/>
      <c r="AO28" s="242" t="str">
        <f>IF(ISTEXT(AN28),VLOOKUP(AN28,'Cadastro dos Ativos'!$A$2:$C$1000,3,0),"")</f>
        <v/>
      </c>
      <c r="AP28" s="242" t="str">
        <f>IF(AN28 &lt;&gt; "",SUMIFS('Alocação'!$O$3:$O$1002,'Alocação'!$C$3:$C$1002,AN28,'Alocação'!$F$3:$F$1002,AN$9,'Alocação'!$B$3:$B$1002,"&lt;="&amp;$B$6), "")</f>
        <v/>
      </c>
      <c r="AQ28" s="243" t="str">
        <f>iferror(IF(AO28="Ações Americanas", HLOOKUP(AN28,'Histórico'!$A$1:$DD$990,MATCH($B$6,'Histórico'!$A:$A),FALSE)*HLOOKUP("PTAX",'Histórico'!$A$1:$FG$983,MATCH($B$6,'Histórico'!$A:$A),FALSE),IF(AO28="Ações Europeias", HLOOKUP(AN28,'Histórico'!$A$1:$DD$990,MATCH($B$6,'Histórico'!$A:$A),FALSE)*HLOOKUP("EUR/BRL",'Histórico'!$A$1:$FG$983,MATCH($B$6,'Histórico'!$A:$A),FALSE),  HLOOKUP(AN28,'Histórico'!$A$1:$DD$990,MATCH($B$6,'Histórico'!$A:$A),FALSE))),"")</f>
        <v/>
      </c>
      <c r="AR28" s="243" t="str">
        <f t="shared" si="12"/>
        <v/>
      </c>
      <c r="AS28" s="53"/>
      <c r="AT28" s="245"/>
      <c r="AU28" s="242" t="str">
        <f>IF(ISTEXT(AT28),VLOOKUP(AT28,'Cadastro dos Ativos'!$A$2:$C$1000,3,0),"")</f>
        <v/>
      </c>
      <c r="AV28" s="242" t="str">
        <f>IF(AT28 &lt;&gt; "",SUMIFS('Alocação'!$O$3:$O$1002,'Alocação'!$C$3:$C$1002,AT28,'Alocação'!$F$3:$F$1002,AT$9,'Alocação'!$B$3:$B$1002,"&lt;="&amp;$B$6), "")</f>
        <v/>
      </c>
      <c r="AW28" s="243" t="str">
        <f>iferror(IF(AU28="Ações Americanas", HLOOKUP(AT28,'Histórico'!$A$1:$DD$990,MATCH($B$6,'Histórico'!$A:$A),FALSE)*HLOOKUP("PTAX",'Histórico'!$A$1:$FG$983,MATCH($B$6,'Histórico'!$A:$A),FALSE),IF(AU28="Ações Europeias", HLOOKUP(AT28,'Histórico'!$A$1:$DD$990,MATCH($B$6,'Histórico'!$A:$A),FALSE)*HLOOKUP("EUR/BRL",'Histórico'!$A$1:$FG$983,MATCH($B$6,'Histórico'!$A:$A),FALSE),  HLOOKUP(AT28,'Histórico'!$A$1:$DD$990,MATCH($B$6,'Histórico'!$A:$A),FALSE))),"")</f>
        <v/>
      </c>
      <c r="AX28" s="243" t="str">
        <f t="shared" si="13"/>
        <v/>
      </c>
      <c r="AY28" s="53"/>
    </row>
    <row r="29" ht="15.75" customHeight="1">
      <c r="A29" s="176"/>
      <c r="B29" s="288">
        <f>Controle!B29</f>
        <v>45033</v>
      </c>
      <c r="C29" s="233">
        <f>Controle!C29</f>
        <v>101488688.3</v>
      </c>
      <c r="D29" s="289">
        <f>Controle!D29</f>
        <v>101488699.6</v>
      </c>
      <c r="E29" s="290"/>
      <c r="F29" s="291">
        <f>Controle!F29</f>
        <v>101711218.9</v>
      </c>
      <c r="G29" s="289">
        <f>Controle!G29</f>
        <v>137524313.1</v>
      </c>
      <c r="H29" s="290"/>
      <c r="I29" s="291">
        <f>Controle!I29</f>
        <v>100598733.5</v>
      </c>
      <c r="J29" s="233">
        <f>Controle!J29</f>
        <v>93145455.2</v>
      </c>
      <c r="K29" s="292"/>
      <c r="L29" s="233">
        <f>Controle!L29</f>
        <v>100822632.8</v>
      </c>
      <c r="M29" s="233">
        <f>Controle!M29</f>
        <v>100856166.3</v>
      </c>
      <c r="N29" s="240">
        <f>Controle!N29</f>
        <v>0.003024462673</v>
      </c>
      <c r="O29" s="240">
        <f>Controle!O29</f>
        <v>-0.007857404444</v>
      </c>
      <c r="P29" s="240">
        <f>Controle!P29</f>
        <v>-0.002494135916</v>
      </c>
      <c r="Q29" s="240">
        <f>Controle!Q29</f>
        <v>0.000431286459</v>
      </c>
      <c r="R29" s="293">
        <f>Controle!R29</f>
        <v>100.9358264</v>
      </c>
      <c r="S29" s="287"/>
      <c r="T29" s="233">
        <f t="shared" ref="T29:U29" si="32">IF(AND(C29&lt;&gt;"",F29&lt;&gt;"",I29&lt;&gt;""), SUM(I29,F29,C29),"")</f>
        <v>303798640.6</v>
      </c>
      <c r="U29" s="233">
        <f t="shared" si="32"/>
        <v>332158468</v>
      </c>
      <c r="V29" s="233">
        <f t="shared" si="6"/>
        <v>303.7986406</v>
      </c>
      <c r="W29" s="241">
        <f t="shared" si="9"/>
        <v>-0.002466023137</v>
      </c>
      <c r="X29" s="241">
        <f t="shared" si="10"/>
        <v>-0.006054588971</v>
      </c>
      <c r="Y29" s="241">
        <f t="shared" si="19"/>
        <v>0.004546274535</v>
      </c>
      <c r="Z29" s="233">
        <f t="shared" si="7"/>
        <v>302.8074791</v>
      </c>
      <c r="AA29" s="294"/>
      <c r="AB29" s="245"/>
      <c r="AC29" s="242" t="str">
        <f>IF(ISTEXT(AB29),VLOOKUP(AB29,'Cadastro dos Ativos'!$A$2:$C$1000,3,0),"")</f>
        <v/>
      </c>
      <c r="AD29" s="242" t="str">
        <f>IF(AB29 &lt;&gt; "",SUMIFS('Alocação'!$O$3:$O$1002,'Alocação'!$C$3:$C$1002,AB29,'Alocação'!$F$3:$F$1002,AB$9,'Alocação'!$B$3:$B$1002,"&lt;="&amp;$B$6), "")</f>
        <v/>
      </c>
      <c r="AE29" s="243" t="str">
        <f>iferror(IF(AC29="Ações Americanas", HLOOKUP(AB29,'Histórico'!$A$1:$DD$990,MATCH($B$6,'Histórico'!$A:$A),FALSE)*HLOOKUP("PTAX",'Histórico'!$A$1:$FG$983,MATCH($B$6,'Histórico'!$A:$A),FALSE),IF(AC29="Ações Europeias", HLOOKUP(AB29,'Histórico'!$A$1:$DD$990,MATCH($B$6,'Histórico'!$A:$A),FALSE)*HLOOKUP("EUR/BRL",'Histórico'!$A$1:$FG$983,MATCH($B$6,'Histórico'!$A:$A),FALSE),  HLOOKUP(AB29,'Histórico'!$A$1:$DD$990,MATCH($B$6,'Histórico'!$A:$A),FALSE))),"")</f>
        <v/>
      </c>
      <c r="AF29" s="243" t="str">
        <f t="shared" si="15"/>
        <v/>
      </c>
      <c r="AG29" s="53"/>
      <c r="AH29" s="245"/>
      <c r="AI29" s="242" t="str">
        <f>IF(ISTEXT(AH29),VLOOKUP(AH29,'Cadastro dos Ativos'!$A$2:$C$1000,3,0),"")</f>
        <v/>
      </c>
      <c r="AJ29" s="242" t="str">
        <f>IF(AH29 &lt;&gt; "",SUMIFS('Alocação'!$O$3:$O$1002,'Alocação'!$C$3:$C$1002,AH29,'Alocação'!$F$3:$F$1002,AH$9,'Alocação'!$B$3:$B$1002,"&lt;="&amp;$B$6), "")</f>
        <v/>
      </c>
      <c r="AK29" s="243" t="str">
        <f>iferror(IF(AI29="Ações Americanas", HLOOKUP(AH29,'Histórico'!$A$1:$DD$990,MATCH($B$6,'Histórico'!$A:$A),FALSE)*HLOOKUP("PTAX",'Histórico'!$A$1:$FG$983,MATCH($B$6,'Histórico'!$A:$A),FALSE),IF(AI29="Ações Europeias", HLOOKUP(AH29,'Histórico'!$A$1:$DD$990,MATCH($B$6,'Histórico'!$A:$A),FALSE)*HLOOKUP("EUR/BRL",'Histórico'!$A$1:$FG$983,MATCH($B$6,'Histórico'!$A:$A),FALSE),  HLOOKUP(AH29,'Histórico'!$A$1:$DD$990,MATCH($B$6,'Histórico'!$A:$A),FALSE))),"")</f>
        <v/>
      </c>
      <c r="AL29" s="243" t="str">
        <f t="shared" si="11"/>
        <v/>
      </c>
      <c r="AM29" s="53"/>
      <c r="AN29" s="245"/>
      <c r="AO29" s="242" t="str">
        <f>IF(ISTEXT(AN29),VLOOKUP(AN29,'Cadastro dos Ativos'!$A$2:$C$1000,3,0),"")</f>
        <v/>
      </c>
      <c r="AP29" s="242" t="str">
        <f>IF(AN29 &lt;&gt; "",SUMIFS('Alocação'!$O$3:$O$1002,'Alocação'!$C$3:$C$1002,AN29,'Alocação'!$F$3:$F$1002,AN$9,'Alocação'!$B$3:$B$1002,"&lt;="&amp;$B$6), "")</f>
        <v/>
      </c>
      <c r="AQ29" s="243" t="str">
        <f>iferror(IF(AO29="Ações Americanas", HLOOKUP(AN29,'Histórico'!$A$1:$DD$990,MATCH($B$6,'Histórico'!$A:$A),FALSE)*HLOOKUP("PTAX",'Histórico'!$A$1:$FG$983,MATCH($B$6,'Histórico'!$A:$A),FALSE),IF(AO29="Ações Europeias", HLOOKUP(AN29,'Histórico'!$A$1:$DD$990,MATCH($B$6,'Histórico'!$A:$A),FALSE)*HLOOKUP("EUR/BRL",'Histórico'!$A$1:$FG$983,MATCH($B$6,'Histórico'!$A:$A),FALSE),  HLOOKUP(AN29,'Histórico'!$A$1:$DD$990,MATCH($B$6,'Histórico'!$A:$A),FALSE))),"")</f>
        <v/>
      </c>
      <c r="AR29" s="243" t="str">
        <f t="shared" si="12"/>
        <v/>
      </c>
      <c r="AS29" s="53"/>
      <c r="AT29" s="245"/>
      <c r="AU29" s="242" t="str">
        <f>IF(ISTEXT(AT29),VLOOKUP(AT29,'Cadastro dos Ativos'!$A$2:$C$1000,3,0),"")</f>
        <v/>
      </c>
      <c r="AV29" s="242" t="str">
        <f>IF(AT29 &lt;&gt; "",SUMIFS('Alocação'!$O$3:$O$1002,'Alocação'!$C$3:$C$1002,AT29,'Alocação'!$F$3:$F$1002,AT$9,'Alocação'!$B$3:$B$1002,"&lt;="&amp;$B$6), "")</f>
        <v/>
      </c>
      <c r="AW29" s="243" t="str">
        <f>iferror(IF(AU29="Ações Americanas", HLOOKUP(AT29,'Histórico'!$A$1:$DD$990,MATCH($B$6,'Histórico'!$A:$A),FALSE)*HLOOKUP("PTAX",'Histórico'!$A$1:$FG$983,MATCH($B$6,'Histórico'!$A:$A),FALSE),IF(AU29="Ações Europeias", HLOOKUP(AT29,'Histórico'!$A$1:$DD$990,MATCH($B$6,'Histórico'!$A:$A),FALSE)*HLOOKUP("EUR/BRL",'Histórico'!$A$1:$FG$983,MATCH($B$6,'Histórico'!$A:$A),FALSE),  HLOOKUP(AT29,'Histórico'!$A$1:$DD$990,MATCH($B$6,'Histórico'!$A:$A),FALSE))),"")</f>
        <v/>
      </c>
      <c r="AX29" s="243" t="str">
        <f t="shared" si="13"/>
        <v/>
      </c>
      <c r="AY29" s="53"/>
    </row>
    <row r="30" ht="15.75" customHeight="1">
      <c r="A30" s="176"/>
      <c r="B30" s="288">
        <f>Controle!B30</f>
        <v>45034</v>
      </c>
      <c r="C30" s="233">
        <f>Controle!C30</f>
        <v>101509558.7</v>
      </c>
      <c r="D30" s="289">
        <f>Controle!D30</f>
        <v>101509569.8</v>
      </c>
      <c r="E30" s="290"/>
      <c r="F30" s="291">
        <f>Controle!F30</f>
        <v>102172304.3</v>
      </c>
      <c r="G30" s="289">
        <f>Controle!G30</f>
        <v>136981637.2</v>
      </c>
      <c r="H30" s="290"/>
      <c r="I30" s="291">
        <f>Controle!I30</f>
        <v>100903356.1</v>
      </c>
      <c r="J30" s="233">
        <f>Controle!J30</f>
        <v>93267161.39</v>
      </c>
      <c r="K30" s="292"/>
      <c r="L30" s="233">
        <f>Controle!L30</f>
        <v>100866116.2</v>
      </c>
      <c r="M30" s="233">
        <f>Controle!M30</f>
        <v>100901430.2</v>
      </c>
      <c r="N30" s="240">
        <f>Controle!N30</f>
        <v>0.0002056430137</v>
      </c>
      <c r="O30" s="240">
        <f>Controle!O30</f>
        <v>0.004533279298</v>
      </c>
      <c r="P30" s="240">
        <f>Controle!P30</f>
        <v>0.003028095672</v>
      </c>
      <c r="Q30" s="240">
        <f>Controle!Q30</f>
        <v>0.000431286459</v>
      </c>
      <c r="R30" s="293">
        <f>Controle!R30</f>
        <v>100.9853223</v>
      </c>
      <c r="S30" s="287"/>
      <c r="T30" s="233">
        <f t="shared" ref="T30:U30" si="33">IF(AND(C30&lt;&gt;"",F30&lt;&gt;"",I30&lt;&gt;""), SUM(I30,F30,C30),"")</f>
        <v>304585219</v>
      </c>
      <c r="U30" s="233">
        <f t="shared" si="33"/>
        <v>331758368.4</v>
      </c>
      <c r="V30" s="233">
        <f t="shared" si="6"/>
        <v>304.585219</v>
      </c>
      <c r="W30" s="241">
        <f t="shared" si="9"/>
        <v>0.002589143884</v>
      </c>
      <c r="X30" s="241">
        <f t="shared" si="10"/>
        <v>-0.00348112129</v>
      </c>
      <c r="Y30" s="241">
        <f t="shared" si="19"/>
        <v>0.00423712033</v>
      </c>
      <c r="Z30" s="233">
        <f t="shared" si="7"/>
        <v>302.9559668</v>
      </c>
      <c r="AA30" s="294"/>
      <c r="AB30" s="245"/>
      <c r="AC30" s="242" t="str">
        <f>IF(ISTEXT(AB30),VLOOKUP(AB30,'Cadastro dos Ativos'!$A$2:$C$1000,3,0),"")</f>
        <v/>
      </c>
      <c r="AD30" s="242" t="str">
        <f>IF(AB30 &lt;&gt; "",SUMIFS('Alocação'!$O$3:$O$1002,'Alocação'!$C$3:$C$1002,AB30,'Alocação'!$F$3:$F$1002,AB$9,'Alocação'!$B$3:$B$1002,"&lt;="&amp;$B$6), "")</f>
        <v/>
      </c>
      <c r="AE30" s="243" t="str">
        <f>iferror(IF(AC30="Ações Americanas", HLOOKUP(AB30,'Histórico'!$A$1:$DD$990,MATCH($B$6,'Histórico'!$A:$A),FALSE)*HLOOKUP("PTAX",'Histórico'!$A$1:$FG$983,MATCH($B$6,'Histórico'!$A:$A),FALSE),IF(AC30="Ações Europeias", HLOOKUP(AB30,'Histórico'!$A$1:$DD$990,MATCH($B$6,'Histórico'!$A:$A),FALSE)*HLOOKUP("EUR/BRL",'Histórico'!$A$1:$FG$983,MATCH($B$6,'Histórico'!$A:$A),FALSE),  HLOOKUP(AB30,'Histórico'!$A$1:$DD$990,MATCH($B$6,'Histórico'!$A:$A),FALSE))),"")</f>
        <v/>
      </c>
      <c r="AF30" s="243" t="str">
        <f t="shared" si="15"/>
        <v/>
      </c>
      <c r="AG30" s="53"/>
      <c r="AH30" s="245"/>
      <c r="AI30" s="242" t="str">
        <f>IF(ISTEXT(AH30),VLOOKUP(AH30,'Cadastro dos Ativos'!$A$2:$C$1000,3,0),"")</f>
        <v/>
      </c>
      <c r="AJ30" s="242" t="str">
        <f>IF(AH30 &lt;&gt; "",SUMIFS('Alocação'!$O$3:$O$1002,'Alocação'!$C$3:$C$1002,AH30,'Alocação'!$F$3:$F$1002,AH$9,'Alocação'!$B$3:$B$1002,"&lt;="&amp;$B$6), "")</f>
        <v/>
      </c>
      <c r="AK30" s="243" t="str">
        <f>iferror(IF(AI30="Ações Americanas", HLOOKUP(AH30,'Histórico'!$A$1:$DD$990,MATCH($B$6,'Histórico'!$A:$A),FALSE)*HLOOKUP("PTAX",'Histórico'!$A$1:$FG$983,MATCH($B$6,'Histórico'!$A:$A),FALSE),IF(AI30="Ações Europeias", HLOOKUP(AH30,'Histórico'!$A$1:$DD$990,MATCH($B$6,'Histórico'!$A:$A),FALSE)*HLOOKUP("EUR/BRL",'Histórico'!$A$1:$FG$983,MATCH($B$6,'Histórico'!$A:$A),FALSE),  HLOOKUP(AH30,'Histórico'!$A$1:$DD$990,MATCH($B$6,'Histórico'!$A:$A),FALSE))),"")</f>
        <v/>
      </c>
      <c r="AL30" s="243" t="str">
        <f t="shared" si="11"/>
        <v/>
      </c>
      <c r="AM30" s="53"/>
      <c r="AN30" s="245"/>
      <c r="AO30" s="242" t="str">
        <f>IF(ISTEXT(AN30),VLOOKUP(AN30,'Cadastro dos Ativos'!$A$2:$C$1000,3,0),"")</f>
        <v/>
      </c>
      <c r="AP30" s="242" t="str">
        <f>IF(AN30 &lt;&gt; "",SUMIFS('Alocação'!$O$3:$O$1002,'Alocação'!$C$3:$C$1002,AN30,'Alocação'!$F$3:$F$1002,AN$9,'Alocação'!$B$3:$B$1002,"&lt;="&amp;$B$6), "")</f>
        <v/>
      </c>
      <c r="AQ30" s="243" t="str">
        <f>iferror(IF(AO30="Ações Americanas", HLOOKUP(AN30,'Histórico'!$A$1:$DD$990,MATCH($B$6,'Histórico'!$A:$A),FALSE)*HLOOKUP("PTAX",'Histórico'!$A$1:$FG$983,MATCH($B$6,'Histórico'!$A:$A),FALSE),IF(AO30="Ações Europeias", HLOOKUP(AN30,'Histórico'!$A$1:$DD$990,MATCH($B$6,'Histórico'!$A:$A),FALSE)*HLOOKUP("EUR/BRL",'Histórico'!$A$1:$FG$983,MATCH($B$6,'Histórico'!$A:$A),FALSE),  HLOOKUP(AN30,'Histórico'!$A$1:$DD$990,MATCH($B$6,'Histórico'!$A:$A),FALSE))),"")</f>
        <v/>
      </c>
      <c r="AR30" s="243" t="str">
        <f t="shared" si="12"/>
        <v/>
      </c>
      <c r="AS30" s="53"/>
      <c r="AT30" s="245"/>
      <c r="AU30" s="242" t="str">
        <f>IF(ISTEXT(AT30),VLOOKUP(AT30,'Cadastro dos Ativos'!$A$2:$C$1000,3,0),"")</f>
        <v/>
      </c>
      <c r="AV30" s="242" t="str">
        <f>IF(AT30 &lt;&gt; "",SUMIFS('Alocação'!$O$3:$O$1002,'Alocação'!$C$3:$C$1002,AT30,'Alocação'!$F$3:$F$1002,AT$9,'Alocação'!$B$3:$B$1002,"&lt;="&amp;$B$6), "")</f>
        <v/>
      </c>
      <c r="AW30" s="243" t="str">
        <f>iferror(IF(AU30="Ações Americanas", HLOOKUP(AT30,'Histórico'!$A$1:$DD$990,MATCH($B$6,'Histórico'!$A:$A),FALSE)*HLOOKUP("PTAX",'Histórico'!$A$1:$FG$983,MATCH($B$6,'Histórico'!$A:$A),FALSE),IF(AU30="Ações Europeias", HLOOKUP(AT30,'Histórico'!$A$1:$DD$990,MATCH($B$6,'Histórico'!$A:$A),FALSE)*HLOOKUP("EUR/BRL",'Histórico'!$A$1:$FG$983,MATCH($B$6,'Histórico'!$A:$A),FALSE),  HLOOKUP(AT30,'Histórico'!$A$1:$DD$990,MATCH($B$6,'Histórico'!$A:$A),FALSE))),"")</f>
        <v/>
      </c>
      <c r="AX30" s="243" t="str">
        <f t="shared" si="13"/>
        <v/>
      </c>
      <c r="AY30" s="53"/>
    </row>
    <row r="31" ht="15.75" customHeight="1">
      <c r="A31" s="176"/>
      <c r="B31" s="288">
        <f>Controle!B31</f>
        <v>45035</v>
      </c>
      <c r="C31" s="233">
        <f>Controle!C31</f>
        <v>101261898.7</v>
      </c>
      <c r="D31" s="289">
        <f>Controle!D31</f>
        <v>101261909.4</v>
      </c>
      <c r="E31" s="290"/>
      <c r="F31" s="291">
        <f>Controle!F31</f>
        <v>101842628.8</v>
      </c>
      <c r="G31" s="289">
        <f>Controle!G31</f>
        <v>136711203.7</v>
      </c>
      <c r="H31" s="290"/>
      <c r="I31" s="291">
        <f>Controle!I31</f>
        <v>100738939.4</v>
      </c>
      <c r="J31" s="233">
        <f>Controle!J31</f>
        <v>93277320.88</v>
      </c>
      <c r="K31" s="292"/>
      <c r="L31" s="233">
        <f>Controle!L31</f>
        <v>100909618.4</v>
      </c>
      <c r="M31" s="233">
        <f>Controle!M31</f>
        <v>100946714.4</v>
      </c>
      <c r="N31" s="240">
        <f>Controle!N31</f>
        <v>-0.002439769683</v>
      </c>
      <c r="O31" s="240">
        <f>Controle!O31</f>
        <v>-0.003226662486</v>
      </c>
      <c r="P31" s="240">
        <f>Controle!P31</f>
        <v>-0.001629447218</v>
      </c>
      <c r="Q31" s="240">
        <f>Controle!Q31</f>
        <v>0.000431286459</v>
      </c>
      <c r="R31" s="293">
        <f>Controle!R31</f>
        <v>101.0348424</v>
      </c>
      <c r="S31" s="287"/>
      <c r="T31" s="233">
        <f t="shared" ref="T31:U31" si="34">IF(AND(C31&lt;&gt;"",F31&lt;&gt;"",I31&lt;&gt;""), SUM(I31,F31,C31),"")</f>
        <v>303843466.9</v>
      </c>
      <c r="U31" s="233">
        <f t="shared" si="34"/>
        <v>331250434</v>
      </c>
      <c r="V31" s="233">
        <f t="shared" si="6"/>
        <v>303.8434669</v>
      </c>
      <c r="W31" s="241">
        <f t="shared" si="9"/>
        <v>-0.002435286191</v>
      </c>
      <c r="X31" s="241">
        <f t="shared" si="10"/>
        <v>-0.005907929954</v>
      </c>
      <c r="Y31" s="241">
        <f t="shared" si="19"/>
        <v>0.00412942082</v>
      </c>
      <c r="Z31" s="233">
        <f t="shared" si="7"/>
        <v>303.1045273</v>
      </c>
      <c r="AA31" s="294"/>
      <c r="AB31" s="245"/>
      <c r="AC31" s="242" t="str">
        <f>IF(ISTEXT(AB31),VLOOKUP(AB31,'Cadastro dos Ativos'!$A$2:$C$1000,3,0),"")</f>
        <v/>
      </c>
      <c r="AD31" s="242" t="str">
        <f>IF(AB31 &lt;&gt; "",SUMIFS('Alocação'!$O$3:$O$1002,'Alocação'!$C$3:$C$1002,AB31,'Alocação'!$F$3:$F$1002,AB$9,'Alocação'!$B$3:$B$1002,"&lt;="&amp;$B$6), "")</f>
        <v/>
      </c>
      <c r="AE31" s="243" t="str">
        <f>iferror(IF(AC31="Ações Americanas", HLOOKUP(AB31,'Histórico'!$A$1:$DD$990,MATCH($B$6,'Histórico'!$A:$A),FALSE)*HLOOKUP("PTAX",'Histórico'!$A$1:$FG$983,MATCH($B$6,'Histórico'!$A:$A),FALSE),IF(AC31="Ações Europeias", HLOOKUP(AB31,'Histórico'!$A$1:$DD$990,MATCH($B$6,'Histórico'!$A:$A),FALSE)*HLOOKUP("EUR/BRL",'Histórico'!$A$1:$FG$983,MATCH($B$6,'Histórico'!$A:$A),FALSE),  HLOOKUP(AB31,'Histórico'!$A$1:$DD$990,MATCH($B$6,'Histórico'!$A:$A),FALSE))),"")</f>
        <v/>
      </c>
      <c r="AF31" s="243" t="str">
        <f t="shared" si="15"/>
        <v/>
      </c>
      <c r="AG31" s="53"/>
      <c r="AH31" s="245"/>
      <c r="AI31" s="242" t="str">
        <f>IF(ISTEXT(AH31),VLOOKUP(AH31,'Cadastro dos Ativos'!$A$2:$C$1000,3,0),"")</f>
        <v/>
      </c>
      <c r="AJ31" s="242" t="str">
        <f>IF(AH31 &lt;&gt; "",SUMIFS('Alocação'!$O$3:$O$1002,'Alocação'!$C$3:$C$1002,AH31,'Alocação'!$F$3:$F$1002,AH$9,'Alocação'!$B$3:$B$1002,"&lt;="&amp;$B$6), "")</f>
        <v/>
      </c>
      <c r="AK31" s="243" t="str">
        <f>iferror(IF(AI31="Ações Americanas", HLOOKUP(AH31,'Histórico'!$A$1:$DD$990,MATCH($B$6,'Histórico'!$A:$A),FALSE)*HLOOKUP("PTAX",'Histórico'!$A$1:$FG$983,MATCH($B$6,'Histórico'!$A:$A),FALSE),IF(AI31="Ações Europeias", HLOOKUP(AH31,'Histórico'!$A$1:$DD$990,MATCH($B$6,'Histórico'!$A:$A),FALSE)*HLOOKUP("EUR/BRL",'Histórico'!$A$1:$FG$983,MATCH($B$6,'Histórico'!$A:$A),FALSE),  HLOOKUP(AH31,'Histórico'!$A$1:$DD$990,MATCH($B$6,'Histórico'!$A:$A),FALSE))),"")</f>
        <v/>
      </c>
      <c r="AL31" s="243" t="str">
        <f t="shared" si="11"/>
        <v/>
      </c>
      <c r="AM31" s="53"/>
      <c r="AN31" s="245"/>
      <c r="AO31" s="242" t="str">
        <f>IF(ISTEXT(AN31),VLOOKUP(AN31,'Cadastro dos Ativos'!$A$2:$C$1000,3,0),"")</f>
        <v/>
      </c>
      <c r="AP31" s="242" t="str">
        <f>IF(AN31 &lt;&gt; "",SUMIFS('Alocação'!$O$3:$O$1002,'Alocação'!$C$3:$C$1002,AN31,'Alocação'!$F$3:$F$1002,AN$9,'Alocação'!$B$3:$B$1002,"&lt;="&amp;$B$6), "")</f>
        <v/>
      </c>
      <c r="AQ31" s="243" t="str">
        <f>iferror(IF(AO31="Ações Americanas", HLOOKUP(AN31,'Histórico'!$A$1:$DD$990,MATCH($B$6,'Histórico'!$A:$A),FALSE)*HLOOKUP("PTAX",'Histórico'!$A$1:$FG$983,MATCH($B$6,'Histórico'!$A:$A),FALSE),IF(AO31="Ações Europeias", HLOOKUP(AN31,'Histórico'!$A$1:$DD$990,MATCH($B$6,'Histórico'!$A:$A),FALSE)*HLOOKUP("EUR/BRL",'Histórico'!$A$1:$FG$983,MATCH($B$6,'Histórico'!$A:$A),FALSE),  HLOOKUP(AN31,'Histórico'!$A$1:$DD$990,MATCH($B$6,'Histórico'!$A:$A),FALSE))),"")</f>
        <v/>
      </c>
      <c r="AR31" s="243" t="str">
        <f t="shared" si="12"/>
        <v/>
      </c>
      <c r="AS31" s="53"/>
      <c r="AT31" s="245"/>
      <c r="AU31" s="242" t="str">
        <f>IF(ISTEXT(AT31),VLOOKUP(AT31,'Cadastro dos Ativos'!$A$2:$C$1000,3,0),"")</f>
        <v/>
      </c>
      <c r="AV31" s="242" t="str">
        <f>IF(AT31 &lt;&gt; "",SUMIFS('Alocação'!$O$3:$O$1002,'Alocação'!$C$3:$C$1002,AT31,'Alocação'!$F$3:$F$1002,AT$9,'Alocação'!$B$3:$B$1002,"&lt;="&amp;$B$6), "")</f>
        <v/>
      </c>
      <c r="AW31" s="243" t="str">
        <f>iferror(IF(AU31="Ações Americanas", HLOOKUP(AT31,'Histórico'!$A$1:$DD$990,MATCH($B$6,'Histórico'!$A:$A),FALSE)*HLOOKUP("PTAX",'Histórico'!$A$1:$FG$983,MATCH($B$6,'Histórico'!$A:$A),FALSE),IF(AU31="Ações Europeias", HLOOKUP(AT31,'Histórico'!$A$1:$DD$990,MATCH($B$6,'Histórico'!$A:$A),FALSE)*HLOOKUP("EUR/BRL",'Histórico'!$A$1:$FG$983,MATCH($B$6,'Histórico'!$A:$A),FALSE),  HLOOKUP(AT31,'Histórico'!$A$1:$DD$990,MATCH($B$6,'Histórico'!$A:$A),FALSE))),"")</f>
        <v/>
      </c>
      <c r="AX31" s="243" t="str">
        <f t="shared" si="13"/>
        <v/>
      </c>
      <c r="AY31" s="53"/>
    </row>
    <row r="32" ht="15.75" customHeight="1">
      <c r="A32" s="176"/>
      <c r="B32" s="288">
        <f>Controle!B32</f>
        <v>45036</v>
      </c>
      <c r="C32" s="233">
        <f>Controle!C32</f>
        <v>101528990.9</v>
      </c>
      <c r="D32" s="289">
        <f>Controle!D32</f>
        <v>101529001.6</v>
      </c>
      <c r="E32" s="290"/>
      <c r="F32" s="291">
        <f>Controle!F32</f>
        <v>101644693.8</v>
      </c>
      <c r="G32" s="289">
        <f>Controle!G32</f>
        <v>137197518.2</v>
      </c>
      <c r="H32" s="290"/>
      <c r="I32" s="291">
        <f>Controle!I32</f>
        <v>100869032.7</v>
      </c>
      <c r="J32" s="233">
        <f>Controle!J32</f>
        <v>93347565.96</v>
      </c>
      <c r="K32" s="292"/>
      <c r="L32" s="233">
        <f>Controle!L32</f>
        <v>100953139.4</v>
      </c>
      <c r="M32" s="233">
        <f>Controle!M32</f>
        <v>100992018.9</v>
      </c>
      <c r="N32" s="240">
        <f>Controle!N32</f>
        <v>0.002637636864</v>
      </c>
      <c r="O32" s="240">
        <f>Controle!O32</f>
        <v>-0.001943537219</v>
      </c>
      <c r="P32" s="240">
        <f>Controle!P32</f>
        <v>0.00129139042</v>
      </c>
      <c r="Q32" s="240">
        <f>Controle!Q32</f>
        <v>0.000431286459</v>
      </c>
      <c r="R32" s="293">
        <f>Controle!R32</f>
        <v>101.0843869</v>
      </c>
      <c r="S32" s="287"/>
      <c r="T32" s="233">
        <f t="shared" ref="T32:U32" si="35">IF(AND(C32&lt;&gt;"",F32&lt;&gt;"",I32&lt;&gt;""), SUM(I32,F32,C32),"")</f>
        <v>304042717.3</v>
      </c>
      <c r="U32" s="233">
        <f t="shared" si="35"/>
        <v>332074085.8</v>
      </c>
      <c r="V32" s="233">
        <f t="shared" si="6"/>
        <v>304.0427173</v>
      </c>
      <c r="W32" s="241">
        <f t="shared" si="9"/>
        <v>0.0006557668685</v>
      </c>
      <c r="X32" s="241">
        <f t="shared" si="10"/>
        <v>-0.005256037311</v>
      </c>
      <c r="Y32" s="241">
        <f t="shared" si="19"/>
        <v>0.00257713899</v>
      </c>
      <c r="Z32" s="233">
        <f t="shared" si="7"/>
        <v>303.2531607</v>
      </c>
      <c r="AA32" s="294"/>
      <c r="AB32" s="245"/>
      <c r="AC32" s="242" t="str">
        <f>IF(ISTEXT(AB32),VLOOKUP(AB32,'Cadastro dos Ativos'!$A$2:$C$1000,3,0),"")</f>
        <v/>
      </c>
      <c r="AD32" s="242" t="str">
        <f>IF(AB32 &lt;&gt; "",SUMIFS('Alocação'!$O$3:$O$1002,'Alocação'!$C$3:$C$1002,AB32,'Alocação'!$F$3:$F$1002,AB$9,'Alocação'!$B$3:$B$1002,"&lt;="&amp;$B$6), "")</f>
        <v/>
      </c>
      <c r="AE32" s="243" t="str">
        <f>iferror(IF(AC32="Ações Americanas", HLOOKUP(AB32,'Histórico'!$A$1:$DD$990,MATCH($B$6,'Histórico'!$A:$A),FALSE)*HLOOKUP("PTAX",'Histórico'!$A$1:$FG$983,MATCH($B$6,'Histórico'!$A:$A),FALSE),IF(AC32="Ações Europeias", HLOOKUP(AB32,'Histórico'!$A$1:$DD$990,MATCH($B$6,'Histórico'!$A:$A),FALSE)*HLOOKUP("EUR/BRL",'Histórico'!$A$1:$FG$983,MATCH($B$6,'Histórico'!$A:$A),FALSE),  HLOOKUP(AB32,'Histórico'!$A$1:$DD$990,MATCH($B$6,'Histórico'!$A:$A),FALSE))),"")</f>
        <v/>
      </c>
      <c r="AF32" s="243" t="str">
        <f t="shared" si="15"/>
        <v/>
      </c>
      <c r="AG32" s="53"/>
      <c r="AH32" s="245"/>
      <c r="AI32" s="242" t="str">
        <f>IF(ISTEXT(AH32),VLOOKUP(AH32,'Cadastro dos Ativos'!$A$2:$C$1000,3,0),"")</f>
        <v/>
      </c>
      <c r="AJ32" s="242" t="str">
        <f>IF(AH32 &lt;&gt; "",SUMIFS('Alocação'!$O$3:$O$1002,'Alocação'!$C$3:$C$1002,AH32,'Alocação'!$F$3:$F$1002,AH$9,'Alocação'!$B$3:$B$1002,"&lt;="&amp;$B$6), "")</f>
        <v/>
      </c>
      <c r="AK32" s="243" t="str">
        <f>iferror(IF(AI32="Ações Americanas", HLOOKUP(AH32,'Histórico'!$A$1:$DD$990,MATCH($B$6,'Histórico'!$A:$A),FALSE)*HLOOKUP("PTAX",'Histórico'!$A$1:$FG$983,MATCH($B$6,'Histórico'!$A:$A),FALSE),IF(AI32="Ações Europeias", HLOOKUP(AH32,'Histórico'!$A$1:$DD$990,MATCH($B$6,'Histórico'!$A:$A),FALSE)*HLOOKUP("EUR/BRL",'Histórico'!$A$1:$FG$983,MATCH($B$6,'Histórico'!$A:$A),FALSE),  HLOOKUP(AH32,'Histórico'!$A$1:$DD$990,MATCH($B$6,'Histórico'!$A:$A),FALSE))),"")</f>
        <v/>
      </c>
      <c r="AL32" s="243" t="str">
        <f t="shared" si="11"/>
        <v/>
      </c>
      <c r="AM32" s="53"/>
      <c r="AN32" s="245"/>
      <c r="AO32" s="242" t="str">
        <f>IF(ISTEXT(AN32),VLOOKUP(AN32,'Cadastro dos Ativos'!$A$2:$C$1000,3,0),"")</f>
        <v/>
      </c>
      <c r="AP32" s="242" t="str">
        <f>IF(AN32 &lt;&gt; "",SUMIFS('Alocação'!$O$3:$O$1002,'Alocação'!$C$3:$C$1002,AN32,'Alocação'!$F$3:$F$1002,AN$9,'Alocação'!$B$3:$B$1002,"&lt;="&amp;$B$6), "")</f>
        <v/>
      </c>
      <c r="AQ32" s="243" t="str">
        <f>iferror(IF(AO32="Ações Americanas", HLOOKUP(AN32,'Histórico'!$A$1:$DD$990,MATCH($B$6,'Histórico'!$A:$A),FALSE)*HLOOKUP("PTAX",'Histórico'!$A$1:$FG$983,MATCH($B$6,'Histórico'!$A:$A),FALSE),IF(AO32="Ações Europeias", HLOOKUP(AN32,'Histórico'!$A$1:$DD$990,MATCH($B$6,'Histórico'!$A:$A),FALSE)*HLOOKUP("EUR/BRL",'Histórico'!$A$1:$FG$983,MATCH($B$6,'Histórico'!$A:$A),FALSE),  HLOOKUP(AN32,'Histórico'!$A$1:$DD$990,MATCH($B$6,'Histórico'!$A:$A),FALSE))),"")</f>
        <v/>
      </c>
      <c r="AR32" s="243" t="str">
        <f t="shared" si="12"/>
        <v/>
      </c>
      <c r="AS32" s="53"/>
      <c r="AT32" s="245"/>
      <c r="AU32" s="242" t="str">
        <f>IF(ISTEXT(AT32),VLOOKUP(AT32,'Cadastro dos Ativos'!$A$2:$C$1000,3,0),"")</f>
        <v/>
      </c>
      <c r="AV32" s="242" t="str">
        <f>IF(AT32 &lt;&gt; "",SUMIFS('Alocação'!$O$3:$O$1002,'Alocação'!$C$3:$C$1002,AT32,'Alocação'!$F$3:$F$1002,AT$9,'Alocação'!$B$3:$B$1002,"&lt;="&amp;$B$6), "")</f>
        <v/>
      </c>
      <c r="AW32" s="243" t="str">
        <f>iferror(IF(AU32="Ações Americanas", HLOOKUP(AT32,'Histórico'!$A$1:$DD$990,MATCH($B$6,'Histórico'!$A:$A),FALSE)*HLOOKUP("PTAX",'Histórico'!$A$1:$FG$983,MATCH($B$6,'Histórico'!$A:$A),FALSE),IF(AU32="Ações Europeias", HLOOKUP(AT32,'Histórico'!$A$1:$DD$990,MATCH($B$6,'Histórico'!$A:$A),FALSE)*HLOOKUP("EUR/BRL",'Histórico'!$A$1:$FG$983,MATCH($B$6,'Histórico'!$A:$A),FALSE),  HLOOKUP(AT32,'Histórico'!$A$1:$DD$990,MATCH($B$6,'Histórico'!$A:$A),FALSE))),"")</f>
        <v/>
      </c>
      <c r="AX32" s="243" t="str">
        <f t="shared" si="13"/>
        <v/>
      </c>
      <c r="AY32" s="53"/>
    </row>
    <row r="33" ht="15.75" customHeight="1">
      <c r="A33" s="176"/>
      <c r="B33" s="288">
        <f>Controle!B33</f>
        <v>45040</v>
      </c>
      <c r="C33" s="233">
        <f>Controle!C33</f>
        <v>102148287.3</v>
      </c>
      <c r="D33" s="289">
        <f>Controle!D33</f>
        <v>102148297.9</v>
      </c>
      <c r="E33" s="290"/>
      <c r="F33" s="291">
        <f>Controle!F33</f>
        <v>101637074.3</v>
      </c>
      <c r="G33" s="289">
        <f>Controle!G33</f>
        <v>137247077.7</v>
      </c>
      <c r="H33" s="290"/>
      <c r="I33" s="291">
        <f>Controle!I33</f>
        <v>101159986.9</v>
      </c>
      <c r="J33" s="233">
        <f>Controle!J33</f>
        <v>93531072.87</v>
      </c>
      <c r="K33" s="292"/>
      <c r="L33" s="233">
        <f>Controle!L33</f>
        <v>100996679.1</v>
      </c>
      <c r="M33" s="233">
        <f>Controle!M33</f>
        <v>101037343.8</v>
      </c>
      <c r="N33" s="240">
        <f>Controle!N33</f>
        <v>0.006099700211</v>
      </c>
      <c r="O33" s="240">
        <f>Controle!O33</f>
        <v>-0.0000749618542</v>
      </c>
      <c r="P33" s="240">
        <f>Controle!P33</f>
        <v>0.00288447526</v>
      </c>
      <c r="Q33" s="240">
        <f>Controle!Q33</f>
        <v>0.000431286459</v>
      </c>
      <c r="R33" s="293">
        <f>Controle!R33</f>
        <v>101.1339556</v>
      </c>
      <c r="S33" s="287"/>
      <c r="T33" s="233">
        <f t="shared" ref="T33:U33" si="36">IF(AND(C33&lt;&gt;"",F33&lt;&gt;"",I33&lt;&gt;""), SUM(I33,F33,C33),"")</f>
        <v>304945348.5</v>
      </c>
      <c r="U33" s="233">
        <f t="shared" si="36"/>
        <v>332926448.5</v>
      </c>
      <c r="V33" s="233">
        <f t="shared" si="6"/>
        <v>304.9453485</v>
      </c>
      <c r="W33" s="241">
        <f t="shared" si="9"/>
        <v>0.002968764289</v>
      </c>
      <c r="X33" s="241">
        <f t="shared" si="10"/>
        <v>-0.002302876957</v>
      </c>
      <c r="Y33" s="241">
        <f t="shared" si="19"/>
        <v>0.002627483864</v>
      </c>
      <c r="Z33" s="233">
        <f t="shared" si="7"/>
        <v>303.4018669</v>
      </c>
      <c r="AA33" s="294"/>
      <c r="AB33" s="245"/>
      <c r="AC33" s="242" t="str">
        <f>IF(ISTEXT(AB33),VLOOKUP(AB33,'Cadastro dos Ativos'!$A$2:$C$1000,3,0),"")</f>
        <v/>
      </c>
      <c r="AD33" s="242" t="str">
        <f>IF(AB33 &lt;&gt; "",SUMIFS('Alocação'!$O$3:$O$1002,'Alocação'!$C$3:$C$1002,AB33,'Alocação'!$F$3:$F$1002,AB$9,'Alocação'!$B$3:$B$1002,"&lt;="&amp;$B$6), "")</f>
        <v/>
      </c>
      <c r="AE33" s="243" t="str">
        <f>iferror(IF(AC33="Ações Americanas", HLOOKUP(AB33,'Histórico'!$A$1:$DD$990,MATCH($B$6,'Histórico'!$A:$A),FALSE)*HLOOKUP("PTAX",'Histórico'!$A$1:$FG$983,MATCH($B$6,'Histórico'!$A:$A),FALSE),IF(AC33="Ações Europeias", HLOOKUP(AB33,'Histórico'!$A$1:$DD$990,MATCH($B$6,'Histórico'!$A:$A),FALSE)*HLOOKUP("EUR/BRL",'Histórico'!$A$1:$FG$983,MATCH($B$6,'Histórico'!$A:$A),FALSE),  HLOOKUP(AB33,'Histórico'!$A$1:$DD$990,MATCH($B$6,'Histórico'!$A:$A),FALSE))),"")</f>
        <v/>
      </c>
      <c r="AF33" s="243" t="str">
        <f t="shared" si="15"/>
        <v/>
      </c>
      <c r="AG33" s="53"/>
      <c r="AH33" s="245"/>
      <c r="AI33" s="242" t="str">
        <f>IF(ISTEXT(AH33),VLOOKUP(AH33,'Cadastro dos Ativos'!$A$2:$C$1000,3,0),"")</f>
        <v/>
      </c>
      <c r="AJ33" s="242" t="str">
        <f>IF(AH33 &lt;&gt; "",SUMIFS('Alocação'!$O$3:$O$1002,'Alocação'!$C$3:$C$1002,AH33,'Alocação'!$F$3:$F$1002,AH$9,'Alocação'!$B$3:$B$1002,"&lt;="&amp;$B$6), "")</f>
        <v/>
      </c>
      <c r="AK33" s="243" t="str">
        <f>iferror(IF(AI33="Ações Americanas", HLOOKUP(AH33,'Histórico'!$A$1:$DD$990,MATCH($B$6,'Histórico'!$A:$A),FALSE)*HLOOKUP("PTAX",'Histórico'!$A$1:$FG$983,MATCH($B$6,'Histórico'!$A:$A),FALSE),IF(AI33="Ações Europeias", HLOOKUP(AH33,'Histórico'!$A$1:$DD$990,MATCH($B$6,'Histórico'!$A:$A),FALSE)*HLOOKUP("EUR/BRL",'Histórico'!$A$1:$FG$983,MATCH($B$6,'Histórico'!$A:$A),FALSE),  HLOOKUP(AH33,'Histórico'!$A$1:$DD$990,MATCH($B$6,'Histórico'!$A:$A),FALSE))),"")</f>
        <v/>
      </c>
      <c r="AL33" s="243" t="str">
        <f t="shared" si="11"/>
        <v/>
      </c>
      <c r="AM33" s="53"/>
      <c r="AN33" s="245"/>
      <c r="AO33" s="242" t="str">
        <f>IF(ISTEXT(AN33),VLOOKUP(AN33,'Cadastro dos Ativos'!$A$2:$C$1000,3,0),"")</f>
        <v/>
      </c>
      <c r="AP33" s="242" t="str">
        <f>IF(AN33 &lt;&gt; "",SUMIFS('Alocação'!$O$3:$O$1002,'Alocação'!$C$3:$C$1002,AN33,'Alocação'!$F$3:$F$1002,AN$9,'Alocação'!$B$3:$B$1002,"&lt;="&amp;$B$6), "")</f>
        <v/>
      </c>
      <c r="AQ33" s="243" t="str">
        <f>iferror(IF(AO33="Ações Americanas", HLOOKUP(AN33,'Histórico'!$A$1:$DD$990,MATCH($B$6,'Histórico'!$A:$A),FALSE)*HLOOKUP("PTAX",'Histórico'!$A$1:$FG$983,MATCH($B$6,'Histórico'!$A:$A),FALSE),IF(AO33="Ações Europeias", HLOOKUP(AN33,'Histórico'!$A$1:$DD$990,MATCH($B$6,'Histórico'!$A:$A),FALSE)*HLOOKUP("EUR/BRL",'Histórico'!$A$1:$FG$983,MATCH($B$6,'Histórico'!$A:$A),FALSE),  HLOOKUP(AN33,'Histórico'!$A$1:$DD$990,MATCH($B$6,'Histórico'!$A:$A),FALSE))),"")</f>
        <v/>
      </c>
      <c r="AR33" s="243" t="str">
        <f t="shared" si="12"/>
        <v/>
      </c>
      <c r="AS33" s="53"/>
      <c r="AT33" s="245"/>
      <c r="AU33" s="242" t="str">
        <f>IF(ISTEXT(AT33),VLOOKUP(AT33,'Cadastro dos Ativos'!$A$2:$C$1000,3,0),"")</f>
        <v/>
      </c>
      <c r="AV33" s="242" t="str">
        <f>IF(AT33 &lt;&gt; "",SUMIFS('Alocação'!$O$3:$O$1002,'Alocação'!$C$3:$C$1002,AT33,'Alocação'!$F$3:$F$1002,AT$9,'Alocação'!$B$3:$B$1002,"&lt;="&amp;$B$6), "")</f>
        <v/>
      </c>
      <c r="AW33" s="243" t="str">
        <f>iferror(IF(AU33="Ações Americanas", HLOOKUP(AT33,'Histórico'!$A$1:$DD$990,MATCH($B$6,'Histórico'!$A:$A),FALSE)*HLOOKUP("PTAX",'Histórico'!$A$1:$FG$983,MATCH($B$6,'Histórico'!$A:$A),FALSE),IF(AU33="Ações Europeias", HLOOKUP(AT33,'Histórico'!$A$1:$DD$990,MATCH($B$6,'Histórico'!$A:$A),FALSE)*HLOOKUP("EUR/BRL",'Histórico'!$A$1:$FG$983,MATCH($B$6,'Histórico'!$A:$A),FALSE),  HLOOKUP(AT33,'Histórico'!$A$1:$DD$990,MATCH($B$6,'Histórico'!$A:$A),FALSE))),"")</f>
        <v/>
      </c>
      <c r="AX33" s="243" t="str">
        <f t="shared" si="13"/>
        <v/>
      </c>
      <c r="AY33" s="53"/>
    </row>
    <row r="34" ht="15.75" customHeight="1">
      <c r="A34" s="176"/>
      <c r="B34" s="288">
        <f>Controle!B34</f>
        <v>45041</v>
      </c>
      <c r="C34" s="233">
        <f>Controle!C34</f>
        <v>101875532</v>
      </c>
      <c r="D34" s="289">
        <f>Controle!D34</f>
        <v>79065006.67</v>
      </c>
      <c r="E34" s="290"/>
      <c r="F34" s="291">
        <v>1.214283842004045E8</v>
      </c>
      <c r="G34" s="289">
        <v>1.37470267531394E8</v>
      </c>
      <c r="H34" s="290"/>
      <c r="I34" s="291">
        <f>Controle!I34</f>
        <v>100990653.4</v>
      </c>
      <c r="J34" s="233">
        <f>Controle!J34</f>
        <v>93439924.19</v>
      </c>
      <c r="K34" s="292"/>
      <c r="L34" s="233">
        <f>Controle!L34</f>
        <v>101040237.6</v>
      </c>
      <c r="M34" s="233">
        <f>Controle!M34</f>
        <v>101082689</v>
      </c>
      <c r="N34" s="240">
        <f>Controle!N34</f>
        <v>-0.002670189075</v>
      </c>
      <c r="O34" s="240">
        <f>Controle!O34</f>
        <v>0.0004829621324</v>
      </c>
      <c r="P34" s="240">
        <f>Controle!P34</f>
        <v>-0.001673918022</v>
      </c>
      <c r="Q34" s="240">
        <f>Controle!Q34</f>
        <v>0.000431286459</v>
      </c>
      <c r="R34" s="293">
        <f>Controle!R34</f>
        <v>101.1835487</v>
      </c>
      <c r="S34" s="287"/>
      <c r="T34" s="233">
        <f t="shared" ref="T34:U34" si="37">IF(AND(C34&lt;&gt;"",F34&lt;&gt;"",I34&lt;&gt;""), SUM(I34,F34,C34),"")</f>
        <v>324294569.6</v>
      </c>
      <c r="U34" s="233">
        <f t="shared" si="37"/>
        <v>309975198.4</v>
      </c>
      <c r="V34" s="233">
        <f t="shared" si="6"/>
        <v>324.2945696</v>
      </c>
      <c r="W34" s="241">
        <f t="shared" si="9"/>
        <v>0.06345143871</v>
      </c>
      <c r="X34" s="241">
        <f t="shared" si="10"/>
        <v>0</v>
      </c>
      <c r="Y34" s="241">
        <f t="shared" si="19"/>
        <v>0.02803566036</v>
      </c>
      <c r="Z34" s="233">
        <f t="shared" si="7"/>
        <v>303.5506461</v>
      </c>
      <c r="AA34" s="294"/>
      <c r="AB34" s="245"/>
      <c r="AC34" s="242" t="str">
        <f>IF(ISTEXT(AB34),VLOOKUP(AB34,'Cadastro dos Ativos'!$A$2:$C$1000,3,0),"")</f>
        <v/>
      </c>
      <c r="AD34" s="242" t="str">
        <f>IF(AB34 &lt;&gt; "",SUMIFS('Alocação'!$O$3:$O$1002,'Alocação'!$C$3:$C$1002,AB34,'Alocação'!$F$3:$F$1002,AB$9,'Alocação'!$B$3:$B$1002,"&lt;="&amp;$B$6), "")</f>
        <v/>
      </c>
      <c r="AE34" s="243" t="str">
        <f>iferror(IF(AC34="Ações Americanas", HLOOKUP(AB34,'Histórico'!$A$1:$DD$990,MATCH($B$6,'Histórico'!$A:$A),FALSE)*HLOOKUP("PTAX",'Histórico'!$A$1:$FG$983,MATCH($B$6,'Histórico'!$A:$A),FALSE),IF(AC34="Ações Europeias", HLOOKUP(AB34,'Histórico'!$A$1:$DD$990,MATCH($B$6,'Histórico'!$A:$A),FALSE)*HLOOKUP("EUR/BRL",'Histórico'!$A$1:$FG$983,MATCH($B$6,'Histórico'!$A:$A),FALSE),  HLOOKUP(AB34,'Histórico'!$A$1:$DD$990,MATCH($B$6,'Histórico'!$A:$A),FALSE))),"")</f>
        <v/>
      </c>
      <c r="AF34" s="243" t="str">
        <f t="shared" si="15"/>
        <v/>
      </c>
      <c r="AG34" s="53"/>
      <c r="AH34" s="245"/>
      <c r="AI34" s="242" t="str">
        <f>IF(ISTEXT(AH34),VLOOKUP(AH34,'Cadastro dos Ativos'!$A$2:$C$1000,3,0),"")</f>
        <v/>
      </c>
      <c r="AJ34" s="242" t="str">
        <f>IF(AH34 &lt;&gt; "",SUMIFS('Alocação'!$O$3:$O$1002,'Alocação'!$C$3:$C$1002,AH34,'Alocação'!$F$3:$F$1002,AH$9,'Alocação'!$B$3:$B$1002,"&lt;="&amp;$B$6), "")</f>
        <v/>
      </c>
      <c r="AK34" s="243" t="str">
        <f>iferror(IF(AI34="Ações Americanas", HLOOKUP(AH34,'Histórico'!$A$1:$DD$990,MATCH($B$6,'Histórico'!$A:$A),FALSE)*HLOOKUP("PTAX",'Histórico'!$A$1:$FG$983,MATCH($B$6,'Histórico'!$A:$A),FALSE),IF(AI34="Ações Europeias", HLOOKUP(AH34,'Histórico'!$A$1:$DD$990,MATCH($B$6,'Histórico'!$A:$A),FALSE)*HLOOKUP("EUR/BRL",'Histórico'!$A$1:$FG$983,MATCH($B$6,'Histórico'!$A:$A),FALSE),  HLOOKUP(AH34,'Histórico'!$A$1:$DD$990,MATCH($B$6,'Histórico'!$A:$A),FALSE))),"")</f>
        <v/>
      </c>
      <c r="AL34" s="243" t="str">
        <f t="shared" si="11"/>
        <v/>
      </c>
      <c r="AM34" s="53"/>
      <c r="AN34" s="245"/>
      <c r="AO34" s="242" t="str">
        <f>IF(ISTEXT(AN34),VLOOKUP(AN34,'Cadastro dos Ativos'!$A$2:$C$1000,3,0),"")</f>
        <v/>
      </c>
      <c r="AP34" s="242" t="str">
        <f>IF(AN34 &lt;&gt; "",SUMIFS('Alocação'!$O$3:$O$1002,'Alocação'!$C$3:$C$1002,AN34,'Alocação'!$F$3:$F$1002,AN$9,'Alocação'!$B$3:$B$1002,"&lt;="&amp;$B$6), "")</f>
        <v/>
      </c>
      <c r="AQ34" s="243" t="str">
        <f>iferror(IF(AO34="Ações Americanas", HLOOKUP(AN34,'Histórico'!$A$1:$DD$990,MATCH($B$6,'Histórico'!$A:$A),FALSE)*HLOOKUP("PTAX",'Histórico'!$A$1:$FG$983,MATCH($B$6,'Histórico'!$A:$A),FALSE),IF(AO34="Ações Europeias", HLOOKUP(AN34,'Histórico'!$A$1:$DD$990,MATCH($B$6,'Histórico'!$A:$A),FALSE)*HLOOKUP("EUR/BRL",'Histórico'!$A$1:$FG$983,MATCH($B$6,'Histórico'!$A:$A),FALSE),  HLOOKUP(AN34,'Histórico'!$A$1:$DD$990,MATCH($B$6,'Histórico'!$A:$A),FALSE))),"")</f>
        <v/>
      </c>
      <c r="AR34" s="243" t="str">
        <f t="shared" si="12"/>
        <v/>
      </c>
      <c r="AS34" s="53"/>
      <c r="AT34" s="245"/>
      <c r="AU34" s="242" t="str">
        <f>IF(ISTEXT(AT34),VLOOKUP(AT34,'Cadastro dos Ativos'!$A$2:$C$1000,3,0),"")</f>
        <v/>
      </c>
      <c r="AV34" s="242" t="str">
        <f>IF(AT34 &lt;&gt; "",SUMIFS('Alocação'!$O$3:$O$1002,'Alocação'!$C$3:$C$1002,AT34,'Alocação'!$F$3:$F$1002,AT$9,'Alocação'!$B$3:$B$1002,"&lt;="&amp;$B$6), "")</f>
        <v/>
      </c>
      <c r="AW34" s="243" t="str">
        <f>iferror(IF(AU34="Ações Americanas", HLOOKUP(AT34,'Histórico'!$A$1:$DD$990,MATCH($B$6,'Histórico'!$A:$A),FALSE)*HLOOKUP("PTAX",'Histórico'!$A$1:$FG$983,MATCH($B$6,'Histórico'!$A:$A),FALSE),IF(AU34="Ações Europeias", HLOOKUP(AT34,'Histórico'!$A$1:$DD$990,MATCH($B$6,'Histórico'!$A:$A),FALSE)*HLOOKUP("EUR/BRL",'Histórico'!$A$1:$FG$983,MATCH($B$6,'Histórico'!$A:$A),FALSE),  HLOOKUP(AT34,'Histórico'!$A$1:$DD$990,MATCH($B$6,'Histórico'!$A:$A),FALSE))),"")</f>
        <v/>
      </c>
      <c r="AX34" s="243" t="str">
        <f t="shared" si="13"/>
        <v/>
      </c>
      <c r="AY34" s="53"/>
    </row>
    <row r="35" ht="15.75" customHeight="1">
      <c r="A35" s="176"/>
      <c r="B35" s="288">
        <f>Controle!B35</f>
        <v>45042</v>
      </c>
      <c r="C35" s="233">
        <f>Controle!C35</f>
        <v>101758373.7</v>
      </c>
      <c r="D35" s="289">
        <f>Controle!D35</f>
        <v>78800417.19</v>
      </c>
      <c r="E35" s="290"/>
      <c r="F35" s="291">
        <f>Controle!F35</f>
        <v>101541743.9</v>
      </c>
      <c r="G35" s="289">
        <f>Controle!G35</f>
        <v>110433984.8</v>
      </c>
      <c r="H35" s="290"/>
      <c r="I35" s="291">
        <f>Controle!I35</f>
        <v>101026212.9</v>
      </c>
      <c r="J35" s="233">
        <f>Controle!J35</f>
        <v>93348739.22</v>
      </c>
      <c r="K35" s="292"/>
      <c r="L35" s="233">
        <f>Controle!L35</f>
        <v>101083814.9</v>
      </c>
      <c r="M35" s="233">
        <f>Controle!M35</f>
        <v>101128054.5</v>
      </c>
      <c r="N35" s="240">
        <f>Controle!N35</f>
        <v>-0.00115001417</v>
      </c>
      <c r="O35" s="240">
        <f>Controle!O35</f>
        <v>-0.001420226116</v>
      </c>
      <c r="P35" s="240">
        <f>Controle!P35</f>
        <v>0.0003521068696</v>
      </c>
      <c r="Q35" s="240">
        <f>Controle!Q35</f>
        <v>0.000431286459</v>
      </c>
      <c r="R35" s="293">
        <f>Controle!R35</f>
        <v>101.2331661</v>
      </c>
      <c r="S35" s="287"/>
      <c r="T35" s="233">
        <f t="shared" ref="T35:U35" si="38">IF(AND(C35&lt;&gt;"",F35&lt;&gt;"",I35&lt;&gt;""), SUM(I35,F35,C35),"")</f>
        <v>304326330.5</v>
      </c>
      <c r="U35" s="233">
        <f t="shared" si="38"/>
        <v>282583141.2</v>
      </c>
      <c r="V35" s="233">
        <f t="shared" si="6"/>
        <v>304.3263305</v>
      </c>
      <c r="W35" s="241">
        <f t="shared" si="9"/>
        <v>-0.06157438642</v>
      </c>
      <c r="X35" s="241">
        <f t="shared" si="10"/>
        <v>-0.06157438642</v>
      </c>
      <c r="Y35" s="241">
        <f t="shared" si="19"/>
        <v>0.04424585832</v>
      </c>
      <c r="Z35" s="233">
        <f t="shared" si="7"/>
        <v>303.6994982</v>
      </c>
      <c r="AA35" s="294"/>
      <c r="AB35" s="245"/>
      <c r="AC35" s="242" t="str">
        <f>IF(ISTEXT(AB35),VLOOKUP(AB35,'Cadastro dos Ativos'!$A$2:$C$1000,3,0),"")</f>
        <v/>
      </c>
      <c r="AD35" s="242" t="str">
        <f>IF(AB35 &lt;&gt; "",SUMIFS('Alocação'!$O$3:$O$1002,'Alocação'!$C$3:$C$1002,AB35,'Alocação'!$F$3:$F$1002,AB$9,'Alocação'!$B$3:$B$1002,"&lt;="&amp;$B$6), "")</f>
        <v/>
      </c>
      <c r="AE35" s="243" t="str">
        <f>iferror(IF(AC35="Ações Americanas", HLOOKUP(AB35,'Histórico'!$A$1:$DD$990,MATCH($B$6,'Histórico'!$A:$A),FALSE)*HLOOKUP("PTAX",'Histórico'!$A$1:$FG$983,MATCH($B$6,'Histórico'!$A:$A),FALSE),IF(AC35="Ações Europeias", HLOOKUP(AB35,'Histórico'!$A$1:$DD$990,MATCH($B$6,'Histórico'!$A:$A),FALSE)*HLOOKUP("EUR/BRL",'Histórico'!$A$1:$FG$983,MATCH($B$6,'Histórico'!$A:$A),FALSE),  HLOOKUP(AB35,'Histórico'!$A$1:$DD$990,MATCH($B$6,'Histórico'!$A:$A),FALSE))),"")</f>
        <v/>
      </c>
      <c r="AF35" s="243" t="str">
        <f t="shared" si="15"/>
        <v/>
      </c>
      <c r="AG35" s="53"/>
      <c r="AH35" s="245"/>
      <c r="AI35" s="242" t="str">
        <f>IF(ISTEXT(AH35),VLOOKUP(AH35,'Cadastro dos Ativos'!$A$2:$C$1000,3,0),"")</f>
        <v/>
      </c>
      <c r="AJ35" s="242" t="str">
        <f>IF(AH35 &lt;&gt; "",SUMIFS('Alocação'!$O$3:$O$1002,'Alocação'!$C$3:$C$1002,AH35,'Alocação'!$F$3:$F$1002,AH$9,'Alocação'!$B$3:$B$1002,"&lt;="&amp;$B$6), "")</f>
        <v/>
      </c>
      <c r="AK35" s="243" t="str">
        <f>iferror(IF(AI35="Ações Americanas", HLOOKUP(AH35,'Histórico'!$A$1:$DD$990,MATCH($B$6,'Histórico'!$A:$A),FALSE)*HLOOKUP("PTAX",'Histórico'!$A$1:$FG$983,MATCH($B$6,'Histórico'!$A:$A),FALSE),IF(AI35="Ações Europeias", HLOOKUP(AH35,'Histórico'!$A$1:$DD$990,MATCH($B$6,'Histórico'!$A:$A),FALSE)*HLOOKUP("EUR/BRL",'Histórico'!$A$1:$FG$983,MATCH($B$6,'Histórico'!$A:$A),FALSE),  HLOOKUP(AH35,'Histórico'!$A$1:$DD$990,MATCH($B$6,'Histórico'!$A:$A),FALSE))),"")</f>
        <v/>
      </c>
      <c r="AL35" s="243" t="str">
        <f t="shared" si="11"/>
        <v/>
      </c>
      <c r="AM35" s="53"/>
      <c r="AN35" s="245"/>
      <c r="AO35" s="242" t="str">
        <f>IF(ISTEXT(AN35),VLOOKUP(AN35,'Cadastro dos Ativos'!$A$2:$C$1000,3,0),"")</f>
        <v/>
      </c>
      <c r="AP35" s="242" t="str">
        <f>IF(AN35 &lt;&gt; "",SUMIFS('Alocação'!$O$3:$O$1002,'Alocação'!$C$3:$C$1002,AN35,'Alocação'!$F$3:$F$1002,AN$9,'Alocação'!$B$3:$B$1002,"&lt;="&amp;$B$6), "")</f>
        <v/>
      </c>
      <c r="AQ35" s="243" t="str">
        <f>iferror(IF(AO35="Ações Americanas", HLOOKUP(AN35,'Histórico'!$A$1:$DD$990,MATCH($B$6,'Histórico'!$A:$A),FALSE)*HLOOKUP("PTAX",'Histórico'!$A$1:$FG$983,MATCH($B$6,'Histórico'!$A:$A),FALSE),IF(AO35="Ações Europeias", HLOOKUP(AN35,'Histórico'!$A$1:$DD$990,MATCH($B$6,'Histórico'!$A:$A),FALSE)*HLOOKUP("EUR/BRL",'Histórico'!$A$1:$FG$983,MATCH($B$6,'Histórico'!$A:$A),FALSE),  HLOOKUP(AN35,'Histórico'!$A$1:$DD$990,MATCH($B$6,'Histórico'!$A:$A),FALSE))),"")</f>
        <v/>
      </c>
      <c r="AR35" s="243" t="str">
        <f t="shared" si="12"/>
        <v/>
      </c>
      <c r="AS35" s="53"/>
      <c r="AT35" s="245"/>
      <c r="AU35" s="242" t="str">
        <f>IF(ISTEXT(AT35),VLOOKUP(AT35,'Cadastro dos Ativos'!$A$2:$C$1000,3,0),"")</f>
        <v/>
      </c>
      <c r="AV35" s="242" t="str">
        <f>IF(AT35 &lt;&gt; "",SUMIFS('Alocação'!$O$3:$O$1002,'Alocação'!$C$3:$C$1002,AT35,'Alocação'!$F$3:$F$1002,AT$9,'Alocação'!$B$3:$B$1002,"&lt;="&amp;$B$6), "")</f>
        <v/>
      </c>
      <c r="AW35" s="243" t="str">
        <f>iferror(IF(AU35="Ações Americanas", HLOOKUP(AT35,'Histórico'!$A$1:$DD$990,MATCH($B$6,'Histórico'!$A:$A),FALSE)*HLOOKUP("PTAX",'Histórico'!$A$1:$FG$983,MATCH($B$6,'Histórico'!$A:$A),FALSE),IF(AU35="Ações Europeias", HLOOKUP(AT35,'Histórico'!$A$1:$DD$990,MATCH($B$6,'Histórico'!$A:$A),FALSE)*HLOOKUP("EUR/BRL",'Histórico'!$A$1:$FG$983,MATCH($B$6,'Histórico'!$A:$A),FALSE),  HLOOKUP(AT35,'Histórico'!$A$1:$DD$990,MATCH($B$6,'Histórico'!$A:$A),FALSE))),"")</f>
        <v/>
      </c>
      <c r="AX35" s="243" t="str">
        <f t="shared" si="13"/>
        <v/>
      </c>
      <c r="AY35" s="53"/>
    </row>
    <row r="36" ht="15.75" customHeight="1">
      <c r="A36" s="176"/>
      <c r="B36" s="288">
        <f>Controle!B36</f>
        <v>45043</v>
      </c>
      <c r="C36" s="233">
        <f>Controle!C36</f>
        <v>102006498.2</v>
      </c>
      <c r="D36" s="289">
        <f>Controle!D36</f>
        <v>78688689.8</v>
      </c>
      <c r="E36" s="290"/>
      <c r="F36" s="291">
        <f>Controle!F36</f>
        <v>100310711.9</v>
      </c>
      <c r="G36" s="289">
        <f>Controle!G36</f>
        <v>159051110.4</v>
      </c>
      <c r="H36" s="290"/>
      <c r="I36" s="291">
        <f>Controle!I36</f>
        <v>101279535.3</v>
      </c>
      <c r="J36" s="233">
        <f>Controle!J36</f>
        <v>93361814.89</v>
      </c>
      <c r="K36" s="292"/>
      <c r="L36" s="233">
        <f>Controle!L36</f>
        <v>101127411</v>
      </c>
      <c r="M36" s="233">
        <f>Controle!M36</f>
        <v>101173440.5</v>
      </c>
      <c r="N36" s="240">
        <f>Controle!N36</f>
        <v>0.002438369353</v>
      </c>
      <c r="O36" s="240">
        <f>Controle!O36</f>
        <v>-0.01212340798</v>
      </c>
      <c r="P36" s="240">
        <f>Controle!P36</f>
        <v>0.002507491782</v>
      </c>
      <c r="Q36" s="240">
        <f>Controle!Q36</f>
        <v>0.000431286459</v>
      </c>
      <c r="R36" s="293">
        <f>Controle!R36</f>
        <v>101.2828078</v>
      </c>
      <c r="S36" s="287"/>
      <c r="T36" s="233">
        <f t="shared" ref="T36:U36" si="39">IF(AND(C36&lt;&gt;"",F36&lt;&gt;"",I36&lt;&gt;""), SUM(I36,F36,C36),"")</f>
        <v>303596745.4</v>
      </c>
      <c r="U36" s="233">
        <f t="shared" si="39"/>
        <v>331101615.1</v>
      </c>
      <c r="V36" s="233">
        <f t="shared" si="6"/>
        <v>303.5967454</v>
      </c>
      <c r="W36" s="241">
        <f t="shared" si="9"/>
        <v>-0.002397377475</v>
      </c>
      <c r="X36" s="241">
        <f t="shared" si="10"/>
        <v>-0.06382414685</v>
      </c>
      <c r="Y36" s="241">
        <f t="shared" si="19"/>
        <v>0.04424520858</v>
      </c>
      <c r="Z36" s="233">
        <f t="shared" si="7"/>
        <v>303.8484234</v>
      </c>
      <c r="AA36" s="294"/>
      <c r="AB36" s="245"/>
      <c r="AC36" s="242" t="str">
        <f>IF(ISTEXT(AB36),VLOOKUP(AB36,'Cadastro dos Ativos'!$A$2:$C$1000,3,0),"")</f>
        <v/>
      </c>
      <c r="AD36" s="242" t="str">
        <f>IF(AB36 &lt;&gt; "",SUMIFS('Alocação'!$O$3:$O$1002,'Alocação'!$C$3:$C$1002,AB36,'Alocação'!$F$3:$F$1002,AB$9,'Alocação'!$B$3:$B$1002,"&lt;="&amp;$B$6), "")</f>
        <v/>
      </c>
      <c r="AE36" s="243" t="str">
        <f>iferror(IF(AC36="Ações Americanas", HLOOKUP(AB36,'Histórico'!$A$1:$DD$990,MATCH($B$6,'Histórico'!$A:$A),FALSE)*HLOOKUP("PTAX",'Histórico'!$A$1:$FG$983,MATCH($B$6,'Histórico'!$A:$A),FALSE),IF(AC36="Ações Europeias", HLOOKUP(AB36,'Histórico'!$A$1:$DD$990,MATCH($B$6,'Histórico'!$A:$A),FALSE)*HLOOKUP("EUR/BRL",'Histórico'!$A$1:$FG$983,MATCH($B$6,'Histórico'!$A:$A),FALSE),  HLOOKUP(AB36,'Histórico'!$A$1:$DD$990,MATCH($B$6,'Histórico'!$A:$A),FALSE))),"")</f>
        <v/>
      </c>
      <c r="AF36" s="243" t="str">
        <f t="shared" si="15"/>
        <v/>
      </c>
      <c r="AG36" s="53"/>
      <c r="AH36" s="245"/>
      <c r="AI36" s="242" t="str">
        <f>IF(ISTEXT(AH36),VLOOKUP(AH36,'Cadastro dos Ativos'!$A$2:$C$1000,3,0),"")</f>
        <v/>
      </c>
      <c r="AJ36" s="242" t="str">
        <f>IF(AH36 &lt;&gt; "",SUMIFS('Alocação'!$O$3:$O$1002,'Alocação'!$C$3:$C$1002,AH36,'Alocação'!$F$3:$F$1002,AH$9,'Alocação'!$B$3:$B$1002,"&lt;="&amp;$B$6), "")</f>
        <v/>
      </c>
      <c r="AK36" s="243" t="str">
        <f>iferror(IF(AI36="Ações Americanas", HLOOKUP(AH36,'Histórico'!$A$1:$DD$990,MATCH($B$6,'Histórico'!$A:$A),FALSE)*HLOOKUP("PTAX",'Histórico'!$A$1:$FG$983,MATCH($B$6,'Histórico'!$A:$A),FALSE),IF(AI36="Ações Europeias", HLOOKUP(AH36,'Histórico'!$A$1:$DD$990,MATCH($B$6,'Histórico'!$A:$A),FALSE)*HLOOKUP("EUR/BRL",'Histórico'!$A$1:$FG$983,MATCH($B$6,'Histórico'!$A:$A),FALSE),  HLOOKUP(AH36,'Histórico'!$A$1:$DD$990,MATCH($B$6,'Histórico'!$A:$A),FALSE))),"")</f>
        <v/>
      </c>
      <c r="AL36" s="243" t="str">
        <f t="shared" si="11"/>
        <v/>
      </c>
      <c r="AM36" s="53"/>
      <c r="AN36" s="245"/>
      <c r="AO36" s="242" t="str">
        <f>IF(ISTEXT(AN36),VLOOKUP(AN36,'Cadastro dos Ativos'!$A$2:$C$1000,3,0),"")</f>
        <v/>
      </c>
      <c r="AP36" s="242" t="str">
        <f>IF(AN36 &lt;&gt; "",SUMIFS('Alocação'!$O$3:$O$1002,'Alocação'!$C$3:$C$1002,AN36,'Alocação'!$F$3:$F$1002,AN$9,'Alocação'!$B$3:$B$1002,"&lt;="&amp;$B$6), "")</f>
        <v/>
      </c>
      <c r="AQ36" s="243" t="str">
        <f>iferror(IF(AO36="Ações Americanas", HLOOKUP(AN36,'Histórico'!$A$1:$DD$990,MATCH($B$6,'Histórico'!$A:$A),FALSE)*HLOOKUP("PTAX",'Histórico'!$A$1:$FG$983,MATCH($B$6,'Histórico'!$A:$A),FALSE),IF(AO36="Ações Europeias", HLOOKUP(AN36,'Histórico'!$A$1:$DD$990,MATCH($B$6,'Histórico'!$A:$A),FALSE)*HLOOKUP("EUR/BRL",'Histórico'!$A$1:$FG$983,MATCH($B$6,'Histórico'!$A:$A),FALSE),  HLOOKUP(AN36,'Histórico'!$A$1:$DD$990,MATCH($B$6,'Histórico'!$A:$A),FALSE))),"")</f>
        <v/>
      </c>
      <c r="AR36" s="243" t="str">
        <f t="shared" si="12"/>
        <v/>
      </c>
      <c r="AS36" s="53"/>
      <c r="AT36" s="245"/>
      <c r="AU36" s="242" t="str">
        <f>IF(ISTEXT(AT36),VLOOKUP(AT36,'Cadastro dos Ativos'!$A$2:$C$1000,3,0),"")</f>
        <v/>
      </c>
      <c r="AV36" s="242" t="str">
        <f>IF(AT36 &lt;&gt; "",SUMIFS('Alocação'!$O$3:$O$1002,'Alocação'!$C$3:$C$1002,AT36,'Alocação'!$F$3:$F$1002,AT$9,'Alocação'!$B$3:$B$1002,"&lt;="&amp;$B$6), "")</f>
        <v/>
      </c>
      <c r="AW36" s="243" t="str">
        <f>iferror(IF(AU36="Ações Americanas", HLOOKUP(AT36,'Histórico'!$A$1:$DD$990,MATCH($B$6,'Histórico'!$A:$A),FALSE)*HLOOKUP("PTAX",'Histórico'!$A$1:$FG$983,MATCH($B$6,'Histórico'!$A:$A),FALSE),IF(AU36="Ações Europeias", HLOOKUP(AT36,'Histórico'!$A$1:$DD$990,MATCH($B$6,'Histórico'!$A:$A),FALSE)*HLOOKUP("EUR/BRL",'Histórico'!$A$1:$FG$983,MATCH($B$6,'Histórico'!$A:$A),FALSE),  HLOOKUP(AT36,'Histórico'!$A$1:$DD$990,MATCH($B$6,'Histórico'!$A:$A),FALSE))),"")</f>
        <v/>
      </c>
      <c r="AX36" s="243" t="str">
        <f t="shared" si="13"/>
        <v/>
      </c>
      <c r="AY36" s="53"/>
    </row>
    <row r="37" ht="15.75" customHeight="1">
      <c r="A37" s="176"/>
      <c r="B37" s="288">
        <f>Controle!B37</f>
        <v>45044</v>
      </c>
      <c r="C37" s="233">
        <f>Controle!C37</f>
        <v>102150553.5</v>
      </c>
      <c r="D37" s="289">
        <f>Controle!D37</f>
        <v>78556284.86</v>
      </c>
      <c r="E37" s="290"/>
      <c r="F37" s="291">
        <f>Controle!F37</f>
        <v>99312032.03</v>
      </c>
      <c r="G37" s="289" t="str">
        <f>#REF!</f>
        <v>#REF!</v>
      </c>
      <c r="H37" s="290"/>
      <c r="I37" s="291">
        <f>Controle!I37</f>
        <v>101323484.1</v>
      </c>
      <c r="J37" s="233">
        <f>Controle!J37</f>
        <v>93422242.44</v>
      </c>
      <c r="K37" s="292"/>
      <c r="L37" s="233">
        <f>Controle!L37</f>
        <v>101171025.8</v>
      </c>
      <c r="M37" s="233">
        <f>Controle!M37</f>
        <v>101218846.7</v>
      </c>
      <c r="N37" s="240">
        <f>Controle!N37</f>
        <v>0.001412216552</v>
      </c>
      <c r="O37" s="240">
        <f>Controle!O37</f>
        <v>-0.009955864389</v>
      </c>
      <c r="P37" s="240">
        <f>Controle!P37</f>
        <v>0.0004339356573</v>
      </c>
      <c r="Q37" s="240">
        <f>Controle!Q37</f>
        <v>0.000431286459</v>
      </c>
      <c r="R37" s="293">
        <f>Controle!R37</f>
        <v>101.3324738</v>
      </c>
      <c r="S37" s="287"/>
      <c r="T37" s="233">
        <f t="shared" ref="T37:U37" si="40">IF(AND(C37&lt;&gt;"",F37&lt;&gt;"",I37&lt;&gt;""), SUM(I37,F37,C37),"")</f>
        <v>302786069.6</v>
      </c>
      <c r="U37" s="233" t="str">
        <f t="shared" si="40"/>
        <v>#REF!</v>
      </c>
      <c r="V37" s="233">
        <f t="shared" si="6"/>
        <v>302.7860696</v>
      </c>
      <c r="W37" s="241">
        <f t="shared" si="9"/>
        <v>-0.002670238695</v>
      </c>
      <c r="X37" s="241">
        <f t="shared" si="10"/>
        <v>-0.06632395984</v>
      </c>
      <c r="Y37" s="241">
        <f t="shared" si="19"/>
        <v>0.04426954781</v>
      </c>
      <c r="Z37" s="233">
        <f t="shared" si="7"/>
        <v>303.9974215</v>
      </c>
      <c r="AA37" s="294"/>
      <c r="AB37" s="245"/>
      <c r="AC37" s="242" t="str">
        <f>IF(ISTEXT(AB37),VLOOKUP(AB37,'Cadastro dos Ativos'!$A$2:$C$1000,3,0),"")</f>
        <v/>
      </c>
      <c r="AD37" s="242" t="str">
        <f>IF(AB37 &lt;&gt; "",SUMIFS('Alocação'!$O$3:$O$1002,'Alocação'!$C$3:$C$1002,AB37,'Alocação'!$F$3:$F$1002,AB$9,'Alocação'!$B$3:$B$1002,"&lt;="&amp;$B$6), "")</f>
        <v/>
      </c>
      <c r="AE37" s="243" t="str">
        <f>iferror(IF(AC37="Ações Americanas", HLOOKUP(AB37,'Histórico'!$A$1:$DD$990,MATCH($B$6,'Histórico'!$A:$A),FALSE)*HLOOKUP("PTAX",'Histórico'!$A$1:$FG$983,MATCH($B$6,'Histórico'!$A:$A),FALSE),IF(AC37="Ações Europeias", HLOOKUP(AB37,'Histórico'!$A$1:$DD$990,MATCH($B$6,'Histórico'!$A:$A),FALSE)*HLOOKUP("EUR/BRL",'Histórico'!$A$1:$FG$983,MATCH($B$6,'Histórico'!$A:$A),FALSE),  HLOOKUP(AB37,'Histórico'!$A$1:$DD$990,MATCH($B$6,'Histórico'!$A:$A),FALSE))),"")</f>
        <v/>
      </c>
      <c r="AF37" s="243" t="str">
        <f t="shared" si="15"/>
        <v/>
      </c>
      <c r="AG37" s="53"/>
      <c r="AH37" s="245"/>
      <c r="AI37" s="242" t="str">
        <f>IF(ISTEXT(AH37),VLOOKUP(AH37,'Cadastro dos Ativos'!$A$2:$C$1000,3,0),"")</f>
        <v/>
      </c>
      <c r="AJ37" s="242" t="str">
        <f>IF(AH37 &lt;&gt; "",SUMIFS('Alocação'!$O$3:$O$1002,'Alocação'!$C$3:$C$1002,AH37,'Alocação'!$F$3:$F$1002,AH$9,'Alocação'!$B$3:$B$1002,"&lt;="&amp;$B$6), "")</f>
        <v/>
      </c>
      <c r="AK37" s="243" t="str">
        <f>iferror(IF(AI37="Ações Americanas", HLOOKUP(AH37,'Histórico'!$A$1:$DD$990,MATCH($B$6,'Histórico'!$A:$A),FALSE)*HLOOKUP("PTAX",'Histórico'!$A$1:$FG$983,MATCH($B$6,'Histórico'!$A:$A),FALSE),IF(AI37="Ações Europeias", HLOOKUP(AH37,'Histórico'!$A$1:$DD$990,MATCH($B$6,'Histórico'!$A:$A),FALSE)*HLOOKUP("EUR/BRL",'Histórico'!$A$1:$FG$983,MATCH($B$6,'Histórico'!$A:$A),FALSE),  HLOOKUP(AH37,'Histórico'!$A$1:$DD$990,MATCH($B$6,'Histórico'!$A:$A),FALSE))),"")</f>
        <v/>
      </c>
      <c r="AL37" s="243" t="str">
        <f t="shared" si="11"/>
        <v/>
      </c>
      <c r="AM37" s="53"/>
      <c r="AN37" s="245"/>
      <c r="AO37" s="242" t="str">
        <f>IF(ISTEXT(AN37),VLOOKUP(AN37,'Cadastro dos Ativos'!$A$2:$C$1000,3,0),"")</f>
        <v/>
      </c>
      <c r="AP37" s="242" t="str">
        <f>IF(AN37 &lt;&gt; "",SUMIFS('Alocação'!$O$3:$O$1002,'Alocação'!$C$3:$C$1002,AN37,'Alocação'!$F$3:$F$1002,AN$9,'Alocação'!$B$3:$B$1002,"&lt;="&amp;$B$6), "")</f>
        <v/>
      </c>
      <c r="AQ37" s="243" t="str">
        <f>iferror(IF(AO37="Ações Americanas", HLOOKUP(AN37,'Histórico'!$A$1:$DD$990,MATCH($B$6,'Histórico'!$A:$A),FALSE)*HLOOKUP("PTAX",'Histórico'!$A$1:$FG$983,MATCH($B$6,'Histórico'!$A:$A),FALSE),IF(AO37="Ações Europeias", HLOOKUP(AN37,'Histórico'!$A$1:$DD$990,MATCH($B$6,'Histórico'!$A:$A),FALSE)*HLOOKUP("EUR/BRL",'Histórico'!$A$1:$FG$983,MATCH($B$6,'Histórico'!$A:$A),FALSE),  HLOOKUP(AN37,'Histórico'!$A$1:$DD$990,MATCH($B$6,'Histórico'!$A:$A),FALSE))),"")</f>
        <v/>
      </c>
      <c r="AR37" s="243" t="str">
        <f t="shared" si="12"/>
        <v/>
      </c>
      <c r="AS37" s="53"/>
      <c r="AT37" s="245"/>
      <c r="AU37" s="242" t="str">
        <f>IF(ISTEXT(AT37),VLOOKUP(AT37,'Cadastro dos Ativos'!$A$2:$C$1000,3,0),"")</f>
        <v/>
      </c>
      <c r="AV37" s="242" t="str">
        <f>IF(AT37 &lt;&gt; "",SUMIFS('Alocação'!$O$3:$O$1002,'Alocação'!$C$3:$C$1002,AT37,'Alocação'!$F$3:$F$1002,AT$9,'Alocação'!$B$3:$B$1002,"&lt;="&amp;$B$6), "")</f>
        <v/>
      </c>
      <c r="AW37" s="243" t="str">
        <f>iferror(IF(AU37="Ações Americanas", HLOOKUP(AT37,'Histórico'!$A$1:$DD$990,MATCH($B$6,'Histórico'!$A:$A),FALSE)*HLOOKUP("PTAX",'Histórico'!$A$1:$FG$983,MATCH($B$6,'Histórico'!$A:$A),FALSE),IF(AU37="Ações Europeias", HLOOKUP(AT37,'Histórico'!$A$1:$DD$990,MATCH($B$6,'Histórico'!$A:$A),FALSE)*HLOOKUP("EUR/BRL",'Histórico'!$A$1:$FG$983,MATCH($B$6,'Histórico'!$A:$A),FALSE),  HLOOKUP(AT37,'Histórico'!$A$1:$DD$990,MATCH($B$6,'Histórico'!$A:$A),FALSE))),"")</f>
        <v/>
      </c>
      <c r="AX37" s="243" t="str">
        <f t="shared" si="13"/>
        <v/>
      </c>
      <c r="AY37" s="53"/>
    </row>
    <row r="38" ht="15.75" customHeight="1">
      <c r="A38" s="176"/>
      <c r="B38" s="288">
        <f>Controle!B38</f>
        <v>45048</v>
      </c>
      <c r="C38" s="233">
        <f>Controle!C38</f>
        <v>101989040.9</v>
      </c>
      <c r="D38" s="289">
        <f>Controle!D38</f>
        <v>112154041.8</v>
      </c>
      <c r="E38" s="290"/>
      <c r="F38" s="291">
        <f>Controle!F38</f>
        <v>99334832.21</v>
      </c>
      <c r="G38" s="289">
        <f>Controle!G38</f>
        <v>157456209.4</v>
      </c>
      <c r="H38" s="290"/>
      <c r="I38" s="291">
        <f>Controle!I38</f>
        <v>101706706.4</v>
      </c>
      <c r="J38" s="233">
        <f>Controle!J38</f>
        <v>93414183.88</v>
      </c>
      <c r="K38" s="292"/>
      <c r="L38" s="233">
        <f>Controle!L38</f>
        <v>101214659.5</v>
      </c>
      <c r="M38" s="233">
        <f>Controle!M38</f>
        <v>101264273.4</v>
      </c>
      <c r="N38" s="240">
        <f>Controle!N38</f>
        <v>-0.001581123219</v>
      </c>
      <c r="O38" s="240">
        <f>Controle!O38</f>
        <v>0.0002295812247</v>
      </c>
      <c r="P38" s="240">
        <f>Controle!P38</f>
        <v>0.00378216728</v>
      </c>
      <c r="Q38" s="240">
        <f>Controle!Q38</f>
        <v>0.000431286459</v>
      </c>
      <c r="R38" s="293">
        <f>Controle!R38</f>
        <v>101.3821642</v>
      </c>
      <c r="S38" s="287"/>
      <c r="T38" s="233">
        <f t="shared" ref="T38:U38" si="41">IF(AND(C38&lt;&gt;"",F38&lt;&gt;"",I38&lt;&gt;""), SUM(I38,F38,C38),"")</f>
        <v>303030579.5</v>
      </c>
      <c r="U38" s="233">
        <f t="shared" si="41"/>
        <v>363024435.1</v>
      </c>
      <c r="V38" s="233">
        <f t="shared" si="6"/>
        <v>303.0305795</v>
      </c>
      <c r="W38" s="241">
        <f t="shared" si="9"/>
        <v>0.0008075336243</v>
      </c>
      <c r="X38" s="241">
        <f t="shared" si="10"/>
        <v>-0.06556998504</v>
      </c>
      <c r="Y38" s="241">
        <f t="shared" si="19"/>
        <v>0.04424331609</v>
      </c>
      <c r="Z38" s="233">
        <f t="shared" si="7"/>
        <v>304.1464927</v>
      </c>
      <c r="AA38" s="294"/>
      <c r="AB38" s="245"/>
      <c r="AC38" s="242" t="str">
        <f>IF(ISTEXT(AB38),VLOOKUP(AB38,'Cadastro dos Ativos'!$A$2:$C$1000,3,0),"")</f>
        <v/>
      </c>
      <c r="AD38" s="242" t="str">
        <f>IF(AB38 &lt;&gt; "",SUMIFS('Alocação'!$O$3:$O$1002,'Alocação'!$C$3:$C$1002,AB38,'Alocação'!$F$3:$F$1002,AB$9,'Alocação'!$B$3:$B$1002,"&lt;="&amp;$B$6), "")</f>
        <v/>
      </c>
      <c r="AE38" s="243" t="str">
        <f>iferror(IF(AC38="Ações Americanas", HLOOKUP(AB38,'Histórico'!$A$1:$DD$990,MATCH($B$6,'Histórico'!$A:$A),FALSE)*HLOOKUP("PTAX",'Histórico'!$A$1:$FG$983,MATCH($B$6,'Histórico'!$A:$A),FALSE),IF(AC38="Ações Europeias", HLOOKUP(AB38,'Histórico'!$A$1:$DD$990,MATCH($B$6,'Histórico'!$A:$A),FALSE)*HLOOKUP("EUR/BRL",'Histórico'!$A$1:$FG$983,MATCH($B$6,'Histórico'!$A:$A),FALSE),  HLOOKUP(AB38,'Histórico'!$A$1:$DD$990,MATCH($B$6,'Histórico'!$A:$A),FALSE))),"")</f>
        <v/>
      </c>
      <c r="AF38" s="243" t="str">
        <f t="shared" si="15"/>
        <v/>
      </c>
      <c r="AG38" s="53"/>
      <c r="AH38" s="245"/>
      <c r="AI38" s="242" t="str">
        <f>IF(ISTEXT(AH38),VLOOKUP(AH38,'Cadastro dos Ativos'!$A$2:$C$1000,3,0),"")</f>
        <v/>
      </c>
      <c r="AJ38" s="242" t="str">
        <f>IF(AH38 &lt;&gt; "",SUMIFS('Alocação'!$O$3:$O$1002,'Alocação'!$C$3:$C$1002,AH38,'Alocação'!$F$3:$F$1002,AH$9,'Alocação'!$B$3:$B$1002,"&lt;="&amp;$B$6), "")</f>
        <v/>
      </c>
      <c r="AK38" s="243" t="str">
        <f>iferror(IF(AI38="Ações Americanas", HLOOKUP(AH38,'Histórico'!$A$1:$DD$990,MATCH($B$6,'Histórico'!$A:$A),FALSE)*HLOOKUP("PTAX",'Histórico'!$A$1:$FG$983,MATCH($B$6,'Histórico'!$A:$A),FALSE),IF(AI38="Ações Europeias", HLOOKUP(AH38,'Histórico'!$A$1:$DD$990,MATCH($B$6,'Histórico'!$A:$A),FALSE)*HLOOKUP("EUR/BRL",'Histórico'!$A$1:$FG$983,MATCH($B$6,'Histórico'!$A:$A),FALSE),  HLOOKUP(AH38,'Histórico'!$A$1:$DD$990,MATCH($B$6,'Histórico'!$A:$A),FALSE))),"")</f>
        <v/>
      </c>
      <c r="AL38" s="243" t="str">
        <f t="shared" si="11"/>
        <v/>
      </c>
      <c r="AM38" s="53"/>
      <c r="AN38" s="245"/>
      <c r="AO38" s="242" t="str">
        <f>IF(ISTEXT(AN38),VLOOKUP(AN38,'Cadastro dos Ativos'!$A$2:$C$1000,3,0),"")</f>
        <v/>
      </c>
      <c r="AP38" s="242" t="str">
        <f>IF(AN38 &lt;&gt; "",SUMIFS('Alocação'!$O$3:$O$1002,'Alocação'!$C$3:$C$1002,AN38,'Alocação'!$F$3:$F$1002,AN$9,'Alocação'!$B$3:$B$1002,"&lt;="&amp;$B$6), "")</f>
        <v/>
      </c>
      <c r="AQ38" s="243" t="str">
        <f>iferror(IF(AO38="Ações Americanas", HLOOKUP(AN38,'Histórico'!$A$1:$DD$990,MATCH($B$6,'Histórico'!$A:$A),FALSE)*HLOOKUP("PTAX",'Histórico'!$A$1:$FG$983,MATCH($B$6,'Histórico'!$A:$A),FALSE),IF(AO38="Ações Europeias", HLOOKUP(AN38,'Histórico'!$A$1:$DD$990,MATCH($B$6,'Histórico'!$A:$A),FALSE)*HLOOKUP("EUR/BRL",'Histórico'!$A$1:$FG$983,MATCH($B$6,'Histórico'!$A:$A),FALSE),  HLOOKUP(AN38,'Histórico'!$A$1:$DD$990,MATCH($B$6,'Histórico'!$A:$A),FALSE))),"")</f>
        <v/>
      </c>
      <c r="AR38" s="243" t="str">
        <f t="shared" si="12"/>
        <v/>
      </c>
      <c r="AS38" s="53"/>
      <c r="AT38" s="245"/>
      <c r="AU38" s="242" t="str">
        <f>IF(ISTEXT(AT38),VLOOKUP(AT38,'Cadastro dos Ativos'!$A$2:$C$1000,3,0),"")</f>
        <v/>
      </c>
      <c r="AV38" s="242" t="str">
        <f>IF(AT38 &lt;&gt; "",SUMIFS('Alocação'!$O$3:$O$1002,'Alocação'!$C$3:$C$1002,AT38,'Alocação'!$F$3:$F$1002,AT$9,'Alocação'!$B$3:$B$1002,"&lt;="&amp;$B$6), "")</f>
        <v/>
      </c>
      <c r="AW38" s="243" t="str">
        <f>iferror(IF(AU38="Ações Americanas", HLOOKUP(AT38,'Histórico'!$A$1:$DD$990,MATCH($B$6,'Histórico'!$A:$A),FALSE)*HLOOKUP("PTAX",'Histórico'!$A$1:$FG$983,MATCH($B$6,'Histórico'!$A:$A),FALSE),IF(AU38="Ações Europeias", HLOOKUP(AT38,'Histórico'!$A$1:$DD$990,MATCH($B$6,'Histórico'!$A:$A),FALSE)*HLOOKUP("EUR/BRL",'Histórico'!$A$1:$FG$983,MATCH($B$6,'Histórico'!$A:$A),FALSE),  HLOOKUP(AT38,'Histórico'!$A$1:$DD$990,MATCH($B$6,'Histórico'!$A:$A),FALSE))),"")</f>
        <v/>
      </c>
      <c r="AX38" s="243" t="str">
        <f t="shared" si="13"/>
        <v/>
      </c>
      <c r="AY38" s="53"/>
    </row>
    <row r="39" ht="15.75" customHeight="1">
      <c r="A39" s="176"/>
      <c r="B39" s="288">
        <f>Controle!B39</f>
        <v>45049</v>
      </c>
      <c r="C39" s="233">
        <f>Controle!C39</f>
        <v>102566228.5</v>
      </c>
      <c r="D39" s="289">
        <f>Controle!D39</f>
        <v>112639160.1</v>
      </c>
      <c r="E39" s="290"/>
      <c r="F39" s="291">
        <f>Controle!F39</f>
        <v>101331686.6</v>
      </c>
      <c r="G39" s="289">
        <f>Controle!G39</f>
        <v>159410374.3</v>
      </c>
      <c r="H39" s="290"/>
      <c r="I39" s="291">
        <f>Controle!I39</f>
        <v>101513899.9</v>
      </c>
      <c r="J39" s="233">
        <f>Controle!J39</f>
        <v>93233639.58</v>
      </c>
      <c r="K39" s="292"/>
      <c r="L39" s="233">
        <f>Controle!L39</f>
        <v>101258312.1</v>
      </c>
      <c r="M39" s="233">
        <f>Controle!M39</f>
        <v>101309720.4</v>
      </c>
      <c r="N39" s="240">
        <f>Controle!N39</f>
        <v>0.00565930981</v>
      </c>
      <c r="O39" s="240">
        <f>Controle!O39</f>
        <v>0.02010225816</v>
      </c>
      <c r="P39" s="240">
        <f>Controle!P39</f>
        <v>-0.001895711311</v>
      </c>
      <c r="Q39" s="240">
        <f>Controle!Q39</f>
        <v>0.000431286459</v>
      </c>
      <c r="R39" s="293">
        <f>Controle!R39</f>
        <v>101.431879</v>
      </c>
      <c r="S39" s="287"/>
      <c r="T39" s="233">
        <f t="shared" ref="T39:U39" si="42">IF(AND(C39&lt;&gt;"",F39&lt;&gt;"",I39&lt;&gt;""), SUM(I39,F39,C39),"")</f>
        <v>305411815</v>
      </c>
      <c r="U39" s="233">
        <f t="shared" si="42"/>
        <v>365283174</v>
      </c>
      <c r="V39" s="233">
        <f t="shared" si="6"/>
        <v>305.411815</v>
      </c>
      <c r="W39" s="241">
        <f t="shared" si="9"/>
        <v>0.007858069871</v>
      </c>
      <c r="X39" s="241">
        <f t="shared" si="10"/>
        <v>-0.0582271687</v>
      </c>
      <c r="Y39" s="241">
        <f t="shared" si="19"/>
        <v>0.02825965082</v>
      </c>
      <c r="Z39" s="233">
        <f t="shared" si="7"/>
        <v>304.295637</v>
      </c>
      <c r="AA39" s="294"/>
      <c r="AB39" s="245"/>
      <c r="AC39" s="242" t="str">
        <f>IF(ISTEXT(AB39),VLOOKUP(AB39,'Cadastro dos Ativos'!$A$2:$C$1000,3,0),"")</f>
        <v/>
      </c>
      <c r="AD39" s="242" t="str">
        <f>IF(AB39 &lt;&gt; "",SUMIFS('Alocação'!$O$3:$O$1002,'Alocação'!$C$3:$C$1002,AB39,'Alocação'!$F$3:$F$1002,AB$9,'Alocação'!$B$3:$B$1002,"&lt;="&amp;$B$6), "")</f>
        <v/>
      </c>
      <c r="AE39" s="243" t="str">
        <f>iferror(IF(AC39="Ações Americanas", HLOOKUP(AB39,'Histórico'!$A$1:$DD$990,MATCH($B$6,'Histórico'!$A:$A),FALSE)*HLOOKUP("PTAX",'Histórico'!$A$1:$FG$983,MATCH($B$6,'Histórico'!$A:$A),FALSE),IF(AC39="Ações Europeias", HLOOKUP(AB39,'Histórico'!$A$1:$DD$990,MATCH($B$6,'Histórico'!$A:$A),FALSE)*HLOOKUP("EUR/BRL",'Histórico'!$A$1:$FG$983,MATCH($B$6,'Histórico'!$A:$A),FALSE),  HLOOKUP(AB39,'Histórico'!$A$1:$DD$990,MATCH($B$6,'Histórico'!$A:$A),FALSE))),"")</f>
        <v/>
      </c>
      <c r="AF39" s="243" t="str">
        <f t="shared" si="15"/>
        <v/>
      </c>
      <c r="AG39" s="53"/>
      <c r="AH39" s="245"/>
      <c r="AI39" s="242" t="str">
        <f>IF(ISTEXT(AH39),VLOOKUP(AH39,'Cadastro dos Ativos'!$A$2:$C$1000,3,0),"")</f>
        <v/>
      </c>
      <c r="AJ39" s="242" t="str">
        <f>IF(AH39 &lt;&gt; "",SUMIFS('Alocação'!$O$3:$O$1002,'Alocação'!$C$3:$C$1002,AH39,'Alocação'!$F$3:$F$1002,AH$9,'Alocação'!$B$3:$B$1002,"&lt;="&amp;$B$6), "")</f>
        <v/>
      </c>
      <c r="AK39" s="243" t="str">
        <f>iferror(IF(AI39="Ações Americanas", HLOOKUP(AH39,'Histórico'!$A$1:$DD$990,MATCH($B$6,'Histórico'!$A:$A),FALSE)*HLOOKUP("PTAX",'Histórico'!$A$1:$FG$983,MATCH($B$6,'Histórico'!$A:$A),FALSE),IF(AI39="Ações Europeias", HLOOKUP(AH39,'Histórico'!$A$1:$DD$990,MATCH($B$6,'Histórico'!$A:$A),FALSE)*HLOOKUP("EUR/BRL",'Histórico'!$A$1:$FG$983,MATCH($B$6,'Histórico'!$A:$A),FALSE),  HLOOKUP(AH39,'Histórico'!$A$1:$DD$990,MATCH($B$6,'Histórico'!$A:$A),FALSE))),"")</f>
        <v/>
      </c>
      <c r="AL39" s="243" t="str">
        <f t="shared" si="11"/>
        <v/>
      </c>
      <c r="AM39" s="53"/>
      <c r="AN39" s="245"/>
      <c r="AO39" s="242" t="str">
        <f>IF(ISTEXT(AN39),VLOOKUP(AN39,'Cadastro dos Ativos'!$A$2:$C$1000,3,0),"")</f>
        <v/>
      </c>
      <c r="AP39" s="242" t="str">
        <f>IF(AN39 &lt;&gt; "",SUMIFS('Alocação'!$O$3:$O$1002,'Alocação'!$C$3:$C$1002,AN39,'Alocação'!$F$3:$F$1002,AN$9,'Alocação'!$B$3:$B$1002,"&lt;="&amp;$B$6), "")</f>
        <v/>
      </c>
      <c r="AQ39" s="243" t="str">
        <f>iferror(IF(AO39="Ações Americanas", HLOOKUP(AN39,'Histórico'!$A$1:$DD$990,MATCH($B$6,'Histórico'!$A:$A),FALSE)*HLOOKUP("PTAX",'Histórico'!$A$1:$FG$983,MATCH($B$6,'Histórico'!$A:$A),FALSE),IF(AO39="Ações Europeias", HLOOKUP(AN39,'Histórico'!$A$1:$DD$990,MATCH($B$6,'Histórico'!$A:$A),FALSE)*HLOOKUP("EUR/BRL",'Histórico'!$A$1:$FG$983,MATCH($B$6,'Histórico'!$A:$A),FALSE),  HLOOKUP(AN39,'Histórico'!$A$1:$DD$990,MATCH($B$6,'Histórico'!$A:$A),FALSE))),"")</f>
        <v/>
      </c>
      <c r="AR39" s="243" t="str">
        <f t="shared" si="12"/>
        <v/>
      </c>
      <c r="AS39" s="53"/>
      <c r="AT39" s="245"/>
      <c r="AU39" s="242" t="str">
        <f>IF(ISTEXT(AT39),VLOOKUP(AT39,'Cadastro dos Ativos'!$A$2:$C$1000,3,0),"")</f>
        <v/>
      </c>
      <c r="AV39" s="242" t="str">
        <f>IF(AT39 &lt;&gt; "",SUMIFS('Alocação'!$O$3:$O$1002,'Alocação'!$C$3:$C$1002,AT39,'Alocação'!$F$3:$F$1002,AT$9,'Alocação'!$B$3:$B$1002,"&lt;="&amp;$B$6), "")</f>
        <v/>
      </c>
      <c r="AW39" s="243" t="str">
        <f>iferror(IF(AU39="Ações Americanas", HLOOKUP(AT39,'Histórico'!$A$1:$DD$990,MATCH($B$6,'Histórico'!$A:$A),FALSE)*HLOOKUP("PTAX",'Histórico'!$A$1:$FG$983,MATCH($B$6,'Histórico'!$A:$A),FALSE),IF(AU39="Ações Europeias", HLOOKUP(AT39,'Histórico'!$A$1:$DD$990,MATCH($B$6,'Histórico'!$A:$A),FALSE)*HLOOKUP("EUR/BRL",'Histórico'!$A$1:$FG$983,MATCH($B$6,'Histórico'!$A:$A),FALSE),  HLOOKUP(AT39,'Histórico'!$A$1:$DD$990,MATCH($B$6,'Histórico'!$A:$A),FALSE))),"")</f>
        <v/>
      </c>
      <c r="AX39" s="243" t="str">
        <f t="shared" si="13"/>
        <v/>
      </c>
      <c r="AY39" s="53"/>
    </row>
    <row r="40" ht="15.75" customHeight="1">
      <c r="A40" s="176"/>
      <c r="B40" s="288">
        <f>Controle!B40</f>
        <v>45050</v>
      </c>
      <c r="C40" s="233">
        <f>Controle!C40</f>
        <v>102371805.8</v>
      </c>
      <c r="D40" s="289">
        <f>Controle!D40</f>
        <v>112375980.7</v>
      </c>
      <c r="E40" s="290"/>
      <c r="F40" s="291">
        <f>Controle!F40</f>
        <v>101111995.5</v>
      </c>
      <c r="G40" s="289">
        <f>Controle!G40</f>
        <v>138395128.5</v>
      </c>
      <c r="H40" s="290"/>
      <c r="I40" s="291">
        <f>Controle!I40</f>
        <v>101323792.8</v>
      </c>
      <c r="J40" s="233">
        <f>Controle!J40</f>
        <v>92860642.38</v>
      </c>
      <c r="K40" s="292"/>
      <c r="L40" s="233">
        <f>Controle!L40</f>
        <v>101301983.4</v>
      </c>
      <c r="M40" s="233">
        <f>Controle!M40</f>
        <v>101355187.9</v>
      </c>
      <c r="N40" s="240">
        <f>Controle!N40</f>
        <v>-0.001895581911</v>
      </c>
      <c r="O40" s="240">
        <f>Controle!O40</f>
        <v>-0.002168040257</v>
      </c>
      <c r="P40" s="240">
        <f>Controle!P40</f>
        <v>-0.00187271983</v>
      </c>
      <c r="Q40" s="240">
        <f>Controle!Q40</f>
        <v>0.000431286459</v>
      </c>
      <c r="R40" s="293">
        <f>Controle!R40</f>
        <v>101.4816182</v>
      </c>
      <c r="S40" s="287"/>
      <c r="T40" s="233">
        <f t="shared" ref="T40:U40" si="43">IF(AND(C40&lt;&gt;"",F40&lt;&gt;"",I40&lt;&gt;""), SUM(I40,F40,C40),"")</f>
        <v>304807594</v>
      </c>
      <c r="U40" s="233">
        <f t="shared" si="43"/>
        <v>343631751.7</v>
      </c>
      <c r="V40" s="233">
        <f t="shared" si="6"/>
        <v>304.807594</v>
      </c>
      <c r="W40" s="241">
        <f t="shared" si="9"/>
        <v>-0.001978381081</v>
      </c>
      <c r="X40" s="241">
        <f t="shared" si="10"/>
        <v>-0.06009035425</v>
      </c>
      <c r="Y40" s="241">
        <f t="shared" si="19"/>
        <v>0.004434758531</v>
      </c>
      <c r="Z40" s="233">
        <f t="shared" si="7"/>
        <v>304.4448545</v>
      </c>
      <c r="AA40" s="294"/>
      <c r="AB40" s="245"/>
      <c r="AC40" s="242" t="str">
        <f>IF(ISTEXT(AB40),VLOOKUP(AB40,'Cadastro dos Ativos'!$A$2:$C$1000,3,0),"")</f>
        <v/>
      </c>
      <c r="AD40" s="242" t="str">
        <f>IF(AB40 &lt;&gt; "",SUMIFS('Alocação'!$O$3:$O$1002,'Alocação'!$C$3:$C$1002,AB40,'Alocação'!$F$3:$F$1002,AB$9,'Alocação'!$B$3:$B$1002,"&lt;="&amp;$B$6), "")</f>
        <v/>
      </c>
      <c r="AE40" s="243" t="str">
        <f>iferror(IF(AC40="Ações Americanas", HLOOKUP(AB40,'Histórico'!$A$1:$DD$990,MATCH($B$6,'Histórico'!$A:$A),FALSE)*HLOOKUP("PTAX",'Histórico'!$A$1:$FG$983,MATCH($B$6,'Histórico'!$A:$A),FALSE),IF(AC40="Ações Europeias", HLOOKUP(AB40,'Histórico'!$A$1:$DD$990,MATCH($B$6,'Histórico'!$A:$A),FALSE)*HLOOKUP("EUR/BRL",'Histórico'!$A$1:$FG$983,MATCH($B$6,'Histórico'!$A:$A),FALSE),  HLOOKUP(AB40,'Histórico'!$A$1:$DD$990,MATCH($B$6,'Histórico'!$A:$A),FALSE))),"")</f>
        <v/>
      </c>
      <c r="AF40" s="243" t="str">
        <f t="shared" si="15"/>
        <v/>
      </c>
      <c r="AG40" s="53"/>
      <c r="AH40" s="245"/>
      <c r="AI40" s="242" t="str">
        <f>IF(ISTEXT(AH40),VLOOKUP(AH40,'Cadastro dos Ativos'!$A$2:$C$1000,3,0),"")</f>
        <v/>
      </c>
      <c r="AJ40" s="242" t="str">
        <f>IF(AH40 &lt;&gt; "",SUMIFS('Alocação'!$O$3:$O$1002,'Alocação'!$C$3:$C$1002,AH40,'Alocação'!$F$3:$F$1002,AH$9,'Alocação'!$B$3:$B$1002,"&lt;="&amp;$B$6), "")</f>
        <v/>
      </c>
      <c r="AK40" s="243" t="str">
        <f>iferror(IF(AI40="Ações Americanas", HLOOKUP(AH40,'Histórico'!$A$1:$DD$990,MATCH($B$6,'Histórico'!$A:$A),FALSE)*HLOOKUP("PTAX",'Histórico'!$A$1:$FG$983,MATCH($B$6,'Histórico'!$A:$A),FALSE),IF(AI40="Ações Europeias", HLOOKUP(AH40,'Histórico'!$A$1:$DD$990,MATCH($B$6,'Histórico'!$A:$A),FALSE)*HLOOKUP("EUR/BRL",'Histórico'!$A$1:$FG$983,MATCH($B$6,'Histórico'!$A:$A),FALSE),  HLOOKUP(AH40,'Histórico'!$A$1:$DD$990,MATCH($B$6,'Histórico'!$A:$A),FALSE))),"")</f>
        <v/>
      </c>
      <c r="AL40" s="243" t="str">
        <f t="shared" si="11"/>
        <v/>
      </c>
      <c r="AM40" s="53"/>
      <c r="AN40" s="245"/>
      <c r="AO40" s="242" t="str">
        <f>IF(ISTEXT(AN40),VLOOKUP(AN40,'Cadastro dos Ativos'!$A$2:$C$1000,3,0),"")</f>
        <v/>
      </c>
      <c r="AP40" s="242" t="str">
        <f>IF(AN40 &lt;&gt; "",SUMIFS('Alocação'!$O$3:$O$1002,'Alocação'!$C$3:$C$1002,AN40,'Alocação'!$F$3:$F$1002,AN$9,'Alocação'!$B$3:$B$1002,"&lt;="&amp;$B$6), "")</f>
        <v/>
      </c>
      <c r="AQ40" s="243" t="str">
        <f>iferror(IF(AO40="Ações Americanas", HLOOKUP(AN40,'Histórico'!$A$1:$DD$990,MATCH($B$6,'Histórico'!$A:$A),FALSE)*HLOOKUP("PTAX",'Histórico'!$A$1:$FG$983,MATCH($B$6,'Histórico'!$A:$A),FALSE),IF(AO40="Ações Europeias", HLOOKUP(AN40,'Histórico'!$A$1:$DD$990,MATCH($B$6,'Histórico'!$A:$A),FALSE)*HLOOKUP("EUR/BRL",'Histórico'!$A$1:$FG$983,MATCH($B$6,'Histórico'!$A:$A),FALSE),  HLOOKUP(AN40,'Histórico'!$A$1:$DD$990,MATCH($B$6,'Histórico'!$A:$A),FALSE))),"")</f>
        <v/>
      </c>
      <c r="AR40" s="243" t="str">
        <f t="shared" si="12"/>
        <v/>
      </c>
      <c r="AS40" s="53"/>
      <c r="AT40" s="245"/>
      <c r="AU40" s="242" t="str">
        <f>IF(ISTEXT(AT40),VLOOKUP(AT40,'Cadastro dos Ativos'!$A$2:$C$1000,3,0),"")</f>
        <v/>
      </c>
      <c r="AV40" s="242" t="str">
        <f>IF(AT40 &lt;&gt; "",SUMIFS('Alocação'!$O$3:$O$1002,'Alocação'!$C$3:$C$1002,AT40,'Alocação'!$F$3:$F$1002,AT$9,'Alocação'!$B$3:$B$1002,"&lt;="&amp;$B$6), "")</f>
        <v/>
      </c>
      <c r="AW40" s="243" t="str">
        <f>iferror(IF(AU40="Ações Americanas", HLOOKUP(AT40,'Histórico'!$A$1:$DD$990,MATCH($B$6,'Histórico'!$A:$A),FALSE)*HLOOKUP("PTAX",'Histórico'!$A$1:$FG$983,MATCH($B$6,'Histórico'!$A:$A),FALSE),IF(AU40="Ações Europeias", HLOOKUP(AT40,'Histórico'!$A$1:$DD$990,MATCH($B$6,'Histórico'!$A:$A),FALSE)*HLOOKUP("EUR/BRL",'Histórico'!$A$1:$FG$983,MATCH($B$6,'Histórico'!$A:$A),FALSE),  HLOOKUP(AT40,'Histórico'!$A$1:$DD$990,MATCH($B$6,'Histórico'!$A:$A),FALSE))),"")</f>
        <v/>
      </c>
      <c r="AX40" s="243" t="str">
        <f t="shared" si="13"/>
        <v/>
      </c>
      <c r="AY40" s="53"/>
    </row>
    <row r="41" ht="15.75" customHeight="1">
      <c r="A41" s="176"/>
      <c r="B41" s="288">
        <f>Controle!B41</f>
        <v>45051</v>
      </c>
      <c r="C41" s="233">
        <f>Controle!C41</f>
        <v>102382062</v>
      </c>
      <c r="D41" s="289">
        <f>Controle!D41</f>
        <v>112465002.5</v>
      </c>
      <c r="E41" s="290"/>
      <c r="F41" s="291">
        <f>Controle!F41</f>
        <v>101526907.8</v>
      </c>
      <c r="G41" s="289">
        <f>Controle!G37</f>
        <v>158057706.7</v>
      </c>
      <c r="H41" s="290"/>
      <c r="I41" s="291">
        <f>Controle!I41</f>
        <v>101447168.9</v>
      </c>
      <c r="J41" s="233">
        <f>Controle!J41</f>
        <v>93108603.23</v>
      </c>
      <c r="K41" s="292"/>
      <c r="L41" s="233">
        <f>Controle!L41</f>
        <v>101345673.6</v>
      </c>
      <c r="M41" s="233">
        <f>Controle!M41</f>
        <v>101400675.7</v>
      </c>
      <c r="N41" s="240">
        <f>Controle!N41</f>
        <v>0.0001001861913</v>
      </c>
      <c r="O41" s="240">
        <f>Controle!O41</f>
        <v>0.004103492869</v>
      </c>
      <c r="P41" s="240">
        <f>Controle!P41</f>
        <v>0.001217642164</v>
      </c>
      <c r="Q41" s="240">
        <f>Controle!Q41</f>
        <v>0.000431286459</v>
      </c>
      <c r="R41" s="293">
        <f>Controle!R41</f>
        <v>101.5313817</v>
      </c>
      <c r="S41" s="287"/>
      <c r="T41" s="233">
        <f t="shared" ref="T41:U41" si="44">IF(AND(C41&lt;&gt;"",F41&lt;&gt;"",I41&lt;&gt;""), SUM(I41,F41,C41),"")</f>
        <v>305356138.7</v>
      </c>
      <c r="U41" s="233">
        <f t="shared" si="44"/>
        <v>363631312.3</v>
      </c>
      <c r="V41" s="233">
        <f t="shared" si="6"/>
        <v>305.3561387</v>
      </c>
      <c r="W41" s="241">
        <f t="shared" si="9"/>
        <v>0.001799642551</v>
      </c>
      <c r="X41" s="241">
        <f t="shared" si="10"/>
        <v>-0.05839885286</v>
      </c>
      <c r="Y41" s="241">
        <f t="shared" si="19"/>
        <v>0.004180837958</v>
      </c>
      <c r="Z41" s="233">
        <f t="shared" si="7"/>
        <v>304.5941451</v>
      </c>
      <c r="AA41" s="294"/>
      <c r="AB41" s="245"/>
      <c r="AC41" s="242" t="str">
        <f>IF(ISTEXT(AB41),VLOOKUP(AB41,'Cadastro dos Ativos'!$A$2:$C$1000,3,0),"")</f>
        <v/>
      </c>
      <c r="AD41" s="242" t="str">
        <f>IF(AB41 &lt;&gt; "",SUMIFS('Alocação'!$O$3:$O$1002,'Alocação'!$C$3:$C$1002,AB41,'Alocação'!$F$3:$F$1002,AB$9,'Alocação'!$B$3:$B$1002,"&lt;="&amp;$B$6), "")</f>
        <v/>
      </c>
      <c r="AE41" s="243" t="str">
        <f>iferror(IF(AC41="Ações Americanas", HLOOKUP(AB41,'Histórico'!$A$1:$DD$990,MATCH($B$6,'Histórico'!$A:$A),FALSE)*HLOOKUP("PTAX",'Histórico'!$A$1:$FG$983,MATCH($B$6,'Histórico'!$A:$A),FALSE),IF(AC41="Ações Europeias", HLOOKUP(AB41,'Histórico'!$A$1:$DD$990,MATCH($B$6,'Histórico'!$A:$A),FALSE)*HLOOKUP("EUR/BRL",'Histórico'!$A$1:$FG$983,MATCH($B$6,'Histórico'!$A:$A),FALSE),  HLOOKUP(AB41,'Histórico'!$A$1:$DD$990,MATCH($B$6,'Histórico'!$A:$A),FALSE))),"")</f>
        <v/>
      </c>
      <c r="AF41" s="243" t="str">
        <f t="shared" si="15"/>
        <v/>
      </c>
      <c r="AG41" s="53"/>
      <c r="AH41" s="245"/>
      <c r="AI41" s="242" t="str">
        <f>IF(ISTEXT(AH41),VLOOKUP(AH41,'Cadastro dos Ativos'!$A$2:$C$1000,3,0),"")</f>
        <v/>
      </c>
      <c r="AJ41" s="242" t="str">
        <f>IF(AH41 &lt;&gt; "",SUMIFS('Alocação'!$O$3:$O$1002,'Alocação'!$C$3:$C$1002,AH41,'Alocação'!$F$3:$F$1002,AH$9,'Alocação'!$B$3:$B$1002,"&lt;="&amp;$B$6), "")</f>
        <v/>
      </c>
      <c r="AK41" s="243" t="str">
        <f>iferror(IF(AI41="Ações Americanas", HLOOKUP(AH41,'Histórico'!$A$1:$DD$990,MATCH($B$6,'Histórico'!$A:$A),FALSE)*HLOOKUP("PTAX",'Histórico'!$A$1:$FG$983,MATCH($B$6,'Histórico'!$A:$A),FALSE),IF(AI41="Ações Europeias", HLOOKUP(AH41,'Histórico'!$A$1:$DD$990,MATCH($B$6,'Histórico'!$A:$A),FALSE)*HLOOKUP("EUR/BRL",'Histórico'!$A$1:$FG$983,MATCH($B$6,'Histórico'!$A:$A),FALSE),  HLOOKUP(AH41,'Histórico'!$A$1:$DD$990,MATCH($B$6,'Histórico'!$A:$A),FALSE))),"")</f>
        <v/>
      </c>
      <c r="AL41" s="243" t="str">
        <f t="shared" si="11"/>
        <v/>
      </c>
      <c r="AM41" s="53"/>
      <c r="AN41" s="245"/>
      <c r="AO41" s="242" t="str">
        <f>IF(ISTEXT(AN41),VLOOKUP(AN41,'Cadastro dos Ativos'!$A$2:$C$1000,3,0),"")</f>
        <v/>
      </c>
      <c r="AP41" s="242" t="str">
        <f>IF(AN41 &lt;&gt; "",SUMIFS('Alocação'!$O$3:$O$1002,'Alocação'!$C$3:$C$1002,AN41,'Alocação'!$F$3:$F$1002,AN$9,'Alocação'!$B$3:$B$1002,"&lt;="&amp;$B$6), "")</f>
        <v/>
      </c>
      <c r="AQ41" s="243" t="str">
        <f>iferror(IF(AO41="Ações Americanas", HLOOKUP(AN41,'Histórico'!$A$1:$DD$990,MATCH($B$6,'Histórico'!$A:$A),FALSE)*HLOOKUP("PTAX",'Histórico'!$A$1:$FG$983,MATCH($B$6,'Histórico'!$A:$A),FALSE),IF(AO41="Ações Europeias", HLOOKUP(AN41,'Histórico'!$A$1:$DD$990,MATCH($B$6,'Histórico'!$A:$A),FALSE)*HLOOKUP("EUR/BRL",'Histórico'!$A$1:$FG$983,MATCH($B$6,'Histórico'!$A:$A),FALSE),  HLOOKUP(AN41,'Histórico'!$A$1:$DD$990,MATCH($B$6,'Histórico'!$A:$A),FALSE))),"")</f>
        <v/>
      </c>
      <c r="AR41" s="243" t="str">
        <f t="shared" si="12"/>
        <v/>
      </c>
      <c r="AS41" s="53"/>
      <c r="AT41" s="245"/>
      <c r="AU41" s="242" t="str">
        <f>IF(ISTEXT(AT41),VLOOKUP(AT41,'Cadastro dos Ativos'!$A$2:$C$1000,3,0),"")</f>
        <v/>
      </c>
      <c r="AV41" s="242" t="str">
        <f>IF(AT41 &lt;&gt; "",SUMIFS('Alocação'!$O$3:$O$1002,'Alocação'!$C$3:$C$1002,AT41,'Alocação'!$F$3:$F$1002,AT$9,'Alocação'!$B$3:$B$1002,"&lt;="&amp;$B$6), "")</f>
        <v/>
      </c>
      <c r="AW41" s="243" t="str">
        <f>iferror(IF(AU41="Ações Americanas", HLOOKUP(AT41,'Histórico'!$A$1:$DD$990,MATCH($B$6,'Histórico'!$A:$A),FALSE)*HLOOKUP("PTAX",'Histórico'!$A$1:$FG$983,MATCH($B$6,'Histórico'!$A:$A),FALSE),IF(AU41="Ações Europeias", HLOOKUP(AT41,'Histórico'!$A$1:$DD$990,MATCH($B$6,'Histórico'!$A:$A),FALSE)*HLOOKUP("EUR/BRL",'Histórico'!$A$1:$FG$983,MATCH($B$6,'Histórico'!$A:$A),FALSE),  HLOOKUP(AT41,'Histórico'!$A$1:$DD$990,MATCH($B$6,'Histórico'!$A:$A),FALSE))),"")</f>
        <v/>
      </c>
      <c r="AX41" s="243" t="str">
        <f t="shared" si="13"/>
        <v/>
      </c>
      <c r="AY41" s="53"/>
    </row>
    <row r="42" ht="15.75" customHeight="1">
      <c r="A42" s="176"/>
      <c r="B42" s="288">
        <f>Controle!B42</f>
        <v>45054</v>
      </c>
      <c r="C42" s="233">
        <f>Controle!C42</f>
        <v>102845333.1</v>
      </c>
      <c r="D42" s="289">
        <f>Controle!D42</f>
        <v>112950081</v>
      </c>
      <c r="E42" s="290"/>
      <c r="F42" s="291">
        <f>Controle!F42</f>
        <v>102309075.7</v>
      </c>
      <c r="G42" s="289">
        <f>Controle!G42</f>
        <v>139491646.2</v>
      </c>
      <c r="H42" s="290"/>
      <c r="I42" s="291">
        <f>Controle!I42</f>
        <v>101704224.7</v>
      </c>
      <c r="J42" s="233">
        <f>Controle!J42</f>
        <v>93241617.97</v>
      </c>
      <c r="K42" s="292"/>
      <c r="L42" s="233">
        <f>Controle!L42</f>
        <v>101389382.6</v>
      </c>
      <c r="M42" s="233">
        <f>Controle!M42</f>
        <v>101446184</v>
      </c>
      <c r="N42" s="240">
        <f>Controle!N42</f>
        <v>0.004524924831</v>
      </c>
      <c r="O42" s="240">
        <f>Controle!O42</f>
        <v>0.007704044919</v>
      </c>
      <c r="P42" s="240">
        <f>Controle!P42</f>
        <v>0.002533888312</v>
      </c>
      <c r="Q42" s="240">
        <f>Controle!Q42</f>
        <v>0.000431286459</v>
      </c>
      <c r="R42" s="293">
        <f>Controle!R42</f>
        <v>101.5811696</v>
      </c>
      <c r="S42" s="287"/>
      <c r="T42" s="233">
        <f t="shared" ref="T42:U42" si="45">IF(AND(C42&lt;&gt;"",F42&lt;&gt;"",I42&lt;&gt;""), SUM(I42,F42,C42),"")</f>
        <v>306858633.5</v>
      </c>
      <c r="U42" s="233">
        <f t="shared" si="45"/>
        <v>345683345.1</v>
      </c>
      <c r="V42" s="233">
        <f t="shared" si="6"/>
        <v>306.8586335</v>
      </c>
      <c r="W42" s="241">
        <f t="shared" si="9"/>
        <v>0.00492046695</v>
      </c>
      <c r="X42" s="241">
        <f t="shared" si="10"/>
        <v>-0.05376573553</v>
      </c>
      <c r="Y42" s="241">
        <f t="shared" si="19"/>
        <v>0.003801768103</v>
      </c>
      <c r="Z42" s="233">
        <f t="shared" si="7"/>
        <v>304.7435089</v>
      </c>
      <c r="AA42" s="294"/>
      <c r="AB42" s="245"/>
      <c r="AC42" s="242" t="str">
        <f>IF(ISTEXT(AB42),VLOOKUP(AB42,'Cadastro dos Ativos'!$A$2:$C$1000,3,0),"")</f>
        <v/>
      </c>
      <c r="AD42" s="242" t="str">
        <f>IF(AB42 &lt;&gt; "",SUMIFS('Alocação'!$O$3:$O$1002,'Alocação'!$C$3:$C$1002,AB42,'Alocação'!$F$3:$F$1002,AB$9,'Alocação'!$B$3:$B$1002,"&lt;="&amp;$B$6), "")</f>
        <v/>
      </c>
      <c r="AE42" s="243" t="str">
        <f>iferror(IF(AC42="Ações Americanas", HLOOKUP(AB42,'Histórico'!$A$1:$DD$990,MATCH($B$6,'Histórico'!$A:$A),FALSE)*HLOOKUP("PTAX",'Histórico'!$A$1:$FG$983,MATCH($B$6,'Histórico'!$A:$A),FALSE),IF(AC42="Ações Europeias", HLOOKUP(AB42,'Histórico'!$A$1:$DD$990,MATCH($B$6,'Histórico'!$A:$A),FALSE)*HLOOKUP("EUR/BRL",'Histórico'!$A$1:$FG$983,MATCH($B$6,'Histórico'!$A:$A),FALSE),  HLOOKUP(AB42,'Histórico'!$A$1:$DD$990,MATCH($B$6,'Histórico'!$A:$A),FALSE))),"")</f>
        <v/>
      </c>
      <c r="AF42" s="243" t="str">
        <f t="shared" si="15"/>
        <v/>
      </c>
      <c r="AG42" s="53"/>
      <c r="AH42" s="245"/>
      <c r="AI42" s="242" t="str">
        <f>IF(ISTEXT(AH42),VLOOKUP(AH42,'Cadastro dos Ativos'!$A$2:$C$1000,3,0),"")</f>
        <v/>
      </c>
      <c r="AJ42" s="242" t="str">
        <f>IF(AH42 &lt;&gt; "",SUMIFS('Alocação'!$O$3:$O$1002,'Alocação'!$C$3:$C$1002,AH42,'Alocação'!$F$3:$F$1002,AH$9,'Alocação'!$B$3:$B$1002,"&lt;="&amp;$B$6), "")</f>
        <v/>
      </c>
      <c r="AK42" s="243" t="str">
        <f>iferror(IF(AI42="Ações Americanas", HLOOKUP(AH42,'Histórico'!$A$1:$DD$990,MATCH($B$6,'Histórico'!$A:$A),FALSE)*HLOOKUP("PTAX",'Histórico'!$A$1:$FG$983,MATCH($B$6,'Histórico'!$A:$A),FALSE),IF(AI42="Ações Europeias", HLOOKUP(AH42,'Histórico'!$A$1:$DD$990,MATCH($B$6,'Histórico'!$A:$A),FALSE)*HLOOKUP("EUR/BRL",'Histórico'!$A$1:$FG$983,MATCH($B$6,'Histórico'!$A:$A),FALSE),  HLOOKUP(AH42,'Histórico'!$A$1:$DD$990,MATCH($B$6,'Histórico'!$A:$A),FALSE))),"")</f>
        <v/>
      </c>
      <c r="AL42" s="243" t="str">
        <f t="shared" si="11"/>
        <v/>
      </c>
      <c r="AM42" s="53"/>
      <c r="AN42" s="245"/>
      <c r="AO42" s="242" t="str">
        <f>IF(ISTEXT(AN42),VLOOKUP(AN42,'Cadastro dos Ativos'!$A$2:$C$1000,3,0),"")</f>
        <v/>
      </c>
      <c r="AP42" s="242" t="str">
        <f>IF(AN42 &lt;&gt; "",SUMIFS('Alocação'!$O$3:$O$1002,'Alocação'!$C$3:$C$1002,AN42,'Alocação'!$F$3:$F$1002,AN$9,'Alocação'!$B$3:$B$1002,"&lt;="&amp;$B$6), "")</f>
        <v/>
      </c>
      <c r="AQ42" s="243" t="str">
        <f>iferror(IF(AO42="Ações Americanas", HLOOKUP(AN42,'Histórico'!$A$1:$DD$990,MATCH($B$6,'Histórico'!$A:$A),FALSE)*HLOOKUP("PTAX",'Histórico'!$A$1:$FG$983,MATCH($B$6,'Histórico'!$A:$A),FALSE),IF(AO42="Ações Europeias", HLOOKUP(AN42,'Histórico'!$A$1:$DD$990,MATCH($B$6,'Histórico'!$A:$A),FALSE)*HLOOKUP("EUR/BRL",'Histórico'!$A$1:$FG$983,MATCH($B$6,'Histórico'!$A:$A),FALSE),  HLOOKUP(AN42,'Histórico'!$A$1:$DD$990,MATCH($B$6,'Histórico'!$A:$A),FALSE))),"")</f>
        <v/>
      </c>
      <c r="AR42" s="243" t="str">
        <f t="shared" si="12"/>
        <v/>
      </c>
      <c r="AS42" s="53"/>
      <c r="AT42" s="245"/>
      <c r="AU42" s="242" t="str">
        <f>IF(ISTEXT(AT42),VLOOKUP(AT42,'Cadastro dos Ativos'!$A$2:$C$1000,3,0),"")</f>
        <v/>
      </c>
      <c r="AV42" s="242" t="str">
        <f>IF(AT42 &lt;&gt; "",SUMIFS('Alocação'!$O$3:$O$1002,'Alocação'!$C$3:$C$1002,AT42,'Alocação'!$F$3:$F$1002,AT$9,'Alocação'!$B$3:$B$1002,"&lt;="&amp;$B$6), "")</f>
        <v/>
      </c>
      <c r="AW42" s="243" t="str">
        <f>iferror(IF(AU42="Ações Americanas", HLOOKUP(AT42,'Histórico'!$A$1:$DD$990,MATCH($B$6,'Histórico'!$A:$A),FALSE)*HLOOKUP("PTAX",'Histórico'!$A$1:$FG$983,MATCH($B$6,'Histórico'!$A:$A),FALSE),IF(AU42="Ações Europeias", HLOOKUP(AT42,'Histórico'!$A$1:$DD$990,MATCH($B$6,'Histórico'!$A:$A),FALSE)*HLOOKUP("EUR/BRL",'Histórico'!$A$1:$FG$983,MATCH($B$6,'Histórico'!$A:$A),FALSE),  HLOOKUP(AT42,'Histórico'!$A$1:$DD$990,MATCH($B$6,'Histórico'!$A:$A),FALSE))),"")</f>
        <v/>
      </c>
      <c r="AX42" s="243" t="str">
        <f t="shared" si="13"/>
        <v/>
      </c>
      <c r="AY42" s="53"/>
    </row>
    <row r="43" ht="15.75" customHeight="1">
      <c r="A43" s="176"/>
      <c r="B43" s="288">
        <f>Controle!B43</f>
        <v>45055</v>
      </c>
      <c r="C43" s="233">
        <f>Controle!C43</f>
        <v>102291120.6</v>
      </c>
      <c r="D43" s="289">
        <f>Controle!D43</f>
        <v>112391832.4</v>
      </c>
      <c r="E43" s="290"/>
      <c r="F43" s="291">
        <f>Controle!F43</f>
        <v>101512560.6</v>
      </c>
      <c r="G43" s="289">
        <f>Controle!G43</f>
        <v>139143186.7</v>
      </c>
      <c r="H43" s="290"/>
      <c r="I43" s="291">
        <f>Controle!I43</f>
        <v>101849060.3</v>
      </c>
      <c r="J43" s="233">
        <f>Controle!J43</f>
        <v>93367421.82</v>
      </c>
      <c r="K43" s="292"/>
      <c r="L43" s="233">
        <f>Controle!L43</f>
        <v>101433110.4</v>
      </c>
      <c r="M43" s="233">
        <f>Controle!M43</f>
        <v>101491712.7</v>
      </c>
      <c r="N43" s="240">
        <f>Controle!N43</f>
        <v>-0.005388795878</v>
      </c>
      <c r="O43" s="240">
        <f>Controle!O43</f>
        <v>-0.007785380593</v>
      </c>
      <c r="P43" s="240">
        <f>Controle!P43</f>
        <v>0.001424086085</v>
      </c>
      <c r="Q43" s="240">
        <f>Controle!Q43</f>
        <v>0.000431286459</v>
      </c>
      <c r="R43" s="293">
        <f>Controle!R43</f>
        <v>101.630982</v>
      </c>
      <c r="S43" s="287"/>
      <c r="T43" s="233">
        <f t="shared" ref="T43:U43" si="46">IF(AND(C43&lt;&gt;"",F43&lt;&gt;"",I43&lt;&gt;""), SUM(I43,F43,C43),"")</f>
        <v>305652741.5</v>
      </c>
      <c r="U43" s="233">
        <f t="shared" si="46"/>
        <v>344902441</v>
      </c>
      <c r="V43" s="233">
        <f t="shared" si="6"/>
        <v>305.6527415</v>
      </c>
      <c r="W43" s="241">
        <f t="shared" si="9"/>
        <v>-0.003929796645</v>
      </c>
      <c r="X43" s="241">
        <f t="shared" si="10"/>
        <v>-0.05748424377</v>
      </c>
      <c r="Y43" s="241">
        <f t="shared" si="19"/>
        <v>0.004835351023</v>
      </c>
      <c r="Z43" s="233">
        <f t="shared" si="7"/>
        <v>304.892946</v>
      </c>
      <c r="AA43" s="294"/>
      <c r="AB43" s="245"/>
      <c r="AC43" s="242" t="str">
        <f>IF(ISTEXT(AB43),VLOOKUP(AB43,'Cadastro dos Ativos'!$A$2:$C$1000,3,0),"")</f>
        <v/>
      </c>
      <c r="AD43" s="242" t="str">
        <f>IF(AB43 &lt;&gt; "",SUMIFS('Alocação'!$O$3:$O$1002,'Alocação'!$C$3:$C$1002,AB43,'Alocação'!$F$3:$F$1002,AB$9,'Alocação'!$B$3:$B$1002,"&lt;="&amp;$B$6), "")</f>
        <v/>
      </c>
      <c r="AE43" s="243" t="str">
        <f>iferror(IF(AC43="Ações Americanas", HLOOKUP(AB43,'Histórico'!$A$1:$DD$990,MATCH($B$6,'Histórico'!$A:$A),FALSE)*HLOOKUP("PTAX",'Histórico'!$A$1:$FG$983,MATCH($B$6,'Histórico'!$A:$A),FALSE),IF(AC43="Ações Europeias", HLOOKUP(AB43,'Histórico'!$A$1:$DD$990,MATCH($B$6,'Histórico'!$A:$A),FALSE)*HLOOKUP("EUR/BRL",'Histórico'!$A$1:$FG$983,MATCH($B$6,'Histórico'!$A:$A),FALSE),  HLOOKUP(AB43,'Histórico'!$A$1:$DD$990,MATCH($B$6,'Histórico'!$A:$A),FALSE))),"")</f>
        <v/>
      </c>
      <c r="AF43" s="243" t="str">
        <f t="shared" si="15"/>
        <v/>
      </c>
      <c r="AG43" s="53"/>
      <c r="AH43" s="245"/>
      <c r="AI43" s="242" t="str">
        <f>IF(ISTEXT(AH43),VLOOKUP(AH43,'Cadastro dos Ativos'!$A$2:$C$1000,3,0),"")</f>
        <v/>
      </c>
      <c r="AJ43" s="242" t="str">
        <f>IF(AH43 &lt;&gt; "",SUMIFS('Alocação'!$O$3:$O$1002,'Alocação'!$C$3:$C$1002,AH43,'Alocação'!$F$3:$F$1002,AH$9,'Alocação'!$B$3:$B$1002,"&lt;="&amp;$B$6), "")</f>
        <v/>
      </c>
      <c r="AK43" s="243" t="str">
        <f>iferror(IF(AI43="Ações Americanas", HLOOKUP(AH43,'Histórico'!$A$1:$DD$990,MATCH($B$6,'Histórico'!$A:$A),FALSE)*HLOOKUP("PTAX",'Histórico'!$A$1:$FG$983,MATCH($B$6,'Histórico'!$A:$A),FALSE),IF(AI43="Ações Europeias", HLOOKUP(AH43,'Histórico'!$A$1:$DD$990,MATCH($B$6,'Histórico'!$A:$A),FALSE)*HLOOKUP("EUR/BRL",'Histórico'!$A$1:$FG$983,MATCH($B$6,'Histórico'!$A:$A),FALSE),  HLOOKUP(AH43,'Histórico'!$A$1:$DD$990,MATCH($B$6,'Histórico'!$A:$A),FALSE))),"")</f>
        <v/>
      </c>
      <c r="AL43" s="243" t="str">
        <f t="shared" si="11"/>
        <v/>
      </c>
      <c r="AM43" s="53"/>
      <c r="AN43" s="245"/>
      <c r="AO43" s="242" t="str">
        <f>IF(ISTEXT(AN43),VLOOKUP(AN43,'Cadastro dos Ativos'!$A$2:$C$1000,3,0),"")</f>
        <v/>
      </c>
      <c r="AP43" s="242" t="str">
        <f>IF(AN43 &lt;&gt; "",SUMIFS('Alocação'!$O$3:$O$1002,'Alocação'!$C$3:$C$1002,AN43,'Alocação'!$F$3:$F$1002,AN$9,'Alocação'!$B$3:$B$1002,"&lt;="&amp;$B$6), "")</f>
        <v/>
      </c>
      <c r="AQ43" s="243" t="str">
        <f>iferror(IF(AO43="Ações Americanas", HLOOKUP(AN43,'Histórico'!$A$1:$DD$990,MATCH($B$6,'Histórico'!$A:$A),FALSE)*HLOOKUP("PTAX",'Histórico'!$A$1:$FG$983,MATCH($B$6,'Histórico'!$A:$A),FALSE),IF(AO43="Ações Europeias", HLOOKUP(AN43,'Histórico'!$A$1:$DD$990,MATCH($B$6,'Histórico'!$A:$A),FALSE)*HLOOKUP("EUR/BRL",'Histórico'!$A$1:$FG$983,MATCH($B$6,'Histórico'!$A:$A),FALSE),  HLOOKUP(AN43,'Histórico'!$A$1:$DD$990,MATCH($B$6,'Histórico'!$A:$A),FALSE))),"")</f>
        <v/>
      </c>
      <c r="AR43" s="243" t="str">
        <f t="shared" si="12"/>
        <v/>
      </c>
      <c r="AS43" s="53"/>
      <c r="AT43" s="245"/>
      <c r="AU43" s="242" t="str">
        <f>IF(ISTEXT(AT43),VLOOKUP(AT43,'Cadastro dos Ativos'!$A$2:$C$1000,3,0),"")</f>
        <v/>
      </c>
      <c r="AV43" s="242" t="str">
        <f>IF(AT43 &lt;&gt; "",SUMIFS('Alocação'!$O$3:$O$1002,'Alocação'!$C$3:$C$1002,AT43,'Alocação'!$F$3:$F$1002,AT$9,'Alocação'!$B$3:$B$1002,"&lt;="&amp;$B$6), "")</f>
        <v/>
      </c>
      <c r="AW43" s="243" t="str">
        <f>iferror(IF(AU43="Ações Americanas", HLOOKUP(AT43,'Histórico'!$A$1:$DD$990,MATCH($B$6,'Histórico'!$A:$A),FALSE)*HLOOKUP("PTAX",'Histórico'!$A$1:$FG$983,MATCH($B$6,'Histórico'!$A:$A),FALSE),IF(AU43="Ações Europeias", HLOOKUP(AT43,'Histórico'!$A$1:$DD$990,MATCH($B$6,'Histórico'!$A:$A),FALSE)*HLOOKUP("EUR/BRL",'Histórico'!$A$1:$FG$983,MATCH($B$6,'Histórico'!$A:$A),FALSE),  HLOOKUP(AT43,'Histórico'!$A$1:$DD$990,MATCH($B$6,'Histórico'!$A:$A),FALSE))),"")</f>
        <v/>
      </c>
      <c r="AX43" s="243" t="str">
        <f t="shared" si="13"/>
        <v/>
      </c>
      <c r="AY43" s="53"/>
    </row>
    <row r="44" ht="15.75" customHeight="1">
      <c r="A44" s="176"/>
      <c r="B44" s="288">
        <f>Controle!B44</f>
        <v>45056</v>
      </c>
      <c r="C44" s="233">
        <f>Controle!C44</f>
        <v>102233928.5</v>
      </c>
      <c r="D44" s="289">
        <f>Controle!D44</f>
        <v>112390434.1</v>
      </c>
      <c r="E44" s="290"/>
      <c r="F44" s="291">
        <f>Controle!F44</f>
        <v>102500975</v>
      </c>
      <c r="G44" s="289">
        <f>Controle!G44</f>
        <v>132901791.7</v>
      </c>
      <c r="H44" s="290"/>
      <c r="I44" s="291">
        <f>Controle!I44</f>
        <v>101153144.1</v>
      </c>
      <c r="J44" s="233">
        <f>Controle!J44</f>
        <v>92496756.02</v>
      </c>
      <c r="K44" s="292"/>
      <c r="L44" s="233">
        <f>Controle!L44</f>
        <v>101476857.2</v>
      </c>
      <c r="M44" s="233">
        <f>Controle!M44</f>
        <v>101537261.8</v>
      </c>
      <c r="N44" s="240">
        <f>Controle!N44</f>
        <v>-0.0005591113179</v>
      </c>
      <c r="O44" s="240">
        <f>Controle!O44</f>
        <v>0.009736867642</v>
      </c>
      <c r="P44" s="240">
        <f>Controle!P44</f>
        <v>-0.006832818763</v>
      </c>
      <c r="Q44" s="240">
        <f>Controle!Q44</f>
        <v>0.000431286459</v>
      </c>
      <c r="R44" s="293">
        <f>Controle!R44</f>
        <v>101.6808188</v>
      </c>
      <c r="S44" s="287"/>
      <c r="T44" s="233">
        <f t="shared" ref="T44:U44" si="47">IF(AND(C44&lt;&gt;"",F44&lt;&gt;"",I44&lt;&gt;""), SUM(I44,F44,C44),"")</f>
        <v>305888047.6</v>
      </c>
      <c r="U44" s="233">
        <f t="shared" si="47"/>
        <v>337788981.7</v>
      </c>
      <c r="V44" s="233">
        <f t="shared" si="6"/>
        <v>305.8880476</v>
      </c>
      <c r="W44" s="241">
        <f t="shared" si="9"/>
        <v>0.000769847743</v>
      </c>
      <c r="X44" s="241">
        <f t="shared" si="10"/>
        <v>-0.05675865014</v>
      </c>
      <c r="Y44" s="241">
        <f t="shared" si="19"/>
        <v>0.003424151791</v>
      </c>
      <c r="Z44" s="233">
        <f t="shared" si="7"/>
        <v>305.0424564</v>
      </c>
      <c r="AA44" s="294"/>
      <c r="AB44" s="245"/>
      <c r="AC44" s="242" t="str">
        <f>IF(ISTEXT(AB44),VLOOKUP(AB44,'Cadastro dos Ativos'!$A$2:$C$1000,3,0),"")</f>
        <v/>
      </c>
      <c r="AD44" s="242" t="str">
        <f>IF(AB44 &lt;&gt; "",SUMIFS('Alocação'!$O$3:$O$1002,'Alocação'!$C$3:$C$1002,AB44,'Alocação'!$F$3:$F$1002,AB$9,'Alocação'!$B$3:$B$1002,"&lt;="&amp;$B$6), "")</f>
        <v/>
      </c>
      <c r="AE44" s="243" t="str">
        <f>iferror(IF(AC44="Ações Americanas", HLOOKUP(AB44,'Histórico'!$A$1:$DD$990,MATCH($B$6,'Histórico'!$A:$A),FALSE)*HLOOKUP("PTAX",'Histórico'!$A$1:$FG$983,MATCH($B$6,'Histórico'!$A:$A),FALSE),IF(AC44="Ações Europeias", HLOOKUP(AB44,'Histórico'!$A$1:$DD$990,MATCH($B$6,'Histórico'!$A:$A),FALSE)*HLOOKUP("EUR/BRL",'Histórico'!$A$1:$FG$983,MATCH($B$6,'Histórico'!$A:$A),FALSE),  HLOOKUP(AB44,'Histórico'!$A$1:$DD$990,MATCH($B$6,'Histórico'!$A:$A),FALSE))),"")</f>
        <v/>
      </c>
      <c r="AF44" s="243" t="str">
        <f t="shared" si="15"/>
        <v/>
      </c>
      <c r="AG44" s="53"/>
      <c r="AH44" s="245"/>
      <c r="AI44" s="242" t="str">
        <f>IF(ISTEXT(AH44),VLOOKUP(AH44,'Cadastro dos Ativos'!$A$2:$C$1000,3,0),"")</f>
        <v/>
      </c>
      <c r="AJ44" s="242" t="str">
        <f>IF(AH44 &lt;&gt; "",SUMIFS('Alocação'!$O$3:$O$1002,'Alocação'!$C$3:$C$1002,AH44,'Alocação'!$F$3:$F$1002,AH$9,'Alocação'!$B$3:$B$1002,"&lt;="&amp;$B$6), "")</f>
        <v/>
      </c>
      <c r="AK44" s="243" t="str">
        <f>iferror(IF(AI44="Ações Americanas", HLOOKUP(AH44,'Histórico'!$A$1:$DD$990,MATCH($B$6,'Histórico'!$A:$A),FALSE)*HLOOKUP("PTAX",'Histórico'!$A$1:$FG$983,MATCH($B$6,'Histórico'!$A:$A),FALSE),IF(AI44="Ações Europeias", HLOOKUP(AH44,'Histórico'!$A$1:$DD$990,MATCH($B$6,'Histórico'!$A:$A),FALSE)*HLOOKUP("EUR/BRL",'Histórico'!$A$1:$FG$983,MATCH($B$6,'Histórico'!$A:$A),FALSE),  HLOOKUP(AH44,'Histórico'!$A$1:$DD$990,MATCH($B$6,'Histórico'!$A:$A),FALSE))),"")</f>
        <v/>
      </c>
      <c r="AL44" s="243" t="str">
        <f t="shared" si="11"/>
        <v/>
      </c>
      <c r="AM44" s="53"/>
      <c r="AN44" s="245"/>
      <c r="AO44" s="242" t="str">
        <f>IF(ISTEXT(AN44),VLOOKUP(AN44,'Cadastro dos Ativos'!$A$2:$C$1000,3,0),"")</f>
        <v/>
      </c>
      <c r="AP44" s="242" t="str">
        <f>IF(AN44 &lt;&gt; "",SUMIFS('Alocação'!$O$3:$O$1002,'Alocação'!$C$3:$C$1002,AN44,'Alocação'!$F$3:$F$1002,AN$9,'Alocação'!$B$3:$B$1002,"&lt;="&amp;$B$6), "")</f>
        <v/>
      </c>
      <c r="AQ44" s="243" t="str">
        <f>iferror(IF(AO44="Ações Americanas", HLOOKUP(AN44,'Histórico'!$A$1:$DD$990,MATCH($B$6,'Histórico'!$A:$A),FALSE)*HLOOKUP("PTAX",'Histórico'!$A$1:$FG$983,MATCH($B$6,'Histórico'!$A:$A),FALSE),IF(AO44="Ações Europeias", HLOOKUP(AN44,'Histórico'!$A$1:$DD$990,MATCH($B$6,'Histórico'!$A:$A),FALSE)*HLOOKUP("EUR/BRL",'Histórico'!$A$1:$FG$983,MATCH($B$6,'Histórico'!$A:$A),FALSE),  HLOOKUP(AN44,'Histórico'!$A$1:$DD$990,MATCH($B$6,'Histórico'!$A:$A),FALSE))),"")</f>
        <v/>
      </c>
      <c r="AR44" s="243" t="str">
        <f t="shared" si="12"/>
        <v/>
      </c>
      <c r="AS44" s="53"/>
      <c r="AT44" s="245"/>
      <c r="AU44" s="242" t="str">
        <f>IF(ISTEXT(AT44),VLOOKUP(AT44,'Cadastro dos Ativos'!$A$2:$C$1000,3,0),"")</f>
        <v/>
      </c>
      <c r="AV44" s="242" t="str">
        <f>IF(AT44 &lt;&gt; "",SUMIFS('Alocação'!$O$3:$O$1002,'Alocação'!$C$3:$C$1002,AT44,'Alocação'!$F$3:$F$1002,AT$9,'Alocação'!$B$3:$B$1002,"&lt;="&amp;$B$6), "")</f>
        <v/>
      </c>
      <c r="AW44" s="243" t="str">
        <f>iferror(IF(AU44="Ações Americanas", HLOOKUP(AT44,'Histórico'!$A$1:$DD$990,MATCH($B$6,'Histórico'!$A:$A),FALSE)*HLOOKUP("PTAX",'Histórico'!$A$1:$FG$983,MATCH($B$6,'Histórico'!$A:$A),FALSE),IF(AU44="Ações Europeias", HLOOKUP(AT44,'Histórico'!$A$1:$DD$990,MATCH($B$6,'Histórico'!$A:$A),FALSE)*HLOOKUP("EUR/BRL",'Histórico'!$A$1:$FG$983,MATCH($B$6,'Histórico'!$A:$A),FALSE),  HLOOKUP(AT44,'Histórico'!$A$1:$DD$990,MATCH($B$6,'Histórico'!$A:$A),FALSE))),"")</f>
        <v/>
      </c>
      <c r="AX44" s="243" t="str">
        <f t="shared" si="13"/>
        <v/>
      </c>
      <c r="AY44" s="53"/>
    </row>
    <row r="45" ht="15.75" customHeight="1">
      <c r="A45" s="176"/>
      <c r="B45" s="288">
        <f>Controle!B45</f>
        <v>45057</v>
      </c>
      <c r="C45" s="233">
        <f>Controle!C45</f>
        <v>102036663.1</v>
      </c>
      <c r="D45" s="289">
        <f>Controle!D45</f>
        <v>112177269.1</v>
      </c>
      <c r="E45" s="290"/>
      <c r="F45" s="291">
        <f>Controle!F45</f>
        <v>102483694.9</v>
      </c>
      <c r="G45" s="289">
        <f>Controle!G45</f>
        <v>9927050.241</v>
      </c>
      <c r="H45" s="290"/>
      <c r="I45" s="291">
        <f>Controle!I45</f>
        <v>100284474.5</v>
      </c>
      <c r="J45" s="233">
        <f>Controle!J45</f>
        <v>75723678.74</v>
      </c>
      <c r="K45" s="292"/>
      <c r="L45" s="233">
        <f>Controle!L45</f>
        <v>101582831.4</v>
      </c>
      <c r="M45" s="233">
        <f>Controle!M45</f>
        <v>101582844.3</v>
      </c>
      <c r="N45" s="240">
        <f>Controle!N45</f>
        <v>-0.001929549869</v>
      </c>
      <c r="O45" s="240">
        <f>Controle!O45</f>
        <v>-0.0001685843511</v>
      </c>
      <c r="P45" s="240">
        <f>Controle!P45</f>
        <v>-0.008587667722</v>
      </c>
      <c r="Q45" s="240">
        <f>Controle!Q45</f>
        <v>0.001044318843</v>
      </c>
      <c r="R45" s="293">
        <f>Controle!R45</f>
        <v>101.73068</v>
      </c>
      <c r="S45" s="287"/>
      <c r="T45" s="233">
        <f t="shared" ref="T45:U45" si="48">IF(AND(C45&lt;&gt;"",F45&lt;&gt;"",I45&lt;&gt;""), SUM(I45,F45,C45),"")</f>
        <v>304804832.5</v>
      </c>
      <c r="U45" s="233">
        <f t="shared" si="48"/>
        <v>197827998</v>
      </c>
      <c r="V45" s="233">
        <f t="shared" si="6"/>
        <v>304.8048325</v>
      </c>
      <c r="W45" s="241">
        <f t="shared" si="9"/>
        <v>-0.003541214254</v>
      </c>
      <c r="X45" s="241">
        <f t="shared" si="10"/>
        <v>-0.06009886985</v>
      </c>
      <c r="Y45" s="241">
        <f t="shared" si="19"/>
        <v>0.003742519276</v>
      </c>
      <c r="Z45" s="233">
        <f t="shared" si="7"/>
        <v>305.19204</v>
      </c>
      <c r="AA45" s="294"/>
      <c r="AB45" s="245"/>
      <c r="AC45" s="242" t="str">
        <f>IF(ISTEXT(AB45),VLOOKUP(AB45,'Cadastro dos Ativos'!$A$2:$C$1000,3,0),"")</f>
        <v/>
      </c>
      <c r="AD45" s="242" t="str">
        <f>IF(AB45 &lt;&gt; "",SUMIFS('Alocação'!$O$3:$O$1002,'Alocação'!$C$3:$C$1002,AB45,'Alocação'!$F$3:$F$1002,AB$9,'Alocação'!$B$3:$B$1002,"&lt;="&amp;$B$6), "")</f>
        <v/>
      </c>
      <c r="AE45" s="243" t="str">
        <f>iferror(IF(AC45="Ações Americanas", HLOOKUP(AB45,'Histórico'!$A$1:$DD$990,MATCH($B$6,'Histórico'!$A:$A),FALSE)*HLOOKUP("PTAX",'Histórico'!$A$1:$FG$983,MATCH($B$6,'Histórico'!$A:$A),FALSE),IF(AC45="Ações Europeias", HLOOKUP(AB45,'Histórico'!$A$1:$DD$990,MATCH($B$6,'Histórico'!$A:$A),FALSE)*HLOOKUP("EUR/BRL",'Histórico'!$A$1:$FG$983,MATCH($B$6,'Histórico'!$A:$A),FALSE),  HLOOKUP(AB45,'Histórico'!$A$1:$DD$990,MATCH($B$6,'Histórico'!$A:$A),FALSE))),"")</f>
        <v/>
      </c>
      <c r="AF45" s="243" t="str">
        <f t="shared" si="15"/>
        <v/>
      </c>
      <c r="AG45" s="53"/>
      <c r="AH45" s="245"/>
      <c r="AI45" s="242" t="str">
        <f>IF(ISTEXT(AH45),VLOOKUP(AH45,'Cadastro dos Ativos'!$A$2:$C$1000,3,0),"")</f>
        <v/>
      </c>
      <c r="AJ45" s="242" t="str">
        <f>IF(AH45 &lt;&gt; "",SUMIFS('Alocação'!$O$3:$O$1002,'Alocação'!$C$3:$C$1002,AH45,'Alocação'!$F$3:$F$1002,AH$9,'Alocação'!$B$3:$B$1002,"&lt;="&amp;$B$6), "")</f>
        <v/>
      </c>
      <c r="AK45" s="243" t="str">
        <f>iferror(IF(AI45="Ações Americanas", HLOOKUP(AH45,'Histórico'!$A$1:$DD$990,MATCH($B$6,'Histórico'!$A:$A),FALSE)*HLOOKUP("PTAX",'Histórico'!$A$1:$FG$983,MATCH($B$6,'Histórico'!$A:$A),FALSE),IF(AI45="Ações Europeias", HLOOKUP(AH45,'Histórico'!$A$1:$DD$990,MATCH($B$6,'Histórico'!$A:$A),FALSE)*HLOOKUP("EUR/BRL",'Histórico'!$A$1:$FG$983,MATCH($B$6,'Histórico'!$A:$A),FALSE),  HLOOKUP(AH45,'Histórico'!$A$1:$DD$990,MATCH($B$6,'Histórico'!$A:$A),FALSE))),"")</f>
        <v/>
      </c>
      <c r="AL45" s="243" t="str">
        <f t="shared" si="11"/>
        <v/>
      </c>
      <c r="AM45" s="53"/>
      <c r="AN45" s="245"/>
      <c r="AO45" s="242" t="str">
        <f>IF(ISTEXT(AN45),VLOOKUP(AN45,'Cadastro dos Ativos'!$A$2:$C$1000,3,0),"")</f>
        <v/>
      </c>
      <c r="AP45" s="242" t="str">
        <f>IF(AN45 &lt;&gt; "",SUMIFS('Alocação'!$O$3:$O$1002,'Alocação'!$C$3:$C$1002,AN45,'Alocação'!$F$3:$F$1002,AN$9,'Alocação'!$B$3:$B$1002,"&lt;="&amp;$B$6), "")</f>
        <v/>
      </c>
      <c r="AQ45" s="243" t="str">
        <f>iferror(IF(AO45="Ações Americanas", HLOOKUP(AN45,'Histórico'!$A$1:$DD$990,MATCH($B$6,'Histórico'!$A:$A),FALSE)*HLOOKUP("PTAX",'Histórico'!$A$1:$FG$983,MATCH($B$6,'Histórico'!$A:$A),FALSE),IF(AO45="Ações Europeias", HLOOKUP(AN45,'Histórico'!$A$1:$DD$990,MATCH($B$6,'Histórico'!$A:$A),FALSE)*HLOOKUP("EUR/BRL",'Histórico'!$A$1:$FG$983,MATCH($B$6,'Histórico'!$A:$A),FALSE),  HLOOKUP(AN45,'Histórico'!$A$1:$DD$990,MATCH($B$6,'Histórico'!$A:$A),FALSE))),"")</f>
        <v/>
      </c>
      <c r="AR45" s="243" t="str">
        <f t="shared" si="12"/>
        <v/>
      </c>
      <c r="AS45" s="53"/>
      <c r="AT45" s="245"/>
      <c r="AU45" s="242" t="str">
        <f>IF(ISTEXT(AT45),VLOOKUP(AT45,'Cadastro dos Ativos'!$A$2:$C$1000,3,0),"")</f>
        <v/>
      </c>
      <c r="AV45" s="242" t="str">
        <f>IF(AT45 &lt;&gt; "",SUMIFS('Alocação'!$O$3:$O$1002,'Alocação'!$C$3:$C$1002,AT45,'Alocação'!$F$3:$F$1002,AT$9,'Alocação'!$B$3:$B$1002,"&lt;="&amp;$B$6), "")</f>
        <v/>
      </c>
      <c r="AW45" s="243" t="str">
        <f>iferror(IF(AU45="Ações Americanas", HLOOKUP(AT45,'Histórico'!$A$1:$DD$990,MATCH($B$6,'Histórico'!$A:$A),FALSE)*HLOOKUP("PTAX",'Histórico'!$A$1:$FG$983,MATCH($B$6,'Histórico'!$A:$A),FALSE),IF(AU45="Ações Europeias", HLOOKUP(AT45,'Histórico'!$A$1:$DD$990,MATCH($B$6,'Histórico'!$A:$A),FALSE)*HLOOKUP("EUR/BRL",'Histórico'!$A$1:$FG$983,MATCH($B$6,'Histórico'!$A:$A),FALSE),  HLOOKUP(AT45,'Histórico'!$A$1:$DD$990,MATCH($B$6,'Histórico'!$A:$A),FALSE))),"")</f>
        <v/>
      </c>
      <c r="AX45" s="243" t="str">
        <f t="shared" si="13"/>
        <v/>
      </c>
      <c r="AY45" s="53"/>
    </row>
    <row r="46" ht="15.75" customHeight="1">
      <c r="A46" s="176"/>
      <c r="B46" s="288">
        <f>Controle!B46</f>
        <v>45058</v>
      </c>
      <c r="C46" s="233">
        <f>Controle!C46</f>
        <v>101771556.8</v>
      </c>
      <c r="D46" s="289">
        <f>Controle!D46</f>
        <v>111817028</v>
      </c>
      <c r="E46" s="290"/>
      <c r="F46" s="291">
        <f>Controle!F46</f>
        <v>102736382.8</v>
      </c>
      <c r="G46" s="289">
        <f>Controle!G46</f>
        <v>9999252.692</v>
      </c>
      <c r="H46" s="290"/>
      <c r="I46" s="291">
        <f>Controle!I46</f>
        <v>99773329.81</v>
      </c>
      <c r="J46" s="233">
        <f>Controle!J46</f>
        <v>75600787.62</v>
      </c>
      <c r="K46" s="292"/>
      <c r="L46" s="233">
        <f>Controle!L46</f>
        <v>101669121.4</v>
      </c>
      <c r="M46" s="233">
        <f>Controle!M46</f>
        <v>94112434.36</v>
      </c>
      <c r="N46" s="240">
        <f>Controle!N46</f>
        <v>-0.002598147328</v>
      </c>
      <c r="O46" s="240">
        <f>Controle!O46</f>
        <v>0.002465639655</v>
      </c>
      <c r="P46" s="240">
        <f>Controle!P46</f>
        <v>-0.005096947526</v>
      </c>
      <c r="Q46" s="240">
        <f>Controle!Q46</f>
        <v>0.000849454837</v>
      </c>
      <c r="R46" s="293">
        <f>Controle!R46</f>
        <v>101.7805657</v>
      </c>
      <c r="S46" s="287"/>
      <c r="T46" s="233">
        <f t="shared" ref="T46:U46" si="49">IF(AND(C46&lt;&gt;"",F46&lt;&gt;"",I46&lt;&gt;""), SUM(I46,F46,C46),"")</f>
        <v>304281269.3</v>
      </c>
      <c r="U46" s="233">
        <f t="shared" si="49"/>
        <v>197417068.3</v>
      </c>
      <c r="V46" s="233">
        <f t="shared" si="6"/>
        <v>304.2812693</v>
      </c>
      <c r="W46" s="241">
        <f t="shared" si="9"/>
        <v>-0.001717699557</v>
      </c>
      <c r="X46" s="241">
        <f t="shared" si="10"/>
        <v>-0.06171333761</v>
      </c>
      <c r="Y46" s="241">
        <f t="shared" si="19"/>
        <v>0.0036499965</v>
      </c>
      <c r="Z46" s="233">
        <f t="shared" si="7"/>
        <v>305.3416971</v>
      </c>
      <c r="AA46" s="294"/>
      <c r="AB46" s="245"/>
      <c r="AC46" s="242" t="str">
        <f>IF(ISTEXT(AB46),VLOOKUP(AB46,'Cadastro dos Ativos'!$A$2:$C$1000,3,0),"")</f>
        <v/>
      </c>
      <c r="AD46" s="242" t="str">
        <f>IF(AB46 &lt;&gt; "",SUMIFS('Alocação'!$O$3:$O$1002,'Alocação'!$C$3:$C$1002,AB46,'Alocação'!$F$3:$F$1002,AB$9,'Alocação'!$B$3:$B$1002,"&lt;="&amp;$B$6), "")</f>
        <v/>
      </c>
      <c r="AE46" s="243" t="str">
        <f>iferror(IF(AC46="Ações Americanas", HLOOKUP(AB46,'Histórico'!$A$1:$DD$990,MATCH($B$6,'Histórico'!$A:$A),FALSE)*HLOOKUP("PTAX",'Histórico'!$A$1:$FG$983,MATCH($B$6,'Histórico'!$A:$A),FALSE),IF(AC46="Ações Europeias", HLOOKUP(AB46,'Histórico'!$A$1:$DD$990,MATCH($B$6,'Histórico'!$A:$A),FALSE)*HLOOKUP("EUR/BRL",'Histórico'!$A$1:$FG$983,MATCH($B$6,'Histórico'!$A:$A),FALSE),  HLOOKUP(AB46,'Histórico'!$A$1:$DD$990,MATCH($B$6,'Histórico'!$A:$A),FALSE))),"")</f>
        <v/>
      </c>
      <c r="AF46" s="243" t="str">
        <f t="shared" si="15"/>
        <v/>
      </c>
      <c r="AG46" s="53"/>
      <c r="AH46" s="245"/>
      <c r="AI46" s="242" t="str">
        <f>IF(ISTEXT(AH46),VLOOKUP(AH46,'Cadastro dos Ativos'!$A$2:$C$1000,3,0),"")</f>
        <v/>
      </c>
      <c r="AJ46" s="242" t="str">
        <f>IF(AH46 &lt;&gt; "",SUMIFS('Alocação'!$O$3:$O$1002,'Alocação'!$C$3:$C$1002,AH46,'Alocação'!$F$3:$F$1002,AH$9,'Alocação'!$B$3:$B$1002,"&lt;="&amp;$B$6), "")</f>
        <v/>
      </c>
      <c r="AK46" s="243" t="str">
        <f>iferror(IF(AI46="Ações Americanas", HLOOKUP(AH46,'Histórico'!$A$1:$DD$990,MATCH($B$6,'Histórico'!$A:$A),FALSE)*HLOOKUP("PTAX",'Histórico'!$A$1:$FG$983,MATCH($B$6,'Histórico'!$A:$A),FALSE),IF(AI46="Ações Europeias", HLOOKUP(AH46,'Histórico'!$A$1:$DD$990,MATCH($B$6,'Histórico'!$A:$A),FALSE)*HLOOKUP("EUR/BRL",'Histórico'!$A$1:$FG$983,MATCH($B$6,'Histórico'!$A:$A),FALSE),  HLOOKUP(AH46,'Histórico'!$A$1:$DD$990,MATCH($B$6,'Histórico'!$A:$A),FALSE))),"")</f>
        <v/>
      </c>
      <c r="AL46" s="243" t="str">
        <f t="shared" si="11"/>
        <v/>
      </c>
      <c r="AM46" s="53"/>
      <c r="AN46" s="245"/>
      <c r="AO46" s="242" t="str">
        <f>IF(ISTEXT(AN46),VLOOKUP(AN46,'Cadastro dos Ativos'!$A$2:$C$1000,3,0),"")</f>
        <v/>
      </c>
      <c r="AP46" s="242" t="str">
        <f>IF(AN46 &lt;&gt; "",SUMIFS('Alocação'!$O$3:$O$1002,'Alocação'!$C$3:$C$1002,AN46,'Alocação'!$F$3:$F$1002,AN$9,'Alocação'!$B$3:$B$1002,"&lt;="&amp;$B$6), "")</f>
        <v/>
      </c>
      <c r="AQ46" s="243" t="str">
        <f>iferror(IF(AO46="Ações Americanas", HLOOKUP(AN46,'Histórico'!$A$1:$DD$990,MATCH($B$6,'Histórico'!$A:$A),FALSE)*HLOOKUP("PTAX",'Histórico'!$A$1:$FG$983,MATCH($B$6,'Histórico'!$A:$A),FALSE),IF(AO46="Ações Europeias", HLOOKUP(AN46,'Histórico'!$A$1:$DD$990,MATCH($B$6,'Histórico'!$A:$A),FALSE)*HLOOKUP("EUR/BRL",'Histórico'!$A$1:$FG$983,MATCH($B$6,'Histórico'!$A:$A),FALSE),  HLOOKUP(AN46,'Histórico'!$A$1:$DD$990,MATCH($B$6,'Histórico'!$A:$A),FALSE))),"")</f>
        <v/>
      </c>
      <c r="AR46" s="243" t="str">
        <f t="shared" si="12"/>
        <v/>
      </c>
      <c r="AS46" s="53"/>
      <c r="AT46" s="245"/>
      <c r="AU46" s="242" t="str">
        <f>IF(ISTEXT(AT46),VLOOKUP(AT46,'Cadastro dos Ativos'!$A$2:$C$1000,3,0),"")</f>
        <v/>
      </c>
      <c r="AV46" s="242" t="str">
        <f>IF(AT46 &lt;&gt; "",SUMIFS('Alocação'!$O$3:$O$1002,'Alocação'!$C$3:$C$1002,AT46,'Alocação'!$F$3:$F$1002,AT$9,'Alocação'!$B$3:$B$1002,"&lt;="&amp;$B$6), "")</f>
        <v/>
      </c>
      <c r="AW46" s="243" t="str">
        <f>iferror(IF(AU46="Ações Americanas", HLOOKUP(AT46,'Histórico'!$A$1:$DD$990,MATCH($B$6,'Histórico'!$A:$A),FALSE)*HLOOKUP("PTAX",'Histórico'!$A$1:$FG$983,MATCH($B$6,'Histórico'!$A:$A),FALSE),IF(AU46="Ações Europeias", HLOOKUP(AT46,'Histórico'!$A$1:$DD$990,MATCH($B$6,'Histórico'!$A:$A),FALSE)*HLOOKUP("EUR/BRL",'Histórico'!$A$1:$FG$983,MATCH($B$6,'Histórico'!$A:$A),FALSE),  HLOOKUP(AT46,'Histórico'!$A$1:$DD$990,MATCH($B$6,'Histórico'!$A:$A),FALSE))),"")</f>
        <v/>
      </c>
      <c r="AX46" s="243" t="str">
        <f t="shared" si="13"/>
        <v/>
      </c>
      <c r="AY46" s="53"/>
    </row>
    <row r="47" ht="15.75" customHeight="1">
      <c r="A47" s="176"/>
      <c r="B47" s="288">
        <f>Controle!B47</f>
        <v>45061</v>
      </c>
      <c r="C47" s="233">
        <f>Controle!C47</f>
        <v>101997705.9</v>
      </c>
      <c r="D47" s="289">
        <f>Controle!D47</f>
        <v>111980896.9</v>
      </c>
      <c r="E47" s="290"/>
      <c r="F47" s="291">
        <f>Controle!F47</f>
        <v>102733614.3</v>
      </c>
      <c r="G47" s="289">
        <f>Controle!G47</f>
        <v>10109981.08</v>
      </c>
      <c r="H47" s="290"/>
      <c r="I47" s="291">
        <f>Controle!I47</f>
        <v>99316362.54</v>
      </c>
      <c r="J47" s="233">
        <f>Controle!J47</f>
        <v>75204191.29</v>
      </c>
      <c r="K47" s="292"/>
      <c r="L47" s="233">
        <f>Controle!L47</f>
        <v>101893612.4</v>
      </c>
      <c r="M47" s="233">
        <f>Controle!M47</f>
        <v>94154225.21</v>
      </c>
      <c r="N47" s="240">
        <f>Controle!N47</f>
        <v>0.002222125443</v>
      </c>
      <c r="O47" s="240">
        <f>Controle!O47</f>
        <v>-0.00002694735027</v>
      </c>
      <c r="P47" s="240">
        <f>Controle!P47</f>
        <v>-0.004580054263</v>
      </c>
      <c r="Q47" s="240">
        <f>Controle!Q47</f>
        <v>0.002208055202</v>
      </c>
      <c r="R47" s="293">
        <f>Controle!R47</f>
        <v>101.8304758</v>
      </c>
      <c r="S47" s="287"/>
      <c r="T47" s="233">
        <f t="shared" ref="T47:U47" si="50">IF(AND(C47&lt;&gt;"",F47&lt;&gt;"",I47&lt;&gt;""), SUM(I47,F47,C47),"")</f>
        <v>304047682.8</v>
      </c>
      <c r="U47" s="233">
        <f t="shared" si="50"/>
        <v>197295069.2</v>
      </c>
      <c r="V47" s="233">
        <f t="shared" si="6"/>
        <v>304.0476828</v>
      </c>
      <c r="W47" s="241">
        <f t="shared" si="9"/>
        <v>-0.0007676666152</v>
      </c>
      <c r="X47" s="241">
        <f t="shared" si="10"/>
        <v>-0.06243362896</v>
      </c>
      <c r="Y47" s="241">
        <f t="shared" si="19"/>
        <v>0.001951762357</v>
      </c>
      <c r="Z47" s="233">
        <f t="shared" si="7"/>
        <v>305.4914275</v>
      </c>
      <c r="AA47" s="294"/>
      <c r="AB47" s="245"/>
      <c r="AC47" s="242" t="str">
        <f>IF(ISTEXT(AB47),VLOOKUP(AB47,'Cadastro dos Ativos'!$A$2:$C$1000,3,0),"")</f>
        <v/>
      </c>
      <c r="AD47" s="242" t="str">
        <f>IF(AB47 &lt;&gt; "",SUMIFS('Alocação'!$O$3:$O$1002,'Alocação'!$C$3:$C$1002,AB47,'Alocação'!$F$3:$F$1002,AB$9,'Alocação'!$B$3:$B$1002,"&lt;="&amp;$B$6), "")</f>
        <v/>
      </c>
      <c r="AE47" s="243" t="str">
        <f>iferror(IF(AC47="Ações Americanas", HLOOKUP(AB47,'Histórico'!$A$1:$DD$990,MATCH($B$6,'Histórico'!$A:$A),FALSE)*HLOOKUP("PTAX",'Histórico'!$A$1:$FG$983,MATCH($B$6,'Histórico'!$A:$A),FALSE),IF(AC47="Ações Europeias", HLOOKUP(AB47,'Histórico'!$A$1:$DD$990,MATCH($B$6,'Histórico'!$A:$A),FALSE)*HLOOKUP("EUR/BRL",'Histórico'!$A$1:$FG$983,MATCH($B$6,'Histórico'!$A:$A),FALSE),  HLOOKUP(AB47,'Histórico'!$A$1:$DD$990,MATCH($B$6,'Histórico'!$A:$A),FALSE))),"")</f>
        <v/>
      </c>
      <c r="AF47" s="243" t="str">
        <f t="shared" si="15"/>
        <v/>
      </c>
      <c r="AG47" s="53"/>
      <c r="AH47" s="245"/>
      <c r="AI47" s="242" t="str">
        <f>IF(ISTEXT(AH47),VLOOKUP(AH47,'Cadastro dos Ativos'!$A$2:$C$1000,3,0),"")</f>
        <v/>
      </c>
      <c r="AJ47" s="242" t="str">
        <f>IF(AH47 &lt;&gt; "",SUMIFS('Alocação'!$O$3:$O$1002,'Alocação'!$C$3:$C$1002,AH47,'Alocação'!$F$3:$F$1002,AH$9,'Alocação'!$B$3:$B$1002,"&lt;="&amp;$B$6), "")</f>
        <v/>
      </c>
      <c r="AK47" s="243" t="str">
        <f>iferror(IF(AI47="Ações Americanas", HLOOKUP(AH47,'Histórico'!$A$1:$DD$990,MATCH($B$6,'Histórico'!$A:$A),FALSE)*HLOOKUP("PTAX",'Histórico'!$A$1:$FG$983,MATCH($B$6,'Histórico'!$A:$A),FALSE),IF(AI47="Ações Europeias", HLOOKUP(AH47,'Histórico'!$A$1:$DD$990,MATCH($B$6,'Histórico'!$A:$A),FALSE)*HLOOKUP("EUR/BRL",'Histórico'!$A$1:$FG$983,MATCH($B$6,'Histórico'!$A:$A),FALSE),  HLOOKUP(AH47,'Histórico'!$A$1:$DD$990,MATCH($B$6,'Histórico'!$A:$A),FALSE))),"")</f>
        <v/>
      </c>
      <c r="AL47" s="243" t="str">
        <f t="shared" si="11"/>
        <v/>
      </c>
      <c r="AM47" s="53"/>
      <c r="AN47" s="245"/>
      <c r="AO47" s="242" t="str">
        <f>IF(ISTEXT(AN47),VLOOKUP(AN47,'Cadastro dos Ativos'!$A$2:$C$1000,3,0),"")</f>
        <v/>
      </c>
      <c r="AP47" s="242" t="str">
        <f>IF(AN47 &lt;&gt; "",SUMIFS('Alocação'!$O$3:$O$1002,'Alocação'!$C$3:$C$1002,AN47,'Alocação'!$F$3:$F$1002,AN$9,'Alocação'!$B$3:$B$1002,"&lt;="&amp;$B$6), "")</f>
        <v/>
      </c>
      <c r="AQ47" s="243" t="str">
        <f>iferror(IF(AO47="Ações Americanas", HLOOKUP(AN47,'Histórico'!$A$1:$DD$990,MATCH($B$6,'Histórico'!$A:$A),FALSE)*HLOOKUP("PTAX",'Histórico'!$A$1:$FG$983,MATCH($B$6,'Histórico'!$A:$A),FALSE),IF(AO47="Ações Europeias", HLOOKUP(AN47,'Histórico'!$A$1:$DD$990,MATCH($B$6,'Histórico'!$A:$A),FALSE)*HLOOKUP("EUR/BRL",'Histórico'!$A$1:$FG$983,MATCH($B$6,'Histórico'!$A:$A),FALSE),  HLOOKUP(AN47,'Histórico'!$A$1:$DD$990,MATCH($B$6,'Histórico'!$A:$A),FALSE))),"")</f>
        <v/>
      </c>
      <c r="AR47" s="243" t="str">
        <f t="shared" si="12"/>
        <v/>
      </c>
      <c r="AS47" s="53"/>
      <c r="AT47" s="245"/>
      <c r="AU47" s="242" t="str">
        <f>IF(ISTEXT(AT47),VLOOKUP(AT47,'Cadastro dos Ativos'!$A$2:$C$1000,3,0),"")</f>
        <v/>
      </c>
      <c r="AV47" s="242" t="str">
        <f>IF(AT47 &lt;&gt; "",SUMIFS('Alocação'!$O$3:$O$1002,'Alocação'!$C$3:$C$1002,AT47,'Alocação'!$F$3:$F$1002,AT$9,'Alocação'!$B$3:$B$1002,"&lt;="&amp;$B$6), "")</f>
        <v/>
      </c>
      <c r="AW47" s="243" t="str">
        <f>iferror(IF(AU47="Ações Americanas", HLOOKUP(AT47,'Histórico'!$A$1:$DD$990,MATCH($B$6,'Histórico'!$A:$A),FALSE)*HLOOKUP("PTAX",'Histórico'!$A$1:$FG$983,MATCH($B$6,'Histórico'!$A:$A),FALSE),IF(AU47="Ações Europeias", HLOOKUP(AT47,'Histórico'!$A$1:$DD$990,MATCH($B$6,'Histórico'!$A:$A),FALSE)*HLOOKUP("EUR/BRL",'Histórico'!$A$1:$FG$983,MATCH($B$6,'Histórico'!$A:$A),FALSE),  HLOOKUP(AT47,'Histórico'!$A$1:$DD$990,MATCH($B$6,'Histórico'!$A:$A),FALSE))),"")</f>
        <v/>
      </c>
      <c r="AX47" s="243" t="str">
        <f t="shared" si="13"/>
        <v/>
      </c>
      <c r="AY47" s="53"/>
    </row>
    <row r="48" ht="15.75" customHeight="1">
      <c r="A48" s="176"/>
      <c r="B48" s="288">
        <f>Controle!B48</f>
        <v>45062</v>
      </c>
      <c r="C48" s="233">
        <f>Controle!C48</f>
        <v>102045799.6</v>
      </c>
      <c r="D48" s="289">
        <f>Controle!D48</f>
        <v>118727282.9</v>
      </c>
      <c r="E48" s="290"/>
      <c r="F48" s="291">
        <f>Controle!F48</f>
        <v>103240899.6</v>
      </c>
      <c r="G48" s="289">
        <f>Controle!G48</f>
        <v>138490700.9</v>
      </c>
      <c r="H48" s="290"/>
      <c r="I48" s="291">
        <f>Controle!I48</f>
        <v>100120218.8</v>
      </c>
      <c r="J48" s="233">
        <f>Controle!J48</f>
        <v>75975043.93</v>
      </c>
      <c r="K48" s="292"/>
      <c r="L48" s="233">
        <f>Controle!L48</f>
        <v>101950211.7</v>
      </c>
      <c r="M48" s="233">
        <f>Controle!M48</f>
        <v>94196024.03</v>
      </c>
      <c r="N48" s="240">
        <f>Controle!N48</f>
        <v>0.0004715171125</v>
      </c>
      <c r="O48" s="240">
        <f>Controle!O48</f>
        <v>0.004937871028</v>
      </c>
      <c r="P48" s="240">
        <f>Controle!P48</f>
        <v>0.008093895472</v>
      </c>
      <c r="Q48" s="240">
        <f>Controle!Q48</f>
        <v>0.0005554743113</v>
      </c>
      <c r="R48" s="293">
        <f>Controle!R48</f>
        <v>101.8804104</v>
      </c>
      <c r="S48" s="287"/>
      <c r="T48" s="233">
        <f t="shared" ref="T48:U48" si="51">IF(AND(C48&lt;&gt;"",F48&lt;&gt;"",I48&lt;&gt;""), SUM(I48,F48,C48),"")</f>
        <v>305406918</v>
      </c>
      <c r="U48" s="233">
        <f t="shared" si="51"/>
        <v>333193027.7</v>
      </c>
      <c r="V48" s="233">
        <f t="shared" si="6"/>
        <v>305.406918</v>
      </c>
      <c r="W48" s="241">
        <f t="shared" si="9"/>
        <v>0.004470467415</v>
      </c>
      <c r="X48" s="241">
        <f t="shared" si="10"/>
        <v>-0.05824226904</v>
      </c>
      <c r="Y48" s="241">
        <f t="shared" si="19"/>
        <v>0.003022172399</v>
      </c>
      <c r="Z48" s="233">
        <f t="shared" si="7"/>
        <v>305.6412313</v>
      </c>
      <c r="AA48" s="294"/>
      <c r="AB48" s="245"/>
      <c r="AC48" s="242" t="str">
        <f>IF(ISTEXT(AB48),VLOOKUP(AB48,'Cadastro dos Ativos'!$A$2:$C$1000,3,0),"")</f>
        <v/>
      </c>
      <c r="AD48" s="242" t="str">
        <f>IF(AB48 &lt;&gt; "",SUMIFS('Alocação'!$O$3:$O$1002,'Alocação'!$C$3:$C$1002,AB48,'Alocação'!$F$3:$F$1002,AB$9,'Alocação'!$B$3:$B$1002,"&lt;="&amp;$B$6), "")</f>
        <v/>
      </c>
      <c r="AE48" s="243" t="str">
        <f>iferror(IF(AC48="Ações Americanas", HLOOKUP(AB48,'Histórico'!$A$1:$DD$990,MATCH($B$6,'Histórico'!$A:$A),FALSE)*HLOOKUP("PTAX",'Histórico'!$A$1:$FG$983,MATCH($B$6,'Histórico'!$A:$A),FALSE),IF(AC48="Ações Europeias", HLOOKUP(AB48,'Histórico'!$A$1:$DD$990,MATCH($B$6,'Histórico'!$A:$A),FALSE)*HLOOKUP("EUR/BRL",'Histórico'!$A$1:$FG$983,MATCH($B$6,'Histórico'!$A:$A),FALSE),  HLOOKUP(AB48,'Histórico'!$A$1:$DD$990,MATCH($B$6,'Histórico'!$A:$A),FALSE))),"")</f>
        <v/>
      </c>
      <c r="AF48" s="243" t="str">
        <f t="shared" si="15"/>
        <v/>
      </c>
      <c r="AG48" s="53"/>
      <c r="AH48" s="245"/>
      <c r="AI48" s="242" t="str">
        <f>IF(ISTEXT(AH48),VLOOKUP(AH48,'Cadastro dos Ativos'!$A$2:$C$1000,3,0),"")</f>
        <v/>
      </c>
      <c r="AJ48" s="242" t="str">
        <f>IF(AH48 &lt;&gt; "",SUMIFS('Alocação'!$O$3:$O$1002,'Alocação'!$C$3:$C$1002,AH48,'Alocação'!$F$3:$F$1002,AH$9,'Alocação'!$B$3:$B$1002,"&lt;="&amp;$B$6), "")</f>
        <v/>
      </c>
      <c r="AK48" s="243" t="str">
        <f>iferror(IF(AI48="Ações Americanas", HLOOKUP(AH48,'Histórico'!$A$1:$DD$990,MATCH($B$6,'Histórico'!$A:$A),FALSE)*HLOOKUP("PTAX",'Histórico'!$A$1:$FG$983,MATCH($B$6,'Histórico'!$A:$A),FALSE),IF(AI48="Ações Europeias", HLOOKUP(AH48,'Histórico'!$A$1:$DD$990,MATCH($B$6,'Histórico'!$A:$A),FALSE)*HLOOKUP("EUR/BRL",'Histórico'!$A$1:$FG$983,MATCH($B$6,'Histórico'!$A:$A),FALSE),  HLOOKUP(AH48,'Histórico'!$A$1:$DD$990,MATCH($B$6,'Histórico'!$A:$A),FALSE))),"")</f>
        <v/>
      </c>
      <c r="AL48" s="243" t="str">
        <f t="shared" si="11"/>
        <v/>
      </c>
      <c r="AM48" s="53"/>
      <c r="AN48" s="245"/>
      <c r="AO48" s="242" t="str">
        <f>IF(ISTEXT(AN48),VLOOKUP(AN48,'Cadastro dos Ativos'!$A$2:$C$1000,3,0),"")</f>
        <v/>
      </c>
      <c r="AP48" s="242" t="str">
        <f>IF(AN48 &lt;&gt; "",SUMIFS('Alocação'!$O$3:$O$1002,'Alocação'!$C$3:$C$1002,AN48,'Alocação'!$F$3:$F$1002,AN$9,'Alocação'!$B$3:$B$1002,"&lt;="&amp;$B$6), "")</f>
        <v/>
      </c>
      <c r="AQ48" s="243" t="str">
        <f>iferror(IF(AO48="Ações Americanas", HLOOKUP(AN48,'Histórico'!$A$1:$DD$990,MATCH($B$6,'Histórico'!$A:$A),FALSE)*HLOOKUP("PTAX",'Histórico'!$A$1:$FG$983,MATCH($B$6,'Histórico'!$A:$A),FALSE),IF(AO48="Ações Europeias", HLOOKUP(AN48,'Histórico'!$A$1:$DD$990,MATCH($B$6,'Histórico'!$A:$A),FALSE)*HLOOKUP("EUR/BRL",'Histórico'!$A$1:$FG$983,MATCH($B$6,'Histórico'!$A:$A),FALSE),  HLOOKUP(AN48,'Histórico'!$A$1:$DD$990,MATCH($B$6,'Histórico'!$A:$A),FALSE))),"")</f>
        <v/>
      </c>
      <c r="AR48" s="243" t="str">
        <f t="shared" si="12"/>
        <v/>
      </c>
      <c r="AS48" s="53"/>
      <c r="AT48" s="245"/>
      <c r="AU48" s="242" t="str">
        <f>IF(ISTEXT(AT48),VLOOKUP(AT48,'Cadastro dos Ativos'!$A$2:$C$1000,3,0),"")</f>
        <v/>
      </c>
      <c r="AV48" s="242" t="str">
        <f>IF(AT48 &lt;&gt; "",SUMIFS('Alocação'!$O$3:$O$1002,'Alocação'!$C$3:$C$1002,AT48,'Alocação'!$F$3:$F$1002,AT$9,'Alocação'!$B$3:$B$1002,"&lt;="&amp;$B$6), "")</f>
        <v/>
      </c>
      <c r="AW48" s="243" t="str">
        <f>iferror(IF(AU48="Ações Americanas", HLOOKUP(AT48,'Histórico'!$A$1:$DD$990,MATCH($B$6,'Histórico'!$A:$A),FALSE)*HLOOKUP("PTAX",'Histórico'!$A$1:$FG$983,MATCH($B$6,'Histórico'!$A:$A),FALSE),IF(AU48="Ações Europeias", HLOOKUP(AT48,'Histórico'!$A$1:$DD$990,MATCH($B$6,'Histórico'!$A:$A),FALSE)*HLOOKUP("EUR/BRL",'Histórico'!$A$1:$FG$983,MATCH($B$6,'Histórico'!$A:$A),FALSE),  HLOOKUP(AT48,'Histórico'!$A$1:$DD$990,MATCH($B$6,'Histórico'!$A:$A),FALSE))),"")</f>
        <v/>
      </c>
      <c r="AX48" s="243" t="str">
        <f t="shared" si="13"/>
        <v/>
      </c>
      <c r="AY48" s="53"/>
    </row>
    <row r="49" ht="15.75" customHeight="1">
      <c r="A49" s="176"/>
      <c r="B49" s="288">
        <f>Controle!B49</f>
        <v>45063</v>
      </c>
      <c r="C49" s="233">
        <f>Controle!C49</f>
        <v>101973568.9</v>
      </c>
      <c r="D49" s="289">
        <f>Controle!D49</f>
        <v>108566081.8</v>
      </c>
      <c r="E49" s="290"/>
      <c r="F49" s="291">
        <f>Controle!F49</f>
        <v>102732312.7</v>
      </c>
      <c r="G49" s="289">
        <f>Controle!G49</f>
        <v>138314455.5</v>
      </c>
      <c r="H49" s="290"/>
      <c r="I49" s="291">
        <f>Controle!I49</f>
        <v>101388371.7</v>
      </c>
      <c r="J49" s="233">
        <f>Controle!J49</f>
        <v>76936613.48</v>
      </c>
      <c r="K49" s="292"/>
      <c r="L49" s="233">
        <f>Controle!L49</f>
        <v>102238526.5</v>
      </c>
      <c r="M49" s="233">
        <f>Controle!M49</f>
        <v>94237840.72</v>
      </c>
      <c r="N49" s="240">
        <f>Controle!N49</f>
        <v>-0.0007078264251</v>
      </c>
      <c r="O49" s="240">
        <f>Controle!O49</f>
        <v>-0.004926215164</v>
      </c>
      <c r="P49" s="240">
        <f>Controle!P49</f>
        <v>0.01266630221</v>
      </c>
      <c r="Q49" s="240">
        <f>Controle!Q49</f>
        <v>0.00282799577</v>
      </c>
      <c r="R49" s="293">
        <f>Controle!R49</f>
        <v>101.9303695</v>
      </c>
      <c r="S49" s="287"/>
      <c r="T49" s="233">
        <f t="shared" ref="T49:U49" si="52">IF(AND(C49&lt;&gt;"",F49&lt;&gt;"",I49&lt;&gt;""), SUM(I49,F49,C49),"")</f>
        <v>306094253.4</v>
      </c>
      <c r="U49" s="233">
        <f t="shared" si="52"/>
        <v>323817150.7</v>
      </c>
      <c r="V49" s="233">
        <f t="shared" si="6"/>
        <v>306.0942534</v>
      </c>
      <c r="W49" s="241">
        <f t="shared" si="9"/>
        <v>0.002250555927</v>
      </c>
      <c r="X49" s="241">
        <f t="shared" si="10"/>
        <v>-0.0561227906</v>
      </c>
      <c r="Y49" s="241">
        <f t="shared" si="19"/>
        <v>0.003202874993</v>
      </c>
      <c r="Z49" s="233">
        <f t="shared" si="7"/>
        <v>305.7911086</v>
      </c>
      <c r="AA49" s="294"/>
      <c r="AB49" s="245"/>
      <c r="AC49" s="242" t="str">
        <f>IF(ISTEXT(AB49),VLOOKUP(AB49,'Cadastro dos Ativos'!$A$2:$C$1000,3,0),"")</f>
        <v/>
      </c>
      <c r="AD49" s="242" t="str">
        <f>IF(AB49 &lt;&gt; "",SUMIFS('Alocação'!$O$3:$O$1002,'Alocação'!$C$3:$C$1002,AB49,'Alocação'!$F$3:$F$1002,AB$9,'Alocação'!$B$3:$B$1002,"&lt;="&amp;$B$6), "")</f>
        <v/>
      </c>
      <c r="AE49" s="243" t="str">
        <f>iferror(IF(AC49="Ações Americanas", HLOOKUP(AB49,'Histórico'!$A$1:$DD$990,MATCH($B$6,'Histórico'!$A:$A),FALSE)*HLOOKUP("PTAX",'Histórico'!$A$1:$FG$983,MATCH($B$6,'Histórico'!$A:$A),FALSE),IF(AC49="Ações Europeias", HLOOKUP(AB49,'Histórico'!$A$1:$DD$990,MATCH($B$6,'Histórico'!$A:$A),FALSE)*HLOOKUP("EUR/BRL",'Histórico'!$A$1:$FG$983,MATCH($B$6,'Histórico'!$A:$A),FALSE),  HLOOKUP(AB49,'Histórico'!$A$1:$DD$990,MATCH($B$6,'Histórico'!$A:$A),FALSE))),"")</f>
        <v/>
      </c>
      <c r="AF49" s="243" t="str">
        <f t="shared" si="15"/>
        <v/>
      </c>
      <c r="AG49" s="53"/>
      <c r="AH49" s="245"/>
      <c r="AI49" s="242" t="str">
        <f>IF(ISTEXT(AH49),VLOOKUP(AH49,'Cadastro dos Ativos'!$A$2:$C$1000,3,0),"")</f>
        <v/>
      </c>
      <c r="AJ49" s="242" t="str">
        <f>IF(AH49 &lt;&gt; "",SUMIFS('Alocação'!$O$3:$O$1002,'Alocação'!$C$3:$C$1002,AH49,'Alocação'!$F$3:$F$1002,AH$9,'Alocação'!$B$3:$B$1002,"&lt;="&amp;$B$6), "")</f>
        <v/>
      </c>
      <c r="AK49" s="243" t="str">
        <f>iferror(IF(AI49="Ações Americanas", HLOOKUP(AH49,'Histórico'!$A$1:$DD$990,MATCH($B$6,'Histórico'!$A:$A),FALSE)*HLOOKUP("PTAX",'Histórico'!$A$1:$FG$983,MATCH($B$6,'Histórico'!$A:$A),FALSE),IF(AI49="Ações Europeias", HLOOKUP(AH49,'Histórico'!$A$1:$DD$990,MATCH($B$6,'Histórico'!$A:$A),FALSE)*HLOOKUP("EUR/BRL",'Histórico'!$A$1:$FG$983,MATCH($B$6,'Histórico'!$A:$A),FALSE),  HLOOKUP(AH49,'Histórico'!$A$1:$DD$990,MATCH($B$6,'Histórico'!$A:$A),FALSE))),"")</f>
        <v/>
      </c>
      <c r="AL49" s="243" t="str">
        <f t="shared" si="11"/>
        <v/>
      </c>
      <c r="AM49" s="53"/>
      <c r="AN49" s="245"/>
      <c r="AO49" s="242" t="str">
        <f>IF(ISTEXT(AN49),VLOOKUP(AN49,'Cadastro dos Ativos'!$A$2:$C$1000,3,0),"")</f>
        <v/>
      </c>
      <c r="AP49" s="242" t="str">
        <f>IF(AN49 &lt;&gt; "",SUMIFS('Alocação'!$O$3:$O$1002,'Alocação'!$C$3:$C$1002,AN49,'Alocação'!$F$3:$F$1002,AN$9,'Alocação'!$B$3:$B$1002,"&lt;="&amp;$B$6), "")</f>
        <v/>
      </c>
      <c r="AQ49" s="243" t="str">
        <f>iferror(IF(AO49="Ações Americanas", HLOOKUP(AN49,'Histórico'!$A$1:$DD$990,MATCH($B$6,'Histórico'!$A:$A),FALSE)*HLOOKUP("PTAX",'Histórico'!$A$1:$FG$983,MATCH($B$6,'Histórico'!$A:$A),FALSE),IF(AO49="Ações Europeias", HLOOKUP(AN49,'Histórico'!$A$1:$DD$990,MATCH($B$6,'Histórico'!$A:$A),FALSE)*HLOOKUP("EUR/BRL",'Histórico'!$A$1:$FG$983,MATCH($B$6,'Histórico'!$A:$A),FALSE),  HLOOKUP(AN49,'Histórico'!$A$1:$DD$990,MATCH($B$6,'Histórico'!$A:$A),FALSE))),"")</f>
        <v/>
      </c>
      <c r="AR49" s="243" t="str">
        <f t="shared" si="12"/>
        <v/>
      </c>
      <c r="AS49" s="53"/>
      <c r="AT49" s="245"/>
      <c r="AU49" s="242" t="str">
        <f>IF(ISTEXT(AT49),VLOOKUP(AT49,'Cadastro dos Ativos'!$A$2:$C$1000,3,0),"")</f>
        <v/>
      </c>
      <c r="AV49" s="242" t="str">
        <f>IF(AT49 &lt;&gt; "",SUMIFS('Alocação'!$O$3:$O$1002,'Alocação'!$C$3:$C$1002,AT49,'Alocação'!$F$3:$F$1002,AT$9,'Alocação'!$B$3:$B$1002,"&lt;="&amp;$B$6), "")</f>
        <v/>
      </c>
      <c r="AW49" s="243" t="str">
        <f>iferror(IF(AU49="Ações Americanas", HLOOKUP(AT49,'Histórico'!$A$1:$DD$990,MATCH($B$6,'Histórico'!$A:$A),FALSE)*HLOOKUP("PTAX",'Histórico'!$A$1:$FG$983,MATCH($B$6,'Histórico'!$A:$A),FALSE),IF(AU49="Ações Europeias", HLOOKUP(AT49,'Histórico'!$A$1:$DD$990,MATCH($B$6,'Histórico'!$A:$A),FALSE)*HLOOKUP("EUR/BRL",'Histórico'!$A$1:$FG$983,MATCH($B$6,'Histórico'!$A:$A),FALSE),  HLOOKUP(AT49,'Histórico'!$A$1:$DD$990,MATCH($B$6,'Histórico'!$A:$A),FALSE))),"")</f>
        <v/>
      </c>
      <c r="AX49" s="243" t="str">
        <f t="shared" si="13"/>
        <v/>
      </c>
      <c r="AY49" s="53"/>
    </row>
    <row r="50" ht="15.75" customHeight="1">
      <c r="A50" s="176"/>
      <c r="B50" s="288">
        <f>Controle!B50</f>
        <v>45064</v>
      </c>
      <c r="C50" s="233">
        <f>Controle!C50</f>
        <v>102236489.2</v>
      </c>
      <c r="D50" s="289">
        <f>Controle!D50</f>
        <v>108705754.6</v>
      </c>
      <c r="E50" s="290"/>
      <c r="F50" s="291">
        <f>Controle!F50</f>
        <v>102306178.5</v>
      </c>
      <c r="G50" s="289">
        <f>Controle!G50</f>
        <v>137986387.9</v>
      </c>
      <c r="H50" s="290"/>
      <c r="I50" s="291">
        <f>Controle!I50</f>
        <v>102522793.3</v>
      </c>
      <c r="J50" s="233">
        <f>Controle!J50</f>
        <v>77661132.36</v>
      </c>
      <c r="K50" s="292"/>
      <c r="L50" s="233">
        <f>Controle!L50</f>
        <v>102475247.2</v>
      </c>
      <c r="M50" s="233">
        <f>Controle!M50</f>
        <v>94279661.62</v>
      </c>
      <c r="N50" s="240">
        <f>Controle!N50</f>
        <v>0.002578317991</v>
      </c>
      <c r="O50" s="240">
        <f>Controle!O50</f>
        <v>-0.004148005807</v>
      </c>
      <c r="P50" s="240">
        <f>Controle!P50</f>
        <v>0.01118887229</v>
      </c>
      <c r="Q50" s="240">
        <f>Controle!Q50</f>
        <v>0.002315376709</v>
      </c>
      <c r="R50" s="293">
        <f>Controle!R50</f>
        <v>101.9803531</v>
      </c>
      <c r="S50" s="287"/>
      <c r="T50" s="233">
        <f t="shared" ref="T50:U50" si="53">IF(AND(C50&lt;&gt;"",F50&lt;&gt;"",I50&lt;&gt;""), SUM(I50,F50,C50),"")</f>
        <v>307065461</v>
      </c>
      <c r="U50" s="233">
        <f t="shared" si="53"/>
        <v>324353274.8</v>
      </c>
      <c r="V50" s="233">
        <f t="shared" si="6"/>
        <v>307.065461</v>
      </c>
      <c r="W50" s="241">
        <f t="shared" si="9"/>
        <v>0.003172903737</v>
      </c>
      <c r="X50" s="241">
        <f t="shared" si="10"/>
        <v>-0.05312795908</v>
      </c>
      <c r="Y50" s="241">
        <f t="shared" si="19"/>
        <v>0.002630582059</v>
      </c>
      <c r="Z50" s="233">
        <f t="shared" si="7"/>
        <v>305.9410594</v>
      </c>
      <c r="AA50" s="294"/>
      <c r="AB50" s="245"/>
      <c r="AC50" s="242" t="str">
        <f>IF(ISTEXT(AB50),VLOOKUP(AB50,'Cadastro dos Ativos'!$A$2:$C$1000,3,0),"")</f>
        <v/>
      </c>
      <c r="AD50" s="242" t="str">
        <f>IF(AB50 &lt;&gt; "",SUMIFS('Alocação'!$O$3:$O$1002,'Alocação'!$C$3:$C$1002,AB50,'Alocação'!$F$3:$F$1002,AB$9,'Alocação'!$B$3:$B$1002,"&lt;="&amp;$B$6), "")</f>
        <v/>
      </c>
      <c r="AE50" s="243" t="str">
        <f>iferror(IF(AC50="Ações Americanas", HLOOKUP(AB50,'Histórico'!$A$1:$DD$990,MATCH($B$6,'Histórico'!$A:$A),FALSE)*HLOOKUP("PTAX",'Histórico'!$A$1:$FG$983,MATCH($B$6,'Histórico'!$A:$A),FALSE),IF(AC50="Ações Europeias", HLOOKUP(AB50,'Histórico'!$A$1:$DD$990,MATCH($B$6,'Histórico'!$A:$A),FALSE)*HLOOKUP("EUR/BRL",'Histórico'!$A$1:$FG$983,MATCH($B$6,'Histórico'!$A:$A),FALSE),  HLOOKUP(AB50,'Histórico'!$A$1:$DD$990,MATCH($B$6,'Histórico'!$A:$A),FALSE))),"")</f>
        <v/>
      </c>
      <c r="AF50" s="243" t="str">
        <f t="shared" si="15"/>
        <v/>
      </c>
      <c r="AG50" s="53"/>
      <c r="AH50" s="245"/>
      <c r="AI50" s="242" t="str">
        <f>IF(ISTEXT(AH50),VLOOKUP(AH50,'Cadastro dos Ativos'!$A$2:$C$1000,3,0),"")</f>
        <v/>
      </c>
      <c r="AJ50" s="242" t="str">
        <f>IF(AH50 &lt;&gt; "",SUMIFS('Alocação'!$O$3:$O$1002,'Alocação'!$C$3:$C$1002,AH50,'Alocação'!$F$3:$F$1002,AH$9,'Alocação'!$B$3:$B$1002,"&lt;="&amp;$B$6), "")</f>
        <v/>
      </c>
      <c r="AK50" s="243" t="str">
        <f>iferror(IF(AI50="Ações Americanas", HLOOKUP(AH50,'Histórico'!$A$1:$DD$990,MATCH($B$6,'Histórico'!$A:$A),FALSE)*HLOOKUP("PTAX",'Histórico'!$A$1:$FG$983,MATCH($B$6,'Histórico'!$A:$A),FALSE),IF(AI50="Ações Europeias", HLOOKUP(AH50,'Histórico'!$A$1:$DD$990,MATCH($B$6,'Histórico'!$A:$A),FALSE)*HLOOKUP("EUR/BRL",'Histórico'!$A$1:$FG$983,MATCH($B$6,'Histórico'!$A:$A),FALSE),  HLOOKUP(AH50,'Histórico'!$A$1:$DD$990,MATCH($B$6,'Histórico'!$A:$A),FALSE))),"")</f>
        <v/>
      </c>
      <c r="AL50" s="243" t="str">
        <f t="shared" si="11"/>
        <v/>
      </c>
      <c r="AM50" s="53"/>
      <c r="AN50" s="245"/>
      <c r="AO50" s="242" t="str">
        <f>IF(ISTEXT(AN50),VLOOKUP(AN50,'Cadastro dos Ativos'!$A$2:$C$1000,3,0),"")</f>
        <v/>
      </c>
      <c r="AP50" s="242" t="str">
        <f>IF(AN50 &lt;&gt; "",SUMIFS('Alocação'!$O$3:$O$1002,'Alocação'!$C$3:$C$1002,AN50,'Alocação'!$F$3:$F$1002,AN$9,'Alocação'!$B$3:$B$1002,"&lt;="&amp;$B$6), "")</f>
        <v/>
      </c>
      <c r="AQ50" s="243" t="str">
        <f>iferror(IF(AO50="Ações Americanas", HLOOKUP(AN50,'Histórico'!$A$1:$DD$990,MATCH($B$6,'Histórico'!$A:$A),FALSE)*HLOOKUP("PTAX",'Histórico'!$A$1:$FG$983,MATCH($B$6,'Histórico'!$A:$A),FALSE),IF(AO50="Ações Europeias", HLOOKUP(AN50,'Histórico'!$A$1:$DD$990,MATCH($B$6,'Histórico'!$A:$A),FALSE)*HLOOKUP("EUR/BRL",'Histórico'!$A$1:$FG$983,MATCH($B$6,'Histórico'!$A:$A),FALSE),  HLOOKUP(AN50,'Histórico'!$A$1:$DD$990,MATCH($B$6,'Histórico'!$A:$A),FALSE))),"")</f>
        <v/>
      </c>
      <c r="AR50" s="243" t="str">
        <f t="shared" si="12"/>
        <v/>
      </c>
      <c r="AS50" s="53"/>
      <c r="AT50" s="245"/>
      <c r="AU50" s="242" t="str">
        <f>IF(ISTEXT(AT50),VLOOKUP(AT50,'Cadastro dos Ativos'!$A$2:$C$1000,3,0),"")</f>
        <v/>
      </c>
      <c r="AV50" s="242" t="str">
        <f>IF(AT50 &lt;&gt; "",SUMIFS('Alocação'!$O$3:$O$1002,'Alocação'!$C$3:$C$1002,AT50,'Alocação'!$F$3:$F$1002,AT$9,'Alocação'!$B$3:$B$1002,"&lt;="&amp;$B$6), "")</f>
        <v/>
      </c>
      <c r="AW50" s="243" t="str">
        <f>iferror(IF(AU50="Ações Americanas", HLOOKUP(AT50,'Histórico'!$A$1:$DD$990,MATCH($B$6,'Histórico'!$A:$A),FALSE)*HLOOKUP("PTAX",'Histórico'!$A$1:$FG$983,MATCH($B$6,'Histórico'!$A:$A),FALSE),IF(AU50="Ações Europeias", HLOOKUP(AT50,'Histórico'!$A$1:$DD$990,MATCH($B$6,'Histórico'!$A:$A),FALSE)*HLOOKUP("EUR/BRL",'Histórico'!$A$1:$FG$983,MATCH($B$6,'Histórico'!$A:$A),FALSE),  HLOOKUP(AT50,'Histórico'!$A$1:$DD$990,MATCH($B$6,'Histórico'!$A:$A),FALSE))),"")</f>
        <v/>
      </c>
      <c r="AX50" s="243" t="str">
        <f t="shared" si="13"/>
        <v/>
      </c>
      <c r="AY50" s="53"/>
    </row>
    <row r="51" ht="15.75" customHeight="1">
      <c r="A51" s="176"/>
      <c r="B51" s="288">
        <f>Controle!B51</f>
        <v>45065</v>
      </c>
      <c r="C51" s="233">
        <f>Controle!C51</f>
        <v>102311441</v>
      </c>
      <c r="D51" s="289">
        <f>Controle!D51</f>
        <v>108738472.3</v>
      </c>
      <c r="E51" s="290"/>
      <c r="F51" s="291">
        <f>Controle!F51</f>
        <v>102091285.7</v>
      </c>
      <c r="G51" s="289">
        <f>Controle!G51</f>
        <v>137949640.6</v>
      </c>
      <c r="H51" s="290"/>
      <c r="I51" s="291">
        <f>Controle!I51</f>
        <v>102592361.3</v>
      </c>
      <c r="J51" s="233">
        <f>Controle!J51</f>
        <v>70613092.89</v>
      </c>
      <c r="K51" s="292"/>
      <c r="L51" s="233">
        <f>Controle!L51</f>
        <v>102554475.5</v>
      </c>
      <c r="M51" s="233">
        <f>Controle!M51</f>
        <v>84360589.72</v>
      </c>
      <c r="N51" s="240">
        <f>Controle!N51</f>
        <v>0.0007331216018</v>
      </c>
      <c r="O51" s="240">
        <f>Controle!O51</f>
        <v>-0.002100487165</v>
      </c>
      <c r="P51" s="240">
        <f>Controle!P51</f>
        <v>0.0006785608846</v>
      </c>
      <c r="Q51" s="240">
        <f>Controle!Q51</f>
        <v>0.0007731457748</v>
      </c>
      <c r="R51" s="293">
        <f>Controle!R51</f>
        <v>102.0303612</v>
      </c>
      <c r="S51" s="287"/>
      <c r="T51" s="233">
        <f t="shared" ref="T51:U51" si="54">IF(AND(C51&lt;&gt;"",F51&lt;&gt;"",I51&lt;&gt;""), SUM(I51,F51,C51),"")</f>
        <v>306995087.9</v>
      </c>
      <c r="U51" s="233">
        <f t="shared" si="54"/>
        <v>317301205.8</v>
      </c>
      <c r="V51" s="233">
        <f t="shared" si="6"/>
        <v>306.9950879</v>
      </c>
      <c r="W51" s="241">
        <f t="shared" si="9"/>
        <v>-0.0002291794024</v>
      </c>
      <c r="X51" s="241">
        <f t="shared" si="10"/>
        <v>-0.05334496264</v>
      </c>
      <c r="Y51" s="241">
        <f t="shared" si="19"/>
        <v>0.002232018367</v>
      </c>
      <c r="Z51" s="233">
        <f t="shared" si="7"/>
        <v>306.0910837</v>
      </c>
      <c r="AA51" s="294"/>
      <c r="AB51" s="245"/>
      <c r="AC51" s="242" t="str">
        <f>IF(ISTEXT(AB51),VLOOKUP(AB51,'Cadastro dos Ativos'!$A$2:$C$1000,3,0),"")</f>
        <v/>
      </c>
      <c r="AD51" s="242" t="str">
        <f>IF(AB51 &lt;&gt; "",SUMIFS('Alocação'!$O$3:$O$1002,'Alocação'!$C$3:$C$1002,AB51,'Alocação'!$F$3:$F$1002,AB$9,'Alocação'!$B$3:$B$1002,"&lt;="&amp;$B$6), "")</f>
        <v/>
      </c>
      <c r="AE51" s="243" t="str">
        <f>iferror(IF(AC51="Ações Americanas", HLOOKUP(AB51,'Histórico'!$A$1:$DD$990,MATCH($B$6,'Histórico'!$A:$A),FALSE)*HLOOKUP("PTAX",'Histórico'!$A$1:$FG$983,MATCH($B$6,'Histórico'!$A:$A),FALSE),IF(AC51="Ações Europeias", HLOOKUP(AB51,'Histórico'!$A$1:$DD$990,MATCH($B$6,'Histórico'!$A:$A),FALSE)*HLOOKUP("EUR/BRL",'Histórico'!$A$1:$FG$983,MATCH($B$6,'Histórico'!$A:$A),FALSE),  HLOOKUP(AB51,'Histórico'!$A$1:$DD$990,MATCH($B$6,'Histórico'!$A:$A),FALSE))),"")</f>
        <v/>
      </c>
      <c r="AF51" s="243" t="str">
        <f t="shared" si="15"/>
        <v/>
      </c>
      <c r="AG51" s="53"/>
      <c r="AH51" s="245"/>
      <c r="AI51" s="242" t="str">
        <f>IF(ISTEXT(AH51),VLOOKUP(AH51,'Cadastro dos Ativos'!$A$2:$C$1000,3,0),"")</f>
        <v/>
      </c>
      <c r="AJ51" s="242" t="str">
        <f>IF(AH51 &lt;&gt; "",SUMIFS('Alocação'!$O$3:$O$1002,'Alocação'!$C$3:$C$1002,AH51,'Alocação'!$F$3:$F$1002,AH$9,'Alocação'!$B$3:$B$1002,"&lt;="&amp;$B$6), "")</f>
        <v/>
      </c>
      <c r="AK51" s="243" t="str">
        <f>iferror(IF(AI51="Ações Americanas", HLOOKUP(AH51,'Histórico'!$A$1:$DD$990,MATCH($B$6,'Histórico'!$A:$A),FALSE)*HLOOKUP("PTAX",'Histórico'!$A$1:$FG$983,MATCH($B$6,'Histórico'!$A:$A),FALSE),IF(AI51="Ações Europeias", HLOOKUP(AH51,'Histórico'!$A$1:$DD$990,MATCH($B$6,'Histórico'!$A:$A),FALSE)*HLOOKUP("EUR/BRL",'Histórico'!$A$1:$FG$983,MATCH($B$6,'Histórico'!$A:$A),FALSE),  HLOOKUP(AH51,'Histórico'!$A$1:$DD$990,MATCH($B$6,'Histórico'!$A:$A),FALSE))),"")</f>
        <v/>
      </c>
      <c r="AL51" s="243" t="str">
        <f t="shared" si="11"/>
        <v/>
      </c>
      <c r="AM51" s="53"/>
      <c r="AN51" s="245"/>
      <c r="AO51" s="242" t="str">
        <f>IF(ISTEXT(AN51),VLOOKUP(AN51,'Cadastro dos Ativos'!$A$2:$C$1000,3,0),"")</f>
        <v/>
      </c>
      <c r="AP51" s="242" t="str">
        <f>IF(AN51 &lt;&gt; "",SUMIFS('Alocação'!$O$3:$O$1002,'Alocação'!$C$3:$C$1002,AN51,'Alocação'!$F$3:$F$1002,AN$9,'Alocação'!$B$3:$B$1002,"&lt;="&amp;$B$6), "")</f>
        <v/>
      </c>
      <c r="AQ51" s="243" t="str">
        <f>iferror(IF(AO51="Ações Americanas", HLOOKUP(AN51,'Histórico'!$A$1:$DD$990,MATCH($B$6,'Histórico'!$A:$A),FALSE)*HLOOKUP("PTAX",'Histórico'!$A$1:$FG$983,MATCH($B$6,'Histórico'!$A:$A),FALSE),IF(AO51="Ações Europeias", HLOOKUP(AN51,'Histórico'!$A$1:$DD$990,MATCH($B$6,'Histórico'!$A:$A),FALSE)*HLOOKUP("EUR/BRL",'Histórico'!$A$1:$FG$983,MATCH($B$6,'Histórico'!$A:$A),FALSE),  HLOOKUP(AN51,'Histórico'!$A$1:$DD$990,MATCH($B$6,'Histórico'!$A:$A),FALSE))),"")</f>
        <v/>
      </c>
      <c r="AR51" s="243" t="str">
        <f t="shared" si="12"/>
        <v/>
      </c>
      <c r="AS51" s="53"/>
      <c r="AT51" s="245"/>
      <c r="AU51" s="242" t="str">
        <f>IF(ISTEXT(AT51),VLOOKUP(AT51,'Cadastro dos Ativos'!$A$2:$C$1000,3,0),"")</f>
        <v/>
      </c>
      <c r="AV51" s="242" t="str">
        <f>IF(AT51 &lt;&gt; "",SUMIFS('Alocação'!$O$3:$O$1002,'Alocação'!$C$3:$C$1002,AT51,'Alocação'!$F$3:$F$1002,AT$9,'Alocação'!$B$3:$B$1002,"&lt;="&amp;$B$6), "")</f>
        <v/>
      </c>
      <c r="AW51" s="243" t="str">
        <f>iferror(IF(AU51="Ações Americanas", HLOOKUP(AT51,'Histórico'!$A$1:$DD$990,MATCH($B$6,'Histórico'!$A:$A),FALSE)*HLOOKUP("PTAX",'Histórico'!$A$1:$FG$983,MATCH($B$6,'Histórico'!$A:$A),FALSE),IF(AU51="Ações Europeias", HLOOKUP(AT51,'Histórico'!$A$1:$DD$990,MATCH($B$6,'Histórico'!$A:$A),FALSE)*HLOOKUP("EUR/BRL",'Histórico'!$A$1:$FG$983,MATCH($B$6,'Histórico'!$A:$A),FALSE),  HLOOKUP(AT51,'Histórico'!$A$1:$DD$990,MATCH($B$6,'Histórico'!$A:$A),FALSE))),"")</f>
        <v/>
      </c>
      <c r="AX51" s="243" t="str">
        <f t="shared" si="13"/>
        <v/>
      </c>
      <c r="AY51" s="53"/>
    </row>
    <row r="52" ht="15.75" customHeight="1">
      <c r="A52" s="176"/>
      <c r="B52" s="288">
        <f>Controle!B52</f>
        <v>45068</v>
      </c>
      <c r="C52" s="233">
        <f>Controle!C52</f>
        <v>102468678.3</v>
      </c>
      <c r="D52" s="289">
        <f>Controle!D52</f>
        <v>108724525.9</v>
      </c>
      <c r="E52" s="290"/>
      <c r="F52" s="291">
        <f>Controle!F52</f>
        <v>101853946.3</v>
      </c>
      <c r="G52" s="289">
        <f>Controle!G52</f>
        <v>137629706.5</v>
      </c>
      <c r="H52" s="290"/>
      <c r="I52" s="291">
        <f>Controle!I52</f>
        <v>102464896.2</v>
      </c>
      <c r="J52" s="233">
        <f>Controle!J52</f>
        <v>70689007.15</v>
      </c>
      <c r="K52" s="292"/>
      <c r="L52" s="233">
        <f>Controle!L52</f>
        <v>102685160.2</v>
      </c>
      <c r="M52" s="233">
        <f>Controle!M52</f>
        <v>84397375.49</v>
      </c>
      <c r="N52" s="240">
        <f>Controle!N52</f>
        <v>0.00153684973</v>
      </c>
      <c r="O52" s="240">
        <f>Controle!O52</f>
        <v>-0.002324776251</v>
      </c>
      <c r="P52" s="240">
        <f>Controle!P52</f>
        <v>-0.001242441438</v>
      </c>
      <c r="Q52" s="240">
        <f>Controle!Q52</f>
        <v>0.001274295123</v>
      </c>
      <c r="R52" s="293">
        <f>Controle!R52</f>
        <v>102.0803939</v>
      </c>
      <c r="S52" s="287"/>
      <c r="T52" s="233">
        <f t="shared" ref="T52:U52" si="55">IF(AND(C52&lt;&gt;"",F52&lt;&gt;"",I52&lt;&gt;""), SUM(I52,F52,C52),"")</f>
        <v>306787520.8</v>
      </c>
      <c r="U52" s="233">
        <f t="shared" si="55"/>
        <v>317043239.6</v>
      </c>
      <c r="V52" s="233">
        <f t="shared" si="6"/>
        <v>306.7875208</v>
      </c>
      <c r="W52" s="241">
        <f t="shared" si="9"/>
        <v>-0.0006761251076</v>
      </c>
      <c r="X52" s="241">
        <f t="shared" si="10"/>
        <v>-0.05398501988</v>
      </c>
      <c r="Y52" s="241">
        <f t="shared" si="19"/>
        <v>0.002206127843</v>
      </c>
      <c r="Z52" s="233">
        <f t="shared" si="7"/>
        <v>306.2411816</v>
      </c>
      <c r="AA52" s="294"/>
      <c r="AB52" s="245"/>
      <c r="AC52" s="242" t="str">
        <f>IF(ISTEXT(AB52),VLOOKUP(AB52,'Cadastro dos Ativos'!$A$2:$C$1000,3,0),"")</f>
        <v/>
      </c>
      <c r="AD52" s="242" t="str">
        <f>IF(AB52 &lt;&gt; "",SUMIFS('Alocação'!$O$3:$O$1002,'Alocação'!$C$3:$C$1002,AB52,'Alocação'!$F$3:$F$1002,AB$9,'Alocação'!$B$3:$B$1002,"&lt;="&amp;$B$6), "")</f>
        <v/>
      </c>
      <c r="AE52" s="243" t="str">
        <f>iferror(IF(AC52="Ações Americanas", HLOOKUP(AB52,'Histórico'!$A$1:$DD$990,MATCH($B$6,'Histórico'!$A:$A),FALSE)*HLOOKUP("PTAX",'Histórico'!$A$1:$FG$983,MATCH($B$6,'Histórico'!$A:$A),FALSE),IF(AC52="Ações Europeias", HLOOKUP(AB52,'Histórico'!$A$1:$DD$990,MATCH($B$6,'Histórico'!$A:$A),FALSE)*HLOOKUP("EUR/BRL",'Histórico'!$A$1:$FG$983,MATCH($B$6,'Histórico'!$A:$A),FALSE),  HLOOKUP(AB52,'Histórico'!$A$1:$DD$990,MATCH($B$6,'Histórico'!$A:$A),FALSE))),"")</f>
        <v/>
      </c>
      <c r="AF52" s="243" t="str">
        <f t="shared" si="15"/>
        <v/>
      </c>
      <c r="AG52" s="53"/>
      <c r="AH52" s="245"/>
      <c r="AI52" s="242" t="str">
        <f>IF(ISTEXT(AH52),VLOOKUP(AH52,'Cadastro dos Ativos'!$A$2:$C$1000,3,0),"")</f>
        <v/>
      </c>
      <c r="AJ52" s="242" t="str">
        <f>IF(AH52 &lt;&gt; "",SUMIFS('Alocação'!$O$3:$O$1002,'Alocação'!$C$3:$C$1002,AH52,'Alocação'!$F$3:$F$1002,AH$9,'Alocação'!$B$3:$B$1002,"&lt;="&amp;$B$6), "")</f>
        <v/>
      </c>
      <c r="AK52" s="243" t="str">
        <f>iferror(IF(AI52="Ações Americanas", HLOOKUP(AH52,'Histórico'!$A$1:$DD$990,MATCH($B$6,'Histórico'!$A:$A),FALSE)*HLOOKUP("PTAX",'Histórico'!$A$1:$FG$983,MATCH($B$6,'Histórico'!$A:$A),FALSE),IF(AI52="Ações Europeias", HLOOKUP(AH52,'Histórico'!$A$1:$DD$990,MATCH($B$6,'Histórico'!$A:$A),FALSE)*HLOOKUP("EUR/BRL",'Histórico'!$A$1:$FG$983,MATCH($B$6,'Histórico'!$A:$A),FALSE),  HLOOKUP(AH52,'Histórico'!$A$1:$DD$990,MATCH($B$6,'Histórico'!$A:$A),FALSE))),"")</f>
        <v/>
      </c>
      <c r="AL52" s="243" t="str">
        <f t="shared" si="11"/>
        <v/>
      </c>
      <c r="AM52" s="53"/>
      <c r="AN52" s="245"/>
      <c r="AO52" s="242" t="str">
        <f>IF(ISTEXT(AN52),VLOOKUP(AN52,'Cadastro dos Ativos'!$A$2:$C$1000,3,0),"")</f>
        <v/>
      </c>
      <c r="AP52" s="242" t="str">
        <f>IF(AN52 &lt;&gt; "",SUMIFS('Alocação'!$O$3:$O$1002,'Alocação'!$C$3:$C$1002,AN52,'Alocação'!$F$3:$F$1002,AN$9,'Alocação'!$B$3:$B$1002,"&lt;="&amp;$B$6), "")</f>
        <v/>
      </c>
      <c r="AQ52" s="243" t="str">
        <f>iferror(IF(AO52="Ações Americanas", HLOOKUP(AN52,'Histórico'!$A$1:$DD$990,MATCH($B$6,'Histórico'!$A:$A),FALSE)*HLOOKUP("PTAX",'Histórico'!$A$1:$FG$983,MATCH($B$6,'Histórico'!$A:$A),FALSE),IF(AO52="Ações Europeias", HLOOKUP(AN52,'Histórico'!$A$1:$DD$990,MATCH($B$6,'Histórico'!$A:$A),FALSE)*HLOOKUP("EUR/BRL",'Histórico'!$A$1:$FG$983,MATCH($B$6,'Histórico'!$A:$A),FALSE),  HLOOKUP(AN52,'Histórico'!$A$1:$DD$990,MATCH($B$6,'Histórico'!$A:$A),FALSE))),"")</f>
        <v/>
      </c>
      <c r="AR52" s="243" t="str">
        <f t="shared" si="12"/>
        <v/>
      </c>
      <c r="AS52" s="53"/>
      <c r="AT52" s="245"/>
      <c r="AU52" s="242" t="str">
        <f>IF(ISTEXT(AT52),VLOOKUP(AT52,'Cadastro dos Ativos'!$A$2:$C$1000,3,0),"")</f>
        <v/>
      </c>
      <c r="AV52" s="242" t="str">
        <f>IF(AT52 &lt;&gt; "",SUMIFS('Alocação'!$O$3:$O$1002,'Alocação'!$C$3:$C$1002,AT52,'Alocação'!$F$3:$F$1002,AT$9,'Alocação'!$B$3:$B$1002,"&lt;="&amp;$B$6), "")</f>
        <v/>
      </c>
      <c r="AW52" s="243" t="str">
        <f>iferror(IF(AU52="Ações Americanas", HLOOKUP(AT52,'Histórico'!$A$1:$DD$990,MATCH($B$6,'Histórico'!$A:$A),FALSE)*HLOOKUP("PTAX",'Histórico'!$A$1:$FG$983,MATCH($B$6,'Histórico'!$A:$A),FALSE),IF(AU52="Ações Europeias", HLOOKUP(AT52,'Histórico'!$A$1:$DD$990,MATCH($B$6,'Histórico'!$A:$A),FALSE)*HLOOKUP("EUR/BRL",'Histórico'!$A$1:$FG$983,MATCH($B$6,'Histórico'!$A:$A),FALSE),  HLOOKUP(AT52,'Histórico'!$A$1:$DD$990,MATCH($B$6,'Histórico'!$A:$A),FALSE))),"")</f>
        <v/>
      </c>
      <c r="AX52" s="243" t="str">
        <f t="shared" si="13"/>
        <v/>
      </c>
      <c r="AY52" s="53"/>
    </row>
    <row r="53" ht="15.75" customHeight="1">
      <c r="A53" s="176"/>
      <c r="B53" s="288">
        <f>Controle!B53</f>
        <v>45069</v>
      </c>
      <c r="C53" s="233">
        <f>Controle!C53</f>
        <v>102595909.8</v>
      </c>
      <c r="D53" s="289">
        <f>Controle!D53</f>
        <v>108874046.9</v>
      </c>
      <c r="E53" s="290"/>
      <c r="F53" s="291">
        <f>Controle!F53</f>
        <v>101989202.9</v>
      </c>
      <c r="G53" s="289">
        <f>Controle!G53</f>
        <v>137493971.8</v>
      </c>
      <c r="H53" s="290"/>
      <c r="I53" s="291">
        <f>Controle!I53</f>
        <v>102106193.4</v>
      </c>
      <c r="J53" s="233">
        <f>Controle!J53</f>
        <v>70737435.59</v>
      </c>
      <c r="K53" s="292"/>
      <c r="L53" s="233">
        <f>Controle!L53</f>
        <v>102542907.2</v>
      </c>
      <c r="M53" s="233">
        <f>Controle!M53</f>
        <v>84434172.23</v>
      </c>
      <c r="N53" s="240">
        <f>Controle!N53</f>
        <v>0.001241662864</v>
      </c>
      <c r="O53" s="240">
        <f>Controle!O53</f>
        <v>0.001327946933</v>
      </c>
      <c r="P53" s="240">
        <f>Controle!P53</f>
        <v>-0.003500739053</v>
      </c>
      <c r="Q53" s="240">
        <f>Controle!Q53</f>
        <v>-0.001385330893</v>
      </c>
      <c r="R53" s="293">
        <f>Controle!R53</f>
        <v>102.130451</v>
      </c>
      <c r="S53" s="287"/>
      <c r="T53" s="233">
        <f t="shared" ref="T53:U53" si="56">IF(AND(C53&lt;&gt;"",F53&lt;&gt;"",I53&lt;&gt;""), SUM(I53,F53,C53),"")</f>
        <v>306691306.1</v>
      </c>
      <c r="U53" s="233">
        <f t="shared" si="56"/>
        <v>317105454.3</v>
      </c>
      <c r="V53" s="233">
        <f t="shared" si="6"/>
        <v>306.6913061</v>
      </c>
      <c r="W53" s="241">
        <f t="shared" si="9"/>
        <v>-0.0003136199134</v>
      </c>
      <c r="X53" s="241">
        <f t="shared" si="10"/>
        <v>-0.05428170902</v>
      </c>
      <c r="Y53" s="241">
        <f t="shared" si="19"/>
        <v>0.001746762906</v>
      </c>
      <c r="Z53" s="233">
        <f t="shared" si="7"/>
        <v>306.3913531</v>
      </c>
      <c r="AA53" s="294"/>
      <c r="AB53" s="245"/>
      <c r="AC53" s="242" t="str">
        <f>IF(ISTEXT(AB53),VLOOKUP(AB53,'Cadastro dos Ativos'!$A$2:$C$1000,3,0),"")</f>
        <v/>
      </c>
      <c r="AD53" s="242" t="str">
        <f>IF(AB53 &lt;&gt; "",SUMIFS('Alocação'!$O$3:$O$1002,'Alocação'!$C$3:$C$1002,AB53,'Alocação'!$F$3:$F$1002,AB$9,'Alocação'!$B$3:$B$1002,"&lt;="&amp;$B$6), "")</f>
        <v/>
      </c>
      <c r="AE53" s="243" t="str">
        <f>iferror(IF(AC53="Ações Americanas", HLOOKUP(AB53,'Histórico'!$A$1:$DD$990,MATCH($B$6,'Histórico'!$A:$A),FALSE)*HLOOKUP("PTAX",'Histórico'!$A$1:$FG$983,MATCH($B$6,'Histórico'!$A:$A),FALSE),IF(AC53="Ações Europeias", HLOOKUP(AB53,'Histórico'!$A$1:$DD$990,MATCH($B$6,'Histórico'!$A:$A),FALSE)*HLOOKUP("EUR/BRL",'Histórico'!$A$1:$FG$983,MATCH($B$6,'Histórico'!$A:$A),FALSE),  HLOOKUP(AB53,'Histórico'!$A$1:$DD$990,MATCH($B$6,'Histórico'!$A:$A),FALSE))),"")</f>
        <v/>
      </c>
      <c r="AF53" s="243" t="str">
        <f t="shared" si="15"/>
        <v/>
      </c>
      <c r="AG53" s="53"/>
      <c r="AH53" s="245"/>
      <c r="AI53" s="242" t="str">
        <f>IF(ISTEXT(AH53),VLOOKUP(AH53,'Cadastro dos Ativos'!$A$2:$C$1000,3,0),"")</f>
        <v/>
      </c>
      <c r="AJ53" s="242" t="str">
        <f>IF(AH53 &lt;&gt; "",SUMIFS('Alocação'!$O$3:$O$1002,'Alocação'!$C$3:$C$1002,AH53,'Alocação'!$F$3:$F$1002,AH$9,'Alocação'!$B$3:$B$1002,"&lt;="&amp;$B$6), "")</f>
        <v/>
      </c>
      <c r="AK53" s="243" t="str">
        <f>iferror(IF(AI53="Ações Americanas", HLOOKUP(AH53,'Histórico'!$A$1:$DD$990,MATCH($B$6,'Histórico'!$A:$A),FALSE)*HLOOKUP("PTAX",'Histórico'!$A$1:$FG$983,MATCH($B$6,'Histórico'!$A:$A),FALSE),IF(AI53="Ações Europeias", HLOOKUP(AH53,'Histórico'!$A$1:$DD$990,MATCH($B$6,'Histórico'!$A:$A),FALSE)*HLOOKUP("EUR/BRL",'Histórico'!$A$1:$FG$983,MATCH($B$6,'Histórico'!$A:$A),FALSE),  HLOOKUP(AH53,'Histórico'!$A$1:$DD$990,MATCH($B$6,'Histórico'!$A:$A),FALSE))),"")</f>
        <v/>
      </c>
      <c r="AL53" s="243" t="str">
        <f t="shared" si="11"/>
        <v/>
      </c>
      <c r="AM53" s="53"/>
      <c r="AN53" s="245"/>
      <c r="AO53" s="242" t="str">
        <f>IF(ISTEXT(AN53),VLOOKUP(AN53,'Cadastro dos Ativos'!$A$2:$C$1000,3,0),"")</f>
        <v/>
      </c>
      <c r="AP53" s="242" t="str">
        <f>IF(AN53 &lt;&gt; "",SUMIFS('Alocação'!$O$3:$O$1002,'Alocação'!$C$3:$C$1002,AN53,'Alocação'!$F$3:$F$1002,AN$9,'Alocação'!$B$3:$B$1002,"&lt;="&amp;$B$6), "")</f>
        <v/>
      </c>
      <c r="AQ53" s="243" t="str">
        <f>iferror(IF(AO53="Ações Americanas", HLOOKUP(AN53,'Histórico'!$A$1:$DD$990,MATCH($B$6,'Histórico'!$A:$A),FALSE)*HLOOKUP("PTAX",'Histórico'!$A$1:$FG$983,MATCH($B$6,'Histórico'!$A:$A),FALSE),IF(AO53="Ações Europeias", HLOOKUP(AN53,'Histórico'!$A$1:$DD$990,MATCH($B$6,'Histórico'!$A:$A),FALSE)*HLOOKUP("EUR/BRL",'Histórico'!$A$1:$FG$983,MATCH($B$6,'Histórico'!$A:$A),FALSE),  HLOOKUP(AN53,'Histórico'!$A$1:$DD$990,MATCH($B$6,'Histórico'!$A:$A),FALSE))),"")</f>
        <v/>
      </c>
      <c r="AR53" s="243" t="str">
        <f t="shared" si="12"/>
        <v/>
      </c>
      <c r="AS53" s="53"/>
      <c r="AT53" s="245"/>
      <c r="AU53" s="242" t="str">
        <f>IF(ISTEXT(AT53),VLOOKUP(AT53,'Cadastro dos Ativos'!$A$2:$C$1000,3,0),"")</f>
        <v/>
      </c>
      <c r="AV53" s="242" t="str">
        <f>IF(AT53 &lt;&gt; "",SUMIFS('Alocação'!$O$3:$O$1002,'Alocação'!$C$3:$C$1002,AT53,'Alocação'!$F$3:$F$1002,AT$9,'Alocação'!$B$3:$B$1002,"&lt;="&amp;$B$6), "")</f>
        <v/>
      </c>
      <c r="AW53" s="243" t="str">
        <f>iferror(IF(AU53="Ações Americanas", HLOOKUP(AT53,'Histórico'!$A$1:$DD$990,MATCH($B$6,'Histórico'!$A:$A),FALSE)*HLOOKUP("PTAX",'Histórico'!$A$1:$FG$983,MATCH($B$6,'Histórico'!$A:$A),FALSE),IF(AU53="Ações Europeias", HLOOKUP(AT53,'Histórico'!$A$1:$DD$990,MATCH($B$6,'Histórico'!$A:$A),FALSE)*HLOOKUP("EUR/BRL",'Histórico'!$A$1:$FG$983,MATCH($B$6,'Histórico'!$A:$A),FALSE),  HLOOKUP(AT53,'Histórico'!$A$1:$DD$990,MATCH($B$6,'Histórico'!$A:$A),FALSE))),"")</f>
        <v/>
      </c>
      <c r="AX53" s="243" t="str">
        <f t="shared" si="13"/>
        <v/>
      </c>
      <c r="AY53" s="53"/>
    </row>
    <row r="54" ht="15.75" customHeight="1">
      <c r="A54" s="176"/>
      <c r="B54" s="288">
        <f>Controle!B54</f>
        <v>45070</v>
      </c>
      <c r="C54" s="233">
        <f>Controle!C54</f>
        <v>102726747.5</v>
      </c>
      <c r="D54" s="289">
        <f>Controle!D54</f>
        <v>109000113.8</v>
      </c>
      <c r="E54" s="290"/>
      <c r="F54" s="291">
        <f>Controle!F54</f>
        <v>102589244.7</v>
      </c>
      <c r="G54" s="289">
        <f>Controle!G54</f>
        <v>114126169.3</v>
      </c>
      <c r="H54" s="290"/>
      <c r="I54" s="291">
        <f>Controle!I54</f>
        <v>102186917.9</v>
      </c>
      <c r="J54" s="233">
        <f>Controle!J54</f>
        <v>71050973.32</v>
      </c>
      <c r="K54" s="292"/>
      <c r="L54" s="233">
        <f>Controle!L54</f>
        <v>102451081.5</v>
      </c>
      <c r="M54" s="233">
        <f>Controle!M54</f>
        <v>84470996.06</v>
      </c>
      <c r="N54" s="240">
        <f>Controle!N54</f>
        <v>0.001275271471</v>
      </c>
      <c r="O54" s="240">
        <f>Controle!O54</f>
        <v>0.005883385442</v>
      </c>
      <c r="P54" s="240">
        <f>Controle!P54</f>
        <v>0.0007905938439</v>
      </c>
      <c r="Q54" s="240">
        <f>Controle!Q54</f>
        <v>-0.0008954861842</v>
      </c>
      <c r="R54" s="293">
        <f>Controle!R54</f>
        <v>102.1805327</v>
      </c>
      <c r="S54" s="287"/>
      <c r="T54" s="233">
        <f t="shared" ref="T54:U54" si="57">IF(AND(C54&lt;&gt;"",F54&lt;&gt;"",I54&lt;&gt;""), SUM(I54,F54,C54),"")</f>
        <v>307502910.1</v>
      </c>
      <c r="U54" s="233">
        <f t="shared" si="57"/>
        <v>294177256.5</v>
      </c>
      <c r="V54" s="233">
        <f t="shared" si="6"/>
        <v>307.5029101</v>
      </c>
      <c r="W54" s="241">
        <f t="shared" si="9"/>
        <v>0.002646322019</v>
      </c>
      <c r="X54" s="241">
        <f t="shared" si="10"/>
        <v>-0.05177903388</v>
      </c>
      <c r="Y54" s="241">
        <f t="shared" si="19"/>
        <v>0.001833426416</v>
      </c>
      <c r="Z54" s="233">
        <f t="shared" si="7"/>
        <v>306.5415982</v>
      </c>
      <c r="AA54" s="294"/>
      <c r="AB54" s="245"/>
      <c r="AC54" s="242" t="str">
        <f>IF(ISTEXT(AB54),VLOOKUP(AB54,'Cadastro dos Ativos'!$A$2:$C$1000,3,0),"")</f>
        <v/>
      </c>
      <c r="AD54" s="242" t="str">
        <f>IF(AB54 &lt;&gt; "",SUMIFS('Alocação'!$O$3:$O$1002,'Alocação'!$C$3:$C$1002,AB54,'Alocação'!$F$3:$F$1002,AB$9,'Alocação'!$B$3:$B$1002,"&lt;="&amp;$B$6), "")</f>
        <v/>
      </c>
      <c r="AE54" s="243" t="str">
        <f>iferror(IF(AC54="Ações Americanas", HLOOKUP(AB54,'Histórico'!$A$1:$DD$990,MATCH($B$6,'Histórico'!$A:$A),FALSE)*HLOOKUP("PTAX",'Histórico'!$A$1:$FG$983,MATCH($B$6,'Histórico'!$A:$A),FALSE),IF(AC54="Ações Europeias", HLOOKUP(AB54,'Histórico'!$A$1:$DD$990,MATCH($B$6,'Histórico'!$A:$A),FALSE)*HLOOKUP("EUR/BRL",'Histórico'!$A$1:$FG$983,MATCH($B$6,'Histórico'!$A:$A),FALSE),  HLOOKUP(AB54,'Histórico'!$A$1:$DD$990,MATCH($B$6,'Histórico'!$A:$A),FALSE))),"")</f>
        <v/>
      </c>
      <c r="AF54" s="243" t="str">
        <f t="shared" si="15"/>
        <v/>
      </c>
      <c r="AG54" s="53"/>
      <c r="AH54" s="245"/>
      <c r="AI54" s="242" t="str">
        <f>IF(ISTEXT(AH54),VLOOKUP(AH54,'Cadastro dos Ativos'!$A$2:$C$1000,3,0),"")</f>
        <v/>
      </c>
      <c r="AJ54" s="242" t="str">
        <f>IF(AH54 &lt;&gt; "",SUMIFS('Alocação'!$O$3:$O$1002,'Alocação'!$C$3:$C$1002,AH54,'Alocação'!$F$3:$F$1002,AH$9,'Alocação'!$B$3:$B$1002,"&lt;="&amp;$B$6), "")</f>
        <v/>
      </c>
      <c r="AK54" s="243" t="str">
        <f>iferror(IF(AI54="Ações Americanas", HLOOKUP(AH54,'Histórico'!$A$1:$DD$990,MATCH($B$6,'Histórico'!$A:$A),FALSE)*HLOOKUP("PTAX",'Histórico'!$A$1:$FG$983,MATCH($B$6,'Histórico'!$A:$A),FALSE),IF(AI54="Ações Europeias", HLOOKUP(AH54,'Histórico'!$A$1:$DD$990,MATCH($B$6,'Histórico'!$A:$A),FALSE)*HLOOKUP("EUR/BRL",'Histórico'!$A$1:$FG$983,MATCH($B$6,'Histórico'!$A:$A),FALSE),  HLOOKUP(AH54,'Histórico'!$A$1:$DD$990,MATCH($B$6,'Histórico'!$A:$A),FALSE))),"")</f>
        <v/>
      </c>
      <c r="AL54" s="243" t="str">
        <f t="shared" si="11"/>
        <v/>
      </c>
      <c r="AM54" s="53"/>
      <c r="AN54" s="245"/>
      <c r="AO54" s="242" t="str">
        <f>IF(ISTEXT(AN54),VLOOKUP(AN54,'Cadastro dos Ativos'!$A$2:$C$1000,3,0),"")</f>
        <v/>
      </c>
      <c r="AP54" s="242" t="str">
        <f>IF(AN54 &lt;&gt; "",SUMIFS('Alocação'!$O$3:$O$1002,'Alocação'!$C$3:$C$1002,AN54,'Alocação'!$F$3:$F$1002,AN$9,'Alocação'!$B$3:$B$1002,"&lt;="&amp;$B$6), "")</f>
        <v/>
      </c>
      <c r="AQ54" s="243" t="str">
        <f>iferror(IF(AO54="Ações Americanas", HLOOKUP(AN54,'Histórico'!$A$1:$DD$990,MATCH($B$6,'Histórico'!$A:$A),FALSE)*HLOOKUP("PTAX",'Histórico'!$A$1:$FG$983,MATCH($B$6,'Histórico'!$A:$A),FALSE),IF(AO54="Ações Europeias", HLOOKUP(AN54,'Histórico'!$A$1:$DD$990,MATCH($B$6,'Histórico'!$A:$A),FALSE)*HLOOKUP("EUR/BRL",'Histórico'!$A$1:$FG$983,MATCH($B$6,'Histórico'!$A:$A),FALSE),  HLOOKUP(AN54,'Histórico'!$A$1:$DD$990,MATCH($B$6,'Histórico'!$A:$A),FALSE))),"")</f>
        <v/>
      </c>
      <c r="AR54" s="243" t="str">
        <f t="shared" si="12"/>
        <v/>
      </c>
      <c r="AS54" s="53"/>
      <c r="AT54" s="245"/>
      <c r="AU54" s="242" t="str">
        <f>IF(ISTEXT(AT54),VLOOKUP(AT54,'Cadastro dos Ativos'!$A$2:$C$1000,3,0),"")</f>
        <v/>
      </c>
      <c r="AV54" s="242" t="str">
        <f>IF(AT54 &lt;&gt; "",SUMIFS('Alocação'!$O$3:$O$1002,'Alocação'!$C$3:$C$1002,AT54,'Alocação'!$F$3:$F$1002,AT$9,'Alocação'!$B$3:$B$1002,"&lt;="&amp;$B$6), "")</f>
        <v/>
      </c>
      <c r="AW54" s="243" t="str">
        <f>iferror(IF(AU54="Ações Americanas", HLOOKUP(AT54,'Histórico'!$A$1:$DD$990,MATCH($B$6,'Histórico'!$A:$A),FALSE)*HLOOKUP("PTAX",'Histórico'!$A$1:$FG$983,MATCH($B$6,'Histórico'!$A:$A),FALSE),IF(AU54="Ações Europeias", HLOOKUP(AT54,'Histórico'!$A$1:$DD$990,MATCH($B$6,'Histórico'!$A:$A),FALSE)*HLOOKUP("EUR/BRL",'Histórico'!$A$1:$FG$983,MATCH($B$6,'Histórico'!$A:$A),FALSE),  HLOOKUP(AT54,'Histórico'!$A$1:$DD$990,MATCH($B$6,'Histórico'!$A:$A),FALSE))),"")</f>
        <v/>
      </c>
      <c r="AX54" s="243" t="str">
        <f t="shared" si="13"/>
        <v/>
      </c>
      <c r="AY54" s="53"/>
    </row>
    <row r="55" ht="15.75" customHeight="1">
      <c r="A55" s="176"/>
      <c r="B55" s="288">
        <f>Controle!B55</f>
        <v>45071</v>
      </c>
      <c r="C55" s="233">
        <f>Controle!C55</f>
        <v>103116572.9</v>
      </c>
      <c r="D55" s="289">
        <f>Controle!D55</f>
        <v>109285462.5</v>
      </c>
      <c r="E55" s="290"/>
      <c r="F55" s="291">
        <f>Controle!F55</f>
        <v>102783731.1</v>
      </c>
      <c r="G55" s="289">
        <f>Controle!G55</f>
        <v>114133147.2</v>
      </c>
      <c r="H55" s="290"/>
      <c r="I55" s="291">
        <f>Controle!I55</f>
        <v>103497033.9</v>
      </c>
      <c r="J55" s="233">
        <f>Controle!J55</f>
        <v>71614040.23</v>
      </c>
      <c r="K55" s="292"/>
      <c r="L55" s="233">
        <f>Controle!L55</f>
        <v>102910528.5</v>
      </c>
      <c r="M55" s="233">
        <f>Controle!M55</f>
        <v>84507844.02</v>
      </c>
      <c r="N55" s="240">
        <f>Controle!N55</f>
        <v>0.003794780335</v>
      </c>
      <c r="O55" s="240">
        <f>Controle!O55</f>
        <v>0.001895777471</v>
      </c>
      <c r="P55" s="240">
        <f>Controle!P55</f>
        <v>0.01282078035</v>
      </c>
      <c r="Q55" s="240">
        <f>Controle!Q55</f>
        <v>0.004484549853</v>
      </c>
      <c r="R55" s="293">
        <f>Controle!R55</f>
        <v>102.230639</v>
      </c>
      <c r="S55" s="287"/>
      <c r="T55" s="233">
        <f t="shared" ref="T55:U55" si="58">IF(AND(C55&lt;&gt;"",F55&lt;&gt;"",I55&lt;&gt;""), SUM(I55,F55,C55),"")</f>
        <v>309397337.9</v>
      </c>
      <c r="U55" s="233">
        <f t="shared" si="58"/>
        <v>295032650</v>
      </c>
      <c r="V55" s="233">
        <f t="shared" si="6"/>
        <v>309.3973379</v>
      </c>
      <c r="W55" s="241">
        <f t="shared" si="9"/>
        <v>0.006160682671</v>
      </c>
      <c r="X55" s="241">
        <f t="shared" si="10"/>
        <v>-0.04593734541</v>
      </c>
      <c r="Y55" s="241">
        <f t="shared" si="19"/>
        <v>0.002917587384</v>
      </c>
      <c r="Z55" s="233">
        <f t="shared" si="7"/>
        <v>306.691917</v>
      </c>
      <c r="AA55" s="294"/>
      <c r="AB55" s="245"/>
      <c r="AC55" s="242" t="str">
        <f>IF(ISTEXT(AB55),VLOOKUP(AB55,'Cadastro dos Ativos'!$A$2:$C$1000,3,0),"")</f>
        <v/>
      </c>
      <c r="AD55" s="242" t="str">
        <f>IF(AB55 &lt;&gt; "",SUMIFS('Alocação'!$O$3:$O$1002,'Alocação'!$C$3:$C$1002,AB55,'Alocação'!$F$3:$F$1002,AB$9,'Alocação'!$B$3:$B$1002,"&lt;="&amp;$B$6), "")</f>
        <v/>
      </c>
      <c r="AE55" s="243" t="str">
        <f>iferror(IF(AC55="Ações Americanas", HLOOKUP(AB55,'Histórico'!$A$1:$DD$990,MATCH($B$6,'Histórico'!$A:$A),FALSE)*HLOOKUP("PTAX",'Histórico'!$A$1:$FG$983,MATCH($B$6,'Histórico'!$A:$A),FALSE),IF(AC55="Ações Europeias", HLOOKUP(AB55,'Histórico'!$A$1:$DD$990,MATCH($B$6,'Histórico'!$A:$A),FALSE)*HLOOKUP("EUR/BRL",'Histórico'!$A$1:$FG$983,MATCH($B$6,'Histórico'!$A:$A),FALSE),  HLOOKUP(AB55,'Histórico'!$A$1:$DD$990,MATCH($B$6,'Histórico'!$A:$A),FALSE))),"")</f>
        <v/>
      </c>
      <c r="AF55" s="243" t="str">
        <f t="shared" si="15"/>
        <v/>
      </c>
      <c r="AG55" s="53"/>
      <c r="AH55" s="245"/>
      <c r="AI55" s="242" t="str">
        <f>IF(ISTEXT(AH55),VLOOKUP(AH55,'Cadastro dos Ativos'!$A$2:$C$1000,3,0),"")</f>
        <v/>
      </c>
      <c r="AJ55" s="242" t="str">
        <f>IF(AH55 &lt;&gt; "",SUMIFS('Alocação'!$O$3:$O$1002,'Alocação'!$C$3:$C$1002,AH55,'Alocação'!$F$3:$F$1002,AH$9,'Alocação'!$B$3:$B$1002,"&lt;="&amp;$B$6), "")</f>
        <v/>
      </c>
      <c r="AK55" s="243" t="str">
        <f>iferror(IF(AI55="Ações Americanas", HLOOKUP(AH55,'Histórico'!$A$1:$DD$990,MATCH($B$6,'Histórico'!$A:$A),FALSE)*HLOOKUP("PTAX",'Histórico'!$A$1:$FG$983,MATCH($B$6,'Histórico'!$A:$A),FALSE),IF(AI55="Ações Europeias", HLOOKUP(AH55,'Histórico'!$A$1:$DD$990,MATCH($B$6,'Histórico'!$A:$A),FALSE)*HLOOKUP("EUR/BRL",'Histórico'!$A$1:$FG$983,MATCH($B$6,'Histórico'!$A:$A),FALSE),  HLOOKUP(AH55,'Histórico'!$A$1:$DD$990,MATCH($B$6,'Histórico'!$A:$A),FALSE))),"")</f>
        <v/>
      </c>
      <c r="AL55" s="243" t="str">
        <f t="shared" si="11"/>
        <v/>
      </c>
      <c r="AM55" s="53"/>
      <c r="AN55" s="245"/>
      <c r="AO55" s="242" t="str">
        <f>IF(ISTEXT(AN55),VLOOKUP(AN55,'Cadastro dos Ativos'!$A$2:$C$1000,3,0),"")</f>
        <v/>
      </c>
      <c r="AP55" s="242" t="str">
        <f>IF(AN55 &lt;&gt; "",SUMIFS('Alocação'!$O$3:$O$1002,'Alocação'!$C$3:$C$1002,AN55,'Alocação'!$F$3:$F$1002,AN$9,'Alocação'!$B$3:$B$1002,"&lt;="&amp;$B$6), "")</f>
        <v/>
      </c>
      <c r="AQ55" s="243" t="str">
        <f>iferror(IF(AO55="Ações Americanas", HLOOKUP(AN55,'Histórico'!$A$1:$DD$990,MATCH($B$6,'Histórico'!$A:$A),FALSE)*HLOOKUP("PTAX",'Histórico'!$A$1:$FG$983,MATCH($B$6,'Histórico'!$A:$A),FALSE),IF(AO55="Ações Europeias", HLOOKUP(AN55,'Histórico'!$A$1:$DD$990,MATCH($B$6,'Histórico'!$A:$A),FALSE)*HLOOKUP("EUR/BRL",'Histórico'!$A$1:$FG$983,MATCH($B$6,'Histórico'!$A:$A),FALSE),  HLOOKUP(AN55,'Histórico'!$A$1:$DD$990,MATCH($B$6,'Histórico'!$A:$A),FALSE))),"")</f>
        <v/>
      </c>
      <c r="AR55" s="243" t="str">
        <f t="shared" si="12"/>
        <v/>
      </c>
      <c r="AS55" s="53"/>
      <c r="AT55" s="245"/>
      <c r="AU55" s="242" t="str">
        <f>IF(ISTEXT(AT55),VLOOKUP(AT55,'Cadastro dos Ativos'!$A$2:$C$1000,3,0),"")</f>
        <v/>
      </c>
      <c r="AV55" s="242" t="str">
        <f>IF(AT55 &lt;&gt; "",SUMIFS('Alocação'!$O$3:$O$1002,'Alocação'!$C$3:$C$1002,AT55,'Alocação'!$F$3:$F$1002,AT$9,'Alocação'!$B$3:$B$1002,"&lt;="&amp;$B$6), "")</f>
        <v/>
      </c>
      <c r="AW55" s="243" t="str">
        <f>iferror(IF(AU55="Ações Americanas", HLOOKUP(AT55,'Histórico'!$A$1:$DD$990,MATCH($B$6,'Histórico'!$A:$A),FALSE)*HLOOKUP("PTAX",'Histórico'!$A$1:$FG$983,MATCH($B$6,'Histórico'!$A:$A),FALSE),IF(AU55="Ações Europeias", HLOOKUP(AT55,'Histórico'!$A$1:$DD$990,MATCH($B$6,'Histórico'!$A:$A),FALSE)*HLOOKUP("EUR/BRL",'Histórico'!$A$1:$FG$983,MATCH($B$6,'Histórico'!$A:$A),FALSE),  HLOOKUP(AT55,'Histórico'!$A$1:$DD$990,MATCH($B$6,'Histórico'!$A:$A),FALSE))),"")</f>
        <v/>
      </c>
      <c r="AX55" s="243" t="str">
        <f t="shared" si="13"/>
        <v/>
      </c>
      <c r="AY55" s="53"/>
    </row>
    <row r="56" ht="15.75" customHeight="1">
      <c r="A56" s="176"/>
      <c r="B56" s="288">
        <f>Controle!B56</f>
        <v>45072</v>
      </c>
      <c r="C56" s="233">
        <f>Controle!C56</f>
        <v>102942584.3</v>
      </c>
      <c r="D56" s="289">
        <f>Controle!D56</f>
        <v>109377660.7</v>
      </c>
      <c r="E56" s="290"/>
      <c r="F56" s="291">
        <f>Controle!F56</f>
        <v>103352990</v>
      </c>
      <c r="G56" s="289">
        <f>Controle!G56</f>
        <v>114811358.3</v>
      </c>
      <c r="H56" s="290"/>
      <c r="I56" s="291">
        <f>Controle!I56</f>
        <v>104615303.9</v>
      </c>
      <c r="J56" s="233">
        <f>Controle!J56</f>
        <v>72081832.29</v>
      </c>
      <c r="K56" s="292"/>
      <c r="L56" s="233">
        <f>Controle!L56</f>
        <v>103154767.4</v>
      </c>
      <c r="M56" s="233">
        <f>Controle!M56</f>
        <v>84544683.54</v>
      </c>
      <c r="N56" s="240">
        <f>Controle!N56</f>
        <v>-0.001687299867</v>
      </c>
      <c r="O56" s="240">
        <f>Controle!O56</f>
        <v>0.005538414118</v>
      </c>
      <c r="P56" s="240">
        <f>Controle!P56</f>
        <v>0.01080485025</v>
      </c>
      <c r="Q56" s="240">
        <f>Controle!Q56</f>
        <v>0.002373313442</v>
      </c>
      <c r="R56" s="293">
        <f>Controle!R56</f>
        <v>102.2807698</v>
      </c>
      <c r="S56" s="287"/>
      <c r="T56" s="233">
        <f t="shared" ref="T56:U56" si="59">IF(AND(C56&lt;&gt;"",F56&lt;&gt;"",I56&lt;&gt;""), SUM(I56,F56,C56),"")</f>
        <v>310910878.2</v>
      </c>
      <c r="U56" s="233">
        <f t="shared" si="59"/>
        <v>296270851.3</v>
      </c>
      <c r="V56" s="233">
        <f t="shared" si="6"/>
        <v>310.9108782</v>
      </c>
      <c r="W56" s="241">
        <f t="shared" si="9"/>
        <v>0.004891898071</v>
      </c>
      <c r="X56" s="241">
        <f t="shared" si="10"/>
        <v>-0.04127016815</v>
      </c>
      <c r="Y56" s="241">
        <f t="shared" si="19"/>
        <v>0.003047074928</v>
      </c>
      <c r="Z56" s="233">
        <f t="shared" si="7"/>
        <v>306.8423095</v>
      </c>
      <c r="AA56" s="294"/>
      <c r="AB56" s="245"/>
      <c r="AC56" s="242" t="str">
        <f>IF(ISTEXT(AB56),VLOOKUP(AB56,'Cadastro dos Ativos'!$A$2:$C$1000,3,0),"")</f>
        <v/>
      </c>
      <c r="AD56" s="242" t="str">
        <f>IF(AB56 &lt;&gt; "",SUMIFS('Alocação'!$O$3:$O$1002,'Alocação'!$C$3:$C$1002,AB56,'Alocação'!$F$3:$F$1002,AB$9,'Alocação'!$B$3:$B$1002,"&lt;="&amp;$B$6), "")</f>
        <v/>
      </c>
      <c r="AE56" s="243" t="str">
        <f>iferror(IF(AC56="Ações Americanas", HLOOKUP(AB56,'Histórico'!$A$1:$DD$990,MATCH($B$6,'Histórico'!$A:$A),FALSE)*HLOOKUP("PTAX",'Histórico'!$A$1:$FG$983,MATCH($B$6,'Histórico'!$A:$A),FALSE),IF(AC56="Ações Europeias", HLOOKUP(AB56,'Histórico'!$A$1:$DD$990,MATCH($B$6,'Histórico'!$A:$A),FALSE)*HLOOKUP("EUR/BRL",'Histórico'!$A$1:$FG$983,MATCH($B$6,'Histórico'!$A:$A),FALSE),  HLOOKUP(AB56,'Histórico'!$A$1:$DD$990,MATCH($B$6,'Histórico'!$A:$A),FALSE))),"")</f>
        <v/>
      </c>
      <c r="AF56" s="243" t="str">
        <f t="shared" si="15"/>
        <v/>
      </c>
      <c r="AG56" s="53"/>
      <c r="AH56" s="245"/>
      <c r="AI56" s="242" t="str">
        <f>IF(ISTEXT(AH56),VLOOKUP(AH56,'Cadastro dos Ativos'!$A$2:$C$1000,3,0),"")</f>
        <v/>
      </c>
      <c r="AJ56" s="242" t="str">
        <f>IF(AH56 &lt;&gt; "",SUMIFS('Alocação'!$O$3:$O$1002,'Alocação'!$C$3:$C$1002,AH56,'Alocação'!$F$3:$F$1002,AH$9,'Alocação'!$B$3:$B$1002,"&lt;="&amp;$B$6), "")</f>
        <v/>
      </c>
      <c r="AK56" s="243" t="str">
        <f>iferror(IF(AI56="Ações Americanas", HLOOKUP(AH56,'Histórico'!$A$1:$DD$990,MATCH($B$6,'Histórico'!$A:$A),FALSE)*HLOOKUP("PTAX",'Histórico'!$A$1:$FG$983,MATCH($B$6,'Histórico'!$A:$A),FALSE),IF(AI56="Ações Europeias", HLOOKUP(AH56,'Histórico'!$A$1:$DD$990,MATCH($B$6,'Histórico'!$A:$A),FALSE)*HLOOKUP("EUR/BRL",'Histórico'!$A$1:$FG$983,MATCH($B$6,'Histórico'!$A:$A),FALSE),  HLOOKUP(AH56,'Histórico'!$A$1:$DD$990,MATCH($B$6,'Histórico'!$A:$A),FALSE))),"")</f>
        <v/>
      </c>
      <c r="AL56" s="243" t="str">
        <f t="shared" si="11"/>
        <v/>
      </c>
      <c r="AM56" s="53"/>
      <c r="AN56" s="245"/>
      <c r="AO56" s="242" t="str">
        <f>IF(ISTEXT(AN56),VLOOKUP(AN56,'Cadastro dos Ativos'!$A$2:$C$1000,3,0),"")</f>
        <v/>
      </c>
      <c r="AP56" s="242" t="str">
        <f>IF(AN56 &lt;&gt; "",SUMIFS('Alocação'!$O$3:$O$1002,'Alocação'!$C$3:$C$1002,AN56,'Alocação'!$F$3:$F$1002,AN$9,'Alocação'!$B$3:$B$1002,"&lt;="&amp;$B$6), "")</f>
        <v/>
      </c>
      <c r="AQ56" s="243" t="str">
        <f>iferror(IF(AO56="Ações Americanas", HLOOKUP(AN56,'Histórico'!$A$1:$DD$990,MATCH($B$6,'Histórico'!$A:$A),FALSE)*HLOOKUP("PTAX",'Histórico'!$A$1:$FG$983,MATCH($B$6,'Histórico'!$A:$A),FALSE),IF(AO56="Ações Europeias", HLOOKUP(AN56,'Histórico'!$A$1:$DD$990,MATCH($B$6,'Histórico'!$A:$A),FALSE)*HLOOKUP("EUR/BRL",'Histórico'!$A$1:$FG$983,MATCH($B$6,'Histórico'!$A:$A),FALSE),  HLOOKUP(AN56,'Histórico'!$A$1:$DD$990,MATCH($B$6,'Histórico'!$A:$A),FALSE))),"")</f>
        <v/>
      </c>
      <c r="AR56" s="243" t="str">
        <f t="shared" si="12"/>
        <v/>
      </c>
      <c r="AS56" s="53"/>
      <c r="AT56" s="245"/>
      <c r="AU56" s="242" t="str">
        <f>IF(ISTEXT(AT56),VLOOKUP(AT56,'Cadastro dos Ativos'!$A$2:$C$1000,3,0),"")</f>
        <v/>
      </c>
      <c r="AV56" s="242" t="str">
        <f>IF(AT56 &lt;&gt; "",SUMIFS('Alocação'!$O$3:$O$1002,'Alocação'!$C$3:$C$1002,AT56,'Alocação'!$F$3:$F$1002,AT$9,'Alocação'!$B$3:$B$1002,"&lt;="&amp;$B$6), "")</f>
        <v/>
      </c>
      <c r="AW56" s="243" t="str">
        <f>iferror(IF(AU56="Ações Americanas", HLOOKUP(AT56,'Histórico'!$A$1:$DD$990,MATCH($B$6,'Histórico'!$A:$A),FALSE)*HLOOKUP("PTAX",'Histórico'!$A$1:$FG$983,MATCH($B$6,'Histórico'!$A:$A),FALSE),IF(AU56="Ações Europeias", HLOOKUP(AT56,'Histórico'!$A$1:$DD$990,MATCH($B$6,'Histórico'!$A:$A),FALSE)*HLOOKUP("EUR/BRL",'Histórico'!$A$1:$FG$983,MATCH($B$6,'Histórico'!$A:$A),FALSE),  HLOOKUP(AT56,'Histórico'!$A$1:$DD$990,MATCH($B$6,'Histórico'!$A:$A),FALSE))),"")</f>
        <v/>
      </c>
      <c r="AX56" s="243" t="str">
        <f t="shared" si="13"/>
        <v/>
      </c>
      <c r="AY56" s="53"/>
    </row>
    <row r="57" ht="15.75" customHeight="1">
      <c r="A57" s="176"/>
      <c r="B57" s="288">
        <f>Controle!B57</f>
        <v>45075</v>
      </c>
      <c r="C57" s="233">
        <f>Controle!C57</f>
        <v>102889902.5</v>
      </c>
      <c r="D57" s="289">
        <f>Controle!D57</f>
        <v>109357260.1</v>
      </c>
      <c r="E57" s="290"/>
      <c r="F57" s="291">
        <f>Controle!F57</f>
        <v>103590677.2</v>
      </c>
      <c r="G57" s="289">
        <f>Controle!G57</f>
        <v>115056965.3</v>
      </c>
      <c r="H57" s="290"/>
      <c r="I57" s="291">
        <f>Controle!I57</f>
        <v>104533152.5</v>
      </c>
      <c r="J57" s="233">
        <f>Controle!J57</f>
        <v>71999681.17</v>
      </c>
      <c r="K57" s="292"/>
      <c r="L57" s="233">
        <f>Controle!L57</f>
        <v>102972311.4</v>
      </c>
      <c r="M57" s="233">
        <f>Controle!M57</f>
        <v>74331227.41</v>
      </c>
      <c r="N57" s="240">
        <f>Controle!N57</f>
        <v>-0.0005117595222</v>
      </c>
      <c r="O57" s="240">
        <f>Controle!O57</f>
        <v>0.002299761619</v>
      </c>
      <c r="P57" s="240">
        <f>Controle!P57</f>
        <v>-0.000785271421</v>
      </c>
      <c r="Q57" s="240">
        <f>Controle!Q57</f>
        <v>-0.001768760029</v>
      </c>
      <c r="R57" s="293">
        <f>Controle!R57</f>
        <v>102.3309253</v>
      </c>
      <c r="S57" s="287"/>
      <c r="T57" s="233">
        <f t="shared" ref="T57:U57" si="60">IF(AND(C57&lt;&gt;"",F57&lt;&gt;"",I57&lt;&gt;""), SUM(I57,F57,C57),"")</f>
        <v>311013732.2</v>
      </c>
      <c r="U57" s="233">
        <f t="shared" si="60"/>
        <v>296413906.5</v>
      </c>
      <c r="V57" s="233">
        <f t="shared" si="6"/>
        <v>311.0137322</v>
      </c>
      <c r="W57" s="241">
        <f t="shared" si="9"/>
        <v>0.0003308150042</v>
      </c>
      <c r="X57" s="241">
        <f t="shared" si="10"/>
        <v>-0.04095300594</v>
      </c>
      <c r="Y57" s="241">
        <f t="shared" si="19"/>
        <v>0.002804871918</v>
      </c>
      <c r="Z57" s="233">
        <f t="shared" si="7"/>
        <v>306.9927758</v>
      </c>
      <c r="AA57" s="294"/>
      <c r="AB57" s="245"/>
      <c r="AC57" s="242" t="str">
        <f>IF(ISTEXT(AB57),VLOOKUP(AB57,'Cadastro dos Ativos'!$A$2:$C$1000,3,0),"")</f>
        <v/>
      </c>
      <c r="AD57" s="242" t="str">
        <f>IF(AB57 &lt;&gt; "",SUMIFS('Alocação'!$O$3:$O$1002,'Alocação'!$C$3:$C$1002,AB57,'Alocação'!$F$3:$F$1002,AB$9,'Alocação'!$B$3:$B$1002,"&lt;="&amp;$B$6), "")</f>
        <v/>
      </c>
      <c r="AE57" s="243" t="str">
        <f>iferror(IF(AC57="Ações Americanas", HLOOKUP(AB57,'Histórico'!$A$1:$DD$990,MATCH($B$6,'Histórico'!$A:$A),FALSE)*HLOOKUP("PTAX",'Histórico'!$A$1:$FG$983,MATCH($B$6,'Histórico'!$A:$A),FALSE),IF(AC57="Ações Europeias", HLOOKUP(AB57,'Histórico'!$A$1:$DD$990,MATCH($B$6,'Histórico'!$A:$A),FALSE)*HLOOKUP("EUR/BRL",'Histórico'!$A$1:$FG$983,MATCH($B$6,'Histórico'!$A:$A),FALSE),  HLOOKUP(AB57,'Histórico'!$A$1:$DD$990,MATCH($B$6,'Histórico'!$A:$A),FALSE))),"")</f>
        <v/>
      </c>
      <c r="AF57" s="243" t="str">
        <f t="shared" si="15"/>
        <v/>
      </c>
      <c r="AG57" s="53"/>
      <c r="AH57" s="245"/>
      <c r="AI57" s="242" t="str">
        <f>IF(ISTEXT(AH57),VLOOKUP(AH57,'Cadastro dos Ativos'!$A$2:$C$1000,3,0),"")</f>
        <v/>
      </c>
      <c r="AJ57" s="242" t="str">
        <f>IF(AH57 &lt;&gt; "",SUMIFS('Alocação'!$O$3:$O$1002,'Alocação'!$C$3:$C$1002,AH57,'Alocação'!$F$3:$F$1002,AH$9,'Alocação'!$B$3:$B$1002,"&lt;="&amp;$B$6), "")</f>
        <v/>
      </c>
      <c r="AK57" s="243" t="str">
        <f>iferror(IF(AI57="Ações Americanas", HLOOKUP(AH57,'Histórico'!$A$1:$DD$990,MATCH($B$6,'Histórico'!$A:$A),FALSE)*HLOOKUP("PTAX",'Histórico'!$A$1:$FG$983,MATCH($B$6,'Histórico'!$A:$A),FALSE),IF(AI57="Ações Europeias", HLOOKUP(AH57,'Histórico'!$A$1:$DD$990,MATCH($B$6,'Histórico'!$A:$A),FALSE)*HLOOKUP("EUR/BRL",'Histórico'!$A$1:$FG$983,MATCH($B$6,'Histórico'!$A:$A),FALSE),  HLOOKUP(AH57,'Histórico'!$A$1:$DD$990,MATCH($B$6,'Histórico'!$A:$A),FALSE))),"")</f>
        <v/>
      </c>
      <c r="AL57" s="243" t="str">
        <f t="shared" si="11"/>
        <v/>
      </c>
      <c r="AM57" s="53"/>
      <c r="AN57" s="245"/>
      <c r="AO57" s="242" t="str">
        <f>IF(ISTEXT(AN57),VLOOKUP(AN57,'Cadastro dos Ativos'!$A$2:$C$1000,3,0),"")</f>
        <v/>
      </c>
      <c r="AP57" s="242" t="str">
        <f>IF(AN57 &lt;&gt; "",SUMIFS('Alocação'!$O$3:$O$1002,'Alocação'!$C$3:$C$1002,AN57,'Alocação'!$F$3:$F$1002,AN$9,'Alocação'!$B$3:$B$1002,"&lt;="&amp;$B$6), "")</f>
        <v/>
      </c>
      <c r="AQ57" s="243" t="str">
        <f>iferror(IF(AO57="Ações Americanas", HLOOKUP(AN57,'Histórico'!$A$1:$DD$990,MATCH($B$6,'Histórico'!$A:$A),FALSE)*HLOOKUP("PTAX",'Histórico'!$A$1:$FG$983,MATCH($B$6,'Histórico'!$A:$A),FALSE),IF(AO57="Ações Europeias", HLOOKUP(AN57,'Histórico'!$A$1:$DD$990,MATCH($B$6,'Histórico'!$A:$A),FALSE)*HLOOKUP("EUR/BRL",'Histórico'!$A$1:$FG$983,MATCH($B$6,'Histórico'!$A:$A),FALSE),  HLOOKUP(AN57,'Histórico'!$A$1:$DD$990,MATCH($B$6,'Histórico'!$A:$A),FALSE))),"")</f>
        <v/>
      </c>
      <c r="AR57" s="243" t="str">
        <f t="shared" si="12"/>
        <v/>
      </c>
      <c r="AS57" s="53"/>
      <c r="AT57" s="245"/>
      <c r="AU57" s="242" t="str">
        <f>IF(ISTEXT(AT57),VLOOKUP(AT57,'Cadastro dos Ativos'!$A$2:$C$1000,3,0),"")</f>
        <v/>
      </c>
      <c r="AV57" s="242" t="str">
        <f>IF(AT57 &lt;&gt; "",SUMIFS('Alocação'!$O$3:$O$1002,'Alocação'!$C$3:$C$1002,AT57,'Alocação'!$F$3:$F$1002,AT$9,'Alocação'!$B$3:$B$1002,"&lt;="&amp;$B$6), "")</f>
        <v/>
      </c>
      <c r="AW57" s="243" t="str">
        <f>iferror(IF(AU57="Ações Americanas", HLOOKUP(AT57,'Histórico'!$A$1:$DD$990,MATCH($B$6,'Histórico'!$A:$A),FALSE)*HLOOKUP("PTAX",'Histórico'!$A$1:$FG$983,MATCH($B$6,'Histórico'!$A:$A),FALSE),IF(AU57="Ações Europeias", HLOOKUP(AT57,'Histórico'!$A$1:$DD$990,MATCH($B$6,'Histórico'!$A:$A),FALSE)*HLOOKUP("EUR/BRL",'Histórico'!$A$1:$FG$983,MATCH($B$6,'Histórico'!$A:$A),FALSE),  HLOOKUP(AT57,'Histórico'!$A$1:$DD$990,MATCH($B$6,'Histórico'!$A:$A),FALSE))),"")</f>
        <v/>
      </c>
      <c r="AX57" s="243" t="str">
        <f t="shared" si="13"/>
        <v/>
      </c>
      <c r="AY57" s="53"/>
    </row>
    <row r="58" ht="15.75" customHeight="1">
      <c r="A58" s="176"/>
      <c r="B58" s="288">
        <f>Controle!B58</f>
        <v>45076</v>
      </c>
      <c r="C58" s="233">
        <f>Controle!C58</f>
        <v>103231841.3</v>
      </c>
      <c r="D58" s="289">
        <f>Controle!D58</f>
        <v>124641354.5</v>
      </c>
      <c r="E58" s="290"/>
      <c r="F58" s="291">
        <f>Controle!F58</f>
        <v>103593452.1</v>
      </c>
      <c r="G58" s="289">
        <f>Controle!G58</f>
        <v>114855489.3</v>
      </c>
      <c r="H58" s="290"/>
      <c r="I58" s="291">
        <f>Controle!I58</f>
        <v>104411471.5</v>
      </c>
      <c r="J58" s="233">
        <f>Controle!J58</f>
        <v>71784265.38</v>
      </c>
      <c r="K58" s="292"/>
      <c r="L58" s="233">
        <f>Controle!L58</f>
        <v>102506478.6</v>
      </c>
      <c r="M58" s="233">
        <f>Controle!M58</f>
        <v>74362894.78</v>
      </c>
      <c r="N58" s="240">
        <f>Controle!N58</f>
        <v>0.003323346638</v>
      </c>
      <c r="O58" s="240">
        <f>Controle!O58</f>
        <v>0.00002678720419</v>
      </c>
      <c r="P58" s="240">
        <f>Controle!P58</f>
        <v>-0.001164042053</v>
      </c>
      <c r="Q58" s="240">
        <f>Controle!Q58</f>
        <v>-0.004523864326</v>
      </c>
      <c r="R58" s="293">
        <f>Controle!R58</f>
        <v>102.3811053</v>
      </c>
      <c r="S58" s="287"/>
      <c r="T58" s="233">
        <f t="shared" ref="T58:U58" si="61">IF(AND(C58&lt;&gt;"",F58&lt;&gt;"",I58&lt;&gt;""), SUM(I58,F58,C58),"")</f>
        <v>311236764.9</v>
      </c>
      <c r="U58" s="233">
        <f t="shared" si="61"/>
        <v>311281109.2</v>
      </c>
      <c r="V58" s="233">
        <f t="shared" si="6"/>
        <v>311.2367649</v>
      </c>
      <c r="W58" s="241">
        <f t="shared" si="9"/>
        <v>0.0007171153799</v>
      </c>
      <c r="X58" s="241">
        <f t="shared" si="10"/>
        <v>-0.04026525859</v>
      </c>
      <c r="Y58" s="241">
        <f t="shared" si="19"/>
        <v>0.002550371219</v>
      </c>
      <c r="Z58" s="233">
        <f t="shared" si="7"/>
        <v>307.1433158</v>
      </c>
      <c r="AA58" s="294"/>
      <c r="AB58" s="245"/>
      <c r="AC58" s="242" t="str">
        <f>IF(ISTEXT(AB58),VLOOKUP(AB58,'Cadastro dos Ativos'!$A$2:$C$1000,3,0),"")</f>
        <v/>
      </c>
      <c r="AD58" s="242" t="str">
        <f>IF(AB58 &lt;&gt; "",SUMIFS('Alocação'!$O$3:$O$1002,'Alocação'!$C$3:$C$1002,AB58,'Alocação'!$F$3:$F$1002,AB$9,'Alocação'!$B$3:$B$1002,"&lt;="&amp;$B$6), "")</f>
        <v/>
      </c>
      <c r="AE58" s="243" t="str">
        <f>iferror(IF(AC58="Ações Americanas", HLOOKUP(AB58,'Histórico'!$A$1:$DD$990,MATCH($B$6,'Histórico'!$A:$A),FALSE)*HLOOKUP("PTAX",'Histórico'!$A$1:$FG$983,MATCH($B$6,'Histórico'!$A:$A),FALSE),IF(AC58="Ações Europeias", HLOOKUP(AB58,'Histórico'!$A$1:$DD$990,MATCH($B$6,'Histórico'!$A:$A),FALSE)*HLOOKUP("EUR/BRL",'Histórico'!$A$1:$FG$983,MATCH($B$6,'Histórico'!$A:$A),FALSE),  HLOOKUP(AB58,'Histórico'!$A$1:$DD$990,MATCH($B$6,'Histórico'!$A:$A),FALSE))),"")</f>
        <v/>
      </c>
      <c r="AF58" s="243" t="str">
        <f t="shared" si="15"/>
        <v/>
      </c>
      <c r="AG58" s="53"/>
      <c r="AH58" s="245"/>
      <c r="AI58" s="242" t="str">
        <f>IF(ISTEXT(AH58),VLOOKUP(AH58,'Cadastro dos Ativos'!$A$2:$C$1000,3,0),"")</f>
        <v/>
      </c>
      <c r="AJ58" s="242" t="str">
        <f>IF(AH58 &lt;&gt; "",SUMIFS('Alocação'!$O$3:$O$1002,'Alocação'!$C$3:$C$1002,AH58,'Alocação'!$F$3:$F$1002,AH$9,'Alocação'!$B$3:$B$1002,"&lt;="&amp;$B$6), "")</f>
        <v/>
      </c>
      <c r="AK58" s="243" t="str">
        <f>iferror(IF(AI58="Ações Americanas", HLOOKUP(AH58,'Histórico'!$A$1:$DD$990,MATCH($B$6,'Histórico'!$A:$A),FALSE)*HLOOKUP("PTAX",'Histórico'!$A$1:$FG$983,MATCH($B$6,'Histórico'!$A:$A),FALSE),IF(AI58="Ações Europeias", HLOOKUP(AH58,'Histórico'!$A$1:$DD$990,MATCH($B$6,'Histórico'!$A:$A),FALSE)*HLOOKUP("EUR/BRL",'Histórico'!$A$1:$FG$983,MATCH($B$6,'Histórico'!$A:$A),FALSE),  HLOOKUP(AH58,'Histórico'!$A$1:$DD$990,MATCH($B$6,'Histórico'!$A:$A),FALSE))),"")</f>
        <v/>
      </c>
      <c r="AL58" s="243" t="str">
        <f t="shared" si="11"/>
        <v/>
      </c>
      <c r="AM58" s="53"/>
      <c r="AN58" s="245"/>
      <c r="AO58" s="242" t="str">
        <f>IF(ISTEXT(AN58),VLOOKUP(AN58,'Cadastro dos Ativos'!$A$2:$C$1000,3,0),"")</f>
        <v/>
      </c>
      <c r="AP58" s="242" t="str">
        <f>IF(AN58 &lt;&gt; "",SUMIFS('Alocação'!$O$3:$O$1002,'Alocação'!$C$3:$C$1002,AN58,'Alocação'!$F$3:$F$1002,AN$9,'Alocação'!$B$3:$B$1002,"&lt;="&amp;$B$6), "")</f>
        <v/>
      </c>
      <c r="AQ58" s="243" t="str">
        <f>iferror(IF(AO58="Ações Americanas", HLOOKUP(AN58,'Histórico'!$A$1:$DD$990,MATCH($B$6,'Histórico'!$A:$A),FALSE)*HLOOKUP("PTAX",'Histórico'!$A$1:$FG$983,MATCH($B$6,'Histórico'!$A:$A),FALSE),IF(AO58="Ações Europeias", HLOOKUP(AN58,'Histórico'!$A$1:$DD$990,MATCH($B$6,'Histórico'!$A:$A),FALSE)*HLOOKUP("EUR/BRL",'Histórico'!$A$1:$FG$983,MATCH($B$6,'Histórico'!$A:$A),FALSE),  HLOOKUP(AN58,'Histórico'!$A$1:$DD$990,MATCH($B$6,'Histórico'!$A:$A),FALSE))),"")</f>
        <v/>
      </c>
      <c r="AR58" s="243" t="str">
        <f t="shared" si="12"/>
        <v/>
      </c>
      <c r="AS58" s="53"/>
      <c r="AT58" s="245"/>
      <c r="AU58" s="242" t="str">
        <f>IF(ISTEXT(AT58),VLOOKUP(AT58,'Cadastro dos Ativos'!$A$2:$C$1000,3,0),"")</f>
        <v/>
      </c>
      <c r="AV58" s="242" t="str">
        <f>IF(AT58 &lt;&gt; "",SUMIFS('Alocação'!$O$3:$O$1002,'Alocação'!$C$3:$C$1002,AT58,'Alocação'!$F$3:$F$1002,AT$9,'Alocação'!$B$3:$B$1002,"&lt;="&amp;$B$6), "")</f>
        <v/>
      </c>
      <c r="AW58" s="243" t="str">
        <f>iferror(IF(AU58="Ações Americanas", HLOOKUP(AT58,'Histórico'!$A$1:$DD$990,MATCH($B$6,'Histórico'!$A:$A),FALSE)*HLOOKUP("PTAX",'Histórico'!$A$1:$FG$983,MATCH($B$6,'Histórico'!$A:$A),FALSE),IF(AU58="Ações Europeias", HLOOKUP(AT58,'Histórico'!$A$1:$DD$990,MATCH($B$6,'Histórico'!$A:$A),FALSE)*HLOOKUP("EUR/BRL",'Histórico'!$A$1:$FG$983,MATCH($B$6,'Histórico'!$A:$A),FALSE),  HLOOKUP(AT58,'Histórico'!$A$1:$DD$990,MATCH($B$6,'Histórico'!$A:$A),FALSE))),"")</f>
        <v/>
      </c>
      <c r="AX58" s="243" t="str">
        <f t="shared" si="13"/>
        <v/>
      </c>
      <c r="AY58" s="53"/>
    </row>
    <row r="59" ht="15.75" customHeight="1">
      <c r="A59" s="176"/>
      <c r="B59" s="288">
        <f>Controle!B59</f>
        <v>45077</v>
      </c>
      <c r="C59" s="233">
        <f>Controle!C59</f>
        <v>103302103.5</v>
      </c>
      <c r="D59" s="289">
        <f>Controle!D59</f>
        <v>124675433.3</v>
      </c>
      <c r="E59" s="290"/>
      <c r="F59" s="291">
        <f>Controle!F59</f>
        <v>103584047</v>
      </c>
      <c r="G59" s="289">
        <f>Controle!G59</f>
        <v>114670031.8</v>
      </c>
      <c r="H59" s="290"/>
      <c r="I59" s="291">
        <f>Controle!I59</f>
        <v>104520797.3</v>
      </c>
      <c r="J59" s="233">
        <f>Controle!J59</f>
        <v>71743995.08</v>
      </c>
      <c r="K59" s="292"/>
      <c r="L59" s="233">
        <f>Controle!L59</f>
        <v>102774388.7</v>
      </c>
      <c r="M59" s="233">
        <f>Controle!M59</f>
        <v>74394605.76</v>
      </c>
      <c r="N59" s="240">
        <f>Controle!N59</f>
        <v>0.0006806257419</v>
      </c>
      <c r="O59" s="240">
        <f>Controle!O59</f>
        <v>-0.00009078878273</v>
      </c>
      <c r="P59" s="240">
        <f>Controle!P59</f>
        <v>0.001047066635</v>
      </c>
      <c r="Q59" s="240">
        <f>Controle!Q59</f>
        <v>0.002613591637</v>
      </c>
      <c r="R59" s="293">
        <f>Controle!R59</f>
        <v>102.4313099</v>
      </c>
      <c r="S59" s="287"/>
      <c r="T59" s="233">
        <f t="shared" ref="T59:U59" si="62">IF(AND(C59&lt;&gt;"",F59&lt;&gt;"",I59&lt;&gt;""), SUM(I59,F59,C59),"")</f>
        <v>311406947.8</v>
      </c>
      <c r="U59" s="233">
        <f t="shared" si="62"/>
        <v>311089460.2</v>
      </c>
      <c r="V59" s="233">
        <f t="shared" si="6"/>
        <v>311.4069478</v>
      </c>
      <c r="W59" s="241">
        <f t="shared" si="9"/>
        <v>0.0005467955989</v>
      </c>
      <c r="X59" s="241">
        <f t="shared" si="10"/>
        <v>-0.03974047985</v>
      </c>
      <c r="Y59" s="241">
        <f t="shared" si="19"/>
        <v>0.00277562978</v>
      </c>
      <c r="Z59" s="233">
        <f t="shared" si="7"/>
        <v>307.2939297</v>
      </c>
      <c r="AA59" s="294"/>
      <c r="AB59" s="245"/>
      <c r="AC59" s="242" t="str">
        <f>IF(ISTEXT(AB59),VLOOKUP(AB59,'Cadastro dos Ativos'!$A$2:$C$1000,3,0),"")</f>
        <v/>
      </c>
      <c r="AD59" s="242" t="str">
        <f>IF(AB59 &lt;&gt; "",SUMIFS('Alocação'!$O$3:$O$1002,'Alocação'!$C$3:$C$1002,AB59,'Alocação'!$F$3:$F$1002,AB$9,'Alocação'!$B$3:$B$1002,"&lt;="&amp;$B$6), "")</f>
        <v/>
      </c>
      <c r="AE59" s="243" t="str">
        <f>iferror(IF(AC59="Ações Americanas", HLOOKUP(AB59,'Histórico'!$A$1:$DD$990,MATCH($B$6,'Histórico'!$A:$A),FALSE)*HLOOKUP("PTAX",'Histórico'!$A$1:$FG$983,MATCH($B$6,'Histórico'!$A:$A),FALSE),IF(AC59="Ações Europeias", HLOOKUP(AB59,'Histórico'!$A$1:$DD$990,MATCH($B$6,'Histórico'!$A:$A),FALSE)*HLOOKUP("EUR/BRL",'Histórico'!$A$1:$FG$983,MATCH($B$6,'Histórico'!$A:$A),FALSE),  HLOOKUP(AB59,'Histórico'!$A$1:$DD$990,MATCH($B$6,'Histórico'!$A:$A),FALSE))),"")</f>
        <v/>
      </c>
      <c r="AF59" s="243" t="str">
        <f t="shared" si="15"/>
        <v/>
      </c>
      <c r="AG59" s="53"/>
      <c r="AH59" s="245"/>
      <c r="AI59" s="242" t="str">
        <f>IF(ISTEXT(AH59),VLOOKUP(AH59,'Cadastro dos Ativos'!$A$2:$C$1000,3,0),"")</f>
        <v/>
      </c>
      <c r="AJ59" s="242" t="str">
        <f>IF(AH59 &lt;&gt; "",SUMIFS('Alocação'!$O$3:$O$1002,'Alocação'!$C$3:$C$1002,AH59,'Alocação'!$F$3:$F$1002,AH$9,'Alocação'!$B$3:$B$1002,"&lt;="&amp;$B$6), "")</f>
        <v/>
      </c>
      <c r="AK59" s="243" t="str">
        <f>iferror(IF(AI59="Ações Americanas", HLOOKUP(AH59,'Histórico'!$A$1:$DD$990,MATCH($B$6,'Histórico'!$A:$A),FALSE)*HLOOKUP("PTAX",'Histórico'!$A$1:$FG$983,MATCH($B$6,'Histórico'!$A:$A),FALSE),IF(AI59="Ações Europeias", HLOOKUP(AH59,'Histórico'!$A$1:$DD$990,MATCH($B$6,'Histórico'!$A:$A),FALSE)*HLOOKUP("EUR/BRL",'Histórico'!$A$1:$FG$983,MATCH($B$6,'Histórico'!$A:$A),FALSE),  HLOOKUP(AH59,'Histórico'!$A$1:$DD$990,MATCH($B$6,'Histórico'!$A:$A),FALSE))),"")</f>
        <v/>
      </c>
      <c r="AL59" s="243" t="str">
        <f t="shared" si="11"/>
        <v/>
      </c>
      <c r="AM59" s="53"/>
      <c r="AN59" s="245"/>
      <c r="AO59" s="242" t="str">
        <f>IF(ISTEXT(AN59),VLOOKUP(AN59,'Cadastro dos Ativos'!$A$2:$C$1000,3,0),"")</f>
        <v/>
      </c>
      <c r="AP59" s="242" t="str">
        <f>IF(AN59 &lt;&gt; "",SUMIFS('Alocação'!$O$3:$O$1002,'Alocação'!$C$3:$C$1002,AN59,'Alocação'!$F$3:$F$1002,AN$9,'Alocação'!$B$3:$B$1002,"&lt;="&amp;$B$6), "")</f>
        <v/>
      </c>
      <c r="AQ59" s="243" t="str">
        <f>iferror(IF(AO59="Ações Americanas", HLOOKUP(AN59,'Histórico'!$A$1:$DD$990,MATCH($B$6,'Histórico'!$A:$A),FALSE)*HLOOKUP("PTAX",'Histórico'!$A$1:$FG$983,MATCH($B$6,'Histórico'!$A:$A),FALSE),IF(AO59="Ações Europeias", HLOOKUP(AN59,'Histórico'!$A$1:$DD$990,MATCH($B$6,'Histórico'!$A:$A),FALSE)*HLOOKUP("EUR/BRL",'Histórico'!$A$1:$FG$983,MATCH($B$6,'Histórico'!$A:$A),FALSE),  HLOOKUP(AN59,'Histórico'!$A$1:$DD$990,MATCH($B$6,'Histórico'!$A:$A),FALSE))),"")</f>
        <v/>
      </c>
      <c r="AR59" s="243" t="str">
        <f t="shared" si="12"/>
        <v/>
      </c>
      <c r="AS59" s="53"/>
      <c r="AT59" s="245"/>
      <c r="AU59" s="242" t="str">
        <f>IF(ISTEXT(AT59),VLOOKUP(AT59,'Cadastro dos Ativos'!$A$2:$C$1000,3,0),"")</f>
        <v/>
      </c>
      <c r="AV59" s="242" t="str">
        <f>IF(AT59 &lt;&gt; "",SUMIFS('Alocação'!$O$3:$O$1002,'Alocação'!$C$3:$C$1002,AT59,'Alocação'!$F$3:$F$1002,AT$9,'Alocação'!$B$3:$B$1002,"&lt;="&amp;$B$6), "")</f>
        <v/>
      </c>
      <c r="AW59" s="243" t="str">
        <f>iferror(IF(AU59="Ações Americanas", HLOOKUP(AT59,'Histórico'!$A$1:$DD$990,MATCH($B$6,'Histórico'!$A:$A),FALSE)*HLOOKUP("PTAX",'Histórico'!$A$1:$FG$983,MATCH($B$6,'Histórico'!$A:$A),FALSE),IF(AU59="Ações Europeias", HLOOKUP(AT59,'Histórico'!$A$1:$DD$990,MATCH($B$6,'Histórico'!$A:$A),FALSE)*HLOOKUP("EUR/BRL",'Histórico'!$A$1:$FG$983,MATCH($B$6,'Histórico'!$A:$A),FALSE),  HLOOKUP(AT59,'Histórico'!$A$1:$DD$990,MATCH($B$6,'Histórico'!$A:$A),FALSE))),"")</f>
        <v/>
      </c>
      <c r="AX59" s="243" t="str">
        <f t="shared" si="13"/>
        <v/>
      </c>
      <c r="AY59" s="53"/>
    </row>
    <row r="60" ht="15.75" customHeight="1">
      <c r="A60" s="176"/>
      <c r="B60" s="288">
        <f>Controle!B60</f>
        <v>45078</v>
      </c>
      <c r="C60" s="295">
        <f>Controle!C60</f>
        <v>102970722</v>
      </c>
      <c r="D60" s="296">
        <f>Controle!D60</f>
        <v>116624219.8</v>
      </c>
      <c r="E60" s="297"/>
      <c r="F60" s="296">
        <f>Controle!F60</f>
        <v>103695996.3</v>
      </c>
      <c r="G60" s="296">
        <f>Controle!G60</f>
        <v>115071245.9</v>
      </c>
      <c r="H60" s="297"/>
      <c r="I60" s="296">
        <f>Controle!I60</f>
        <v>104149938.5</v>
      </c>
      <c r="J60" s="296">
        <f>Controle!J60</f>
        <v>71346680.26</v>
      </c>
      <c r="K60" s="298"/>
      <c r="L60" s="296">
        <f>Controle!L60</f>
        <v>103842299</v>
      </c>
      <c r="M60" s="296">
        <f>Controle!M60</f>
        <v>74426317.02</v>
      </c>
      <c r="N60" s="240">
        <f>Controle!N60</f>
        <v>-0.00320788741</v>
      </c>
      <c r="O60" s="240">
        <f>Controle!O60</f>
        <v>0.001080757949</v>
      </c>
      <c r="P60" s="240">
        <f>Controle!P60</f>
        <v>-0.003548181337</v>
      </c>
      <c r="Q60" s="240">
        <f>Controle!Q60</f>
        <v>0.01039082192</v>
      </c>
      <c r="R60" s="293">
        <f>Controle!R60</f>
        <v>102.4815391</v>
      </c>
      <c r="S60" s="287"/>
      <c r="T60" s="233">
        <f t="shared" ref="T60:U60" si="63">IF(AND(C60&lt;&gt;"",F60&lt;&gt;"",I60&lt;&gt;""), SUM(I60,F60,C60),"")</f>
        <v>310816656.8</v>
      </c>
      <c r="U60" s="233">
        <f t="shared" si="63"/>
        <v>303042146</v>
      </c>
      <c r="V60" s="233">
        <f t="shared" si="6"/>
        <v>310.8166568</v>
      </c>
      <c r="W60" s="241">
        <f t="shared" si="9"/>
        <v>-0.00189556136</v>
      </c>
      <c r="X60" s="241">
        <f t="shared" si="10"/>
        <v>-0.0415607107</v>
      </c>
      <c r="Y60" s="241">
        <f t="shared" si="19"/>
        <v>0.002461245962</v>
      </c>
      <c r="Z60" s="233">
        <f t="shared" si="7"/>
        <v>307.4446174</v>
      </c>
      <c r="AA60" s="294"/>
      <c r="AB60" s="245"/>
      <c r="AC60" s="242" t="str">
        <f>IF(ISTEXT(AB60),VLOOKUP(AB60,'Cadastro dos Ativos'!$A$2:$C$1000,3,0),"")</f>
        <v/>
      </c>
      <c r="AD60" s="242" t="str">
        <f>IF(AB60 &lt;&gt; "",SUMIFS('Alocação'!$O$3:$O$1002,'Alocação'!$C$3:$C$1002,AB60,'Alocação'!$F$3:$F$1002,AB$9,'Alocação'!$B$3:$B$1002,"&lt;="&amp;$B$6), "")</f>
        <v/>
      </c>
      <c r="AE60" s="243" t="str">
        <f>iferror(IF(AC60="Ações Americanas", HLOOKUP(AB60,'Histórico'!$A$1:$DD$990,MATCH($B$6,'Histórico'!$A:$A),FALSE)*HLOOKUP("PTAX",'Histórico'!$A$1:$FG$983,MATCH($B$6,'Histórico'!$A:$A),FALSE),IF(AC60="Ações Europeias", HLOOKUP(AB60,'Histórico'!$A$1:$DD$990,MATCH($B$6,'Histórico'!$A:$A),FALSE)*HLOOKUP("EUR/BRL",'Histórico'!$A$1:$FG$983,MATCH($B$6,'Histórico'!$A:$A),FALSE),  HLOOKUP(AB60,'Histórico'!$A$1:$DD$990,MATCH($B$6,'Histórico'!$A:$A),FALSE))),"")</f>
        <v/>
      </c>
      <c r="AF60" s="243" t="str">
        <f t="shared" si="15"/>
        <v/>
      </c>
      <c r="AG60" s="53"/>
      <c r="AH60" s="245"/>
      <c r="AI60" s="242" t="str">
        <f>IF(ISTEXT(AH60),VLOOKUP(AH60,'Cadastro dos Ativos'!$A$2:$C$1000,3,0),"")</f>
        <v/>
      </c>
      <c r="AJ60" s="242" t="str">
        <f>IF(AH60 &lt;&gt; "",SUMIFS('Alocação'!$O$3:$O$1002,'Alocação'!$C$3:$C$1002,AH60,'Alocação'!$F$3:$F$1002,AH$9,'Alocação'!$B$3:$B$1002,"&lt;="&amp;$B$6), "")</f>
        <v/>
      </c>
      <c r="AK60" s="243" t="str">
        <f>iferror(IF(AI60="Ações Americanas", HLOOKUP(AH60,'Histórico'!$A$1:$DD$990,MATCH($B$6,'Histórico'!$A:$A),FALSE)*HLOOKUP("PTAX",'Histórico'!$A$1:$FG$983,MATCH($B$6,'Histórico'!$A:$A),FALSE),IF(AI60="Ações Europeias", HLOOKUP(AH60,'Histórico'!$A$1:$DD$990,MATCH($B$6,'Histórico'!$A:$A),FALSE)*HLOOKUP("EUR/BRL",'Histórico'!$A$1:$FG$983,MATCH($B$6,'Histórico'!$A:$A),FALSE),  HLOOKUP(AH60,'Histórico'!$A$1:$DD$990,MATCH($B$6,'Histórico'!$A:$A),FALSE))),"")</f>
        <v/>
      </c>
      <c r="AL60" s="243" t="str">
        <f t="shared" si="11"/>
        <v/>
      </c>
      <c r="AM60" s="53"/>
      <c r="AN60" s="245"/>
      <c r="AO60" s="242" t="str">
        <f>IF(ISTEXT(AN60),VLOOKUP(AN60,'Cadastro dos Ativos'!$A$2:$C$1000,3,0),"")</f>
        <v/>
      </c>
      <c r="AP60" s="242" t="str">
        <f>IF(AN60 &lt;&gt; "",SUMIFS('Alocação'!$O$3:$O$1002,'Alocação'!$C$3:$C$1002,AN60,'Alocação'!$F$3:$F$1002,AN$9,'Alocação'!$B$3:$B$1002,"&lt;="&amp;$B$6), "")</f>
        <v/>
      </c>
      <c r="AQ60" s="243" t="str">
        <f>iferror(IF(AO60="Ações Americanas", HLOOKUP(AN60,'Histórico'!$A$1:$DD$990,MATCH($B$6,'Histórico'!$A:$A),FALSE)*HLOOKUP("PTAX",'Histórico'!$A$1:$FG$983,MATCH($B$6,'Histórico'!$A:$A),FALSE),IF(AO60="Ações Europeias", HLOOKUP(AN60,'Histórico'!$A$1:$DD$990,MATCH($B$6,'Histórico'!$A:$A),FALSE)*HLOOKUP("EUR/BRL",'Histórico'!$A$1:$FG$983,MATCH($B$6,'Histórico'!$A:$A),FALSE),  HLOOKUP(AN60,'Histórico'!$A$1:$DD$990,MATCH($B$6,'Histórico'!$A:$A),FALSE))),"")</f>
        <v/>
      </c>
      <c r="AR60" s="243" t="str">
        <f t="shared" si="12"/>
        <v/>
      </c>
      <c r="AS60" s="53"/>
      <c r="AT60" s="245"/>
      <c r="AU60" s="242" t="str">
        <f>IF(ISTEXT(AT60),VLOOKUP(AT60,'Cadastro dos Ativos'!$A$2:$C$1000,3,0),"")</f>
        <v/>
      </c>
      <c r="AV60" s="242" t="str">
        <f>IF(AT60 &lt;&gt; "",SUMIFS('Alocação'!$O$3:$O$1002,'Alocação'!$C$3:$C$1002,AT60,'Alocação'!$F$3:$F$1002,AT$9,'Alocação'!$B$3:$B$1002,"&lt;="&amp;$B$6), "")</f>
        <v/>
      </c>
      <c r="AW60" s="243" t="str">
        <f>iferror(IF(AU60="Ações Americanas", HLOOKUP(AT60,'Histórico'!$A$1:$DD$990,MATCH($B$6,'Histórico'!$A:$A),FALSE)*HLOOKUP("PTAX",'Histórico'!$A$1:$FG$983,MATCH($B$6,'Histórico'!$A:$A),FALSE),IF(AU60="Ações Europeias", HLOOKUP(AT60,'Histórico'!$A$1:$DD$990,MATCH($B$6,'Histórico'!$A:$A),FALSE)*HLOOKUP("EUR/BRL",'Histórico'!$A$1:$FG$983,MATCH($B$6,'Histórico'!$A:$A),FALSE),  HLOOKUP(AT60,'Histórico'!$A$1:$DD$990,MATCH($B$6,'Histórico'!$A:$A),FALSE))),"")</f>
        <v/>
      </c>
      <c r="AX60" s="243" t="str">
        <f t="shared" si="13"/>
        <v/>
      </c>
      <c r="AY60" s="53"/>
    </row>
    <row r="61" ht="15.75" customHeight="1">
      <c r="A61" s="176"/>
      <c r="B61" s="288">
        <f>Controle!B61</f>
        <v>45079</v>
      </c>
      <c r="C61" s="233">
        <f>Controle!C61</f>
        <v>102767753.2</v>
      </c>
      <c r="D61" s="289">
        <f>Controle!D61</f>
        <v>100607748.2</v>
      </c>
      <c r="E61" s="290"/>
      <c r="F61" s="291">
        <f>Controle!F61</f>
        <v>103570883.9</v>
      </c>
      <c r="G61" s="289">
        <f>Controle!G61</f>
        <v>115185370.2</v>
      </c>
      <c r="H61" s="290"/>
      <c r="I61" s="291">
        <f>Controle!I61</f>
        <v>104868212.6</v>
      </c>
      <c r="J61" s="233">
        <f>Controle!J61</f>
        <v>71951377.06</v>
      </c>
      <c r="K61" s="292"/>
      <c r="L61" s="233">
        <f>Controle!L61</f>
        <v>103708163.1</v>
      </c>
      <c r="M61" s="233">
        <f>Controle!M61</f>
        <v>64087181.23</v>
      </c>
      <c r="N61" s="240">
        <f>Controle!N61</f>
        <v>-0.001971130784</v>
      </c>
      <c r="O61" s="240">
        <f>Controle!O61</f>
        <v>-0.001206530213</v>
      </c>
      <c r="P61" s="240">
        <f>Controle!P61</f>
        <v>0.006896538821</v>
      </c>
      <c r="Q61" s="240">
        <f>Controle!Q61</f>
        <v>-0.001291727337</v>
      </c>
      <c r="R61" s="293">
        <f>Controle!R61</f>
        <v>102.531793</v>
      </c>
      <c r="S61" s="287"/>
      <c r="T61" s="233">
        <f t="shared" ref="T61:U61" si="64">IF(AND(C61&lt;&gt;"",F61&lt;&gt;"",I61&lt;&gt;""), SUM(I61,F61,C61),"")</f>
        <v>311206849.8</v>
      </c>
      <c r="U61" s="233">
        <f t="shared" si="64"/>
        <v>287744495.5</v>
      </c>
      <c r="V61" s="233">
        <f t="shared" si="6"/>
        <v>311.2068498</v>
      </c>
      <c r="W61" s="241">
        <f t="shared" si="9"/>
        <v>0.001255379894</v>
      </c>
      <c r="X61" s="241">
        <f t="shared" si="10"/>
        <v>-0.04035750528</v>
      </c>
      <c r="Y61" s="241">
        <f t="shared" si="19"/>
        <v>0.001215481279</v>
      </c>
      <c r="Z61" s="233">
        <f t="shared" si="7"/>
        <v>307.595379</v>
      </c>
      <c r="AA61" s="294"/>
      <c r="AB61" s="245"/>
      <c r="AC61" s="242" t="str">
        <f>IF(ISTEXT(AB61),VLOOKUP(AB61,'Cadastro dos Ativos'!$A$2:$C$1000,3,0),"")</f>
        <v/>
      </c>
      <c r="AD61" s="242" t="str">
        <f>IF(AB61 &lt;&gt; "",SUMIFS('Alocação'!$O$3:$O$1002,'Alocação'!$C$3:$C$1002,AB61,'Alocação'!$F$3:$F$1002,AB$9,'Alocação'!$B$3:$B$1002,"&lt;="&amp;$B$6), "")</f>
        <v/>
      </c>
      <c r="AE61" s="243" t="str">
        <f>iferror(IF(AC61="Ações Americanas", HLOOKUP(AB61,'Histórico'!$A$1:$DD$990,MATCH($B$6,'Histórico'!$A:$A),FALSE)*HLOOKUP("PTAX",'Histórico'!$A$1:$FG$983,MATCH($B$6,'Histórico'!$A:$A),FALSE),IF(AC61="Ações Europeias", HLOOKUP(AB61,'Histórico'!$A$1:$DD$990,MATCH($B$6,'Histórico'!$A:$A),FALSE)*HLOOKUP("EUR/BRL",'Histórico'!$A$1:$FG$983,MATCH($B$6,'Histórico'!$A:$A),FALSE),  HLOOKUP(AB61,'Histórico'!$A$1:$DD$990,MATCH($B$6,'Histórico'!$A:$A),FALSE))),"")</f>
        <v/>
      </c>
      <c r="AF61" s="243" t="str">
        <f t="shared" si="15"/>
        <v/>
      </c>
      <c r="AG61" s="53"/>
      <c r="AH61" s="245"/>
      <c r="AI61" s="242" t="str">
        <f>IF(ISTEXT(AH61),VLOOKUP(AH61,'Cadastro dos Ativos'!$A$2:$C$1000,3,0),"")</f>
        <v/>
      </c>
      <c r="AJ61" s="242" t="str">
        <f>IF(AH61 &lt;&gt; "",SUMIFS('Alocação'!$O$3:$O$1002,'Alocação'!$C$3:$C$1002,AH61,'Alocação'!$F$3:$F$1002,AH$9,'Alocação'!$B$3:$B$1002,"&lt;="&amp;$B$6), "")</f>
        <v/>
      </c>
      <c r="AK61" s="243" t="str">
        <f>iferror(IF(AI61="Ações Americanas", HLOOKUP(AH61,'Histórico'!$A$1:$DD$990,MATCH($B$6,'Histórico'!$A:$A),FALSE)*HLOOKUP("PTAX",'Histórico'!$A$1:$FG$983,MATCH($B$6,'Histórico'!$A:$A),FALSE),IF(AI61="Ações Europeias", HLOOKUP(AH61,'Histórico'!$A$1:$DD$990,MATCH($B$6,'Histórico'!$A:$A),FALSE)*HLOOKUP("EUR/BRL",'Histórico'!$A$1:$FG$983,MATCH($B$6,'Histórico'!$A:$A),FALSE),  HLOOKUP(AH61,'Histórico'!$A$1:$DD$990,MATCH($B$6,'Histórico'!$A:$A),FALSE))),"")</f>
        <v/>
      </c>
      <c r="AL61" s="243" t="str">
        <f t="shared" si="11"/>
        <v/>
      </c>
      <c r="AM61" s="53"/>
      <c r="AN61" s="245"/>
      <c r="AO61" s="242" t="str">
        <f>IF(ISTEXT(AN61),VLOOKUP(AN61,'Cadastro dos Ativos'!$A$2:$C$1000,3,0),"")</f>
        <v/>
      </c>
      <c r="AP61" s="242" t="str">
        <f>IF(AN61 &lt;&gt; "",SUMIFS('Alocação'!$O$3:$O$1002,'Alocação'!$C$3:$C$1002,AN61,'Alocação'!$F$3:$F$1002,AN$9,'Alocação'!$B$3:$B$1002,"&lt;="&amp;$B$6), "")</f>
        <v/>
      </c>
      <c r="AQ61" s="243" t="str">
        <f>iferror(IF(AO61="Ações Americanas", HLOOKUP(AN61,'Histórico'!$A$1:$DD$990,MATCH($B$6,'Histórico'!$A:$A),FALSE)*HLOOKUP("PTAX",'Histórico'!$A$1:$FG$983,MATCH($B$6,'Histórico'!$A:$A),FALSE),IF(AO61="Ações Europeias", HLOOKUP(AN61,'Histórico'!$A$1:$DD$990,MATCH($B$6,'Histórico'!$A:$A),FALSE)*HLOOKUP("EUR/BRL",'Histórico'!$A$1:$FG$983,MATCH($B$6,'Histórico'!$A:$A),FALSE),  HLOOKUP(AN61,'Histórico'!$A$1:$DD$990,MATCH($B$6,'Histórico'!$A:$A),FALSE))),"")</f>
        <v/>
      </c>
      <c r="AR61" s="243" t="str">
        <f t="shared" si="12"/>
        <v/>
      </c>
      <c r="AS61" s="53"/>
      <c r="AT61" s="245"/>
      <c r="AU61" s="242" t="str">
        <f>IF(ISTEXT(AT61),VLOOKUP(AT61,'Cadastro dos Ativos'!$A$2:$C$1000,3,0),"")</f>
        <v/>
      </c>
      <c r="AV61" s="242" t="str">
        <f>IF(AT61 &lt;&gt; "",SUMIFS('Alocação'!$O$3:$O$1002,'Alocação'!$C$3:$C$1002,AT61,'Alocação'!$F$3:$F$1002,AT$9,'Alocação'!$B$3:$B$1002,"&lt;="&amp;$B$6), "")</f>
        <v/>
      </c>
      <c r="AW61" s="243" t="str">
        <f>iferror(IF(AU61="Ações Americanas", HLOOKUP(AT61,'Histórico'!$A$1:$DD$990,MATCH($B$6,'Histórico'!$A:$A),FALSE)*HLOOKUP("PTAX",'Histórico'!$A$1:$FG$983,MATCH($B$6,'Histórico'!$A:$A),FALSE),IF(AU61="Ações Europeias", HLOOKUP(AT61,'Histórico'!$A$1:$DD$990,MATCH($B$6,'Histórico'!$A:$A),FALSE)*HLOOKUP("EUR/BRL",'Histórico'!$A$1:$FG$983,MATCH($B$6,'Histórico'!$A:$A),FALSE),  HLOOKUP(AT61,'Histórico'!$A$1:$DD$990,MATCH($B$6,'Histórico'!$A:$A),FALSE))),"")</f>
        <v/>
      </c>
      <c r="AX61" s="243" t="str">
        <f t="shared" si="13"/>
        <v/>
      </c>
      <c r="AY61" s="53"/>
    </row>
    <row r="62" ht="15.75" customHeight="1">
      <c r="A62" s="176"/>
      <c r="B62" s="288">
        <f>Controle!B62</f>
        <v>45082</v>
      </c>
      <c r="C62" s="233">
        <f>Controle!C62</f>
        <v>102828608.3</v>
      </c>
      <c r="D62" s="289">
        <f>Controle!D62</f>
        <v>100935237</v>
      </c>
      <c r="E62" s="290"/>
      <c r="F62" s="291">
        <f>Controle!F62</f>
        <v>104018914.1</v>
      </c>
      <c r="G62" s="289">
        <f>Controle!G62</f>
        <v>115497020</v>
      </c>
      <c r="H62" s="290"/>
      <c r="I62" s="291">
        <f>Controle!I62</f>
        <v>104478478.1</v>
      </c>
      <c r="J62" s="233">
        <f>Controle!J62</f>
        <v>71889096.24</v>
      </c>
      <c r="K62" s="292"/>
      <c r="L62" s="233">
        <f>Controle!L62</f>
        <v>103673884.1</v>
      </c>
      <c r="M62" s="233">
        <f>Controle!M62</f>
        <v>64113602.38</v>
      </c>
      <c r="N62" s="240">
        <f>Controle!N62</f>
        <v>0.0005921613205</v>
      </c>
      <c r="O62" s="240">
        <f>Controle!O62</f>
        <v>0.004325831604</v>
      </c>
      <c r="P62" s="240">
        <f>Controle!P62</f>
        <v>-0.003716422061</v>
      </c>
      <c r="Q62" s="240">
        <f>Controle!Q62</f>
        <v>-0.0003305332306</v>
      </c>
      <c r="R62" s="293">
        <f>Controle!R62</f>
        <v>102.5820715</v>
      </c>
      <c r="S62" s="287"/>
      <c r="T62" s="233">
        <f t="shared" ref="T62:U62" si="65">IF(AND(C62&lt;&gt;"",F62&lt;&gt;"",I62&lt;&gt;""), SUM(I62,F62,C62),"")</f>
        <v>311326000.5</v>
      </c>
      <c r="U62" s="233">
        <f t="shared" si="65"/>
        <v>288321353.2</v>
      </c>
      <c r="V62" s="233">
        <f t="shared" si="6"/>
        <v>311.3260005</v>
      </c>
      <c r="W62" s="241">
        <f t="shared" si="9"/>
        <v>0.0003828667414</v>
      </c>
      <c r="X62" s="241">
        <f t="shared" si="10"/>
        <v>-0.03999009009</v>
      </c>
      <c r="Y62" s="241">
        <f t="shared" si="19"/>
        <v>0.001217200803</v>
      </c>
      <c r="Z62" s="233">
        <f t="shared" si="7"/>
        <v>307.7462146</v>
      </c>
      <c r="AA62" s="294"/>
      <c r="AB62" s="245"/>
      <c r="AC62" s="242" t="str">
        <f>IF(ISTEXT(AB62),VLOOKUP(AB62,'Cadastro dos Ativos'!$A$2:$C$1000,3,0),"")</f>
        <v/>
      </c>
      <c r="AD62" s="242" t="str">
        <f>IF(AB62 &lt;&gt; "",SUMIFS('Alocação'!$O$3:$O$1002,'Alocação'!$C$3:$C$1002,AB62,'Alocação'!$F$3:$F$1002,AB$9,'Alocação'!$B$3:$B$1002,"&lt;="&amp;$B$6), "")</f>
        <v/>
      </c>
      <c r="AE62" s="243" t="str">
        <f>iferror(IF(AC62="Ações Americanas", HLOOKUP(AB62,'Histórico'!$A$1:$DD$990,MATCH($B$6,'Histórico'!$A:$A),FALSE)*HLOOKUP("PTAX",'Histórico'!$A$1:$FG$983,MATCH($B$6,'Histórico'!$A:$A),FALSE),IF(AC62="Ações Europeias", HLOOKUP(AB62,'Histórico'!$A$1:$DD$990,MATCH($B$6,'Histórico'!$A:$A),FALSE)*HLOOKUP("EUR/BRL",'Histórico'!$A$1:$FG$983,MATCH($B$6,'Histórico'!$A:$A),FALSE),  HLOOKUP(AB62,'Histórico'!$A$1:$DD$990,MATCH($B$6,'Histórico'!$A:$A),FALSE))),"")</f>
        <v/>
      </c>
      <c r="AF62" s="243" t="str">
        <f t="shared" si="15"/>
        <v/>
      </c>
      <c r="AG62" s="53"/>
      <c r="AH62" s="245"/>
      <c r="AI62" s="242" t="str">
        <f>IF(ISTEXT(AH62),VLOOKUP(AH62,'Cadastro dos Ativos'!$A$2:$C$1000,3,0),"")</f>
        <v/>
      </c>
      <c r="AJ62" s="242" t="str">
        <f>IF(AH62 &lt;&gt; "",SUMIFS('Alocação'!$O$3:$O$1002,'Alocação'!$C$3:$C$1002,AH62,'Alocação'!$F$3:$F$1002,AH$9,'Alocação'!$B$3:$B$1002,"&lt;="&amp;$B$6), "")</f>
        <v/>
      </c>
      <c r="AK62" s="243" t="str">
        <f>iferror(IF(AI62="Ações Americanas", HLOOKUP(AH62,'Histórico'!$A$1:$DD$990,MATCH($B$6,'Histórico'!$A:$A),FALSE)*HLOOKUP("PTAX",'Histórico'!$A$1:$FG$983,MATCH($B$6,'Histórico'!$A:$A),FALSE),IF(AI62="Ações Europeias", HLOOKUP(AH62,'Histórico'!$A$1:$DD$990,MATCH($B$6,'Histórico'!$A:$A),FALSE)*HLOOKUP("EUR/BRL",'Histórico'!$A$1:$FG$983,MATCH($B$6,'Histórico'!$A:$A),FALSE),  HLOOKUP(AH62,'Histórico'!$A$1:$DD$990,MATCH($B$6,'Histórico'!$A:$A),FALSE))),"")</f>
        <v/>
      </c>
      <c r="AL62" s="243" t="str">
        <f t="shared" si="11"/>
        <v/>
      </c>
      <c r="AM62" s="53"/>
      <c r="AN62" s="245"/>
      <c r="AO62" s="242" t="str">
        <f>IF(ISTEXT(AN62),VLOOKUP(AN62,'Cadastro dos Ativos'!$A$2:$C$1000,3,0),"")</f>
        <v/>
      </c>
      <c r="AP62" s="242" t="str">
        <f>IF(AN62 &lt;&gt; "",SUMIFS('Alocação'!$O$3:$O$1002,'Alocação'!$C$3:$C$1002,AN62,'Alocação'!$F$3:$F$1002,AN$9,'Alocação'!$B$3:$B$1002,"&lt;="&amp;$B$6), "")</f>
        <v/>
      </c>
      <c r="AQ62" s="243" t="str">
        <f>iferror(IF(AO62="Ações Americanas", HLOOKUP(AN62,'Histórico'!$A$1:$DD$990,MATCH($B$6,'Histórico'!$A:$A),FALSE)*HLOOKUP("PTAX",'Histórico'!$A$1:$FG$983,MATCH($B$6,'Histórico'!$A:$A),FALSE),IF(AO62="Ações Europeias", HLOOKUP(AN62,'Histórico'!$A$1:$DD$990,MATCH($B$6,'Histórico'!$A:$A),FALSE)*HLOOKUP("EUR/BRL",'Histórico'!$A$1:$FG$983,MATCH($B$6,'Histórico'!$A:$A),FALSE),  HLOOKUP(AN62,'Histórico'!$A$1:$DD$990,MATCH($B$6,'Histórico'!$A:$A),FALSE))),"")</f>
        <v/>
      </c>
      <c r="AR62" s="243" t="str">
        <f t="shared" si="12"/>
        <v/>
      </c>
      <c r="AS62" s="53"/>
      <c r="AT62" s="245"/>
      <c r="AU62" s="242" t="str">
        <f>IF(ISTEXT(AT62),VLOOKUP(AT62,'Cadastro dos Ativos'!$A$2:$C$1000,3,0),"")</f>
        <v/>
      </c>
      <c r="AV62" s="242" t="str">
        <f>IF(AT62 &lt;&gt; "",SUMIFS('Alocação'!$O$3:$O$1002,'Alocação'!$C$3:$C$1002,AT62,'Alocação'!$F$3:$F$1002,AT$9,'Alocação'!$B$3:$B$1002,"&lt;="&amp;$B$6), "")</f>
        <v/>
      </c>
      <c r="AW62" s="243" t="str">
        <f>iferror(IF(AU62="Ações Americanas", HLOOKUP(AT62,'Histórico'!$A$1:$DD$990,MATCH($B$6,'Histórico'!$A:$A),FALSE)*HLOOKUP("PTAX",'Histórico'!$A$1:$FG$983,MATCH($B$6,'Histórico'!$A:$A),FALSE),IF(AU62="Ações Europeias", HLOOKUP(AT62,'Histórico'!$A$1:$DD$990,MATCH($B$6,'Histórico'!$A:$A),FALSE)*HLOOKUP("EUR/BRL",'Histórico'!$A$1:$FG$983,MATCH($B$6,'Histórico'!$A:$A),FALSE),  HLOOKUP(AT62,'Histórico'!$A$1:$DD$990,MATCH($B$6,'Histórico'!$A:$A),FALSE))),"")</f>
        <v/>
      </c>
      <c r="AX62" s="243" t="str">
        <f t="shared" si="13"/>
        <v/>
      </c>
      <c r="AY62" s="53"/>
    </row>
    <row r="63" ht="15.75" customHeight="1">
      <c r="A63" s="176"/>
      <c r="B63" s="288">
        <f>Controle!B63</f>
        <v>45083</v>
      </c>
      <c r="C63" s="233">
        <f>Controle!C63</f>
        <v>102634148.5</v>
      </c>
      <c r="D63" s="289">
        <f>Controle!D63</f>
        <v>112018140.6</v>
      </c>
      <c r="E63" s="290"/>
      <c r="F63" s="291">
        <f>Controle!F63</f>
        <v>104047947</v>
      </c>
      <c r="G63" s="289">
        <f>Controle!G63</f>
        <v>115720709.4</v>
      </c>
      <c r="H63" s="290"/>
      <c r="I63" s="291">
        <f>Controle!I63</f>
        <v>104335445.5</v>
      </c>
      <c r="J63" s="233">
        <f>Controle!J63</f>
        <v>71966499.02</v>
      </c>
      <c r="K63" s="292"/>
      <c r="L63" s="233">
        <f>Controle!L63</f>
        <v>103986319.1</v>
      </c>
      <c r="M63" s="233">
        <f>Controle!M63</f>
        <v>64140038.98</v>
      </c>
      <c r="N63" s="240">
        <f>Controle!N63</f>
        <v>-0.001891106739</v>
      </c>
      <c r="O63" s="240">
        <f>Controle!O63</f>
        <v>0.000279111048</v>
      </c>
      <c r="P63" s="240">
        <f>Controle!P63</f>
        <v>-0.001369014939</v>
      </c>
      <c r="Q63" s="240">
        <f>Controle!Q63</f>
        <v>0.003013632487</v>
      </c>
      <c r="R63" s="293">
        <f>Controle!R63</f>
        <v>102.6323747</v>
      </c>
      <c r="S63" s="287"/>
      <c r="T63" s="233">
        <f t="shared" ref="T63:U63" si="66">IF(AND(C63&lt;&gt;"",F63&lt;&gt;"",I63&lt;&gt;""), SUM(I63,F63,C63),"")</f>
        <v>311017540.9</v>
      </c>
      <c r="U63" s="233">
        <f t="shared" si="66"/>
        <v>299705349</v>
      </c>
      <c r="V63" s="233">
        <f t="shared" si="6"/>
        <v>311.0175409</v>
      </c>
      <c r="W63" s="241">
        <f t="shared" si="9"/>
        <v>-0.0009907930685</v>
      </c>
      <c r="X63" s="241">
        <f t="shared" si="10"/>
        <v>-0.04094126125</v>
      </c>
      <c r="Y63" s="241">
        <f t="shared" si="19"/>
        <v>0.00127455944</v>
      </c>
      <c r="Z63" s="233">
        <f t="shared" si="7"/>
        <v>307.8971241</v>
      </c>
      <c r="AA63" s="294"/>
      <c r="AB63" s="245"/>
      <c r="AC63" s="242" t="str">
        <f>IF(ISTEXT(AB63),VLOOKUP(AB63,'Cadastro dos Ativos'!$A$2:$C$1000,3,0),"")</f>
        <v/>
      </c>
      <c r="AD63" s="242" t="str">
        <f>IF(AB63 &lt;&gt; "",SUMIFS('Alocação'!$O$3:$O$1002,'Alocação'!$C$3:$C$1002,AB63,'Alocação'!$F$3:$F$1002,AB$9,'Alocação'!$B$3:$B$1002,"&lt;="&amp;$B$6), "")</f>
        <v/>
      </c>
      <c r="AE63" s="243" t="str">
        <f>iferror(IF(AC63="Ações Americanas", HLOOKUP(AB63,'Histórico'!$A$1:$DD$990,MATCH($B$6,'Histórico'!$A:$A),FALSE)*HLOOKUP("PTAX",'Histórico'!$A$1:$FG$983,MATCH($B$6,'Histórico'!$A:$A),FALSE),IF(AC63="Ações Europeias", HLOOKUP(AB63,'Histórico'!$A$1:$DD$990,MATCH($B$6,'Histórico'!$A:$A),FALSE)*HLOOKUP("EUR/BRL",'Histórico'!$A$1:$FG$983,MATCH($B$6,'Histórico'!$A:$A),FALSE),  HLOOKUP(AB63,'Histórico'!$A$1:$DD$990,MATCH($B$6,'Histórico'!$A:$A),FALSE))),"")</f>
        <v/>
      </c>
      <c r="AF63" s="243" t="str">
        <f t="shared" si="15"/>
        <v/>
      </c>
      <c r="AG63" s="53"/>
      <c r="AH63" s="245"/>
      <c r="AI63" s="242" t="str">
        <f>IF(ISTEXT(AH63),VLOOKUP(AH63,'Cadastro dos Ativos'!$A$2:$C$1000,3,0),"")</f>
        <v/>
      </c>
      <c r="AJ63" s="242" t="str">
        <f>IF(AH63 &lt;&gt; "",SUMIFS('Alocação'!$O$3:$O$1002,'Alocação'!$C$3:$C$1002,AH63,'Alocação'!$F$3:$F$1002,AH$9,'Alocação'!$B$3:$B$1002,"&lt;="&amp;$B$6), "")</f>
        <v/>
      </c>
      <c r="AK63" s="243" t="str">
        <f>iferror(IF(AI63="Ações Americanas", HLOOKUP(AH63,'Histórico'!$A$1:$DD$990,MATCH($B$6,'Histórico'!$A:$A),FALSE)*HLOOKUP("PTAX",'Histórico'!$A$1:$FG$983,MATCH($B$6,'Histórico'!$A:$A),FALSE),IF(AI63="Ações Europeias", HLOOKUP(AH63,'Histórico'!$A$1:$DD$990,MATCH($B$6,'Histórico'!$A:$A),FALSE)*HLOOKUP("EUR/BRL",'Histórico'!$A$1:$FG$983,MATCH($B$6,'Histórico'!$A:$A),FALSE),  HLOOKUP(AH63,'Histórico'!$A$1:$DD$990,MATCH($B$6,'Histórico'!$A:$A),FALSE))),"")</f>
        <v/>
      </c>
      <c r="AL63" s="243" t="str">
        <f t="shared" si="11"/>
        <v/>
      </c>
      <c r="AM63" s="53"/>
      <c r="AN63" s="245"/>
      <c r="AO63" s="242" t="str">
        <f>IF(ISTEXT(AN63),VLOOKUP(AN63,'Cadastro dos Ativos'!$A$2:$C$1000,3,0),"")</f>
        <v/>
      </c>
      <c r="AP63" s="242" t="str">
        <f>IF(AN63 &lt;&gt; "",SUMIFS('Alocação'!$O$3:$O$1002,'Alocação'!$C$3:$C$1002,AN63,'Alocação'!$F$3:$F$1002,AN$9,'Alocação'!$B$3:$B$1002,"&lt;="&amp;$B$6), "")</f>
        <v/>
      </c>
      <c r="AQ63" s="243" t="str">
        <f>iferror(IF(AO63="Ações Americanas", HLOOKUP(AN63,'Histórico'!$A$1:$DD$990,MATCH($B$6,'Histórico'!$A:$A),FALSE)*HLOOKUP("PTAX",'Histórico'!$A$1:$FG$983,MATCH($B$6,'Histórico'!$A:$A),FALSE),IF(AO63="Ações Europeias", HLOOKUP(AN63,'Histórico'!$A$1:$DD$990,MATCH($B$6,'Histórico'!$A:$A),FALSE)*HLOOKUP("EUR/BRL",'Histórico'!$A$1:$FG$983,MATCH($B$6,'Histórico'!$A:$A),FALSE),  HLOOKUP(AN63,'Histórico'!$A$1:$DD$990,MATCH($B$6,'Histórico'!$A:$A),FALSE))),"")</f>
        <v/>
      </c>
      <c r="AR63" s="243" t="str">
        <f t="shared" si="12"/>
        <v/>
      </c>
      <c r="AS63" s="53"/>
      <c r="AT63" s="245"/>
      <c r="AU63" s="242" t="str">
        <f>IF(ISTEXT(AT63),VLOOKUP(AT63,'Cadastro dos Ativos'!$A$2:$C$1000,3,0),"")</f>
        <v/>
      </c>
      <c r="AV63" s="242" t="str">
        <f>IF(AT63 &lt;&gt; "",SUMIFS('Alocação'!$O$3:$O$1002,'Alocação'!$C$3:$C$1002,AT63,'Alocação'!$F$3:$F$1002,AT$9,'Alocação'!$B$3:$B$1002,"&lt;="&amp;$B$6), "")</f>
        <v/>
      </c>
      <c r="AW63" s="243" t="str">
        <f>iferror(IF(AU63="Ações Americanas", HLOOKUP(AT63,'Histórico'!$A$1:$DD$990,MATCH($B$6,'Histórico'!$A:$A),FALSE)*HLOOKUP("PTAX",'Histórico'!$A$1:$FG$983,MATCH($B$6,'Histórico'!$A:$A),FALSE),IF(AU63="Ações Europeias", HLOOKUP(AT63,'Histórico'!$A$1:$DD$990,MATCH($B$6,'Histórico'!$A:$A),FALSE)*HLOOKUP("EUR/BRL",'Histórico'!$A$1:$FG$983,MATCH($B$6,'Histórico'!$A:$A),FALSE),  HLOOKUP(AT63,'Histórico'!$A$1:$DD$990,MATCH($B$6,'Histórico'!$A:$A),FALSE))),"")</f>
        <v/>
      </c>
      <c r="AX63" s="243" t="str">
        <f t="shared" si="13"/>
        <v/>
      </c>
      <c r="AY63" s="53"/>
    </row>
    <row r="64" ht="15.75" customHeight="1">
      <c r="A64" s="176"/>
      <c r="B64" s="288">
        <f>Controle!B64</f>
        <v>45084</v>
      </c>
      <c r="C64" s="233">
        <f>Controle!C64</f>
        <v>102648288.5</v>
      </c>
      <c r="D64" s="289">
        <f>Controle!D64</f>
        <v>111972288.5</v>
      </c>
      <c r="E64" s="290"/>
      <c r="F64" s="291">
        <f>Controle!F64</f>
        <v>104115998.4</v>
      </c>
      <c r="G64" s="289">
        <f>Controle!G64</f>
        <v>115948587.5</v>
      </c>
      <c r="H64" s="290"/>
      <c r="I64" s="291">
        <f>Controle!I64</f>
        <v>104127702.2</v>
      </c>
      <c r="J64" s="233">
        <f>Controle!J64</f>
        <v>72274149.76</v>
      </c>
      <c r="K64" s="292"/>
      <c r="L64" s="233">
        <f>Controle!L64</f>
        <v>104671000.3</v>
      </c>
      <c r="M64" s="233">
        <f>Controle!M64</f>
        <v>64166470.54</v>
      </c>
      <c r="N64" s="240">
        <f>Controle!N64</f>
        <v>0.0001377715631</v>
      </c>
      <c r="O64" s="240">
        <f>Controle!O64</f>
        <v>0.0006540397522</v>
      </c>
      <c r="P64" s="240">
        <f>Controle!P64</f>
        <v>-0.001991109409</v>
      </c>
      <c r="Q64" s="240">
        <f>Controle!Q64</f>
        <v>0.006584339623</v>
      </c>
      <c r="R64" s="293">
        <f>Controle!R64</f>
        <v>102.6827025</v>
      </c>
      <c r="S64" s="287"/>
      <c r="T64" s="233">
        <f t="shared" ref="T64:U64" si="67">IF(AND(C64&lt;&gt;"",F64&lt;&gt;"",I64&lt;&gt;""), SUM(I64,F64,C64),"")</f>
        <v>310891989.2</v>
      </c>
      <c r="U64" s="233">
        <f t="shared" si="67"/>
        <v>300195025.7</v>
      </c>
      <c r="V64" s="233">
        <f t="shared" si="6"/>
        <v>310.8919892</v>
      </c>
      <c r="W64" s="241">
        <f t="shared" si="9"/>
        <v>-0.0004036805329</v>
      </c>
      <c r="X64" s="241">
        <f t="shared" si="10"/>
        <v>-0.04132841459</v>
      </c>
      <c r="Y64" s="241">
        <f t="shared" si="19"/>
        <v>0.001216004362</v>
      </c>
      <c r="Z64" s="233">
        <f t="shared" si="7"/>
        <v>308.0481076</v>
      </c>
      <c r="AA64" s="294"/>
      <c r="AB64" s="245"/>
      <c r="AC64" s="242" t="str">
        <f>IF(ISTEXT(AB64),VLOOKUP(AB64,'Cadastro dos Ativos'!$A$2:$C$1000,3,0),"")</f>
        <v/>
      </c>
      <c r="AD64" s="242" t="str">
        <f>IF(AB64 &lt;&gt; "",SUMIFS('Alocação'!$O$3:$O$1002,'Alocação'!$C$3:$C$1002,AB64,'Alocação'!$F$3:$F$1002,AB$9,'Alocação'!$B$3:$B$1002,"&lt;="&amp;$B$6), "")</f>
        <v/>
      </c>
      <c r="AE64" s="243" t="str">
        <f>iferror(IF(AC64="Ações Americanas", HLOOKUP(AB64,'Histórico'!$A$1:$DD$990,MATCH($B$6,'Histórico'!$A:$A),FALSE)*HLOOKUP("PTAX",'Histórico'!$A$1:$FG$983,MATCH($B$6,'Histórico'!$A:$A),FALSE),IF(AC64="Ações Europeias", HLOOKUP(AB64,'Histórico'!$A$1:$DD$990,MATCH($B$6,'Histórico'!$A:$A),FALSE)*HLOOKUP("EUR/BRL",'Histórico'!$A$1:$FG$983,MATCH($B$6,'Histórico'!$A:$A),FALSE),  HLOOKUP(AB64,'Histórico'!$A$1:$DD$990,MATCH($B$6,'Histórico'!$A:$A),FALSE))),"")</f>
        <v/>
      </c>
      <c r="AF64" s="243" t="str">
        <f t="shared" si="15"/>
        <v/>
      </c>
      <c r="AG64" s="53"/>
      <c r="AH64" s="245"/>
      <c r="AI64" s="242" t="str">
        <f>IF(ISTEXT(AH64),VLOOKUP(AH64,'Cadastro dos Ativos'!$A$2:$C$1000,3,0),"")</f>
        <v/>
      </c>
      <c r="AJ64" s="242" t="str">
        <f>IF(AH64 &lt;&gt; "",SUMIFS('Alocação'!$O$3:$O$1002,'Alocação'!$C$3:$C$1002,AH64,'Alocação'!$F$3:$F$1002,AH$9,'Alocação'!$B$3:$B$1002,"&lt;="&amp;$B$6), "")</f>
        <v/>
      </c>
      <c r="AK64" s="243" t="str">
        <f>iferror(IF(AI64="Ações Americanas", HLOOKUP(AH64,'Histórico'!$A$1:$DD$990,MATCH($B$6,'Histórico'!$A:$A),FALSE)*HLOOKUP("PTAX",'Histórico'!$A$1:$FG$983,MATCH($B$6,'Histórico'!$A:$A),FALSE),IF(AI64="Ações Europeias", HLOOKUP(AH64,'Histórico'!$A$1:$DD$990,MATCH($B$6,'Histórico'!$A:$A),FALSE)*HLOOKUP("EUR/BRL",'Histórico'!$A$1:$FG$983,MATCH($B$6,'Histórico'!$A:$A),FALSE),  HLOOKUP(AH64,'Histórico'!$A$1:$DD$990,MATCH($B$6,'Histórico'!$A:$A),FALSE))),"")</f>
        <v/>
      </c>
      <c r="AL64" s="243" t="str">
        <f t="shared" si="11"/>
        <v/>
      </c>
      <c r="AM64" s="53"/>
      <c r="AN64" s="245"/>
      <c r="AO64" s="242" t="str">
        <f>IF(ISTEXT(AN64),VLOOKUP(AN64,'Cadastro dos Ativos'!$A$2:$C$1000,3,0),"")</f>
        <v/>
      </c>
      <c r="AP64" s="242" t="str">
        <f>IF(AN64 &lt;&gt; "",SUMIFS('Alocação'!$O$3:$O$1002,'Alocação'!$C$3:$C$1002,AN64,'Alocação'!$F$3:$F$1002,AN$9,'Alocação'!$B$3:$B$1002,"&lt;="&amp;$B$6), "")</f>
        <v/>
      </c>
      <c r="AQ64" s="243" t="str">
        <f>iferror(IF(AO64="Ações Americanas", HLOOKUP(AN64,'Histórico'!$A$1:$DD$990,MATCH($B$6,'Histórico'!$A:$A),FALSE)*HLOOKUP("PTAX",'Histórico'!$A$1:$FG$983,MATCH($B$6,'Histórico'!$A:$A),FALSE),IF(AO64="Ações Europeias", HLOOKUP(AN64,'Histórico'!$A$1:$DD$990,MATCH($B$6,'Histórico'!$A:$A),FALSE)*HLOOKUP("EUR/BRL",'Histórico'!$A$1:$FG$983,MATCH($B$6,'Histórico'!$A:$A),FALSE),  HLOOKUP(AN64,'Histórico'!$A$1:$DD$990,MATCH($B$6,'Histórico'!$A:$A),FALSE))),"")</f>
        <v/>
      </c>
      <c r="AR64" s="243" t="str">
        <f t="shared" si="12"/>
        <v/>
      </c>
      <c r="AS64" s="53"/>
      <c r="AT64" s="245"/>
      <c r="AU64" s="242" t="str">
        <f>IF(ISTEXT(AT64),VLOOKUP(AT64,'Cadastro dos Ativos'!$A$2:$C$1000,3,0),"")</f>
        <v/>
      </c>
      <c r="AV64" s="242" t="str">
        <f>IF(AT64 &lt;&gt; "",SUMIFS('Alocação'!$O$3:$O$1002,'Alocação'!$C$3:$C$1002,AT64,'Alocação'!$F$3:$F$1002,AT$9,'Alocação'!$B$3:$B$1002,"&lt;="&amp;$B$6), "")</f>
        <v/>
      </c>
      <c r="AW64" s="243" t="str">
        <f>iferror(IF(AU64="Ações Americanas", HLOOKUP(AT64,'Histórico'!$A$1:$DD$990,MATCH($B$6,'Histórico'!$A:$A),FALSE)*HLOOKUP("PTAX",'Histórico'!$A$1:$FG$983,MATCH($B$6,'Histórico'!$A:$A),FALSE),IF(AU64="Ações Europeias", HLOOKUP(AT64,'Histórico'!$A$1:$DD$990,MATCH($B$6,'Histórico'!$A:$A),FALSE)*HLOOKUP("EUR/BRL",'Histórico'!$A$1:$FG$983,MATCH($B$6,'Histórico'!$A:$A),FALSE),  HLOOKUP(AT64,'Histórico'!$A$1:$DD$990,MATCH($B$6,'Histórico'!$A:$A),FALSE))),"")</f>
        <v/>
      </c>
      <c r="AX64" s="243" t="str">
        <f t="shared" si="13"/>
        <v/>
      </c>
      <c r="AY64" s="53"/>
    </row>
    <row r="65" ht="15.75" customHeight="1">
      <c r="A65" s="176"/>
      <c r="B65" s="288">
        <f>Controle!B65</f>
        <v>45086</v>
      </c>
      <c r="C65" s="233">
        <f>Controle!C65</f>
        <v>102913383.7</v>
      </c>
      <c r="D65" s="289">
        <f>Controle!D65</f>
        <v>112278929.6</v>
      </c>
      <c r="E65" s="290"/>
      <c r="F65" s="291">
        <f>Controle!F65</f>
        <v>104104367.8</v>
      </c>
      <c r="G65" s="289">
        <f>Controle!G65</f>
        <v>116235789</v>
      </c>
      <c r="H65" s="290"/>
      <c r="I65" s="291">
        <f>Controle!I65</f>
        <v>104448654.3</v>
      </c>
      <c r="J65" s="233">
        <f>Controle!J65</f>
        <v>72034196.42</v>
      </c>
      <c r="K65" s="292"/>
      <c r="L65" s="233">
        <f>Controle!L65</f>
        <v>105075256.4</v>
      </c>
      <c r="M65" s="233">
        <f>Controle!M65</f>
        <v>61570375.08</v>
      </c>
      <c r="N65" s="240">
        <f>Controle!N65</f>
        <v>0.002582557774</v>
      </c>
      <c r="O65" s="240">
        <f>Controle!O65</f>
        <v>-0.0001117084786</v>
      </c>
      <c r="P65" s="240">
        <f>Controle!P65</f>
        <v>0.003082293149</v>
      </c>
      <c r="Q65" s="240">
        <f>Controle!Q65</f>
        <v>0.003862158698</v>
      </c>
      <c r="R65" s="293">
        <f>Controle!R65</f>
        <v>102.7330551</v>
      </c>
      <c r="S65" s="287"/>
      <c r="T65" s="233">
        <f t="shared" ref="T65:U65" si="68">IF(AND(C65&lt;&gt;"",F65&lt;&gt;"",I65&lt;&gt;""), SUM(I65,F65,C65),"")</f>
        <v>311466405.8</v>
      </c>
      <c r="U65" s="233">
        <f t="shared" si="68"/>
        <v>300548915</v>
      </c>
      <c r="V65" s="233">
        <f t="shared" si="6"/>
        <v>311.4664058</v>
      </c>
      <c r="W65" s="241">
        <f t="shared" si="9"/>
        <v>0.001847640399</v>
      </c>
      <c r="X65" s="241">
        <f t="shared" si="10"/>
        <v>-0.03955713424</v>
      </c>
      <c r="Y65" s="241">
        <f t="shared" si="19"/>
        <v>0.001162558333</v>
      </c>
      <c r="Z65" s="233">
        <f t="shared" si="7"/>
        <v>308.1991652</v>
      </c>
      <c r="AA65" s="294"/>
      <c r="AB65" s="245"/>
      <c r="AC65" s="242" t="str">
        <f>IF(ISTEXT(AB65),VLOOKUP(AB65,'Cadastro dos Ativos'!$A$2:$C$1000,3,0),"")</f>
        <v/>
      </c>
      <c r="AD65" s="242" t="str">
        <f>IF(AB65 &lt;&gt; "",SUMIFS('Alocação'!$O$3:$O$1002,'Alocação'!$C$3:$C$1002,AB65,'Alocação'!$F$3:$F$1002,AB$9,'Alocação'!$B$3:$B$1002,"&lt;="&amp;$B$6), "")</f>
        <v/>
      </c>
      <c r="AE65" s="243" t="str">
        <f>iferror(IF(AC65="Ações Americanas", HLOOKUP(AB65,'Histórico'!$A$1:$DD$990,MATCH($B$6,'Histórico'!$A:$A),FALSE)*HLOOKUP("PTAX",'Histórico'!$A$1:$FG$983,MATCH($B$6,'Histórico'!$A:$A),FALSE),IF(AC65="Ações Europeias", HLOOKUP(AB65,'Histórico'!$A$1:$DD$990,MATCH($B$6,'Histórico'!$A:$A),FALSE)*HLOOKUP("EUR/BRL",'Histórico'!$A$1:$FG$983,MATCH($B$6,'Histórico'!$A:$A),FALSE),  HLOOKUP(AB65,'Histórico'!$A$1:$DD$990,MATCH($B$6,'Histórico'!$A:$A),FALSE))),"")</f>
        <v/>
      </c>
      <c r="AF65" s="243" t="str">
        <f t="shared" si="15"/>
        <v/>
      </c>
      <c r="AG65" s="53"/>
      <c r="AH65" s="245"/>
      <c r="AI65" s="242" t="str">
        <f>IF(ISTEXT(AH65),VLOOKUP(AH65,'Cadastro dos Ativos'!$A$2:$C$1000,3,0),"")</f>
        <v/>
      </c>
      <c r="AJ65" s="242" t="str">
        <f>IF(AH65 &lt;&gt; "",SUMIFS('Alocação'!$O$3:$O$1002,'Alocação'!$C$3:$C$1002,AH65,'Alocação'!$F$3:$F$1002,AH$9,'Alocação'!$B$3:$B$1002,"&lt;="&amp;$B$6), "")</f>
        <v/>
      </c>
      <c r="AK65" s="243" t="str">
        <f>iferror(IF(AI65="Ações Americanas", HLOOKUP(AH65,'Histórico'!$A$1:$DD$990,MATCH($B$6,'Histórico'!$A:$A),FALSE)*HLOOKUP("PTAX",'Histórico'!$A$1:$FG$983,MATCH($B$6,'Histórico'!$A:$A),FALSE),IF(AI65="Ações Europeias", HLOOKUP(AH65,'Histórico'!$A$1:$DD$990,MATCH($B$6,'Histórico'!$A:$A),FALSE)*HLOOKUP("EUR/BRL",'Histórico'!$A$1:$FG$983,MATCH($B$6,'Histórico'!$A:$A),FALSE),  HLOOKUP(AH65,'Histórico'!$A$1:$DD$990,MATCH($B$6,'Histórico'!$A:$A),FALSE))),"")</f>
        <v/>
      </c>
      <c r="AL65" s="243" t="str">
        <f t="shared" si="11"/>
        <v/>
      </c>
      <c r="AM65" s="53"/>
      <c r="AN65" s="245"/>
      <c r="AO65" s="242" t="str">
        <f>IF(ISTEXT(AN65),VLOOKUP(AN65,'Cadastro dos Ativos'!$A$2:$C$1000,3,0),"")</f>
        <v/>
      </c>
      <c r="AP65" s="242" t="str">
        <f>IF(AN65 &lt;&gt; "",SUMIFS('Alocação'!$O$3:$O$1002,'Alocação'!$C$3:$C$1002,AN65,'Alocação'!$F$3:$F$1002,AN$9,'Alocação'!$B$3:$B$1002,"&lt;="&amp;$B$6), "")</f>
        <v/>
      </c>
      <c r="AQ65" s="243" t="str">
        <f>iferror(IF(AO65="Ações Americanas", HLOOKUP(AN65,'Histórico'!$A$1:$DD$990,MATCH($B$6,'Histórico'!$A:$A),FALSE)*HLOOKUP("PTAX",'Histórico'!$A$1:$FG$983,MATCH($B$6,'Histórico'!$A:$A),FALSE),IF(AO65="Ações Europeias", HLOOKUP(AN65,'Histórico'!$A$1:$DD$990,MATCH($B$6,'Histórico'!$A:$A),FALSE)*HLOOKUP("EUR/BRL",'Histórico'!$A$1:$FG$983,MATCH($B$6,'Histórico'!$A:$A),FALSE),  HLOOKUP(AN65,'Histórico'!$A$1:$DD$990,MATCH($B$6,'Histórico'!$A:$A),FALSE))),"")</f>
        <v/>
      </c>
      <c r="AR65" s="243" t="str">
        <f t="shared" si="12"/>
        <v/>
      </c>
      <c r="AS65" s="53"/>
      <c r="AT65" s="245"/>
      <c r="AU65" s="242" t="str">
        <f>IF(ISTEXT(AT65),VLOOKUP(AT65,'Cadastro dos Ativos'!$A$2:$C$1000,3,0),"")</f>
        <v/>
      </c>
      <c r="AV65" s="242" t="str">
        <f>IF(AT65 &lt;&gt; "",SUMIFS('Alocação'!$O$3:$O$1002,'Alocação'!$C$3:$C$1002,AT65,'Alocação'!$F$3:$F$1002,AT$9,'Alocação'!$B$3:$B$1002,"&lt;="&amp;$B$6), "")</f>
        <v/>
      </c>
      <c r="AW65" s="243" t="str">
        <f>iferror(IF(AU65="Ações Americanas", HLOOKUP(AT65,'Histórico'!$A$1:$DD$990,MATCH($B$6,'Histórico'!$A:$A),FALSE)*HLOOKUP("PTAX",'Histórico'!$A$1:$FG$983,MATCH($B$6,'Histórico'!$A:$A),FALSE),IF(AU65="Ações Europeias", HLOOKUP(AT65,'Histórico'!$A$1:$DD$990,MATCH($B$6,'Histórico'!$A:$A),FALSE)*HLOOKUP("EUR/BRL",'Histórico'!$A$1:$FG$983,MATCH($B$6,'Histórico'!$A:$A),FALSE),  HLOOKUP(AT65,'Histórico'!$A$1:$DD$990,MATCH($B$6,'Histórico'!$A:$A),FALSE))),"")</f>
        <v/>
      </c>
      <c r="AX65" s="243" t="str">
        <f t="shared" si="13"/>
        <v/>
      </c>
      <c r="AY65" s="53"/>
    </row>
    <row r="66" ht="15.75" customHeight="1">
      <c r="A66" s="176"/>
      <c r="B66" s="288">
        <f>Controle!B66</f>
        <v>45089</v>
      </c>
      <c r="C66" s="233">
        <f>Controle!C66</f>
        <v>103011556.5</v>
      </c>
      <c r="D66" s="289">
        <f>Controle!D66</f>
        <v>112371205.1</v>
      </c>
      <c r="E66" s="290"/>
      <c r="F66" s="291">
        <f>Controle!F66</f>
        <v>104241865.3</v>
      </c>
      <c r="G66" s="289">
        <f>Controle!G66</f>
        <v>116264681.5</v>
      </c>
      <c r="H66" s="290"/>
      <c r="I66" s="291">
        <f>Controle!I66</f>
        <v>104791643.7</v>
      </c>
      <c r="J66" s="233">
        <f>Controle!J66</f>
        <v>72205293.45</v>
      </c>
      <c r="K66" s="292"/>
      <c r="L66" s="233">
        <f>Controle!L66</f>
        <v>105303818</v>
      </c>
      <c r="M66" s="233">
        <f>Controle!M66</f>
        <v>61595437.22</v>
      </c>
      <c r="N66" s="240">
        <f>Controle!N66</f>
        <v>0.0009539365528</v>
      </c>
      <c r="O66" s="240">
        <f>Controle!O66</f>
        <v>0.001320765977</v>
      </c>
      <c r="P66" s="240">
        <f>Controle!P66</f>
        <v>0.003283808999</v>
      </c>
      <c r="Q66" s="240">
        <f>Controle!Q66</f>
        <v>0.002175218578</v>
      </c>
      <c r="R66" s="293">
        <f>Controle!R66</f>
        <v>102.7834323</v>
      </c>
      <c r="S66" s="287"/>
      <c r="T66" s="233">
        <f t="shared" ref="T66:U66" si="69">IF(AND(C66&lt;&gt;"",F66&lt;&gt;"",I66&lt;&gt;""), SUM(I66,F66,C66),"")</f>
        <v>312045065.5</v>
      </c>
      <c r="U66" s="233">
        <f t="shared" si="69"/>
        <v>300841180</v>
      </c>
      <c r="V66" s="233">
        <f t="shared" si="6"/>
        <v>312.0450655</v>
      </c>
      <c r="W66" s="241">
        <f t="shared" si="9"/>
        <v>0.001857856147</v>
      </c>
      <c r="X66" s="241">
        <f t="shared" si="10"/>
        <v>-0.03777276956</v>
      </c>
      <c r="Y66" s="241">
        <f t="shared" si="19"/>
        <v>0.001294721205</v>
      </c>
      <c r="Z66" s="233">
        <f t="shared" si="7"/>
        <v>308.3502968</v>
      </c>
      <c r="AA66" s="294"/>
      <c r="AB66" s="245"/>
      <c r="AC66" s="242" t="str">
        <f>IF(ISTEXT(AB66),VLOOKUP(AB66,'Cadastro dos Ativos'!$A$2:$C$1000,3,0),"")</f>
        <v/>
      </c>
      <c r="AD66" s="242" t="str">
        <f>IF(AB66 &lt;&gt; "",SUMIFS('Alocação'!$O$3:$O$1002,'Alocação'!$C$3:$C$1002,AB66,'Alocação'!$F$3:$F$1002,AB$9,'Alocação'!$B$3:$B$1002,"&lt;="&amp;$B$6), "")</f>
        <v/>
      </c>
      <c r="AE66" s="243" t="str">
        <f>iferror(IF(AC66="Ações Americanas", HLOOKUP(AB66,'Histórico'!$A$1:$DD$990,MATCH($B$6,'Histórico'!$A:$A),FALSE)*HLOOKUP("PTAX",'Histórico'!$A$1:$FG$983,MATCH($B$6,'Histórico'!$A:$A),FALSE),IF(AC66="Ações Europeias", HLOOKUP(AB66,'Histórico'!$A$1:$DD$990,MATCH($B$6,'Histórico'!$A:$A),FALSE)*HLOOKUP("EUR/BRL",'Histórico'!$A$1:$FG$983,MATCH($B$6,'Histórico'!$A:$A),FALSE),  HLOOKUP(AB66,'Histórico'!$A$1:$DD$990,MATCH($B$6,'Histórico'!$A:$A),FALSE))),"")</f>
        <v/>
      </c>
      <c r="AF66" s="243" t="str">
        <f t="shared" si="15"/>
        <v/>
      </c>
      <c r="AG66" s="53"/>
      <c r="AH66" s="245"/>
      <c r="AI66" s="242" t="str">
        <f>IF(ISTEXT(AH66),VLOOKUP(AH66,'Cadastro dos Ativos'!$A$2:$C$1000,3,0),"")</f>
        <v/>
      </c>
      <c r="AJ66" s="242" t="str">
        <f>IF(AH66 &lt;&gt; "",SUMIFS('Alocação'!$O$3:$O$1002,'Alocação'!$C$3:$C$1002,AH66,'Alocação'!$F$3:$F$1002,AH$9,'Alocação'!$B$3:$B$1002,"&lt;="&amp;$B$6), "")</f>
        <v/>
      </c>
      <c r="AK66" s="243" t="str">
        <f>iferror(IF(AI66="Ações Americanas", HLOOKUP(AH66,'Histórico'!$A$1:$DD$990,MATCH($B$6,'Histórico'!$A:$A),FALSE)*HLOOKUP("PTAX",'Histórico'!$A$1:$FG$983,MATCH($B$6,'Histórico'!$A:$A),FALSE),IF(AI66="Ações Europeias", HLOOKUP(AH66,'Histórico'!$A$1:$DD$990,MATCH($B$6,'Histórico'!$A:$A),FALSE)*HLOOKUP("EUR/BRL",'Histórico'!$A$1:$FG$983,MATCH($B$6,'Histórico'!$A:$A),FALSE),  HLOOKUP(AH66,'Histórico'!$A$1:$DD$990,MATCH($B$6,'Histórico'!$A:$A),FALSE))),"")</f>
        <v/>
      </c>
      <c r="AL66" s="243" t="str">
        <f t="shared" si="11"/>
        <v/>
      </c>
      <c r="AM66" s="53"/>
      <c r="AN66" s="245"/>
      <c r="AO66" s="242" t="str">
        <f>IF(ISTEXT(AN66),VLOOKUP(AN66,'Cadastro dos Ativos'!$A$2:$C$1000,3,0),"")</f>
        <v/>
      </c>
      <c r="AP66" s="242" t="str">
        <f>IF(AN66 &lt;&gt; "",SUMIFS('Alocação'!$O$3:$O$1002,'Alocação'!$C$3:$C$1002,AN66,'Alocação'!$F$3:$F$1002,AN$9,'Alocação'!$B$3:$B$1002,"&lt;="&amp;$B$6), "")</f>
        <v/>
      </c>
      <c r="AQ66" s="243" t="str">
        <f>iferror(IF(AO66="Ações Americanas", HLOOKUP(AN66,'Histórico'!$A$1:$DD$990,MATCH($B$6,'Histórico'!$A:$A),FALSE)*HLOOKUP("PTAX",'Histórico'!$A$1:$FG$983,MATCH($B$6,'Histórico'!$A:$A),FALSE),IF(AO66="Ações Europeias", HLOOKUP(AN66,'Histórico'!$A$1:$DD$990,MATCH($B$6,'Histórico'!$A:$A),FALSE)*HLOOKUP("EUR/BRL",'Histórico'!$A$1:$FG$983,MATCH($B$6,'Histórico'!$A:$A),FALSE),  HLOOKUP(AN66,'Histórico'!$A$1:$DD$990,MATCH($B$6,'Histórico'!$A:$A),FALSE))),"")</f>
        <v/>
      </c>
      <c r="AR66" s="243" t="str">
        <f t="shared" si="12"/>
        <v/>
      </c>
      <c r="AS66" s="53"/>
      <c r="AT66" s="245"/>
      <c r="AU66" s="242" t="str">
        <f>IF(ISTEXT(AT66),VLOOKUP(AT66,'Cadastro dos Ativos'!$A$2:$C$1000,3,0),"")</f>
        <v/>
      </c>
      <c r="AV66" s="242" t="str">
        <f>IF(AT66 &lt;&gt; "",SUMIFS('Alocação'!$O$3:$O$1002,'Alocação'!$C$3:$C$1002,AT66,'Alocação'!$F$3:$F$1002,AT$9,'Alocação'!$B$3:$B$1002,"&lt;="&amp;$B$6), "")</f>
        <v/>
      </c>
      <c r="AW66" s="243" t="str">
        <f>iferror(IF(AU66="Ações Americanas", HLOOKUP(AT66,'Histórico'!$A$1:$DD$990,MATCH($B$6,'Histórico'!$A:$A),FALSE)*HLOOKUP("PTAX",'Histórico'!$A$1:$FG$983,MATCH($B$6,'Histórico'!$A:$A),FALSE),IF(AU66="Ações Europeias", HLOOKUP(AT66,'Histórico'!$A$1:$DD$990,MATCH($B$6,'Histórico'!$A:$A),FALSE)*HLOOKUP("EUR/BRL",'Histórico'!$A$1:$FG$983,MATCH($B$6,'Histórico'!$A:$A),FALSE),  HLOOKUP(AT66,'Histórico'!$A$1:$DD$990,MATCH($B$6,'Histórico'!$A:$A),FALSE))),"")</f>
        <v/>
      </c>
      <c r="AX66" s="243" t="str">
        <f t="shared" si="13"/>
        <v/>
      </c>
      <c r="AY66" s="53"/>
    </row>
    <row r="67" ht="15.75" customHeight="1">
      <c r="A67" s="176"/>
      <c r="B67" s="288">
        <f>Controle!B67</f>
        <v>45090</v>
      </c>
      <c r="C67" s="233">
        <f>Controle!C67</f>
        <v>102883898.4</v>
      </c>
      <c r="D67" s="289">
        <f>Controle!D67</f>
        <v>112230644</v>
      </c>
      <c r="E67" s="290"/>
      <c r="F67" s="291">
        <f>Controle!F67</f>
        <v>104318695.9</v>
      </c>
      <c r="G67" s="289">
        <f>Controle!G67</f>
        <v>110376580.7</v>
      </c>
      <c r="H67" s="290"/>
      <c r="I67" s="291">
        <f>Controle!I67</f>
        <v>105032793.9</v>
      </c>
      <c r="J67" s="233">
        <f>Controle!J67</f>
        <v>72539318.91</v>
      </c>
      <c r="K67" s="292"/>
      <c r="L67" s="233">
        <f>Controle!L67</f>
        <v>104479678.9</v>
      </c>
      <c r="M67" s="233">
        <f>Controle!M67</f>
        <v>61620498.59</v>
      </c>
      <c r="N67" s="240">
        <f>Controle!N67</f>
        <v>-0.001239260029</v>
      </c>
      <c r="O67" s="240">
        <f>Controle!O67</f>
        <v>0.0007370417352</v>
      </c>
      <c r="P67" s="240">
        <f>Controle!P67</f>
        <v>0.00230123492</v>
      </c>
      <c r="Q67" s="240">
        <f>Controle!Q67</f>
        <v>-0.007826298169</v>
      </c>
      <c r="R67" s="293">
        <f>Controle!R67</f>
        <v>102.8338342</v>
      </c>
      <c r="S67" s="287"/>
      <c r="T67" s="233">
        <f t="shared" ref="T67:U67" si="70">IF(AND(C67&lt;&gt;"",F67&lt;&gt;"",I67&lt;&gt;""), SUM(I67,F67,C67),"")</f>
        <v>312235388.2</v>
      </c>
      <c r="U67" s="233">
        <f t="shared" si="70"/>
        <v>295146543.5</v>
      </c>
      <c r="V67" s="233">
        <f t="shared" si="6"/>
        <v>312.2353882</v>
      </c>
      <c r="W67" s="241">
        <f t="shared" si="9"/>
        <v>0.0006099205267</v>
      </c>
      <c r="X67" s="241">
        <f t="shared" si="10"/>
        <v>-0.03718588742</v>
      </c>
      <c r="Y67" s="241">
        <f t="shared" si="19"/>
        <v>0.001291864377</v>
      </c>
      <c r="Z67" s="233">
        <f t="shared" si="7"/>
        <v>308.5015025</v>
      </c>
      <c r="AA67" s="294"/>
      <c r="AB67" s="245"/>
      <c r="AC67" s="242" t="str">
        <f>IF(ISTEXT(AB67),VLOOKUP(AB67,'Cadastro dos Ativos'!$A$2:$C$1000,3,0),"")</f>
        <v/>
      </c>
      <c r="AD67" s="242" t="str">
        <f>IF(AB67 &lt;&gt; "",SUMIFS('Alocação'!$O$3:$O$1002,'Alocação'!$C$3:$C$1002,AB67,'Alocação'!$F$3:$F$1002,AB$9,'Alocação'!$B$3:$B$1002,"&lt;="&amp;$B$6), "")</f>
        <v/>
      </c>
      <c r="AE67" s="243" t="str">
        <f>iferror(IF(AC67="Ações Americanas", HLOOKUP(AB67,'Histórico'!$A$1:$DD$990,MATCH($B$6,'Histórico'!$A:$A),FALSE)*HLOOKUP("PTAX",'Histórico'!$A$1:$FG$983,MATCH($B$6,'Histórico'!$A:$A),FALSE),IF(AC67="Ações Europeias", HLOOKUP(AB67,'Histórico'!$A$1:$DD$990,MATCH($B$6,'Histórico'!$A:$A),FALSE)*HLOOKUP("EUR/BRL",'Histórico'!$A$1:$FG$983,MATCH($B$6,'Histórico'!$A:$A),FALSE),  HLOOKUP(AB67,'Histórico'!$A$1:$DD$990,MATCH($B$6,'Histórico'!$A:$A),FALSE))),"")</f>
        <v/>
      </c>
      <c r="AF67" s="243" t="str">
        <f t="shared" si="15"/>
        <v/>
      </c>
      <c r="AG67" s="53"/>
      <c r="AH67" s="245"/>
      <c r="AI67" s="242" t="str">
        <f>IF(ISTEXT(AH67),VLOOKUP(AH67,'Cadastro dos Ativos'!$A$2:$C$1000,3,0),"")</f>
        <v/>
      </c>
      <c r="AJ67" s="242" t="str">
        <f>IF(AH67 &lt;&gt; "",SUMIFS('Alocação'!$O$3:$O$1002,'Alocação'!$C$3:$C$1002,AH67,'Alocação'!$F$3:$F$1002,AH$9,'Alocação'!$B$3:$B$1002,"&lt;="&amp;$B$6), "")</f>
        <v/>
      </c>
      <c r="AK67" s="243" t="str">
        <f>iferror(IF(AI67="Ações Americanas", HLOOKUP(AH67,'Histórico'!$A$1:$DD$990,MATCH($B$6,'Histórico'!$A:$A),FALSE)*HLOOKUP("PTAX",'Histórico'!$A$1:$FG$983,MATCH($B$6,'Histórico'!$A:$A),FALSE),IF(AI67="Ações Europeias", HLOOKUP(AH67,'Histórico'!$A$1:$DD$990,MATCH($B$6,'Histórico'!$A:$A),FALSE)*HLOOKUP("EUR/BRL",'Histórico'!$A$1:$FG$983,MATCH($B$6,'Histórico'!$A:$A),FALSE),  HLOOKUP(AH67,'Histórico'!$A$1:$DD$990,MATCH($B$6,'Histórico'!$A:$A),FALSE))),"")</f>
        <v/>
      </c>
      <c r="AL67" s="243" t="str">
        <f t="shared" si="11"/>
        <v/>
      </c>
      <c r="AM67" s="53"/>
      <c r="AN67" s="245"/>
      <c r="AO67" s="242" t="str">
        <f>IF(ISTEXT(AN67),VLOOKUP(AN67,'Cadastro dos Ativos'!$A$2:$C$1000,3,0),"")</f>
        <v/>
      </c>
      <c r="AP67" s="242" t="str">
        <f>IF(AN67 &lt;&gt; "",SUMIFS('Alocação'!$O$3:$O$1002,'Alocação'!$C$3:$C$1002,AN67,'Alocação'!$F$3:$F$1002,AN$9,'Alocação'!$B$3:$B$1002,"&lt;="&amp;$B$6), "")</f>
        <v/>
      </c>
      <c r="AQ67" s="243" t="str">
        <f>iferror(IF(AO67="Ações Americanas", HLOOKUP(AN67,'Histórico'!$A$1:$DD$990,MATCH($B$6,'Histórico'!$A:$A),FALSE)*HLOOKUP("PTAX",'Histórico'!$A$1:$FG$983,MATCH($B$6,'Histórico'!$A:$A),FALSE),IF(AO67="Ações Europeias", HLOOKUP(AN67,'Histórico'!$A$1:$DD$990,MATCH($B$6,'Histórico'!$A:$A),FALSE)*HLOOKUP("EUR/BRL",'Histórico'!$A$1:$FG$983,MATCH($B$6,'Histórico'!$A:$A),FALSE),  HLOOKUP(AN67,'Histórico'!$A$1:$DD$990,MATCH($B$6,'Histórico'!$A:$A),FALSE))),"")</f>
        <v/>
      </c>
      <c r="AR67" s="243" t="str">
        <f t="shared" si="12"/>
        <v/>
      </c>
      <c r="AS67" s="53"/>
      <c r="AT67" s="245"/>
      <c r="AU67" s="242" t="str">
        <f>IF(ISTEXT(AT67),VLOOKUP(AT67,'Cadastro dos Ativos'!$A$2:$C$1000,3,0),"")</f>
        <v/>
      </c>
      <c r="AV67" s="242" t="str">
        <f>IF(AT67 &lt;&gt; "",SUMIFS('Alocação'!$O$3:$O$1002,'Alocação'!$C$3:$C$1002,AT67,'Alocação'!$F$3:$F$1002,AT$9,'Alocação'!$B$3:$B$1002,"&lt;="&amp;$B$6), "")</f>
        <v/>
      </c>
      <c r="AW67" s="243" t="str">
        <f>iferror(IF(AU67="Ações Americanas", HLOOKUP(AT67,'Histórico'!$A$1:$DD$990,MATCH($B$6,'Histórico'!$A:$A),FALSE)*HLOOKUP("PTAX",'Histórico'!$A$1:$FG$983,MATCH($B$6,'Histórico'!$A:$A),FALSE),IF(AU67="Ações Europeias", HLOOKUP(AT67,'Histórico'!$A$1:$DD$990,MATCH($B$6,'Histórico'!$A:$A),FALSE)*HLOOKUP("EUR/BRL",'Histórico'!$A$1:$FG$983,MATCH($B$6,'Histórico'!$A:$A),FALSE),  HLOOKUP(AT67,'Histórico'!$A$1:$DD$990,MATCH($B$6,'Histórico'!$A:$A),FALSE))),"")</f>
        <v/>
      </c>
      <c r="AX67" s="243" t="str">
        <f t="shared" si="13"/>
        <v/>
      </c>
      <c r="AY67" s="53"/>
    </row>
    <row r="68" ht="15.75" customHeight="1">
      <c r="A68" s="176"/>
      <c r="B68" s="288">
        <f>Controle!B68</f>
        <v>45091</v>
      </c>
      <c r="C68" s="233">
        <f>Controle!C68</f>
        <v>103282207.8</v>
      </c>
      <c r="D68" s="289">
        <f>Controle!D68</f>
        <v>79238227.28</v>
      </c>
      <c r="E68" s="290"/>
      <c r="F68" s="291">
        <f>Controle!F68</f>
        <v>104337679.3</v>
      </c>
      <c r="G68" s="289">
        <f>Controle!G68</f>
        <v>110426475.2</v>
      </c>
      <c r="H68" s="290"/>
      <c r="I68" s="291">
        <f>Controle!I68</f>
        <v>104970621.2</v>
      </c>
      <c r="J68" s="233">
        <f>Controle!J68</f>
        <v>72284834.27</v>
      </c>
      <c r="K68" s="292"/>
      <c r="L68" s="233">
        <f>Controle!L68</f>
        <v>105834001.4</v>
      </c>
      <c r="M68" s="233">
        <f>Controle!M68</f>
        <v>61645621.38</v>
      </c>
      <c r="N68" s="240">
        <f>Controle!N68</f>
        <v>0.003871445343</v>
      </c>
      <c r="O68" s="240">
        <f>Controle!O68</f>
        <v>0.0001819752621</v>
      </c>
      <c r="P68" s="240">
        <f>Controle!P68</f>
        <v>-0.0005919359889</v>
      </c>
      <c r="Q68" s="240">
        <f>Controle!Q68</f>
        <v>0.01296254478</v>
      </c>
      <c r="R68" s="293">
        <f>Controle!R68</f>
        <v>102.8842608</v>
      </c>
      <c r="S68" s="287"/>
      <c r="T68" s="233">
        <f t="shared" ref="T68:U68" si="71">IF(AND(C68&lt;&gt;"",F68&lt;&gt;"",I68&lt;&gt;""), SUM(I68,F68,C68),"")</f>
        <v>312590508.4</v>
      </c>
      <c r="U68" s="233">
        <f t="shared" si="71"/>
        <v>261949536.8</v>
      </c>
      <c r="V68" s="233">
        <f t="shared" si="6"/>
        <v>312.5905084</v>
      </c>
      <c r="W68" s="241">
        <f t="shared" si="9"/>
        <v>0.001137347444</v>
      </c>
      <c r="X68" s="241">
        <f t="shared" si="10"/>
        <v>-0.03609083325</v>
      </c>
      <c r="Y68" s="241">
        <f t="shared" si="19"/>
        <v>0.0009480605098</v>
      </c>
      <c r="Z68" s="233">
        <f t="shared" si="7"/>
        <v>308.6527824</v>
      </c>
      <c r="AA68" s="294"/>
      <c r="AB68" s="245"/>
      <c r="AC68" s="242" t="str">
        <f>IF(ISTEXT(AB68),VLOOKUP(AB68,'Cadastro dos Ativos'!$A$2:$C$1000,3,0),"")</f>
        <v/>
      </c>
      <c r="AD68" s="242" t="str">
        <f>IF(AB68 &lt;&gt; "",SUMIFS('Alocação'!$O$3:$O$1002,'Alocação'!$C$3:$C$1002,AB68,'Alocação'!$F$3:$F$1002,AB$9,'Alocação'!$B$3:$B$1002,"&lt;="&amp;$B$6), "")</f>
        <v/>
      </c>
      <c r="AE68" s="243" t="str">
        <f>iferror(IF(AC68="Ações Americanas", HLOOKUP(AB68,'Histórico'!$A$1:$DD$990,MATCH($B$6,'Histórico'!$A:$A),FALSE)*HLOOKUP("PTAX",'Histórico'!$A$1:$FG$983,MATCH($B$6,'Histórico'!$A:$A),FALSE),IF(AC68="Ações Europeias", HLOOKUP(AB68,'Histórico'!$A$1:$DD$990,MATCH($B$6,'Histórico'!$A:$A),FALSE)*HLOOKUP("EUR/BRL",'Histórico'!$A$1:$FG$983,MATCH($B$6,'Histórico'!$A:$A),FALSE),  HLOOKUP(AB68,'Histórico'!$A$1:$DD$990,MATCH($B$6,'Histórico'!$A:$A),FALSE))),"")</f>
        <v/>
      </c>
      <c r="AF68" s="243" t="str">
        <f t="shared" si="15"/>
        <v/>
      </c>
      <c r="AG68" s="53"/>
      <c r="AH68" s="245"/>
      <c r="AI68" s="242" t="str">
        <f>IF(ISTEXT(AH68),VLOOKUP(AH68,'Cadastro dos Ativos'!$A$2:$C$1000,3,0),"")</f>
        <v/>
      </c>
      <c r="AJ68" s="242" t="str">
        <f>IF(AH68 &lt;&gt; "",SUMIFS('Alocação'!$O$3:$O$1002,'Alocação'!$C$3:$C$1002,AH68,'Alocação'!$F$3:$F$1002,AH$9,'Alocação'!$B$3:$B$1002,"&lt;="&amp;$B$6), "")</f>
        <v/>
      </c>
      <c r="AK68" s="243" t="str">
        <f>iferror(IF(AI68="Ações Americanas", HLOOKUP(AH68,'Histórico'!$A$1:$DD$990,MATCH($B$6,'Histórico'!$A:$A),FALSE)*HLOOKUP("PTAX",'Histórico'!$A$1:$FG$983,MATCH($B$6,'Histórico'!$A:$A),FALSE),IF(AI68="Ações Europeias", HLOOKUP(AH68,'Histórico'!$A$1:$DD$990,MATCH($B$6,'Histórico'!$A:$A),FALSE)*HLOOKUP("EUR/BRL",'Histórico'!$A$1:$FG$983,MATCH($B$6,'Histórico'!$A:$A),FALSE),  HLOOKUP(AH68,'Histórico'!$A$1:$DD$990,MATCH($B$6,'Histórico'!$A:$A),FALSE))),"")</f>
        <v/>
      </c>
      <c r="AL68" s="243" t="str">
        <f t="shared" si="11"/>
        <v/>
      </c>
      <c r="AM68" s="53"/>
      <c r="AN68" s="245"/>
      <c r="AO68" s="242" t="str">
        <f>IF(ISTEXT(AN68),VLOOKUP(AN68,'Cadastro dos Ativos'!$A$2:$C$1000,3,0),"")</f>
        <v/>
      </c>
      <c r="AP68" s="242" t="str">
        <f>IF(AN68 &lt;&gt; "",SUMIFS('Alocação'!$O$3:$O$1002,'Alocação'!$C$3:$C$1002,AN68,'Alocação'!$F$3:$F$1002,AN$9,'Alocação'!$B$3:$B$1002,"&lt;="&amp;$B$6), "")</f>
        <v/>
      </c>
      <c r="AQ68" s="243" t="str">
        <f>iferror(IF(AO68="Ações Americanas", HLOOKUP(AN68,'Histórico'!$A$1:$DD$990,MATCH($B$6,'Histórico'!$A:$A),FALSE)*HLOOKUP("PTAX",'Histórico'!$A$1:$FG$983,MATCH($B$6,'Histórico'!$A:$A),FALSE),IF(AO68="Ações Europeias", HLOOKUP(AN68,'Histórico'!$A$1:$DD$990,MATCH($B$6,'Histórico'!$A:$A),FALSE)*HLOOKUP("EUR/BRL",'Histórico'!$A$1:$FG$983,MATCH($B$6,'Histórico'!$A:$A),FALSE),  HLOOKUP(AN68,'Histórico'!$A$1:$DD$990,MATCH($B$6,'Histórico'!$A:$A),FALSE))),"")</f>
        <v/>
      </c>
      <c r="AR68" s="243" t="str">
        <f t="shared" si="12"/>
        <v/>
      </c>
      <c r="AS68" s="53"/>
      <c r="AT68" s="245"/>
      <c r="AU68" s="242" t="str">
        <f>IF(ISTEXT(AT68),VLOOKUP(AT68,'Cadastro dos Ativos'!$A$2:$C$1000,3,0),"")</f>
        <v/>
      </c>
      <c r="AV68" s="242" t="str">
        <f>IF(AT68 &lt;&gt; "",SUMIFS('Alocação'!$O$3:$O$1002,'Alocação'!$C$3:$C$1002,AT68,'Alocação'!$F$3:$F$1002,AT$9,'Alocação'!$B$3:$B$1002,"&lt;="&amp;$B$6), "")</f>
        <v/>
      </c>
      <c r="AW68" s="243" t="str">
        <f>iferror(IF(AU68="Ações Americanas", HLOOKUP(AT68,'Histórico'!$A$1:$DD$990,MATCH($B$6,'Histórico'!$A:$A),FALSE)*HLOOKUP("PTAX",'Histórico'!$A$1:$FG$983,MATCH($B$6,'Histórico'!$A:$A),FALSE),IF(AU68="Ações Europeias", HLOOKUP(AT68,'Histórico'!$A$1:$DD$990,MATCH($B$6,'Histórico'!$A:$A),FALSE)*HLOOKUP("EUR/BRL",'Histórico'!$A$1:$FG$983,MATCH($B$6,'Histórico'!$A:$A),FALSE),  HLOOKUP(AT68,'Histórico'!$A$1:$DD$990,MATCH($B$6,'Histórico'!$A:$A),FALSE))),"")</f>
        <v/>
      </c>
      <c r="AX68" s="243" t="str">
        <f t="shared" si="13"/>
        <v/>
      </c>
      <c r="AY68" s="53"/>
    </row>
    <row r="69" ht="15.75" customHeight="1">
      <c r="A69" s="176"/>
      <c r="B69" s="288">
        <f>Controle!B69</f>
        <v>45092</v>
      </c>
      <c r="C69" s="233">
        <f>Controle!C69</f>
        <v>103443860.8</v>
      </c>
      <c r="D69" s="289">
        <f>Controle!D69</f>
        <v>79272368.51</v>
      </c>
      <c r="E69" s="290"/>
      <c r="F69" s="291">
        <f>Controle!F69</f>
        <v>106445312.7</v>
      </c>
      <c r="G69" s="289">
        <f>Controle!G69</f>
        <v>122720776.5</v>
      </c>
      <c r="H69" s="290"/>
      <c r="I69" s="291">
        <f>Controle!I69</f>
        <v>105436175.9</v>
      </c>
      <c r="J69" s="233">
        <f>Controle!J69</f>
        <v>72720436.96</v>
      </c>
      <c r="K69" s="292"/>
      <c r="L69" s="233">
        <f>Controle!L69</f>
        <v>106016556.5</v>
      </c>
      <c r="M69" s="233">
        <f>Controle!M69</f>
        <v>61670676.91</v>
      </c>
      <c r="N69" s="240">
        <f>Controle!N69</f>
        <v>0.001565157972</v>
      </c>
      <c r="O69" s="240">
        <f>Controle!O69</f>
        <v>0.02020011707</v>
      </c>
      <c r="P69" s="240">
        <f>Controle!P69</f>
        <v>0.004435094638</v>
      </c>
      <c r="Q69" s="240">
        <f>Controle!Q69</f>
        <v>0.001724918799</v>
      </c>
      <c r="R69" s="293">
        <f>Controle!R69</f>
        <v>102.9347122</v>
      </c>
      <c r="S69" s="287"/>
      <c r="T69" s="233">
        <f t="shared" ref="T69:U69" si="72">IF(AND(C69&lt;&gt;"",F69&lt;&gt;"",I69&lt;&gt;""), SUM(I69,F69,C69),"")</f>
        <v>315325349.3</v>
      </c>
      <c r="U69" s="233">
        <f t="shared" si="72"/>
        <v>274713581.9</v>
      </c>
      <c r="V69" s="233">
        <f t="shared" si="6"/>
        <v>315.3253493</v>
      </c>
      <c r="W69" s="241">
        <f t="shared" si="9"/>
        <v>0.008748957101</v>
      </c>
      <c r="X69" s="241">
        <f t="shared" si="10"/>
        <v>-0.0276576333</v>
      </c>
      <c r="Y69" s="241">
        <f t="shared" si="19"/>
        <v>0.003344302533</v>
      </c>
      <c r="Z69" s="233">
        <f t="shared" si="7"/>
        <v>308.8041365</v>
      </c>
      <c r="AA69" s="294"/>
      <c r="AB69" s="245"/>
      <c r="AC69" s="242" t="str">
        <f>IF(ISTEXT(AB69),VLOOKUP(AB69,'Cadastro dos Ativos'!$A$2:$C$1000,3,0),"")</f>
        <v/>
      </c>
      <c r="AD69" s="242" t="str">
        <f>IF(AB69 &lt;&gt; "",SUMIFS('Alocação'!$O$3:$O$1002,'Alocação'!$C$3:$C$1002,AB69,'Alocação'!$F$3:$F$1002,AB$9,'Alocação'!$B$3:$B$1002,"&lt;="&amp;$B$6), "")</f>
        <v/>
      </c>
      <c r="AE69" s="243" t="str">
        <f>iferror(IF(AC69="Ações Americanas", HLOOKUP(AB69,'Histórico'!$A$1:$DD$990,MATCH($B$6,'Histórico'!$A:$A),FALSE)*HLOOKUP("PTAX",'Histórico'!$A$1:$FG$983,MATCH($B$6,'Histórico'!$A:$A),FALSE),IF(AC69="Ações Europeias", HLOOKUP(AB69,'Histórico'!$A$1:$DD$990,MATCH($B$6,'Histórico'!$A:$A),FALSE)*HLOOKUP("EUR/BRL",'Histórico'!$A$1:$FG$983,MATCH($B$6,'Histórico'!$A:$A),FALSE),  HLOOKUP(AB69,'Histórico'!$A$1:$DD$990,MATCH($B$6,'Histórico'!$A:$A),FALSE))),"")</f>
        <v/>
      </c>
      <c r="AF69" s="243" t="str">
        <f t="shared" si="15"/>
        <v/>
      </c>
      <c r="AG69" s="53"/>
      <c r="AH69" s="245"/>
      <c r="AI69" s="242" t="str">
        <f>IF(ISTEXT(AH69),VLOOKUP(AH69,'Cadastro dos Ativos'!$A$2:$C$1000,3,0),"")</f>
        <v/>
      </c>
      <c r="AJ69" s="242" t="str">
        <f>IF(AH69 &lt;&gt; "",SUMIFS('Alocação'!$O$3:$O$1002,'Alocação'!$C$3:$C$1002,AH69,'Alocação'!$F$3:$F$1002,AH$9,'Alocação'!$B$3:$B$1002,"&lt;="&amp;$B$6), "")</f>
        <v/>
      </c>
      <c r="AK69" s="243" t="str">
        <f>iferror(IF(AI69="Ações Americanas", HLOOKUP(AH69,'Histórico'!$A$1:$DD$990,MATCH($B$6,'Histórico'!$A:$A),FALSE)*HLOOKUP("PTAX",'Histórico'!$A$1:$FG$983,MATCH($B$6,'Histórico'!$A:$A),FALSE),IF(AI69="Ações Europeias", HLOOKUP(AH69,'Histórico'!$A$1:$DD$990,MATCH($B$6,'Histórico'!$A:$A),FALSE)*HLOOKUP("EUR/BRL",'Histórico'!$A$1:$FG$983,MATCH($B$6,'Histórico'!$A:$A),FALSE),  HLOOKUP(AH69,'Histórico'!$A$1:$DD$990,MATCH($B$6,'Histórico'!$A:$A),FALSE))),"")</f>
        <v/>
      </c>
      <c r="AL69" s="243" t="str">
        <f t="shared" si="11"/>
        <v/>
      </c>
      <c r="AM69" s="53"/>
      <c r="AN69" s="245"/>
      <c r="AO69" s="242" t="str">
        <f>IF(ISTEXT(AN69),VLOOKUP(AN69,'Cadastro dos Ativos'!$A$2:$C$1000,3,0),"")</f>
        <v/>
      </c>
      <c r="AP69" s="242" t="str">
        <f>IF(AN69 &lt;&gt; "",SUMIFS('Alocação'!$O$3:$O$1002,'Alocação'!$C$3:$C$1002,AN69,'Alocação'!$F$3:$F$1002,AN$9,'Alocação'!$B$3:$B$1002,"&lt;="&amp;$B$6), "")</f>
        <v/>
      </c>
      <c r="AQ69" s="243" t="str">
        <f>iferror(IF(AO69="Ações Americanas", HLOOKUP(AN69,'Histórico'!$A$1:$DD$990,MATCH($B$6,'Histórico'!$A:$A),FALSE)*HLOOKUP("PTAX",'Histórico'!$A$1:$FG$983,MATCH($B$6,'Histórico'!$A:$A),FALSE),IF(AO69="Ações Europeias", HLOOKUP(AN69,'Histórico'!$A$1:$DD$990,MATCH($B$6,'Histórico'!$A:$A),FALSE)*HLOOKUP("EUR/BRL",'Histórico'!$A$1:$FG$983,MATCH($B$6,'Histórico'!$A:$A),FALSE),  HLOOKUP(AN69,'Histórico'!$A$1:$DD$990,MATCH($B$6,'Histórico'!$A:$A),FALSE))),"")</f>
        <v/>
      </c>
      <c r="AR69" s="243" t="str">
        <f t="shared" si="12"/>
        <v/>
      </c>
      <c r="AS69" s="53"/>
      <c r="AT69" s="245"/>
      <c r="AU69" s="242" t="str">
        <f>IF(ISTEXT(AT69),VLOOKUP(AT69,'Cadastro dos Ativos'!$A$2:$C$1000,3,0),"")</f>
        <v/>
      </c>
      <c r="AV69" s="242" t="str">
        <f>IF(AT69 &lt;&gt; "",SUMIFS('Alocação'!$O$3:$O$1002,'Alocação'!$C$3:$C$1002,AT69,'Alocação'!$F$3:$F$1002,AT$9,'Alocação'!$B$3:$B$1002,"&lt;="&amp;$B$6), "")</f>
        <v/>
      </c>
      <c r="AW69" s="243" t="str">
        <f>iferror(IF(AU69="Ações Americanas", HLOOKUP(AT69,'Histórico'!$A$1:$DD$990,MATCH($B$6,'Histórico'!$A:$A),FALSE)*HLOOKUP("PTAX",'Histórico'!$A$1:$FG$983,MATCH($B$6,'Histórico'!$A:$A),FALSE),IF(AU69="Ações Europeias", HLOOKUP(AT69,'Histórico'!$A$1:$DD$990,MATCH($B$6,'Histórico'!$A:$A),FALSE)*HLOOKUP("EUR/BRL",'Histórico'!$A$1:$FG$983,MATCH($B$6,'Histórico'!$A:$A),FALSE),  HLOOKUP(AT69,'Histórico'!$A$1:$DD$990,MATCH($B$6,'Histórico'!$A:$A),FALSE))),"")</f>
        <v/>
      </c>
      <c r="AX69" s="243" t="str">
        <f t="shared" si="13"/>
        <v/>
      </c>
      <c r="AY69" s="53"/>
    </row>
    <row r="70" ht="15.75" customHeight="1">
      <c r="A70" s="176"/>
      <c r="B70" s="288">
        <f>Controle!B70</f>
        <v>45093</v>
      </c>
      <c r="C70" s="233">
        <f>Controle!C70</f>
        <v>103340475.8</v>
      </c>
      <c r="D70" s="289">
        <f>Controle!D70</f>
        <v>79306517.54</v>
      </c>
      <c r="E70" s="290"/>
      <c r="F70" s="291">
        <f>Controle!F70</f>
        <v>107917009.5</v>
      </c>
      <c r="G70" s="289">
        <f>Controle!G70</f>
        <v>124290566.2</v>
      </c>
      <c r="H70" s="290"/>
      <c r="I70" s="291">
        <f>Controle!I70</f>
        <v>106212761.3</v>
      </c>
      <c r="J70" s="233">
        <f>Controle!J70</f>
        <v>73511085.17</v>
      </c>
      <c r="K70" s="292"/>
      <c r="L70" s="233">
        <f>Controle!L70</f>
        <v>106201963.5</v>
      </c>
      <c r="M70" s="233">
        <f>Controle!M70</f>
        <v>61695734.38</v>
      </c>
      <c r="N70" s="240">
        <f>Controle!N70</f>
        <v>-0.0009994309441</v>
      </c>
      <c r="O70" s="240">
        <f>Controle!O70</f>
        <v>0.01382584883</v>
      </c>
      <c r="P70" s="240">
        <f>Controle!P70</f>
        <v>0.007365454874</v>
      </c>
      <c r="Q70" s="240">
        <f>Controle!Q70</f>
        <v>0.001748849157</v>
      </c>
      <c r="R70" s="293">
        <f>Controle!R70</f>
        <v>102.9851882</v>
      </c>
      <c r="S70" s="287"/>
      <c r="T70" s="233">
        <f t="shared" ref="T70:U70" si="73">IF(AND(C70&lt;&gt;"",F70&lt;&gt;"",I70&lt;&gt;""), SUM(I70,F70,C70),"")</f>
        <v>317470246.5</v>
      </c>
      <c r="U70" s="233">
        <f t="shared" si="73"/>
        <v>277108168.9</v>
      </c>
      <c r="V70" s="233">
        <f t="shared" si="6"/>
        <v>317.4702465</v>
      </c>
      <c r="W70" s="241">
        <f t="shared" si="9"/>
        <v>0.006802171808</v>
      </c>
      <c r="X70" s="241">
        <f t="shared" si="10"/>
        <v>-0.02104359347</v>
      </c>
      <c r="Y70" s="241">
        <f t="shared" si="19"/>
        <v>0.003692511929</v>
      </c>
      <c r="Z70" s="233">
        <f t="shared" si="7"/>
        <v>308.9555647</v>
      </c>
      <c r="AA70" s="294"/>
      <c r="AB70" s="245"/>
      <c r="AC70" s="242" t="str">
        <f>IF(ISTEXT(AB70),VLOOKUP(AB70,'Cadastro dos Ativos'!$A$2:$C$1000,3,0),"")</f>
        <v/>
      </c>
      <c r="AD70" s="242" t="str">
        <f>IF(AB70 &lt;&gt; "",SUMIFS('Alocação'!$O$3:$O$1002,'Alocação'!$C$3:$C$1002,AB70,'Alocação'!$F$3:$F$1002,AB$9,'Alocação'!$B$3:$B$1002,"&lt;="&amp;$B$6), "")</f>
        <v/>
      </c>
      <c r="AE70" s="243" t="str">
        <f>iferror(IF(AC70="Ações Americanas", HLOOKUP(AB70,'Histórico'!$A$1:$DD$990,MATCH($B$6,'Histórico'!$A:$A),FALSE)*HLOOKUP("PTAX",'Histórico'!$A$1:$FG$983,MATCH($B$6,'Histórico'!$A:$A),FALSE),IF(AC70="Ações Europeias", HLOOKUP(AB70,'Histórico'!$A$1:$DD$990,MATCH($B$6,'Histórico'!$A:$A),FALSE)*HLOOKUP("EUR/BRL",'Histórico'!$A$1:$FG$983,MATCH($B$6,'Histórico'!$A:$A),FALSE),  HLOOKUP(AB70,'Histórico'!$A$1:$DD$990,MATCH($B$6,'Histórico'!$A:$A),FALSE))),"")</f>
        <v/>
      </c>
      <c r="AF70" s="243" t="str">
        <f t="shared" si="15"/>
        <v/>
      </c>
      <c r="AG70" s="53"/>
      <c r="AH70" s="245"/>
      <c r="AI70" s="242" t="str">
        <f>IF(ISTEXT(AH70),VLOOKUP(AH70,'Cadastro dos Ativos'!$A$2:$C$1000,3,0),"")</f>
        <v/>
      </c>
      <c r="AJ70" s="242" t="str">
        <f>IF(AH70 &lt;&gt; "",SUMIFS('Alocação'!$O$3:$O$1002,'Alocação'!$C$3:$C$1002,AH70,'Alocação'!$F$3:$F$1002,AH$9,'Alocação'!$B$3:$B$1002,"&lt;="&amp;$B$6), "")</f>
        <v/>
      </c>
      <c r="AK70" s="243" t="str">
        <f>iferror(IF(AI70="Ações Americanas", HLOOKUP(AH70,'Histórico'!$A$1:$DD$990,MATCH($B$6,'Histórico'!$A:$A),FALSE)*HLOOKUP("PTAX",'Histórico'!$A$1:$FG$983,MATCH($B$6,'Histórico'!$A:$A),FALSE),IF(AI70="Ações Europeias", HLOOKUP(AH70,'Histórico'!$A$1:$DD$990,MATCH($B$6,'Histórico'!$A:$A),FALSE)*HLOOKUP("EUR/BRL",'Histórico'!$A$1:$FG$983,MATCH($B$6,'Histórico'!$A:$A),FALSE),  HLOOKUP(AH70,'Histórico'!$A$1:$DD$990,MATCH($B$6,'Histórico'!$A:$A),FALSE))),"")</f>
        <v/>
      </c>
      <c r="AL70" s="243" t="str">
        <f t="shared" si="11"/>
        <v/>
      </c>
      <c r="AM70" s="53"/>
      <c r="AN70" s="245"/>
      <c r="AO70" s="242" t="str">
        <f>IF(ISTEXT(AN70),VLOOKUP(AN70,'Cadastro dos Ativos'!$A$2:$C$1000,3,0),"")</f>
        <v/>
      </c>
      <c r="AP70" s="242" t="str">
        <f>IF(AN70 &lt;&gt; "",SUMIFS('Alocação'!$O$3:$O$1002,'Alocação'!$C$3:$C$1002,AN70,'Alocação'!$F$3:$F$1002,AN$9,'Alocação'!$B$3:$B$1002,"&lt;="&amp;$B$6), "")</f>
        <v/>
      </c>
      <c r="AQ70" s="243" t="str">
        <f>iferror(IF(AO70="Ações Americanas", HLOOKUP(AN70,'Histórico'!$A$1:$DD$990,MATCH($B$6,'Histórico'!$A:$A),FALSE)*HLOOKUP("PTAX",'Histórico'!$A$1:$FG$983,MATCH($B$6,'Histórico'!$A:$A),FALSE),IF(AO70="Ações Europeias", HLOOKUP(AN70,'Histórico'!$A$1:$DD$990,MATCH($B$6,'Histórico'!$A:$A),FALSE)*HLOOKUP("EUR/BRL",'Histórico'!$A$1:$FG$983,MATCH($B$6,'Histórico'!$A:$A),FALSE),  HLOOKUP(AN70,'Histórico'!$A$1:$DD$990,MATCH($B$6,'Histórico'!$A:$A),FALSE))),"")</f>
        <v/>
      </c>
      <c r="AR70" s="243" t="str">
        <f t="shared" si="12"/>
        <v/>
      </c>
      <c r="AS70" s="53"/>
      <c r="AT70" s="245"/>
      <c r="AU70" s="242" t="str">
        <f>IF(ISTEXT(AT70),VLOOKUP(AT70,'Cadastro dos Ativos'!$A$2:$C$1000,3,0),"")</f>
        <v/>
      </c>
      <c r="AV70" s="242" t="str">
        <f>IF(AT70 &lt;&gt; "",SUMIFS('Alocação'!$O$3:$O$1002,'Alocação'!$C$3:$C$1002,AT70,'Alocação'!$F$3:$F$1002,AT$9,'Alocação'!$B$3:$B$1002,"&lt;="&amp;$B$6), "")</f>
        <v/>
      </c>
      <c r="AW70" s="243" t="str">
        <f>iferror(IF(AU70="Ações Americanas", HLOOKUP(AT70,'Histórico'!$A$1:$DD$990,MATCH($B$6,'Histórico'!$A:$A),FALSE)*HLOOKUP("PTAX",'Histórico'!$A$1:$FG$983,MATCH($B$6,'Histórico'!$A:$A),FALSE),IF(AU70="Ações Europeias", HLOOKUP(AT70,'Histórico'!$A$1:$DD$990,MATCH($B$6,'Histórico'!$A:$A),FALSE)*HLOOKUP("EUR/BRL",'Histórico'!$A$1:$FG$983,MATCH($B$6,'Histórico'!$A:$A),FALSE),  HLOOKUP(AT70,'Histórico'!$A$1:$DD$990,MATCH($B$6,'Histórico'!$A:$A),FALSE))),"")</f>
        <v/>
      </c>
      <c r="AX70" s="243" t="str">
        <f t="shared" si="13"/>
        <v/>
      </c>
      <c r="AY70" s="53"/>
    </row>
    <row r="71" ht="15.75" customHeight="1">
      <c r="A71" s="176"/>
      <c r="B71" s="288">
        <f>Controle!B71</f>
        <v>45096</v>
      </c>
      <c r="C71" s="233">
        <f>Controle!C71</f>
        <v>103370612</v>
      </c>
      <c r="D71" s="289">
        <f>Controle!D71</f>
        <v>79340690.01</v>
      </c>
      <c r="E71" s="290"/>
      <c r="F71" s="291">
        <f>Controle!F71</f>
        <v>108080208.6</v>
      </c>
      <c r="G71" s="289">
        <f>Controle!G71</f>
        <v>116719165</v>
      </c>
      <c r="H71" s="290"/>
      <c r="I71" s="291">
        <f>Controle!I71</f>
        <v>106015320.3</v>
      </c>
      <c r="J71" s="233">
        <f>Controle!J71</f>
        <v>73644810.05</v>
      </c>
      <c r="K71" s="292"/>
      <c r="L71" s="233">
        <f>Controle!L71</f>
        <v>105812822.4</v>
      </c>
      <c r="M71" s="233">
        <f>Controle!M71</f>
        <v>61720793.62</v>
      </c>
      <c r="N71" s="235">
        <f>Controle!N71</f>
        <v>0.0002916204284</v>
      </c>
      <c r="O71" s="235">
        <f>Controle!O71</f>
        <v>0.001512264655</v>
      </c>
      <c r="P71" s="235">
        <f>Controle!P71</f>
        <v>-0.001858919527</v>
      </c>
      <c r="Q71" s="235">
        <f>Controle!Q71</f>
        <v>-0.003664160369</v>
      </c>
      <c r="R71" s="293">
        <f>Controle!R71</f>
        <v>103.0356891</v>
      </c>
      <c r="S71" s="287"/>
      <c r="T71" s="233">
        <f t="shared" ref="T71:U71" si="74">IF(AND(C71&lt;&gt;"",F71&lt;&gt;"",I71&lt;&gt;""), SUM(I71,F71,C71),"")</f>
        <v>317466140.8</v>
      </c>
      <c r="U71" s="233">
        <f t="shared" si="74"/>
        <v>269704665</v>
      </c>
      <c r="V71" s="233">
        <f t="shared" si="6"/>
        <v>317.4661408</v>
      </c>
      <c r="W71" s="241">
        <f t="shared" si="9"/>
        <v>-0.00001293255981</v>
      </c>
      <c r="X71" s="241">
        <f t="shared" si="10"/>
        <v>-0.02105625388</v>
      </c>
      <c r="Y71" s="241">
        <f t="shared" si="19"/>
        <v>0.004022501268</v>
      </c>
      <c r="Z71" s="233">
        <f t="shared" si="7"/>
        <v>309.1070673</v>
      </c>
      <c r="AA71" s="294"/>
      <c r="AB71" s="245"/>
      <c r="AC71" s="242" t="str">
        <f>IF(ISTEXT(AB71),VLOOKUP(AB71,'Cadastro dos Ativos'!$A$2:$C$1000,3,0),"")</f>
        <v/>
      </c>
      <c r="AD71" s="242" t="str">
        <f>IF(AB71 &lt;&gt; "",SUMIFS('Alocação'!$O$3:$O$1002,'Alocação'!$C$3:$C$1002,AB71,'Alocação'!$F$3:$F$1002,AB$9,'Alocação'!$B$3:$B$1002,"&lt;="&amp;$B$6), "")</f>
        <v/>
      </c>
      <c r="AE71" s="243" t="str">
        <f>iferror(IF(AC71="Ações Americanas", HLOOKUP(AB71,'Histórico'!$A$1:$DD$990,MATCH($B$6,'Histórico'!$A:$A),FALSE)*HLOOKUP("PTAX",'Histórico'!$A$1:$FG$983,MATCH($B$6,'Histórico'!$A:$A),FALSE),IF(AC71="Ações Europeias", HLOOKUP(AB71,'Histórico'!$A$1:$DD$990,MATCH($B$6,'Histórico'!$A:$A),FALSE)*HLOOKUP("EUR/BRL",'Histórico'!$A$1:$FG$983,MATCH($B$6,'Histórico'!$A:$A),FALSE),  HLOOKUP(AB71,'Histórico'!$A$1:$DD$990,MATCH($B$6,'Histórico'!$A:$A),FALSE))),"")</f>
        <v/>
      </c>
      <c r="AF71" s="243" t="str">
        <f t="shared" si="15"/>
        <v/>
      </c>
      <c r="AG71" s="53"/>
      <c r="AH71" s="245"/>
      <c r="AI71" s="242" t="str">
        <f>IF(ISTEXT(AH71),VLOOKUP(AH71,'Cadastro dos Ativos'!$A$2:$C$1000,3,0),"")</f>
        <v/>
      </c>
      <c r="AJ71" s="242" t="str">
        <f>IF(AH71 &lt;&gt; "",SUMIFS('Alocação'!$O$3:$O$1002,'Alocação'!$C$3:$C$1002,AH71,'Alocação'!$F$3:$F$1002,AH$9,'Alocação'!$B$3:$B$1002,"&lt;="&amp;$B$6), "")</f>
        <v/>
      </c>
      <c r="AK71" s="243" t="str">
        <f>iferror(IF(AI71="Ações Americanas", HLOOKUP(AH71,'Histórico'!$A$1:$DD$990,MATCH($B$6,'Histórico'!$A:$A),FALSE)*HLOOKUP("PTAX",'Histórico'!$A$1:$FG$983,MATCH($B$6,'Histórico'!$A:$A),FALSE),IF(AI71="Ações Europeias", HLOOKUP(AH71,'Histórico'!$A$1:$DD$990,MATCH($B$6,'Histórico'!$A:$A),FALSE)*HLOOKUP("EUR/BRL",'Histórico'!$A$1:$FG$983,MATCH($B$6,'Histórico'!$A:$A),FALSE),  HLOOKUP(AH71,'Histórico'!$A$1:$DD$990,MATCH($B$6,'Histórico'!$A:$A),FALSE))),"")</f>
        <v/>
      </c>
      <c r="AL71" s="243" t="str">
        <f t="shared" si="11"/>
        <v/>
      </c>
      <c r="AM71" s="53"/>
      <c r="AN71" s="245"/>
      <c r="AO71" s="242" t="str">
        <f>IF(ISTEXT(AN71),VLOOKUP(AN71,'Cadastro dos Ativos'!$A$2:$C$1000,3,0),"")</f>
        <v/>
      </c>
      <c r="AP71" s="242" t="str">
        <f>IF(AN71 &lt;&gt; "",SUMIFS('Alocação'!$O$3:$O$1002,'Alocação'!$C$3:$C$1002,AN71,'Alocação'!$F$3:$F$1002,AN$9,'Alocação'!$B$3:$B$1002,"&lt;="&amp;$B$6), "")</f>
        <v/>
      </c>
      <c r="AQ71" s="243" t="str">
        <f>iferror(IF(AO71="Ações Americanas", HLOOKUP(AN71,'Histórico'!$A$1:$DD$990,MATCH($B$6,'Histórico'!$A:$A),FALSE)*HLOOKUP("PTAX",'Histórico'!$A$1:$FG$983,MATCH($B$6,'Histórico'!$A:$A),FALSE),IF(AO71="Ações Europeias", HLOOKUP(AN71,'Histórico'!$A$1:$DD$990,MATCH($B$6,'Histórico'!$A:$A),FALSE)*HLOOKUP("EUR/BRL",'Histórico'!$A$1:$FG$983,MATCH($B$6,'Histórico'!$A:$A),FALSE),  HLOOKUP(AN71,'Histórico'!$A$1:$DD$990,MATCH($B$6,'Histórico'!$A:$A),FALSE))),"")</f>
        <v/>
      </c>
      <c r="AR71" s="243" t="str">
        <f t="shared" si="12"/>
        <v/>
      </c>
      <c r="AS71" s="53"/>
      <c r="AT71" s="245"/>
      <c r="AU71" s="242" t="str">
        <f>IF(ISTEXT(AT71),VLOOKUP(AT71,'Cadastro dos Ativos'!$A$2:$C$1000,3,0),"")</f>
        <v/>
      </c>
      <c r="AV71" s="242" t="str">
        <f>IF(AT71 &lt;&gt; "",SUMIFS('Alocação'!$O$3:$O$1002,'Alocação'!$C$3:$C$1002,AT71,'Alocação'!$F$3:$F$1002,AT$9,'Alocação'!$B$3:$B$1002,"&lt;="&amp;$B$6), "")</f>
        <v/>
      </c>
      <c r="AW71" s="243" t="str">
        <f>iferror(IF(AU71="Ações Americanas", HLOOKUP(AT71,'Histórico'!$A$1:$DD$990,MATCH($B$6,'Histórico'!$A:$A),FALSE)*HLOOKUP("PTAX",'Histórico'!$A$1:$FG$983,MATCH($B$6,'Histórico'!$A:$A),FALSE),IF(AU71="Ações Europeias", HLOOKUP(AT71,'Histórico'!$A$1:$DD$990,MATCH($B$6,'Histórico'!$A:$A),FALSE)*HLOOKUP("EUR/BRL",'Histórico'!$A$1:$FG$983,MATCH($B$6,'Histórico'!$A:$A),FALSE),  HLOOKUP(AT71,'Histórico'!$A$1:$DD$990,MATCH($B$6,'Histórico'!$A:$A),FALSE))),"")</f>
        <v/>
      </c>
      <c r="AX71" s="243" t="str">
        <f t="shared" si="13"/>
        <v/>
      </c>
      <c r="AY71" s="53"/>
    </row>
    <row r="72" ht="15.75" customHeight="1">
      <c r="A72" s="176"/>
      <c r="B72" s="288">
        <f>Controle!B72</f>
        <v>45097</v>
      </c>
      <c r="C72" s="233">
        <f>Controle!C72</f>
        <v>103256896.5</v>
      </c>
      <c r="D72" s="289">
        <f>Controle!D72</f>
        <v>79374878.06</v>
      </c>
      <c r="E72" s="290"/>
      <c r="F72" s="291">
        <f>Controle!F72</f>
        <v>108342306.4</v>
      </c>
      <c r="G72" s="289">
        <f>Controle!G72</f>
        <v>116734982.6</v>
      </c>
      <c r="H72" s="290"/>
      <c r="I72" s="291">
        <f>Controle!I72</f>
        <v>105645151.5</v>
      </c>
      <c r="J72" s="233">
        <f>Controle!J72</f>
        <v>73393703.22</v>
      </c>
      <c r="K72" s="292"/>
      <c r="L72" s="233">
        <f>Controle!L72</f>
        <v>105061817.1</v>
      </c>
      <c r="M72" s="233">
        <f>Controle!M72</f>
        <v>61745888.58</v>
      </c>
      <c r="N72" s="235">
        <f>Controle!N72</f>
        <v>-0.001100075238</v>
      </c>
      <c r="O72" s="235">
        <f>Controle!O72</f>
        <v>0.002425030573</v>
      </c>
      <c r="P72" s="235">
        <f>Controle!P72</f>
        <v>-0.003491654001</v>
      </c>
      <c r="Q72" s="235">
        <f>Controle!Q72</f>
        <v>-0.007097488694</v>
      </c>
      <c r="R72" s="293">
        <f>Controle!R72</f>
        <v>103.0862147</v>
      </c>
      <c r="S72" s="287"/>
      <c r="T72" s="233">
        <f t="shared" ref="T72:U72" si="75">IF(AND(C72&lt;&gt;"",F72&lt;&gt;"",I72&lt;&gt;""), SUM(I72,F72,C72),"")</f>
        <v>317244354.3</v>
      </c>
      <c r="U72" s="233">
        <f t="shared" si="75"/>
        <v>269503563.8</v>
      </c>
      <c r="V72" s="233">
        <f t="shared" si="6"/>
        <v>317.2443543</v>
      </c>
      <c r="W72" s="241">
        <f t="shared" si="9"/>
        <v>-0.0006986145271</v>
      </c>
      <c r="X72" s="241">
        <f t="shared" si="10"/>
        <v>-0.0217401582</v>
      </c>
      <c r="Y72" s="241">
        <f t="shared" si="19"/>
        <v>0.004287864463</v>
      </c>
      <c r="Z72" s="233">
        <f t="shared" si="7"/>
        <v>309.2586441</v>
      </c>
      <c r="AA72" s="294"/>
      <c r="AB72" s="245"/>
      <c r="AC72" s="242" t="str">
        <f>IF(ISTEXT(AB72),VLOOKUP(AB72,'Cadastro dos Ativos'!$A$2:$C$1000,3,0),"")</f>
        <v/>
      </c>
      <c r="AD72" s="242" t="str">
        <f>IF(AB72 &lt;&gt; "",SUMIFS('Alocação'!$O$3:$O$1002,'Alocação'!$C$3:$C$1002,AB72,'Alocação'!$F$3:$F$1002,AB$9,'Alocação'!$B$3:$B$1002,"&lt;="&amp;$B$6), "")</f>
        <v/>
      </c>
      <c r="AE72" s="243" t="str">
        <f>iferror(IF(AC72="Ações Americanas", HLOOKUP(AB72,'Histórico'!$A$1:$DD$990,MATCH($B$6,'Histórico'!$A:$A),FALSE)*HLOOKUP("PTAX",'Histórico'!$A$1:$FG$983,MATCH($B$6,'Histórico'!$A:$A),FALSE),IF(AC72="Ações Europeias", HLOOKUP(AB72,'Histórico'!$A$1:$DD$990,MATCH($B$6,'Histórico'!$A:$A),FALSE)*HLOOKUP("EUR/BRL",'Histórico'!$A$1:$FG$983,MATCH($B$6,'Histórico'!$A:$A),FALSE),  HLOOKUP(AB72,'Histórico'!$A$1:$DD$990,MATCH($B$6,'Histórico'!$A:$A),FALSE))),"")</f>
        <v/>
      </c>
      <c r="AF72" s="243" t="str">
        <f t="shared" si="15"/>
        <v/>
      </c>
      <c r="AG72" s="53"/>
      <c r="AH72" s="245"/>
      <c r="AI72" s="242" t="str">
        <f>IF(ISTEXT(AH72),VLOOKUP(AH72,'Cadastro dos Ativos'!$A$2:$C$1000,3,0),"")</f>
        <v/>
      </c>
      <c r="AJ72" s="242" t="str">
        <f>IF(AH72 &lt;&gt; "",SUMIFS('Alocação'!$O$3:$O$1002,'Alocação'!$C$3:$C$1002,AH72,'Alocação'!$F$3:$F$1002,AH$9,'Alocação'!$B$3:$B$1002,"&lt;="&amp;$B$6), "")</f>
        <v/>
      </c>
      <c r="AK72" s="243" t="str">
        <f>iferror(IF(AI72="Ações Americanas", HLOOKUP(AH72,'Histórico'!$A$1:$DD$990,MATCH($B$6,'Histórico'!$A:$A),FALSE)*HLOOKUP("PTAX",'Histórico'!$A$1:$FG$983,MATCH($B$6,'Histórico'!$A:$A),FALSE),IF(AI72="Ações Europeias", HLOOKUP(AH72,'Histórico'!$A$1:$DD$990,MATCH($B$6,'Histórico'!$A:$A),FALSE)*HLOOKUP("EUR/BRL",'Histórico'!$A$1:$FG$983,MATCH($B$6,'Histórico'!$A:$A),FALSE),  HLOOKUP(AH72,'Histórico'!$A$1:$DD$990,MATCH($B$6,'Histórico'!$A:$A),FALSE))),"")</f>
        <v/>
      </c>
      <c r="AL72" s="243" t="str">
        <f t="shared" si="11"/>
        <v/>
      </c>
      <c r="AM72" s="53"/>
      <c r="AN72" s="245"/>
      <c r="AO72" s="242" t="str">
        <f>IF(ISTEXT(AN72),VLOOKUP(AN72,'Cadastro dos Ativos'!$A$2:$C$1000,3,0),"")</f>
        <v/>
      </c>
      <c r="AP72" s="242" t="str">
        <f>IF(AN72 &lt;&gt; "",SUMIFS('Alocação'!$O$3:$O$1002,'Alocação'!$C$3:$C$1002,AN72,'Alocação'!$F$3:$F$1002,AN$9,'Alocação'!$B$3:$B$1002,"&lt;="&amp;$B$6), "")</f>
        <v/>
      </c>
      <c r="AQ72" s="243" t="str">
        <f>iferror(IF(AO72="Ações Americanas", HLOOKUP(AN72,'Histórico'!$A$1:$DD$990,MATCH($B$6,'Histórico'!$A:$A),FALSE)*HLOOKUP("PTAX",'Histórico'!$A$1:$FG$983,MATCH($B$6,'Histórico'!$A:$A),FALSE),IF(AO72="Ações Europeias", HLOOKUP(AN72,'Histórico'!$A$1:$DD$990,MATCH($B$6,'Histórico'!$A:$A),FALSE)*HLOOKUP("EUR/BRL",'Histórico'!$A$1:$FG$983,MATCH($B$6,'Histórico'!$A:$A),FALSE),  HLOOKUP(AN72,'Histórico'!$A$1:$DD$990,MATCH($B$6,'Histórico'!$A:$A),FALSE))),"")</f>
        <v/>
      </c>
      <c r="AR72" s="243" t="str">
        <f t="shared" si="12"/>
        <v/>
      </c>
      <c r="AS72" s="53"/>
      <c r="AT72" s="245"/>
      <c r="AU72" s="242" t="str">
        <f>IF(ISTEXT(AT72),VLOOKUP(AT72,'Cadastro dos Ativos'!$A$2:$C$1000,3,0),"")</f>
        <v/>
      </c>
      <c r="AV72" s="242" t="str">
        <f>IF(AT72 &lt;&gt; "",SUMIFS('Alocação'!$O$3:$O$1002,'Alocação'!$C$3:$C$1002,AT72,'Alocação'!$F$3:$F$1002,AT$9,'Alocação'!$B$3:$B$1002,"&lt;="&amp;$B$6), "")</f>
        <v/>
      </c>
      <c r="AW72" s="243" t="str">
        <f>iferror(IF(AU72="Ações Americanas", HLOOKUP(AT72,'Histórico'!$A$1:$DD$990,MATCH($B$6,'Histórico'!$A:$A),FALSE)*HLOOKUP("PTAX",'Histórico'!$A$1:$FG$983,MATCH($B$6,'Histórico'!$A:$A),FALSE),IF(AU72="Ações Europeias", HLOOKUP(AT72,'Histórico'!$A$1:$DD$990,MATCH($B$6,'Histórico'!$A:$A),FALSE)*HLOOKUP("EUR/BRL",'Histórico'!$A$1:$FG$983,MATCH($B$6,'Histórico'!$A:$A),FALSE),  HLOOKUP(AT72,'Histórico'!$A$1:$DD$990,MATCH($B$6,'Histórico'!$A:$A),FALSE))),"")</f>
        <v/>
      </c>
      <c r="AX72" s="243" t="str">
        <f t="shared" si="13"/>
        <v/>
      </c>
      <c r="AY72" s="53"/>
    </row>
    <row r="73" ht="15.75" customHeight="1">
      <c r="A73" s="176"/>
      <c r="B73" s="288">
        <f>Controle!B73</f>
        <v>45098</v>
      </c>
      <c r="C73" s="233">
        <f>Controle!C73</f>
        <v>103159942.3</v>
      </c>
      <c r="D73" s="289">
        <f>Controle!D73</f>
        <v>79409090.19</v>
      </c>
      <c r="E73" s="290"/>
      <c r="F73" s="291">
        <f>Controle!F73</f>
        <v>108658157.9</v>
      </c>
      <c r="G73" s="289">
        <f>Controle!G73</f>
        <v>117251025.2</v>
      </c>
      <c r="H73" s="290"/>
      <c r="I73" s="291">
        <f>Controle!I73</f>
        <v>105675962.2</v>
      </c>
      <c r="J73" s="233">
        <f>Controle!J73</f>
        <v>73664465.62</v>
      </c>
      <c r="K73" s="292"/>
      <c r="L73" s="233">
        <f>Controle!L73</f>
        <v>104907068.2</v>
      </c>
      <c r="M73" s="233">
        <f>Controle!M73</f>
        <v>61771040.66</v>
      </c>
      <c r="N73" s="235">
        <f>Controle!N73</f>
        <v>-0.0009389610855</v>
      </c>
      <c r="O73" s="235">
        <f>Controle!O73</f>
        <v>0.002915311217</v>
      </c>
      <c r="P73" s="235">
        <f>Controle!P73</f>
        <v>0.0002916431599</v>
      </c>
      <c r="Q73" s="235">
        <f>Controle!Q73</f>
        <v>-0.001472931797</v>
      </c>
      <c r="R73" s="293">
        <f>Controle!R73</f>
        <v>103.1367651</v>
      </c>
      <c r="S73" s="287"/>
      <c r="T73" s="233">
        <f t="shared" ref="T73:U73" si="76">IF(AND(C73&lt;&gt;"",F73&lt;&gt;"",I73&lt;&gt;""), SUM(I73,F73,C73),"")</f>
        <v>317494062.4</v>
      </c>
      <c r="U73" s="233">
        <f t="shared" si="76"/>
        <v>270324581</v>
      </c>
      <c r="V73" s="233">
        <f t="shared" si="6"/>
        <v>317.4940624</v>
      </c>
      <c r="W73" s="241">
        <f t="shared" si="9"/>
        <v>0.0007871157227</v>
      </c>
      <c r="X73" s="241">
        <f t="shared" si="10"/>
        <v>-0.0209701545</v>
      </c>
      <c r="Y73" s="241">
        <f t="shared" si="19"/>
        <v>0.00433251766</v>
      </c>
      <c r="Z73" s="233">
        <f t="shared" si="7"/>
        <v>309.4102953</v>
      </c>
      <c r="AA73" s="294"/>
      <c r="AB73" s="245"/>
      <c r="AC73" s="242" t="str">
        <f>IF(ISTEXT(AB73),VLOOKUP(AB73,'Cadastro dos Ativos'!$A$2:$C$1000,3,0),"")</f>
        <v/>
      </c>
      <c r="AD73" s="242" t="str">
        <f>IF(AB73 &lt;&gt; "",SUMIFS('Alocação'!$O$3:$O$1002,'Alocação'!$C$3:$C$1002,AB73,'Alocação'!$F$3:$F$1002,AB$9,'Alocação'!$B$3:$B$1002,"&lt;="&amp;$B$6), "")</f>
        <v/>
      </c>
      <c r="AE73" s="243" t="str">
        <f>iferror(IF(AC73="Ações Americanas", HLOOKUP(AB73,'Histórico'!$A$1:$DD$990,MATCH($B$6,'Histórico'!$A:$A),FALSE)*HLOOKUP("PTAX",'Histórico'!$A$1:$FG$983,MATCH($B$6,'Histórico'!$A:$A),FALSE),IF(AC73="Ações Europeias", HLOOKUP(AB73,'Histórico'!$A$1:$DD$990,MATCH($B$6,'Histórico'!$A:$A),FALSE)*HLOOKUP("EUR/BRL",'Histórico'!$A$1:$FG$983,MATCH($B$6,'Histórico'!$A:$A),FALSE),  HLOOKUP(AB73,'Histórico'!$A$1:$DD$990,MATCH($B$6,'Histórico'!$A:$A),FALSE))),"")</f>
        <v/>
      </c>
      <c r="AF73" s="243" t="str">
        <f t="shared" si="15"/>
        <v/>
      </c>
      <c r="AG73" s="53"/>
      <c r="AH73" s="245"/>
      <c r="AI73" s="242" t="str">
        <f>IF(ISTEXT(AH73),VLOOKUP(AH73,'Cadastro dos Ativos'!$A$2:$C$1000,3,0),"")</f>
        <v/>
      </c>
      <c r="AJ73" s="242" t="str">
        <f>IF(AH73 &lt;&gt; "",SUMIFS('Alocação'!$O$3:$O$1002,'Alocação'!$C$3:$C$1002,AH73,'Alocação'!$F$3:$F$1002,AH$9,'Alocação'!$B$3:$B$1002,"&lt;="&amp;$B$6), "")</f>
        <v/>
      </c>
      <c r="AK73" s="243" t="str">
        <f>iferror(IF(AI73="Ações Americanas", HLOOKUP(AH73,'Histórico'!$A$1:$DD$990,MATCH($B$6,'Histórico'!$A:$A),FALSE)*HLOOKUP("PTAX",'Histórico'!$A$1:$FG$983,MATCH($B$6,'Histórico'!$A:$A),FALSE),IF(AI73="Ações Europeias", HLOOKUP(AH73,'Histórico'!$A$1:$DD$990,MATCH($B$6,'Histórico'!$A:$A),FALSE)*HLOOKUP("EUR/BRL",'Histórico'!$A$1:$FG$983,MATCH($B$6,'Histórico'!$A:$A),FALSE),  HLOOKUP(AH73,'Histórico'!$A$1:$DD$990,MATCH($B$6,'Histórico'!$A:$A),FALSE))),"")</f>
        <v/>
      </c>
      <c r="AL73" s="243" t="str">
        <f t="shared" si="11"/>
        <v/>
      </c>
      <c r="AM73" s="53"/>
      <c r="AN73" s="245"/>
      <c r="AO73" s="242" t="str">
        <f>IF(ISTEXT(AN73),VLOOKUP(AN73,'Cadastro dos Ativos'!$A$2:$C$1000,3,0),"")</f>
        <v/>
      </c>
      <c r="AP73" s="242" t="str">
        <f>IF(AN73 &lt;&gt; "",SUMIFS('Alocação'!$O$3:$O$1002,'Alocação'!$C$3:$C$1002,AN73,'Alocação'!$F$3:$F$1002,AN$9,'Alocação'!$B$3:$B$1002,"&lt;="&amp;$B$6), "")</f>
        <v/>
      </c>
      <c r="AQ73" s="243" t="str">
        <f>iferror(IF(AO73="Ações Americanas", HLOOKUP(AN73,'Histórico'!$A$1:$DD$990,MATCH($B$6,'Histórico'!$A:$A),FALSE)*HLOOKUP("PTAX",'Histórico'!$A$1:$FG$983,MATCH($B$6,'Histórico'!$A:$A),FALSE),IF(AO73="Ações Europeias", HLOOKUP(AN73,'Histórico'!$A$1:$DD$990,MATCH($B$6,'Histórico'!$A:$A),FALSE)*HLOOKUP("EUR/BRL",'Histórico'!$A$1:$FG$983,MATCH($B$6,'Histórico'!$A:$A),FALSE),  HLOOKUP(AN73,'Histórico'!$A$1:$DD$990,MATCH($B$6,'Histórico'!$A:$A),FALSE))),"")</f>
        <v/>
      </c>
      <c r="AR73" s="243" t="str">
        <f t="shared" si="12"/>
        <v/>
      </c>
      <c r="AS73" s="53"/>
      <c r="AT73" s="245"/>
      <c r="AU73" s="242" t="str">
        <f>IF(ISTEXT(AT73),VLOOKUP(AT73,'Cadastro dos Ativos'!$A$2:$C$1000,3,0),"")</f>
        <v/>
      </c>
      <c r="AV73" s="242" t="str">
        <f>IF(AT73 &lt;&gt; "",SUMIFS('Alocação'!$O$3:$O$1002,'Alocação'!$C$3:$C$1002,AT73,'Alocação'!$F$3:$F$1002,AT$9,'Alocação'!$B$3:$B$1002,"&lt;="&amp;$B$6), "")</f>
        <v/>
      </c>
      <c r="AW73" s="243" t="str">
        <f>iferror(IF(AU73="Ações Americanas", HLOOKUP(AT73,'Histórico'!$A$1:$DD$990,MATCH($B$6,'Histórico'!$A:$A),FALSE)*HLOOKUP("PTAX",'Histórico'!$A$1:$FG$983,MATCH($B$6,'Histórico'!$A:$A),FALSE),IF(AU73="Ações Europeias", HLOOKUP(AT73,'Histórico'!$A$1:$DD$990,MATCH($B$6,'Histórico'!$A:$A),FALSE)*HLOOKUP("EUR/BRL",'Histórico'!$A$1:$FG$983,MATCH($B$6,'Histórico'!$A:$A),FALSE),  HLOOKUP(AT73,'Histórico'!$A$1:$DD$990,MATCH($B$6,'Histórico'!$A:$A),FALSE))),"")</f>
        <v/>
      </c>
      <c r="AX73" s="243" t="str">
        <f t="shared" si="13"/>
        <v/>
      </c>
      <c r="AY73" s="53"/>
    </row>
    <row r="74" ht="15.75" customHeight="1">
      <c r="A74" s="176"/>
      <c r="B74" s="288">
        <f>Controle!B74</f>
        <v>45099</v>
      </c>
      <c r="C74" s="233">
        <f>Controle!C74</f>
        <v>103175996.2</v>
      </c>
      <c r="D74" s="289">
        <f>Controle!D74</f>
        <v>79443325.42</v>
      </c>
      <c r="E74" s="290"/>
      <c r="F74" s="291">
        <f>Controle!F74</f>
        <v>109175786</v>
      </c>
      <c r="G74" s="289">
        <f>Controle!G74</f>
        <v>117571821.7</v>
      </c>
      <c r="H74" s="290"/>
      <c r="I74" s="291">
        <f>Controle!I74</f>
        <v>106571856</v>
      </c>
      <c r="J74" s="233">
        <f>Controle!J74</f>
        <v>74299374.12</v>
      </c>
      <c r="K74" s="292"/>
      <c r="L74" s="233">
        <f>Controle!L74</f>
        <v>105169743.4</v>
      </c>
      <c r="M74" s="233">
        <f>Controle!M74</f>
        <v>72466214.65</v>
      </c>
      <c r="N74" s="235">
        <f>Controle!N74</f>
        <v>0.0001556213879</v>
      </c>
      <c r="O74" s="235">
        <f>Controle!O74</f>
        <v>0.004763821839</v>
      </c>
      <c r="P74" s="235">
        <f>Controle!P74</f>
        <v>0.008477744451</v>
      </c>
      <c r="Q74" s="235">
        <f>Controle!Q74</f>
        <v>0.002503883891</v>
      </c>
      <c r="R74" s="293">
        <f>Controle!R74</f>
        <v>103.1873403</v>
      </c>
      <c r="S74" s="287"/>
      <c r="T74" s="233">
        <f t="shared" ref="T74:U74" si="77">IF(AND(C74&lt;&gt;"",F74&lt;&gt;"",I74&lt;&gt;""), SUM(I74,F74,C74),"")</f>
        <v>318923638.2</v>
      </c>
      <c r="U74" s="233">
        <f t="shared" si="77"/>
        <v>271314521.3</v>
      </c>
      <c r="V74" s="233">
        <f t="shared" si="6"/>
        <v>318.9236382</v>
      </c>
      <c r="W74" s="241">
        <f t="shared" si="9"/>
        <v>0.004502685153</v>
      </c>
      <c r="X74" s="241">
        <f t="shared" si="10"/>
        <v>-0.01656189135</v>
      </c>
      <c r="Y74" s="241">
        <f t="shared" si="19"/>
        <v>0.003230660854</v>
      </c>
      <c r="Z74" s="233">
        <f t="shared" si="7"/>
        <v>309.5620208</v>
      </c>
      <c r="AA74" s="294"/>
      <c r="AB74" s="245"/>
      <c r="AC74" s="242" t="str">
        <f>IF(ISTEXT(AB74),VLOOKUP(AB74,'Cadastro dos Ativos'!$A$2:$C$1000,3,0),"")</f>
        <v/>
      </c>
      <c r="AD74" s="242" t="str">
        <f>IF(AB74 &lt;&gt; "",SUMIFS('Alocação'!$O$3:$O$1002,'Alocação'!$C$3:$C$1002,AB74,'Alocação'!$F$3:$F$1002,AB$9,'Alocação'!$B$3:$B$1002,"&lt;="&amp;$B$6), "")</f>
        <v/>
      </c>
      <c r="AE74" s="243" t="str">
        <f>iferror(IF(AC74="Ações Americanas", HLOOKUP(AB74,'Histórico'!$A$1:$DD$990,MATCH($B$6,'Histórico'!$A:$A),FALSE)*HLOOKUP("PTAX",'Histórico'!$A$1:$FG$983,MATCH($B$6,'Histórico'!$A:$A),FALSE),IF(AC74="Ações Europeias", HLOOKUP(AB74,'Histórico'!$A$1:$DD$990,MATCH($B$6,'Histórico'!$A:$A),FALSE)*HLOOKUP("EUR/BRL",'Histórico'!$A$1:$FG$983,MATCH($B$6,'Histórico'!$A:$A),FALSE),  HLOOKUP(AB74,'Histórico'!$A$1:$DD$990,MATCH($B$6,'Histórico'!$A:$A),FALSE))),"")</f>
        <v/>
      </c>
      <c r="AF74" s="243" t="str">
        <f t="shared" si="15"/>
        <v/>
      </c>
      <c r="AG74" s="53"/>
      <c r="AH74" s="245"/>
      <c r="AI74" s="242" t="str">
        <f>IF(ISTEXT(AH74),VLOOKUP(AH74,'Cadastro dos Ativos'!$A$2:$C$1000,3,0),"")</f>
        <v/>
      </c>
      <c r="AJ74" s="242" t="str">
        <f>IF(AH74 &lt;&gt; "",SUMIFS('Alocação'!$O$3:$O$1002,'Alocação'!$C$3:$C$1002,AH74,'Alocação'!$F$3:$F$1002,AH$9,'Alocação'!$B$3:$B$1002,"&lt;="&amp;$B$6), "")</f>
        <v/>
      </c>
      <c r="AK74" s="243" t="str">
        <f>iferror(IF(AI74="Ações Americanas", HLOOKUP(AH74,'Histórico'!$A$1:$DD$990,MATCH($B$6,'Histórico'!$A:$A),FALSE)*HLOOKUP("PTAX",'Histórico'!$A$1:$FG$983,MATCH($B$6,'Histórico'!$A:$A),FALSE),IF(AI74="Ações Europeias", HLOOKUP(AH74,'Histórico'!$A$1:$DD$990,MATCH($B$6,'Histórico'!$A:$A),FALSE)*HLOOKUP("EUR/BRL",'Histórico'!$A$1:$FG$983,MATCH($B$6,'Histórico'!$A:$A),FALSE),  HLOOKUP(AH74,'Histórico'!$A$1:$DD$990,MATCH($B$6,'Histórico'!$A:$A),FALSE))),"")</f>
        <v/>
      </c>
      <c r="AL74" s="243" t="str">
        <f t="shared" si="11"/>
        <v/>
      </c>
      <c r="AM74" s="53"/>
      <c r="AN74" s="245"/>
      <c r="AO74" s="242" t="str">
        <f>IF(ISTEXT(AN74),VLOOKUP(AN74,'Cadastro dos Ativos'!$A$2:$C$1000,3,0),"")</f>
        <v/>
      </c>
      <c r="AP74" s="242" t="str">
        <f>IF(AN74 &lt;&gt; "",SUMIFS('Alocação'!$O$3:$O$1002,'Alocação'!$C$3:$C$1002,AN74,'Alocação'!$F$3:$F$1002,AN$9,'Alocação'!$B$3:$B$1002,"&lt;="&amp;$B$6), "")</f>
        <v/>
      </c>
      <c r="AQ74" s="243" t="str">
        <f>iferror(IF(AO74="Ações Americanas", HLOOKUP(AN74,'Histórico'!$A$1:$DD$990,MATCH($B$6,'Histórico'!$A:$A),FALSE)*HLOOKUP("PTAX",'Histórico'!$A$1:$FG$983,MATCH($B$6,'Histórico'!$A:$A),FALSE),IF(AO74="Ações Europeias", HLOOKUP(AN74,'Histórico'!$A$1:$DD$990,MATCH($B$6,'Histórico'!$A:$A),FALSE)*HLOOKUP("EUR/BRL",'Histórico'!$A$1:$FG$983,MATCH($B$6,'Histórico'!$A:$A),FALSE),  HLOOKUP(AN74,'Histórico'!$A$1:$DD$990,MATCH($B$6,'Histórico'!$A:$A),FALSE))),"")</f>
        <v/>
      </c>
      <c r="AR74" s="243" t="str">
        <f t="shared" si="12"/>
        <v/>
      </c>
      <c r="AS74" s="53"/>
      <c r="AT74" s="245"/>
      <c r="AU74" s="242" t="str">
        <f>IF(ISTEXT(AT74),VLOOKUP(AT74,'Cadastro dos Ativos'!$A$2:$C$1000,3,0),"")</f>
        <v/>
      </c>
      <c r="AV74" s="242" t="str">
        <f>IF(AT74 &lt;&gt; "",SUMIFS('Alocação'!$O$3:$O$1002,'Alocação'!$C$3:$C$1002,AT74,'Alocação'!$F$3:$F$1002,AT$9,'Alocação'!$B$3:$B$1002,"&lt;="&amp;$B$6), "")</f>
        <v/>
      </c>
      <c r="AW74" s="243" t="str">
        <f>iferror(IF(AU74="Ações Americanas", HLOOKUP(AT74,'Histórico'!$A$1:$DD$990,MATCH($B$6,'Histórico'!$A:$A),FALSE)*HLOOKUP("PTAX",'Histórico'!$A$1:$FG$983,MATCH($B$6,'Histórico'!$A:$A),FALSE),IF(AU74="Ações Europeias", HLOOKUP(AT74,'Histórico'!$A$1:$DD$990,MATCH($B$6,'Histórico'!$A:$A),FALSE)*HLOOKUP("EUR/BRL",'Histórico'!$A$1:$FG$983,MATCH($B$6,'Histórico'!$A:$A),FALSE),  HLOOKUP(AT74,'Histórico'!$A$1:$DD$990,MATCH($B$6,'Histórico'!$A:$A),FALSE))),"")</f>
        <v/>
      </c>
      <c r="AX74" s="243" t="str">
        <f t="shared" si="13"/>
        <v/>
      </c>
      <c r="AY74" s="53"/>
    </row>
    <row r="75" ht="15.75" customHeight="1">
      <c r="A75" s="176"/>
      <c r="B75" s="288">
        <f>Controle!B75</f>
        <v>45100</v>
      </c>
      <c r="C75" s="233">
        <f>Controle!C75</f>
        <v>103074703.7</v>
      </c>
      <c r="D75" s="289">
        <f>Controle!D75</f>
        <v>79477577.09</v>
      </c>
      <c r="E75" s="290"/>
      <c r="F75" s="291">
        <f>Controle!F75</f>
        <v>109901426</v>
      </c>
      <c r="G75" s="289">
        <f>Controle!G75</f>
        <v>118030612.1</v>
      </c>
      <c r="H75" s="290"/>
      <c r="I75" s="291">
        <f>Controle!I75</f>
        <v>106790515.6</v>
      </c>
      <c r="J75" s="233">
        <f>Controle!J75</f>
        <v>74755925.15</v>
      </c>
      <c r="K75" s="292"/>
      <c r="L75" s="233">
        <f>Controle!L75</f>
        <v>105483433.9</v>
      </c>
      <c r="M75" s="233">
        <f>Controle!M75</f>
        <v>72496804.99</v>
      </c>
      <c r="N75" s="235">
        <f>Controle!N75</f>
        <v>-0.0009817443036</v>
      </c>
      <c r="O75" s="235">
        <f>Controle!O75</f>
        <v>0.006646528274</v>
      </c>
      <c r="P75" s="235">
        <f>Controle!P75</f>
        <v>0.002051757589</v>
      </c>
      <c r="Q75" s="235">
        <f>Controle!Q75</f>
        <v>0.002982706667</v>
      </c>
      <c r="R75" s="293">
        <f>Controle!R75</f>
        <v>103.2379402</v>
      </c>
      <c r="S75" s="287"/>
      <c r="T75" s="233">
        <f t="shared" ref="T75:U75" si="78">IF(AND(C75&lt;&gt;"",F75&lt;&gt;"",I75&lt;&gt;""), SUM(I75,F75,C75),"")</f>
        <v>319766645.3</v>
      </c>
      <c r="U75" s="233">
        <f t="shared" si="78"/>
        <v>272264114.3</v>
      </c>
      <c r="V75" s="233">
        <f t="shared" si="6"/>
        <v>319.7666453</v>
      </c>
      <c r="W75" s="241">
        <f t="shared" si="9"/>
        <v>0.002643288284</v>
      </c>
      <c r="X75" s="241">
        <f t="shared" si="10"/>
        <v>-0.01396238092</v>
      </c>
      <c r="Y75" s="241">
        <f t="shared" si="19"/>
        <v>0.002117710629</v>
      </c>
      <c r="Z75" s="233">
        <f t="shared" si="7"/>
        <v>309.7138207</v>
      </c>
      <c r="AA75" s="294"/>
      <c r="AB75" s="245"/>
      <c r="AC75" s="242" t="str">
        <f>IF(ISTEXT(AB75),VLOOKUP(AB75,'Cadastro dos Ativos'!$A$2:$C$1000,3,0),"")</f>
        <v/>
      </c>
      <c r="AD75" s="242" t="str">
        <f>IF(AB75 &lt;&gt; "",SUMIFS('Alocação'!$O$3:$O$1002,'Alocação'!$C$3:$C$1002,AB75,'Alocação'!$F$3:$F$1002,AB$9,'Alocação'!$B$3:$B$1002,"&lt;="&amp;$B$6), "")</f>
        <v/>
      </c>
      <c r="AE75" s="243" t="str">
        <f>iferror(IF(AC75="Ações Americanas", HLOOKUP(AB75,'Histórico'!$A$1:$DD$990,MATCH($B$6,'Histórico'!$A:$A),FALSE)*HLOOKUP("PTAX",'Histórico'!$A$1:$FG$983,MATCH($B$6,'Histórico'!$A:$A),FALSE),IF(AC75="Ações Europeias", HLOOKUP(AB75,'Histórico'!$A$1:$DD$990,MATCH($B$6,'Histórico'!$A:$A),FALSE)*HLOOKUP("EUR/BRL",'Histórico'!$A$1:$FG$983,MATCH($B$6,'Histórico'!$A:$A),FALSE),  HLOOKUP(AB75,'Histórico'!$A$1:$DD$990,MATCH($B$6,'Histórico'!$A:$A),FALSE))),"")</f>
        <v/>
      </c>
      <c r="AF75" s="243" t="str">
        <f t="shared" si="15"/>
        <v/>
      </c>
      <c r="AG75" s="53"/>
      <c r="AH75" s="245"/>
      <c r="AI75" s="242" t="str">
        <f>IF(ISTEXT(AH75),VLOOKUP(AH75,'Cadastro dos Ativos'!$A$2:$C$1000,3,0),"")</f>
        <v/>
      </c>
      <c r="AJ75" s="242" t="str">
        <f>IF(AH75 &lt;&gt; "",SUMIFS('Alocação'!$O$3:$O$1002,'Alocação'!$C$3:$C$1002,AH75,'Alocação'!$F$3:$F$1002,AH$9,'Alocação'!$B$3:$B$1002,"&lt;="&amp;$B$6), "")</f>
        <v/>
      </c>
      <c r="AK75" s="243" t="str">
        <f>iferror(IF(AI75="Ações Americanas", HLOOKUP(AH75,'Histórico'!$A$1:$DD$990,MATCH($B$6,'Histórico'!$A:$A),FALSE)*HLOOKUP("PTAX",'Histórico'!$A$1:$FG$983,MATCH($B$6,'Histórico'!$A:$A),FALSE),IF(AI75="Ações Europeias", HLOOKUP(AH75,'Histórico'!$A$1:$DD$990,MATCH($B$6,'Histórico'!$A:$A),FALSE)*HLOOKUP("EUR/BRL",'Histórico'!$A$1:$FG$983,MATCH($B$6,'Histórico'!$A:$A),FALSE),  HLOOKUP(AH75,'Histórico'!$A$1:$DD$990,MATCH($B$6,'Histórico'!$A:$A),FALSE))),"")</f>
        <v/>
      </c>
      <c r="AL75" s="243" t="str">
        <f t="shared" si="11"/>
        <v/>
      </c>
      <c r="AM75" s="53"/>
      <c r="AN75" s="245"/>
      <c r="AO75" s="242" t="str">
        <f>IF(ISTEXT(AN75),VLOOKUP(AN75,'Cadastro dos Ativos'!$A$2:$C$1000,3,0),"")</f>
        <v/>
      </c>
      <c r="AP75" s="242" t="str">
        <f>IF(AN75 &lt;&gt; "",SUMIFS('Alocação'!$O$3:$O$1002,'Alocação'!$C$3:$C$1002,AN75,'Alocação'!$F$3:$F$1002,AN$9,'Alocação'!$B$3:$B$1002,"&lt;="&amp;$B$6), "")</f>
        <v/>
      </c>
      <c r="AQ75" s="243" t="str">
        <f>iferror(IF(AO75="Ações Americanas", HLOOKUP(AN75,'Histórico'!$A$1:$DD$990,MATCH($B$6,'Histórico'!$A:$A),FALSE)*HLOOKUP("PTAX",'Histórico'!$A$1:$FG$983,MATCH($B$6,'Histórico'!$A:$A),FALSE),IF(AO75="Ações Europeias", HLOOKUP(AN75,'Histórico'!$A$1:$DD$990,MATCH($B$6,'Histórico'!$A:$A),FALSE)*HLOOKUP("EUR/BRL",'Histórico'!$A$1:$FG$983,MATCH($B$6,'Histórico'!$A:$A),FALSE),  HLOOKUP(AN75,'Histórico'!$A$1:$DD$990,MATCH($B$6,'Histórico'!$A:$A),FALSE))),"")</f>
        <v/>
      </c>
      <c r="AR75" s="243" t="str">
        <f t="shared" si="12"/>
        <v/>
      </c>
      <c r="AS75" s="53"/>
      <c r="AT75" s="245"/>
      <c r="AU75" s="242" t="str">
        <f>IF(ISTEXT(AT75),VLOOKUP(AT75,'Cadastro dos Ativos'!$A$2:$C$1000,3,0),"")</f>
        <v/>
      </c>
      <c r="AV75" s="242" t="str">
        <f>IF(AT75 &lt;&gt; "",SUMIFS('Alocação'!$O$3:$O$1002,'Alocação'!$C$3:$C$1002,AT75,'Alocação'!$F$3:$F$1002,AT$9,'Alocação'!$B$3:$B$1002,"&lt;="&amp;$B$6), "")</f>
        <v/>
      </c>
      <c r="AW75" s="243" t="str">
        <f>iferror(IF(AU75="Ações Americanas", HLOOKUP(AT75,'Histórico'!$A$1:$DD$990,MATCH($B$6,'Histórico'!$A:$A),FALSE)*HLOOKUP("PTAX",'Histórico'!$A$1:$FG$983,MATCH($B$6,'Histórico'!$A:$A),FALSE),IF(AU75="Ações Europeias", HLOOKUP(AT75,'Histórico'!$A$1:$DD$990,MATCH($B$6,'Histórico'!$A:$A),FALSE)*HLOOKUP("EUR/BRL",'Histórico'!$A$1:$FG$983,MATCH($B$6,'Histórico'!$A:$A),FALSE),  HLOOKUP(AT75,'Histórico'!$A$1:$DD$990,MATCH($B$6,'Histórico'!$A:$A),FALSE))),"")</f>
        <v/>
      </c>
      <c r="AX75" s="243" t="str">
        <f t="shared" si="13"/>
        <v/>
      </c>
      <c r="AY75" s="53"/>
    </row>
    <row r="76" ht="15.75" customHeight="1">
      <c r="A76" s="176"/>
      <c r="B76" s="288">
        <f>Controle!B76</f>
        <v>45103</v>
      </c>
      <c r="C76" s="233">
        <f>Controle!C76</f>
        <v>102933410</v>
      </c>
      <c r="D76" s="289">
        <f>Controle!D76</f>
        <v>79511852.15</v>
      </c>
      <c r="E76" s="290"/>
      <c r="F76" s="291">
        <f>Controle!F76</f>
        <v>110112193.6</v>
      </c>
      <c r="G76" s="289">
        <f>Controle!G76</f>
        <v>118210522.1</v>
      </c>
      <c r="H76" s="290"/>
      <c r="I76" s="291">
        <f>Controle!I76</f>
        <v>106493595.3</v>
      </c>
      <c r="J76" s="233">
        <f>Controle!J76</f>
        <v>70254940.44</v>
      </c>
      <c r="K76" s="292"/>
      <c r="L76" s="233">
        <f>Controle!L76</f>
        <v>104595321.1</v>
      </c>
      <c r="M76" s="233">
        <f>Controle!M76</f>
        <v>72527392.33</v>
      </c>
      <c r="N76" s="235">
        <f>Controle!N76</f>
        <v>-0.001370789865</v>
      </c>
      <c r="O76" s="235">
        <f>Controle!O76</f>
        <v>0.001917787913</v>
      </c>
      <c r="P76" s="235">
        <f>Controle!P76</f>
        <v>-0.002780399192</v>
      </c>
      <c r="Q76" s="235">
        <f>Controle!Q76</f>
        <v>-0.008419452343</v>
      </c>
      <c r="R76" s="293">
        <f>Controle!R76</f>
        <v>103.288565</v>
      </c>
      <c r="S76" s="287"/>
      <c r="T76" s="233">
        <f t="shared" ref="T76:U76" si="79">IF(AND(C76&lt;&gt;"",F76&lt;&gt;"",I76&lt;&gt;""), SUM(I76,F76,C76),"")</f>
        <v>319539198.9</v>
      </c>
      <c r="U76" s="233">
        <f t="shared" si="79"/>
        <v>267977314.7</v>
      </c>
      <c r="V76" s="233">
        <f t="shared" si="6"/>
        <v>319.5391989</v>
      </c>
      <c r="W76" s="241">
        <f t="shared" si="9"/>
        <v>-0.0007112886834</v>
      </c>
      <c r="X76" s="241">
        <f t="shared" si="10"/>
        <v>-0.01466373832</v>
      </c>
      <c r="Y76" s="241">
        <f t="shared" si="19"/>
        <v>0.002256341096</v>
      </c>
      <c r="Z76" s="233">
        <f t="shared" si="7"/>
        <v>309.8656951</v>
      </c>
      <c r="AA76" s="294"/>
      <c r="AB76" s="245"/>
      <c r="AC76" s="242" t="str">
        <f>IF(ISTEXT(AB76),VLOOKUP(AB76,'Cadastro dos Ativos'!$A$2:$C$1000,3,0),"")</f>
        <v/>
      </c>
      <c r="AD76" s="242" t="str">
        <f>IF(AB76 &lt;&gt; "",SUMIFS('Alocação'!$O$3:$O$1002,'Alocação'!$C$3:$C$1002,AB76,'Alocação'!$F$3:$F$1002,AB$9,'Alocação'!$B$3:$B$1002,"&lt;="&amp;$B$6), "")</f>
        <v/>
      </c>
      <c r="AE76" s="243" t="str">
        <f>iferror(IF(AC76="Ações Americanas", HLOOKUP(AB76,'Histórico'!$A$1:$DD$990,MATCH($B$6,'Histórico'!$A:$A),FALSE)*HLOOKUP("PTAX",'Histórico'!$A$1:$FG$983,MATCH($B$6,'Histórico'!$A:$A),FALSE),IF(AC76="Ações Europeias", HLOOKUP(AB76,'Histórico'!$A$1:$DD$990,MATCH($B$6,'Histórico'!$A:$A),FALSE)*HLOOKUP("EUR/BRL",'Histórico'!$A$1:$FG$983,MATCH($B$6,'Histórico'!$A:$A),FALSE),  HLOOKUP(AB76,'Histórico'!$A$1:$DD$990,MATCH($B$6,'Histórico'!$A:$A),FALSE))),"")</f>
        <v/>
      </c>
      <c r="AF76" s="243" t="str">
        <f t="shared" si="15"/>
        <v/>
      </c>
      <c r="AG76" s="53"/>
      <c r="AH76" s="245"/>
      <c r="AI76" s="242" t="str">
        <f>IF(ISTEXT(AH76),VLOOKUP(AH76,'Cadastro dos Ativos'!$A$2:$C$1000,3,0),"")</f>
        <v/>
      </c>
      <c r="AJ76" s="242" t="str">
        <f>IF(AH76 &lt;&gt; "",SUMIFS('Alocação'!$O$3:$O$1002,'Alocação'!$C$3:$C$1002,AH76,'Alocação'!$F$3:$F$1002,AH$9,'Alocação'!$B$3:$B$1002,"&lt;="&amp;$B$6), "")</f>
        <v/>
      </c>
      <c r="AK76" s="243" t="str">
        <f>iferror(IF(AI76="Ações Americanas", HLOOKUP(AH76,'Histórico'!$A$1:$DD$990,MATCH($B$6,'Histórico'!$A:$A),FALSE)*HLOOKUP("PTAX",'Histórico'!$A$1:$FG$983,MATCH($B$6,'Histórico'!$A:$A),FALSE),IF(AI76="Ações Europeias", HLOOKUP(AH76,'Histórico'!$A$1:$DD$990,MATCH($B$6,'Histórico'!$A:$A),FALSE)*HLOOKUP("EUR/BRL",'Histórico'!$A$1:$FG$983,MATCH($B$6,'Histórico'!$A:$A),FALSE),  HLOOKUP(AH76,'Histórico'!$A$1:$DD$990,MATCH($B$6,'Histórico'!$A:$A),FALSE))),"")</f>
        <v/>
      </c>
      <c r="AL76" s="243" t="str">
        <f t="shared" si="11"/>
        <v/>
      </c>
      <c r="AM76" s="53"/>
      <c r="AN76" s="245"/>
      <c r="AO76" s="242" t="str">
        <f>IF(ISTEXT(AN76),VLOOKUP(AN76,'Cadastro dos Ativos'!$A$2:$C$1000,3,0),"")</f>
        <v/>
      </c>
      <c r="AP76" s="242" t="str">
        <f>IF(AN76 &lt;&gt; "",SUMIFS('Alocação'!$O$3:$O$1002,'Alocação'!$C$3:$C$1002,AN76,'Alocação'!$F$3:$F$1002,AN$9,'Alocação'!$B$3:$B$1002,"&lt;="&amp;$B$6), "")</f>
        <v/>
      </c>
      <c r="AQ76" s="243" t="str">
        <f>iferror(IF(AO76="Ações Americanas", HLOOKUP(AN76,'Histórico'!$A$1:$DD$990,MATCH($B$6,'Histórico'!$A:$A),FALSE)*HLOOKUP("PTAX",'Histórico'!$A$1:$FG$983,MATCH($B$6,'Histórico'!$A:$A),FALSE),IF(AO76="Ações Europeias", HLOOKUP(AN76,'Histórico'!$A$1:$DD$990,MATCH($B$6,'Histórico'!$A:$A),FALSE)*HLOOKUP("EUR/BRL",'Histórico'!$A$1:$FG$983,MATCH($B$6,'Histórico'!$A:$A),FALSE),  HLOOKUP(AN76,'Histórico'!$A$1:$DD$990,MATCH($B$6,'Histórico'!$A:$A),FALSE))),"")</f>
        <v/>
      </c>
      <c r="AR76" s="243" t="str">
        <f t="shared" si="12"/>
        <v/>
      </c>
      <c r="AS76" s="53"/>
      <c r="AT76" s="245"/>
      <c r="AU76" s="242" t="str">
        <f>IF(ISTEXT(AT76),VLOOKUP(AT76,'Cadastro dos Ativos'!$A$2:$C$1000,3,0),"")</f>
        <v/>
      </c>
      <c r="AV76" s="242" t="str">
        <f>IF(AT76 &lt;&gt; "",SUMIFS('Alocação'!$O$3:$O$1002,'Alocação'!$C$3:$C$1002,AT76,'Alocação'!$F$3:$F$1002,AT$9,'Alocação'!$B$3:$B$1002,"&lt;="&amp;$B$6), "")</f>
        <v/>
      </c>
      <c r="AW76" s="243" t="str">
        <f>iferror(IF(AU76="Ações Americanas", HLOOKUP(AT76,'Histórico'!$A$1:$DD$990,MATCH($B$6,'Histórico'!$A:$A),FALSE)*HLOOKUP("PTAX",'Histórico'!$A$1:$FG$983,MATCH($B$6,'Histórico'!$A:$A),FALSE),IF(AU76="Ações Europeias", HLOOKUP(AT76,'Histórico'!$A$1:$DD$990,MATCH($B$6,'Histórico'!$A:$A),FALSE)*HLOOKUP("EUR/BRL",'Histórico'!$A$1:$FG$983,MATCH($B$6,'Histórico'!$A:$A),FALSE),  HLOOKUP(AT76,'Histórico'!$A$1:$DD$990,MATCH($B$6,'Histórico'!$A:$A),FALSE))),"")</f>
        <v/>
      </c>
      <c r="AX76" s="243" t="str">
        <f t="shared" si="13"/>
        <v/>
      </c>
      <c r="AY76" s="53"/>
    </row>
    <row r="77" ht="15.75" customHeight="1">
      <c r="A77" s="176"/>
      <c r="B77" s="288">
        <f>Controle!B77</f>
        <v>45104</v>
      </c>
      <c r="C77" s="233">
        <f>Controle!C77</f>
        <v>102779958.4</v>
      </c>
      <c r="D77" s="289">
        <f>Controle!D77</f>
        <v>79136078.63</v>
      </c>
      <c r="E77" s="290"/>
      <c r="F77" s="291">
        <f>Controle!F77</f>
        <v>110272784.4</v>
      </c>
      <c r="G77" s="289">
        <f>Controle!G77</f>
        <v>118359400.1</v>
      </c>
      <c r="H77" s="290"/>
      <c r="I77" s="291">
        <f>Controle!I77</f>
        <v>107473525.4</v>
      </c>
      <c r="J77" s="233">
        <f>Controle!J77</f>
        <v>70613976.2</v>
      </c>
      <c r="K77" s="292"/>
      <c r="L77" s="233">
        <f>Controle!L77</f>
        <v>103850427</v>
      </c>
      <c r="M77" s="233">
        <f>Controle!M77</f>
        <v>72558047.68</v>
      </c>
      <c r="N77" s="235">
        <f>Controle!N77</f>
        <v>-0.001490784849</v>
      </c>
      <c r="O77" s="235">
        <f>Controle!O77</f>
        <v>0.001458428574</v>
      </c>
      <c r="P77" s="235">
        <f>Controle!P77</f>
        <v>0.009201774905</v>
      </c>
      <c r="Q77" s="235">
        <f>Controle!Q77</f>
        <v>-0.007121677279</v>
      </c>
      <c r="R77" s="293">
        <f>Controle!R77</f>
        <v>103.3392146</v>
      </c>
      <c r="S77" s="287"/>
      <c r="T77" s="233">
        <f t="shared" ref="T77:U77" si="80">IF(AND(C77&lt;&gt;"",F77&lt;&gt;"",I77&lt;&gt;""), SUM(I77,F77,C77),"")</f>
        <v>320526268.2</v>
      </c>
      <c r="U77" s="233">
        <f t="shared" si="80"/>
        <v>268109454.9</v>
      </c>
      <c r="V77" s="233">
        <f t="shared" si="6"/>
        <v>320.5262682</v>
      </c>
      <c r="W77" s="241">
        <f t="shared" si="9"/>
        <v>0.003089039772</v>
      </c>
      <c r="X77" s="241">
        <f t="shared" si="10"/>
        <v>-0.01161999542</v>
      </c>
      <c r="Y77" s="241">
        <f t="shared" si="19"/>
        <v>0.002041207405</v>
      </c>
      <c r="Z77" s="233">
        <f t="shared" si="7"/>
        <v>310.0176439</v>
      </c>
      <c r="AA77" s="294"/>
      <c r="AB77" s="245"/>
      <c r="AC77" s="242" t="str">
        <f>IF(ISTEXT(AB77),VLOOKUP(AB77,'Cadastro dos Ativos'!$A$2:$C$1000,3,0),"")</f>
        <v/>
      </c>
      <c r="AD77" s="242" t="str">
        <f>IF(AB77 &lt;&gt; "",SUMIFS('Alocação'!$O$3:$O$1002,'Alocação'!$C$3:$C$1002,AB77,'Alocação'!$F$3:$F$1002,AB$9,'Alocação'!$B$3:$B$1002,"&lt;="&amp;$B$6), "")</f>
        <v/>
      </c>
      <c r="AE77" s="243" t="str">
        <f>iferror(IF(AC77="Ações Americanas", HLOOKUP(AB77,'Histórico'!$A$1:$DD$990,MATCH($B$6,'Histórico'!$A:$A),FALSE)*HLOOKUP("PTAX",'Histórico'!$A$1:$FG$983,MATCH($B$6,'Histórico'!$A:$A),FALSE),IF(AC77="Ações Europeias", HLOOKUP(AB77,'Histórico'!$A$1:$DD$990,MATCH($B$6,'Histórico'!$A:$A),FALSE)*HLOOKUP("EUR/BRL",'Histórico'!$A$1:$FG$983,MATCH($B$6,'Histórico'!$A:$A),FALSE),  HLOOKUP(AB77,'Histórico'!$A$1:$DD$990,MATCH($B$6,'Histórico'!$A:$A),FALSE))),"")</f>
        <v/>
      </c>
      <c r="AF77" s="243" t="str">
        <f t="shared" si="15"/>
        <v/>
      </c>
      <c r="AG77" s="53"/>
      <c r="AH77" s="245"/>
      <c r="AI77" s="242" t="str">
        <f>IF(ISTEXT(AH77),VLOOKUP(AH77,'Cadastro dos Ativos'!$A$2:$C$1000,3,0),"")</f>
        <v/>
      </c>
      <c r="AJ77" s="242" t="str">
        <f>IF(AH77 &lt;&gt; "",SUMIFS('Alocação'!$O$3:$O$1002,'Alocação'!$C$3:$C$1002,AH77,'Alocação'!$F$3:$F$1002,AH$9,'Alocação'!$B$3:$B$1002,"&lt;="&amp;$B$6), "")</f>
        <v/>
      </c>
      <c r="AK77" s="243" t="str">
        <f>iferror(IF(AI77="Ações Americanas", HLOOKUP(AH77,'Histórico'!$A$1:$DD$990,MATCH($B$6,'Histórico'!$A:$A),FALSE)*HLOOKUP("PTAX",'Histórico'!$A$1:$FG$983,MATCH($B$6,'Histórico'!$A:$A),FALSE),IF(AI77="Ações Europeias", HLOOKUP(AH77,'Histórico'!$A$1:$DD$990,MATCH($B$6,'Histórico'!$A:$A),FALSE)*HLOOKUP("EUR/BRL",'Histórico'!$A$1:$FG$983,MATCH($B$6,'Histórico'!$A:$A),FALSE),  HLOOKUP(AH77,'Histórico'!$A$1:$DD$990,MATCH($B$6,'Histórico'!$A:$A),FALSE))),"")</f>
        <v/>
      </c>
      <c r="AL77" s="243" t="str">
        <f t="shared" si="11"/>
        <v/>
      </c>
      <c r="AM77" s="53"/>
      <c r="AN77" s="245"/>
      <c r="AO77" s="242" t="str">
        <f>IF(ISTEXT(AN77),VLOOKUP(AN77,'Cadastro dos Ativos'!$A$2:$C$1000,3,0),"")</f>
        <v/>
      </c>
      <c r="AP77" s="242" t="str">
        <f>IF(AN77 &lt;&gt; "",SUMIFS('Alocação'!$O$3:$O$1002,'Alocação'!$C$3:$C$1002,AN77,'Alocação'!$F$3:$F$1002,AN$9,'Alocação'!$B$3:$B$1002,"&lt;="&amp;$B$6), "")</f>
        <v/>
      </c>
      <c r="AQ77" s="243" t="str">
        <f>iferror(IF(AO77="Ações Americanas", HLOOKUP(AN77,'Histórico'!$A$1:$DD$990,MATCH($B$6,'Histórico'!$A:$A),FALSE)*HLOOKUP("PTAX",'Histórico'!$A$1:$FG$983,MATCH($B$6,'Histórico'!$A:$A),FALSE),IF(AO77="Ações Europeias", HLOOKUP(AN77,'Histórico'!$A$1:$DD$990,MATCH($B$6,'Histórico'!$A:$A),FALSE)*HLOOKUP("EUR/BRL",'Histórico'!$A$1:$FG$983,MATCH($B$6,'Histórico'!$A:$A),FALSE),  HLOOKUP(AN77,'Histórico'!$A$1:$DD$990,MATCH($B$6,'Histórico'!$A:$A),FALSE))),"")</f>
        <v/>
      </c>
      <c r="AR77" s="243" t="str">
        <f t="shared" si="12"/>
        <v/>
      </c>
      <c r="AS77" s="53"/>
      <c r="AT77" s="245"/>
      <c r="AU77" s="242" t="str">
        <f>IF(ISTEXT(AT77),VLOOKUP(AT77,'Cadastro dos Ativos'!$A$2:$C$1000,3,0),"")</f>
        <v/>
      </c>
      <c r="AV77" s="242" t="str">
        <f>IF(AT77 &lt;&gt; "",SUMIFS('Alocação'!$O$3:$O$1002,'Alocação'!$C$3:$C$1002,AT77,'Alocação'!$F$3:$F$1002,AT$9,'Alocação'!$B$3:$B$1002,"&lt;="&amp;$B$6), "")</f>
        <v/>
      </c>
      <c r="AW77" s="243" t="str">
        <f>iferror(IF(AU77="Ações Americanas", HLOOKUP(AT77,'Histórico'!$A$1:$DD$990,MATCH($B$6,'Histórico'!$A:$A),FALSE)*HLOOKUP("PTAX",'Histórico'!$A$1:$FG$983,MATCH($B$6,'Histórico'!$A:$A),FALSE),IF(AU77="Ações Europeias", HLOOKUP(AT77,'Histórico'!$A$1:$DD$990,MATCH($B$6,'Histórico'!$A:$A),FALSE)*HLOOKUP("EUR/BRL",'Histórico'!$A$1:$FG$983,MATCH($B$6,'Histórico'!$A:$A),FALSE),  HLOOKUP(AT77,'Histórico'!$A$1:$DD$990,MATCH($B$6,'Histórico'!$A:$A),FALSE))),"")</f>
        <v/>
      </c>
      <c r="AX77" s="243" t="str">
        <f t="shared" si="13"/>
        <v/>
      </c>
      <c r="AY77" s="53"/>
    </row>
    <row r="78" ht="15.75" customHeight="1">
      <c r="A78" s="176"/>
      <c r="B78" s="288">
        <f>Controle!B78</f>
        <v>45105</v>
      </c>
      <c r="C78" s="233">
        <f>Controle!C78</f>
        <v>102800563.2</v>
      </c>
      <c r="D78" s="289">
        <f>Controle!D78</f>
        <v>79170197.66</v>
      </c>
      <c r="E78" s="290"/>
      <c r="F78" s="291">
        <f>Controle!F78</f>
        <v>110114169.4</v>
      </c>
      <c r="G78" s="289">
        <f>Controle!G78</f>
        <v>118488477.6</v>
      </c>
      <c r="H78" s="290"/>
      <c r="I78" s="291">
        <f>Controle!I78</f>
        <v>107864632.2</v>
      </c>
      <c r="J78" s="233">
        <f>Controle!J78</f>
        <v>70819270.51</v>
      </c>
      <c r="K78" s="292"/>
      <c r="L78" s="233">
        <f>Controle!L78</f>
        <v>103620141</v>
      </c>
      <c r="M78" s="233">
        <f>Controle!M78</f>
        <v>72588762.62</v>
      </c>
      <c r="N78" s="235">
        <f>Controle!N78</f>
        <v>0.0002004749054</v>
      </c>
      <c r="O78" s="235">
        <f>Controle!O78</f>
        <v>-0.001438387473</v>
      </c>
      <c r="P78" s="235">
        <f>Controle!P78</f>
        <v>0.003639099419</v>
      </c>
      <c r="Q78" s="235">
        <f>Controle!Q78</f>
        <v>-0.002217477812</v>
      </c>
      <c r="R78" s="293">
        <f>Controle!R78</f>
        <v>103.3898891</v>
      </c>
      <c r="S78" s="287"/>
      <c r="T78" s="233">
        <f t="shared" ref="T78:U78" si="81">IF(AND(C78&lt;&gt;"",F78&lt;&gt;"",I78&lt;&gt;""), SUM(I78,F78,C78),"")</f>
        <v>320779364.8</v>
      </c>
      <c r="U78" s="233">
        <f t="shared" si="81"/>
        <v>268477945.8</v>
      </c>
      <c r="V78" s="233">
        <f t="shared" si="6"/>
        <v>320.7793648</v>
      </c>
      <c r="W78" s="241">
        <f t="shared" si="9"/>
        <v>0.0007896284324</v>
      </c>
      <c r="X78" s="241">
        <f t="shared" si="10"/>
        <v>-0.01083954247</v>
      </c>
      <c r="Y78" s="241">
        <f t="shared" si="19"/>
        <v>0.002040815282</v>
      </c>
      <c r="Z78" s="233">
        <f t="shared" si="7"/>
        <v>310.1696673</v>
      </c>
      <c r="AA78" s="294"/>
      <c r="AB78" s="245"/>
      <c r="AC78" s="242" t="str">
        <f>IF(ISTEXT(AB78),VLOOKUP(AB78,'Cadastro dos Ativos'!$A$2:$C$1000,3,0),"")</f>
        <v/>
      </c>
      <c r="AD78" s="242" t="str">
        <f>IF(AB78 &lt;&gt; "",SUMIFS('Alocação'!$O$3:$O$1002,'Alocação'!$C$3:$C$1002,AB78,'Alocação'!$F$3:$F$1002,AB$9,'Alocação'!$B$3:$B$1002,"&lt;="&amp;$B$6), "")</f>
        <v/>
      </c>
      <c r="AE78" s="243" t="str">
        <f>iferror(IF(AC78="Ações Americanas", HLOOKUP(AB78,'Histórico'!$A$1:$DD$990,MATCH($B$6,'Histórico'!$A:$A),FALSE)*HLOOKUP("PTAX",'Histórico'!$A$1:$FG$983,MATCH($B$6,'Histórico'!$A:$A),FALSE),IF(AC78="Ações Europeias", HLOOKUP(AB78,'Histórico'!$A$1:$DD$990,MATCH($B$6,'Histórico'!$A:$A),FALSE)*HLOOKUP("EUR/BRL",'Histórico'!$A$1:$FG$983,MATCH($B$6,'Histórico'!$A:$A),FALSE),  HLOOKUP(AB78,'Histórico'!$A$1:$DD$990,MATCH($B$6,'Histórico'!$A:$A),FALSE))),"")</f>
        <v/>
      </c>
      <c r="AF78" s="243" t="str">
        <f t="shared" si="15"/>
        <v/>
      </c>
      <c r="AG78" s="53"/>
      <c r="AH78" s="245"/>
      <c r="AI78" s="242" t="str">
        <f>IF(ISTEXT(AH78),VLOOKUP(AH78,'Cadastro dos Ativos'!$A$2:$C$1000,3,0),"")</f>
        <v/>
      </c>
      <c r="AJ78" s="242" t="str">
        <f>IF(AH78 &lt;&gt; "",SUMIFS('Alocação'!$O$3:$O$1002,'Alocação'!$C$3:$C$1002,AH78,'Alocação'!$F$3:$F$1002,AH$9,'Alocação'!$B$3:$B$1002,"&lt;="&amp;$B$6), "")</f>
        <v/>
      </c>
      <c r="AK78" s="243" t="str">
        <f>iferror(IF(AI78="Ações Americanas", HLOOKUP(AH78,'Histórico'!$A$1:$DD$990,MATCH($B$6,'Histórico'!$A:$A),FALSE)*HLOOKUP("PTAX",'Histórico'!$A$1:$FG$983,MATCH($B$6,'Histórico'!$A:$A),FALSE),IF(AI78="Ações Europeias", HLOOKUP(AH78,'Histórico'!$A$1:$DD$990,MATCH($B$6,'Histórico'!$A:$A),FALSE)*HLOOKUP("EUR/BRL",'Histórico'!$A$1:$FG$983,MATCH($B$6,'Histórico'!$A:$A),FALSE),  HLOOKUP(AH78,'Histórico'!$A$1:$DD$990,MATCH($B$6,'Histórico'!$A:$A),FALSE))),"")</f>
        <v/>
      </c>
      <c r="AL78" s="243" t="str">
        <f t="shared" si="11"/>
        <v/>
      </c>
      <c r="AM78" s="53"/>
      <c r="AN78" s="245"/>
      <c r="AO78" s="242" t="str">
        <f>IF(ISTEXT(AN78),VLOOKUP(AN78,'Cadastro dos Ativos'!$A$2:$C$1000,3,0),"")</f>
        <v/>
      </c>
      <c r="AP78" s="242" t="str">
        <f>IF(AN78 &lt;&gt; "",SUMIFS('Alocação'!$O$3:$O$1002,'Alocação'!$C$3:$C$1002,AN78,'Alocação'!$F$3:$F$1002,AN$9,'Alocação'!$B$3:$B$1002,"&lt;="&amp;$B$6), "")</f>
        <v/>
      </c>
      <c r="AQ78" s="243" t="str">
        <f>iferror(IF(AO78="Ações Americanas", HLOOKUP(AN78,'Histórico'!$A$1:$DD$990,MATCH($B$6,'Histórico'!$A:$A),FALSE)*HLOOKUP("PTAX",'Histórico'!$A$1:$FG$983,MATCH($B$6,'Histórico'!$A:$A),FALSE),IF(AO78="Ações Europeias", HLOOKUP(AN78,'Histórico'!$A$1:$DD$990,MATCH($B$6,'Histórico'!$A:$A),FALSE)*HLOOKUP("EUR/BRL",'Histórico'!$A$1:$FG$983,MATCH($B$6,'Histórico'!$A:$A),FALSE),  HLOOKUP(AN78,'Histórico'!$A$1:$DD$990,MATCH($B$6,'Histórico'!$A:$A),FALSE))),"")</f>
        <v/>
      </c>
      <c r="AR78" s="243" t="str">
        <f t="shared" si="12"/>
        <v/>
      </c>
      <c r="AS78" s="53"/>
      <c r="AT78" s="245"/>
      <c r="AU78" s="242" t="str">
        <f>IF(ISTEXT(AT78),VLOOKUP(AT78,'Cadastro dos Ativos'!$A$2:$C$1000,3,0),"")</f>
        <v/>
      </c>
      <c r="AV78" s="242" t="str">
        <f>IF(AT78 &lt;&gt; "",SUMIFS('Alocação'!$O$3:$O$1002,'Alocação'!$C$3:$C$1002,AT78,'Alocação'!$F$3:$F$1002,AT$9,'Alocação'!$B$3:$B$1002,"&lt;="&amp;$B$6), "")</f>
        <v/>
      </c>
      <c r="AW78" s="243" t="str">
        <f>iferror(IF(AU78="Ações Americanas", HLOOKUP(AT78,'Histórico'!$A$1:$DD$990,MATCH($B$6,'Histórico'!$A:$A),FALSE)*HLOOKUP("PTAX",'Histórico'!$A$1:$FG$983,MATCH($B$6,'Histórico'!$A:$A),FALSE),IF(AU78="Ações Europeias", HLOOKUP(AT78,'Histórico'!$A$1:$DD$990,MATCH($B$6,'Histórico'!$A:$A),FALSE)*HLOOKUP("EUR/BRL",'Histórico'!$A$1:$FG$983,MATCH($B$6,'Histórico'!$A:$A),FALSE),  HLOOKUP(AT78,'Histórico'!$A$1:$DD$990,MATCH($B$6,'Histórico'!$A:$A),FALSE))),"")</f>
        <v/>
      </c>
      <c r="AX78" s="243" t="str">
        <f t="shared" si="13"/>
        <v/>
      </c>
      <c r="AY78" s="53"/>
    </row>
    <row r="79" ht="15.75" customHeight="1">
      <c r="A79" s="176"/>
      <c r="B79" s="288">
        <f>Controle!B79</f>
        <v>45106</v>
      </c>
      <c r="C79" s="233">
        <f>Controle!C79</f>
        <v>103378710.2</v>
      </c>
      <c r="D79" s="289">
        <f>Controle!D79</f>
        <v>79204332.8</v>
      </c>
      <c r="E79" s="290"/>
      <c r="F79" s="291">
        <f>Controle!F79</f>
        <v>110433033.3</v>
      </c>
      <c r="G79" s="289">
        <f>Controle!G79</f>
        <v>118749290.6</v>
      </c>
      <c r="H79" s="290"/>
      <c r="I79" s="291">
        <f>Controle!I79</f>
        <v>108730166.5</v>
      </c>
      <c r="J79" s="233">
        <f>Controle!J79</f>
        <v>77458355.14</v>
      </c>
      <c r="K79" s="292"/>
      <c r="L79" s="233">
        <f>Controle!L79</f>
        <v>104636235.7</v>
      </c>
      <c r="M79" s="233">
        <f>Controle!M79</f>
        <v>72619506.75</v>
      </c>
      <c r="N79" s="235">
        <f>Controle!N79</f>
        <v>0.00562396682</v>
      </c>
      <c r="O79" s="235">
        <f>Controle!O79</f>
        <v>0.002895757247</v>
      </c>
      <c r="P79" s="235">
        <f>Controle!P79</f>
        <v>0.008024263618</v>
      </c>
      <c r="Q79" s="235">
        <f>Controle!Q79</f>
        <v>0.009805957858</v>
      </c>
      <c r="R79" s="293">
        <f>Controle!R79</f>
        <v>103.4405884</v>
      </c>
      <c r="S79" s="287"/>
      <c r="T79" s="233">
        <f t="shared" ref="T79:U79" si="82">IF(AND(C79&lt;&gt;"",F79&lt;&gt;"",I79&lt;&gt;""), SUM(I79,F79,C79),"")</f>
        <v>322541909.9</v>
      </c>
      <c r="U79" s="233">
        <f t="shared" si="82"/>
        <v>275411978.6</v>
      </c>
      <c r="V79" s="233">
        <f t="shared" si="6"/>
        <v>322.5419099</v>
      </c>
      <c r="W79" s="241">
        <f t="shared" si="9"/>
        <v>0.005494571341</v>
      </c>
      <c r="X79" s="241">
        <f t="shared" si="10"/>
        <v>-0.005404529764</v>
      </c>
      <c r="Y79" s="241">
        <f t="shared" si="19"/>
        <v>0.002360466697</v>
      </c>
      <c r="Z79" s="233">
        <f t="shared" si="7"/>
        <v>310.3217652</v>
      </c>
      <c r="AA79" s="294"/>
      <c r="AB79" s="245"/>
      <c r="AC79" s="242" t="str">
        <f>IF(ISTEXT(AB79),VLOOKUP(AB79,'Cadastro dos Ativos'!$A$2:$C$1000,3,0),"")</f>
        <v/>
      </c>
      <c r="AD79" s="242" t="str">
        <f>IF(AB79 &lt;&gt; "",SUMIFS('Alocação'!$O$3:$O$1002,'Alocação'!$C$3:$C$1002,AB79,'Alocação'!$F$3:$F$1002,AB$9,'Alocação'!$B$3:$B$1002,"&lt;="&amp;$B$6), "")</f>
        <v/>
      </c>
      <c r="AE79" s="243" t="str">
        <f>iferror(IF(AC79="Ações Americanas", HLOOKUP(AB79,'Histórico'!$A$1:$DD$990,MATCH($B$6,'Histórico'!$A:$A),FALSE)*HLOOKUP("PTAX",'Histórico'!$A$1:$FG$983,MATCH($B$6,'Histórico'!$A:$A),FALSE),IF(AC79="Ações Europeias", HLOOKUP(AB79,'Histórico'!$A$1:$DD$990,MATCH($B$6,'Histórico'!$A:$A),FALSE)*HLOOKUP("EUR/BRL",'Histórico'!$A$1:$FG$983,MATCH($B$6,'Histórico'!$A:$A),FALSE),  HLOOKUP(AB79,'Histórico'!$A$1:$DD$990,MATCH($B$6,'Histórico'!$A:$A),FALSE))),"")</f>
        <v/>
      </c>
      <c r="AF79" s="243" t="str">
        <f t="shared" si="15"/>
        <v/>
      </c>
      <c r="AG79" s="53"/>
      <c r="AH79" s="245"/>
      <c r="AI79" s="242" t="str">
        <f>IF(ISTEXT(AH79),VLOOKUP(AH79,'Cadastro dos Ativos'!$A$2:$C$1000,3,0),"")</f>
        <v/>
      </c>
      <c r="AJ79" s="242" t="str">
        <f>IF(AH79 &lt;&gt; "",SUMIFS('Alocação'!$O$3:$O$1002,'Alocação'!$C$3:$C$1002,AH79,'Alocação'!$F$3:$F$1002,AH$9,'Alocação'!$B$3:$B$1002,"&lt;="&amp;$B$6), "")</f>
        <v/>
      </c>
      <c r="AK79" s="243" t="str">
        <f>iferror(IF(AI79="Ações Americanas", HLOOKUP(AH79,'Histórico'!$A$1:$DD$990,MATCH($B$6,'Histórico'!$A:$A),FALSE)*HLOOKUP("PTAX",'Histórico'!$A$1:$FG$983,MATCH($B$6,'Histórico'!$A:$A),FALSE),IF(AI79="Ações Europeias", HLOOKUP(AH79,'Histórico'!$A$1:$DD$990,MATCH($B$6,'Histórico'!$A:$A),FALSE)*HLOOKUP("EUR/BRL",'Histórico'!$A$1:$FG$983,MATCH($B$6,'Histórico'!$A:$A),FALSE),  HLOOKUP(AH79,'Histórico'!$A$1:$DD$990,MATCH($B$6,'Histórico'!$A:$A),FALSE))),"")</f>
        <v/>
      </c>
      <c r="AL79" s="243" t="str">
        <f t="shared" si="11"/>
        <v/>
      </c>
      <c r="AM79" s="53"/>
      <c r="AN79" s="245"/>
      <c r="AO79" s="242" t="str">
        <f>IF(ISTEXT(AN79),VLOOKUP(AN79,'Cadastro dos Ativos'!$A$2:$C$1000,3,0),"")</f>
        <v/>
      </c>
      <c r="AP79" s="242" t="str">
        <f>IF(AN79 &lt;&gt; "",SUMIFS('Alocação'!$O$3:$O$1002,'Alocação'!$C$3:$C$1002,AN79,'Alocação'!$F$3:$F$1002,AN$9,'Alocação'!$B$3:$B$1002,"&lt;="&amp;$B$6), "")</f>
        <v/>
      </c>
      <c r="AQ79" s="243" t="str">
        <f>iferror(IF(AO79="Ações Americanas", HLOOKUP(AN79,'Histórico'!$A$1:$DD$990,MATCH($B$6,'Histórico'!$A:$A),FALSE)*HLOOKUP("PTAX",'Histórico'!$A$1:$FG$983,MATCH($B$6,'Histórico'!$A:$A),FALSE),IF(AO79="Ações Europeias", HLOOKUP(AN79,'Histórico'!$A$1:$DD$990,MATCH($B$6,'Histórico'!$A:$A),FALSE)*HLOOKUP("EUR/BRL",'Histórico'!$A$1:$FG$983,MATCH($B$6,'Histórico'!$A:$A),FALSE),  HLOOKUP(AN79,'Histórico'!$A$1:$DD$990,MATCH($B$6,'Histórico'!$A:$A),FALSE))),"")</f>
        <v/>
      </c>
      <c r="AR79" s="243" t="str">
        <f t="shared" si="12"/>
        <v/>
      </c>
      <c r="AS79" s="53"/>
      <c r="AT79" s="245"/>
      <c r="AU79" s="242" t="str">
        <f>IF(ISTEXT(AT79),VLOOKUP(AT79,'Cadastro dos Ativos'!$A$2:$C$1000,3,0),"")</f>
        <v/>
      </c>
      <c r="AV79" s="242" t="str">
        <f>IF(AT79 &lt;&gt; "",SUMIFS('Alocação'!$O$3:$O$1002,'Alocação'!$C$3:$C$1002,AT79,'Alocação'!$F$3:$F$1002,AT$9,'Alocação'!$B$3:$B$1002,"&lt;="&amp;$B$6), "")</f>
        <v/>
      </c>
      <c r="AW79" s="243" t="str">
        <f>iferror(IF(AU79="Ações Americanas", HLOOKUP(AT79,'Histórico'!$A$1:$DD$990,MATCH($B$6,'Histórico'!$A:$A),FALSE)*HLOOKUP("PTAX",'Histórico'!$A$1:$FG$983,MATCH($B$6,'Histórico'!$A:$A),FALSE),IF(AU79="Ações Europeias", HLOOKUP(AT79,'Histórico'!$A$1:$DD$990,MATCH($B$6,'Histórico'!$A:$A),FALSE)*HLOOKUP("EUR/BRL",'Histórico'!$A$1:$FG$983,MATCH($B$6,'Histórico'!$A:$A),FALSE),  HLOOKUP(AT79,'Histórico'!$A$1:$DD$990,MATCH($B$6,'Histórico'!$A:$A),FALSE))),"")</f>
        <v/>
      </c>
      <c r="AX79" s="243" t="str">
        <f t="shared" si="13"/>
        <v/>
      </c>
      <c r="AY79" s="53"/>
    </row>
    <row r="80" ht="15.75" customHeight="1">
      <c r="A80" s="176"/>
      <c r="B80" s="288">
        <f>Controle!B80</f>
        <v>45107</v>
      </c>
      <c r="C80" s="233">
        <f>Controle!C80</f>
        <v>103498763.9</v>
      </c>
      <c r="D80" s="289">
        <f>Controle!D80</f>
        <v>79238451.11</v>
      </c>
      <c r="E80" s="290"/>
      <c r="F80" s="291">
        <f>Controle!F80</f>
        <v>110565979.6</v>
      </c>
      <c r="G80" s="289">
        <f>Controle!G80</f>
        <v>118884855.7</v>
      </c>
      <c r="H80" s="290"/>
      <c r="I80" s="291">
        <f>Controle!I80</f>
        <v>109136034.5</v>
      </c>
      <c r="J80" s="233">
        <f>Controle!J80</f>
        <v>77700215.12</v>
      </c>
      <c r="K80" s="292"/>
      <c r="L80" s="233">
        <f>Controle!L80</f>
        <v>104953561.5</v>
      </c>
      <c r="M80" s="233">
        <f>Controle!M80</f>
        <v>72650206.47</v>
      </c>
      <c r="N80" s="235">
        <f>Controle!N80</f>
        <v>0.001161300318</v>
      </c>
      <c r="O80" s="235">
        <f>Controle!O80</f>
        <v>0.001203863383</v>
      </c>
      <c r="P80" s="235">
        <f>Controle!P80</f>
        <v>0.003732800467</v>
      </c>
      <c r="Q80" s="235">
        <f>Controle!Q80</f>
        <v>0.003032656713</v>
      </c>
      <c r="R80" s="293">
        <f>Controle!R80</f>
        <v>103.4913126</v>
      </c>
      <c r="S80" s="287"/>
      <c r="T80" s="233">
        <f t="shared" ref="T80:U80" si="83">IF(AND(C80&lt;&gt;"",F80&lt;&gt;"",I80&lt;&gt;""), SUM(I80,F80,C80),"")</f>
        <v>323200778</v>
      </c>
      <c r="U80" s="233">
        <f t="shared" si="83"/>
        <v>275823522</v>
      </c>
      <c r="V80" s="233">
        <f t="shared" si="6"/>
        <v>323.200778</v>
      </c>
      <c r="W80" s="241">
        <f t="shared" si="9"/>
        <v>0.002042736184</v>
      </c>
      <c r="X80" s="241">
        <f t="shared" si="10"/>
        <v>-0.003372833609</v>
      </c>
      <c r="Y80" s="241">
        <f t="shared" si="19"/>
        <v>0.002351416156</v>
      </c>
      <c r="Z80" s="233">
        <f t="shared" si="7"/>
        <v>310.4739377</v>
      </c>
      <c r="AA80" s="294"/>
      <c r="AB80" s="245"/>
      <c r="AC80" s="242" t="str">
        <f>IF(ISTEXT(AB80),VLOOKUP(AB80,'Cadastro dos Ativos'!$A$2:$C$1000,3,0),"")</f>
        <v/>
      </c>
      <c r="AD80" s="242" t="str">
        <f>IF(AB80 &lt;&gt; "",SUMIFS('Alocação'!$O$3:$O$1002,'Alocação'!$C$3:$C$1002,AB80,'Alocação'!$F$3:$F$1002,AB$9,'Alocação'!$B$3:$B$1002,"&lt;="&amp;$B$6), "")</f>
        <v/>
      </c>
      <c r="AE80" s="243" t="str">
        <f>iferror(IF(AC80="Ações Americanas", HLOOKUP(AB80,'Histórico'!$A$1:$DD$990,MATCH($B$6,'Histórico'!$A:$A),FALSE)*HLOOKUP("PTAX",'Histórico'!$A$1:$FG$983,MATCH($B$6,'Histórico'!$A:$A),FALSE),IF(AC80="Ações Europeias", HLOOKUP(AB80,'Histórico'!$A$1:$DD$990,MATCH($B$6,'Histórico'!$A:$A),FALSE)*HLOOKUP("EUR/BRL",'Histórico'!$A$1:$FG$983,MATCH($B$6,'Histórico'!$A:$A),FALSE),  HLOOKUP(AB80,'Histórico'!$A$1:$DD$990,MATCH($B$6,'Histórico'!$A:$A),FALSE))),"")</f>
        <v/>
      </c>
      <c r="AF80" s="243" t="str">
        <f t="shared" si="15"/>
        <v/>
      </c>
      <c r="AG80" s="53"/>
      <c r="AH80" s="245"/>
      <c r="AI80" s="242" t="str">
        <f>IF(ISTEXT(AH80),VLOOKUP(AH80,'Cadastro dos Ativos'!$A$2:$C$1000,3,0),"")</f>
        <v/>
      </c>
      <c r="AJ80" s="242" t="str">
        <f>IF(AH80 &lt;&gt; "",SUMIFS('Alocação'!$O$3:$O$1002,'Alocação'!$C$3:$C$1002,AH80,'Alocação'!$F$3:$F$1002,AH$9,'Alocação'!$B$3:$B$1002,"&lt;="&amp;$B$6), "")</f>
        <v/>
      </c>
      <c r="AK80" s="243" t="str">
        <f>iferror(IF(AI80="Ações Americanas", HLOOKUP(AH80,'Histórico'!$A$1:$DD$990,MATCH($B$6,'Histórico'!$A:$A),FALSE)*HLOOKUP("PTAX",'Histórico'!$A$1:$FG$983,MATCH($B$6,'Histórico'!$A:$A),FALSE),IF(AI80="Ações Europeias", HLOOKUP(AH80,'Histórico'!$A$1:$DD$990,MATCH($B$6,'Histórico'!$A:$A),FALSE)*HLOOKUP("EUR/BRL",'Histórico'!$A$1:$FG$983,MATCH($B$6,'Histórico'!$A:$A),FALSE),  HLOOKUP(AH80,'Histórico'!$A$1:$DD$990,MATCH($B$6,'Histórico'!$A:$A),FALSE))),"")</f>
        <v/>
      </c>
      <c r="AL80" s="243" t="str">
        <f t="shared" si="11"/>
        <v/>
      </c>
      <c r="AM80" s="53"/>
      <c r="AN80" s="245"/>
      <c r="AO80" s="242" t="str">
        <f>IF(ISTEXT(AN80),VLOOKUP(AN80,'Cadastro dos Ativos'!$A$2:$C$1000,3,0),"")</f>
        <v/>
      </c>
      <c r="AP80" s="242" t="str">
        <f>IF(AN80 &lt;&gt; "",SUMIFS('Alocação'!$O$3:$O$1002,'Alocação'!$C$3:$C$1002,AN80,'Alocação'!$F$3:$F$1002,AN$9,'Alocação'!$B$3:$B$1002,"&lt;="&amp;$B$6), "")</f>
        <v/>
      </c>
      <c r="AQ80" s="243" t="str">
        <f>iferror(IF(AO80="Ações Americanas", HLOOKUP(AN80,'Histórico'!$A$1:$DD$990,MATCH($B$6,'Histórico'!$A:$A),FALSE)*HLOOKUP("PTAX",'Histórico'!$A$1:$FG$983,MATCH($B$6,'Histórico'!$A:$A),FALSE),IF(AO80="Ações Europeias", HLOOKUP(AN80,'Histórico'!$A$1:$DD$990,MATCH($B$6,'Histórico'!$A:$A),FALSE)*HLOOKUP("EUR/BRL",'Histórico'!$A$1:$FG$983,MATCH($B$6,'Histórico'!$A:$A),FALSE),  HLOOKUP(AN80,'Histórico'!$A$1:$DD$990,MATCH($B$6,'Histórico'!$A:$A),FALSE))),"")</f>
        <v/>
      </c>
      <c r="AR80" s="243" t="str">
        <f t="shared" si="12"/>
        <v/>
      </c>
      <c r="AS80" s="53"/>
      <c r="AT80" s="245"/>
      <c r="AU80" s="242" t="str">
        <f>IF(ISTEXT(AT80),VLOOKUP(AT80,'Cadastro dos Ativos'!$A$2:$C$1000,3,0),"")</f>
        <v/>
      </c>
      <c r="AV80" s="242" t="str">
        <f>IF(AT80 &lt;&gt; "",SUMIFS('Alocação'!$O$3:$O$1002,'Alocação'!$C$3:$C$1002,AT80,'Alocação'!$F$3:$F$1002,AT$9,'Alocação'!$B$3:$B$1002,"&lt;="&amp;$B$6), "")</f>
        <v/>
      </c>
      <c r="AW80" s="243" t="str">
        <f>iferror(IF(AU80="Ações Americanas", HLOOKUP(AT80,'Histórico'!$A$1:$DD$990,MATCH($B$6,'Histórico'!$A:$A),FALSE)*HLOOKUP("PTAX",'Histórico'!$A$1:$FG$983,MATCH($B$6,'Histórico'!$A:$A),FALSE),IF(AU80="Ações Europeias", HLOOKUP(AT80,'Histórico'!$A$1:$DD$990,MATCH($B$6,'Histórico'!$A:$A),FALSE)*HLOOKUP("EUR/BRL",'Histórico'!$A$1:$FG$983,MATCH($B$6,'Histórico'!$A:$A),FALSE),  HLOOKUP(AT80,'Histórico'!$A$1:$DD$990,MATCH($B$6,'Histórico'!$A:$A),FALSE))),"")</f>
        <v/>
      </c>
      <c r="AX80" s="243" t="str">
        <f t="shared" si="13"/>
        <v/>
      </c>
      <c r="AY80" s="53"/>
    </row>
    <row r="81" ht="15.75" customHeight="1">
      <c r="A81" s="176"/>
      <c r="B81" s="288">
        <f>Controle!B81</f>
        <v>45110</v>
      </c>
      <c r="C81" s="233">
        <f>Controle!C81</f>
        <v>103504711.9</v>
      </c>
      <c r="D81" s="289">
        <f>Controle!D81</f>
        <v>79272589.17</v>
      </c>
      <c r="E81" s="290"/>
      <c r="F81" s="291">
        <f>Controle!F81</f>
        <v>110762958.1</v>
      </c>
      <c r="G81" s="289">
        <f>Controle!G81</f>
        <v>118994613.1</v>
      </c>
      <c r="H81" s="290"/>
      <c r="I81" s="291">
        <f>Controle!I81</f>
        <v>109173768.8</v>
      </c>
      <c r="J81" s="233">
        <f>Controle!J81</f>
        <v>78027412.09</v>
      </c>
      <c r="K81" s="292"/>
      <c r="L81" s="233">
        <f>Controle!L81</f>
        <v>105588798.4</v>
      </c>
      <c r="M81" s="233">
        <f>Controle!M81</f>
        <v>72680911.74</v>
      </c>
      <c r="N81" s="235">
        <f>Controle!N81</f>
        <v>0.00005746936109</v>
      </c>
      <c r="O81" s="235">
        <f>Controle!O81</f>
        <v>0.001781547343</v>
      </c>
      <c r="P81" s="235">
        <f>Controle!P81</f>
        <v>0.0003457543006</v>
      </c>
      <c r="Q81" s="235">
        <f>Controle!Q81</f>
        <v>0.006052551942</v>
      </c>
      <c r="R81" s="293">
        <f>Controle!R81</f>
        <v>103.5420616</v>
      </c>
      <c r="S81" s="287"/>
      <c r="T81" s="233">
        <f t="shared" ref="T81:U81" si="84">IF(AND(C81&lt;&gt;"",F81&lt;&gt;"",I81&lt;&gt;""), SUM(I81,F81,C81),"")</f>
        <v>323441438.8</v>
      </c>
      <c r="U81" s="233">
        <f t="shared" si="84"/>
        <v>276294614.4</v>
      </c>
      <c r="V81" s="233">
        <f t="shared" si="6"/>
        <v>323.4414388</v>
      </c>
      <c r="W81" s="241">
        <f t="shared" si="9"/>
        <v>0.000744616983</v>
      </c>
      <c r="X81" s="241">
        <f t="shared" si="10"/>
        <v>-0.002630728095</v>
      </c>
      <c r="Y81" s="241">
        <f t="shared" si="19"/>
        <v>0.001968960166</v>
      </c>
      <c r="Z81" s="233">
        <f t="shared" si="7"/>
        <v>310.6261848</v>
      </c>
      <c r="AA81" s="294"/>
      <c r="AB81" s="245"/>
      <c r="AC81" s="242" t="str">
        <f>IF(ISTEXT(AB81),VLOOKUP(AB81,'Cadastro dos Ativos'!$A$2:$C$1000,3,0),"")</f>
        <v/>
      </c>
      <c r="AD81" s="242" t="str">
        <f>IF(AB81 &lt;&gt; "",SUMIFS('Alocação'!$O$3:$O$1002,'Alocação'!$C$3:$C$1002,AB81,'Alocação'!$F$3:$F$1002,AB$9,'Alocação'!$B$3:$B$1002,"&lt;="&amp;$B$6), "")</f>
        <v/>
      </c>
      <c r="AE81" s="243" t="str">
        <f>iferror(IF(AC81="Ações Americanas", HLOOKUP(AB81,'Histórico'!$A$1:$DD$990,MATCH($B$6,'Histórico'!$A:$A),FALSE)*HLOOKUP("PTAX",'Histórico'!$A$1:$FG$983,MATCH($B$6,'Histórico'!$A:$A),FALSE),IF(AC81="Ações Europeias", HLOOKUP(AB81,'Histórico'!$A$1:$DD$990,MATCH($B$6,'Histórico'!$A:$A),FALSE)*HLOOKUP("EUR/BRL",'Histórico'!$A$1:$FG$983,MATCH($B$6,'Histórico'!$A:$A),FALSE),  HLOOKUP(AB81,'Histórico'!$A$1:$DD$990,MATCH($B$6,'Histórico'!$A:$A),FALSE))),"")</f>
        <v/>
      </c>
      <c r="AF81" s="243" t="str">
        <f t="shared" si="15"/>
        <v/>
      </c>
      <c r="AG81" s="53"/>
      <c r="AH81" s="245"/>
      <c r="AI81" s="242" t="str">
        <f>IF(ISTEXT(AH81),VLOOKUP(AH81,'Cadastro dos Ativos'!$A$2:$C$1000,3,0),"")</f>
        <v/>
      </c>
      <c r="AJ81" s="242" t="str">
        <f>IF(AH81 &lt;&gt; "",SUMIFS('Alocação'!$O$3:$O$1002,'Alocação'!$C$3:$C$1002,AH81,'Alocação'!$F$3:$F$1002,AH$9,'Alocação'!$B$3:$B$1002,"&lt;="&amp;$B$6), "")</f>
        <v/>
      </c>
      <c r="AK81" s="243" t="str">
        <f>iferror(IF(AI81="Ações Americanas", HLOOKUP(AH81,'Histórico'!$A$1:$DD$990,MATCH($B$6,'Histórico'!$A:$A),FALSE)*HLOOKUP("PTAX",'Histórico'!$A$1:$FG$983,MATCH($B$6,'Histórico'!$A:$A),FALSE),IF(AI81="Ações Europeias", HLOOKUP(AH81,'Histórico'!$A$1:$DD$990,MATCH($B$6,'Histórico'!$A:$A),FALSE)*HLOOKUP("EUR/BRL",'Histórico'!$A$1:$FG$983,MATCH($B$6,'Histórico'!$A:$A),FALSE),  HLOOKUP(AH81,'Histórico'!$A$1:$DD$990,MATCH($B$6,'Histórico'!$A:$A),FALSE))),"")</f>
        <v/>
      </c>
      <c r="AL81" s="243" t="str">
        <f t="shared" si="11"/>
        <v/>
      </c>
      <c r="AM81" s="53"/>
      <c r="AN81" s="245"/>
      <c r="AO81" s="242" t="str">
        <f>IF(ISTEXT(AN81),VLOOKUP(AN81,'Cadastro dos Ativos'!$A$2:$C$1000,3,0),"")</f>
        <v/>
      </c>
      <c r="AP81" s="242" t="str">
        <f>IF(AN81 &lt;&gt; "",SUMIFS('Alocação'!$O$3:$O$1002,'Alocação'!$C$3:$C$1002,AN81,'Alocação'!$F$3:$F$1002,AN$9,'Alocação'!$B$3:$B$1002,"&lt;="&amp;$B$6), "")</f>
        <v/>
      </c>
      <c r="AQ81" s="243" t="str">
        <f>iferror(IF(AO81="Ações Americanas", HLOOKUP(AN81,'Histórico'!$A$1:$DD$990,MATCH($B$6,'Histórico'!$A:$A),FALSE)*HLOOKUP("PTAX",'Histórico'!$A$1:$FG$983,MATCH($B$6,'Histórico'!$A:$A),FALSE),IF(AO81="Ações Europeias", HLOOKUP(AN81,'Histórico'!$A$1:$DD$990,MATCH($B$6,'Histórico'!$A:$A),FALSE)*HLOOKUP("EUR/BRL",'Histórico'!$A$1:$FG$983,MATCH($B$6,'Histórico'!$A:$A),FALSE),  HLOOKUP(AN81,'Histórico'!$A$1:$DD$990,MATCH($B$6,'Histórico'!$A:$A),FALSE))),"")</f>
        <v/>
      </c>
      <c r="AR81" s="243" t="str">
        <f t="shared" si="12"/>
        <v/>
      </c>
      <c r="AS81" s="53"/>
      <c r="AT81" s="245"/>
      <c r="AU81" s="242" t="str">
        <f>IF(ISTEXT(AT81),VLOOKUP(AT81,'Cadastro dos Ativos'!$A$2:$C$1000,3,0),"")</f>
        <v/>
      </c>
      <c r="AV81" s="242" t="str">
        <f>IF(AT81 &lt;&gt; "",SUMIFS('Alocação'!$O$3:$O$1002,'Alocação'!$C$3:$C$1002,AT81,'Alocação'!$F$3:$F$1002,AT$9,'Alocação'!$B$3:$B$1002,"&lt;="&amp;$B$6), "")</f>
        <v/>
      </c>
      <c r="AW81" s="243" t="str">
        <f>iferror(IF(AU81="Ações Americanas", HLOOKUP(AT81,'Histórico'!$A$1:$DD$990,MATCH($B$6,'Histórico'!$A:$A),FALSE)*HLOOKUP("PTAX",'Histórico'!$A$1:$FG$983,MATCH($B$6,'Histórico'!$A:$A),FALSE),IF(AU81="Ações Europeias", HLOOKUP(AT81,'Histórico'!$A$1:$DD$990,MATCH($B$6,'Histórico'!$A:$A),FALSE)*HLOOKUP("EUR/BRL",'Histórico'!$A$1:$FG$983,MATCH($B$6,'Histórico'!$A:$A),FALSE),  HLOOKUP(AT81,'Histórico'!$A$1:$DD$990,MATCH($B$6,'Histórico'!$A:$A),FALSE))),"")</f>
        <v/>
      </c>
      <c r="AX81" s="243" t="str">
        <f t="shared" si="13"/>
        <v/>
      </c>
      <c r="AY81" s="53"/>
    </row>
    <row r="82" ht="15.75" customHeight="1">
      <c r="A82" s="176"/>
      <c r="B82" s="288">
        <f>Controle!B82</f>
        <v>45111</v>
      </c>
      <c r="C82" s="233">
        <f>Controle!C82</f>
        <v>103336576.4</v>
      </c>
      <c r="D82" s="289">
        <f>Controle!D82</f>
        <v>79306744.22</v>
      </c>
      <c r="E82" s="290"/>
      <c r="F82" s="291">
        <f>Controle!F82</f>
        <v>110659569.8</v>
      </c>
      <c r="G82" s="289">
        <f>Controle!G82</f>
        <v>118937258.6</v>
      </c>
      <c r="H82" s="290"/>
      <c r="I82" s="291">
        <f>Controle!I82</f>
        <v>109254780.9</v>
      </c>
      <c r="J82" s="233">
        <f>Controle!J82</f>
        <v>77995248.14</v>
      </c>
      <c r="K82" s="292"/>
      <c r="L82" s="233">
        <f>Controle!L82</f>
        <v>105642624.2</v>
      </c>
      <c r="M82" s="233">
        <f>Controle!M82</f>
        <v>72711595.09</v>
      </c>
      <c r="N82" s="235">
        <f>Controle!N82</f>
        <v>-0.001624423435</v>
      </c>
      <c r="O82" s="235">
        <f>Controle!O82</f>
        <v>-0.0009334196143</v>
      </c>
      <c r="P82" s="235">
        <f>Controle!P82</f>
        <v>0.0007420475488</v>
      </c>
      <c r="Q82" s="235">
        <f>Controle!Q82</f>
        <v>0.0005097681592</v>
      </c>
      <c r="R82" s="293">
        <f>Controle!R82</f>
        <v>103.5928355</v>
      </c>
      <c r="S82" s="287"/>
      <c r="T82" s="233">
        <f t="shared" ref="T82:U82" si="85">IF(AND(C82&lt;&gt;"",F82&lt;&gt;"",I82&lt;&gt;""), SUM(I82,F82,C82),"")</f>
        <v>323250927.1</v>
      </c>
      <c r="U82" s="233">
        <f t="shared" si="85"/>
        <v>276239251</v>
      </c>
      <c r="V82" s="233">
        <f t="shared" si="6"/>
        <v>323.2509271</v>
      </c>
      <c r="W82" s="241">
        <f t="shared" si="9"/>
        <v>-0.000589014415</v>
      </c>
      <c r="X82" s="241">
        <f t="shared" si="10"/>
        <v>-0.003218192973</v>
      </c>
      <c r="Y82" s="241">
        <f t="shared" si="19"/>
        <v>0.002318258984</v>
      </c>
      <c r="Z82" s="233">
        <f t="shared" si="7"/>
        <v>310.7785065</v>
      </c>
      <c r="AA82" s="294"/>
      <c r="AB82" s="245"/>
      <c r="AC82" s="242" t="str">
        <f>IF(ISTEXT(AB82),VLOOKUP(AB82,'Cadastro dos Ativos'!$A$2:$C$1000,3,0),"")</f>
        <v/>
      </c>
      <c r="AD82" s="242" t="str">
        <f>IF(AB82 &lt;&gt; "",SUMIFS('Alocação'!$O$3:$O$1002,'Alocação'!$C$3:$C$1002,AB82,'Alocação'!$F$3:$F$1002,AB$9,'Alocação'!$B$3:$B$1002,"&lt;="&amp;$B$6), "")</f>
        <v/>
      </c>
      <c r="AE82" s="243" t="str">
        <f>iferror(IF(AC82="Ações Americanas", HLOOKUP(AB82,'Histórico'!$A$1:$DD$990,MATCH($B$6,'Histórico'!$A:$A),FALSE)*HLOOKUP("PTAX",'Histórico'!$A$1:$FG$983,MATCH($B$6,'Histórico'!$A:$A),FALSE),IF(AC82="Ações Europeias", HLOOKUP(AB82,'Histórico'!$A$1:$DD$990,MATCH($B$6,'Histórico'!$A:$A),FALSE)*HLOOKUP("EUR/BRL",'Histórico'!$A$1:$FG$983,MATCH($B$6,'Histórico'!$A:$A),FALSE),  HLOOKUP(AB82,'Histórico'!$A$1:$DD$990,MATCH($B$6,'Histórico'!$A:$A),FALSE))),"")</f>
        <v/>
      </c>
      <c r="AF82" s="243" t="str">
        <f t="shared" si="15"/>
        <v/>
      </c>
      <c r="AG82" s="53"/>
      <c r="AH82" s="245"/>
      <c r="AI82" s="242" t="str">
        <f>IF(ISTEXT(AH82),VLOOKUP(AH82,'Cadastro dos Ativos'!$A$2:$C$1000,3,0),"")</f>
        <v/>
      </c>
      <c r="AJ82" s="242" t="str">
        <f>IF(AH82 &lt;&gt; "",SUMIFS('Alocação'!$O$3:$O$1002,'Alocação'!$C$3:$C$1002,AH82,'Alocação'!$F$3:$F$1002,AH$9,'Alocação'!$B$3:$B$1002,"&lt;="&amp;$B$6), "")</f>
        <v/>
      </c>
      <c r="AK82" s="243" t="str">
        <f>iferror(IF(AI82="Ações Americanas", HLOOKUP(AH82,'Histórico'!$A$1:$DD$990,MATCH($B$6,'Histórico'!$A:$A),FALSE)*HLOOKUP("PTAX",'Histórico'!$A$1:$FG$983,MATCH($B$6,'Histórico'!$A:$A),FALSE),IF(AI82="Ações Europeias", HLOOKUP(AH82,'Histórico'!$A$1:$DD$990,MATCH($B$6,'Histórico'!$A:$A),FALSE)*HLOOKUP("EUR/BRL",'Histórico'!$A$1:$FG$983,MATCH($B$6,'Histórico'!$A:$A),FALSE),  HLOOKUP(AH82,'Histórico'!$A$1:$DD$990,MATCH($B$6,'Histórico'!$A:$A),FALSE))),"")</f>
        <v/>
      </c>
      <c r="AL82" s="243" t="str">
        <f t="shared" si="11"/>
        <v/>
      </c>
      <c r="AM82" s="53"/>
      <c r="AN82" s="245"/>
      <c r="AO82" s="242" t="str">
        <f>IF(ISTEXT(AN82),VLOOKUP(AN82,'Cadastro dos Ativos'!$A$2:$C$1000,3,0),"")</f>
        <v/>
      </c>
      <c r="AP82" s="242" t="str">
        <f>IF(AN82 &lt;&gt; "",SUMIFS('Alocação'!$O$3:$O$1002,'Alocação'!$C$3:$C$1002,AN82,'Alocação'!$F$3:$F$1002,AN$9,'Alocação'!$B$3:$B$1002,"&lt;="&amp;$B$6), "")</f>
        <v/>
      </c>
      <c r="AQ82" s="243" t="str">
        <f>iferror(IF(AO82="Ações Americanas", HLOOKUP(AN82,'Histórico'!$A$1:$DD$990,MATCH($B$6,'Histórico'!$A:$A),FALSE)*HLOOKUP("PTAX",'Histórico'!$A$1:$FG$983,MATCH($B$6,'Histórico'!$A:$A),FALSE),IF(AO82="Ações Europeias", HLOOKUP(AN82,'Histórico'!$A$1:$DD$990,MATCH($B$6,'Histórico'!$A:$A),FALSE)*HLOOKUP("EUR/BRL",'Histórico'!$A$1:$FG$983,MATCH($B$6,'Histórico'!$A:$A),FALSE),  HLOOKUP(AN82,'Histórico'!$A$1:$DD$990,MATCH($B$6,'Histórico'!$A:$A),FALSE))),"")</f>
        <v/>
      </c>
      <c r="AR82" s="243" t="str">
        <f t="shared" si="12"/>
        <v/>
      </c>
      <c r="AS82" s="53"/>
      <c r="AT82" s="245"/>
      <c r="AU82" s="242" t="str">
        <f>IF(ISTEXT(AT82),VLOOKUP(AT82,'Cadastro dos Ativos'!$A$2:$C$1000,3,0),"")</f>
        <v/>
      </c>
      <c r="AV82" s="242" t="str">
        <f>IF(AT82 &lt;&gt; "",SUMIFS('Alocação'!$O$3:$O$1002,'Alocação'!$C$3:$C$1002,AT82,'Alocação'!$F$3:$F$1002,AT$9,'Alocação'!$B$3:$B$1002,"&lt;="&amp;$B$6), "")</f>
        <v/>
      </c>
      <c r="AW82" s="243" t="str">
        <f>iferror(IF(AU82="Ações Americanas", HLOOKUP(AT82,'Histórico'!$A$1:$DD$990,MATCH($B$6,'Histórico'!$A:$A),FALSE)*HLOOKUP("PTAX",'Histórico'!$A$1:$FG$983,MATCH($B$6,'Histórico'!$A:$A),FALSE),IF(AU82="Ações Europeias", HLOOKUP(AT82,'Histórico'!$A$1:$DD$990,MATCH($B$6,'Histórico'!$A:$A),FALSE)*HLOOKUP("EUR/BRL",'Histórico'!$A$1:$FG$983,MATCH($B$6,'Histórico'!$A:$A),FALSE),  HLOOKUP(AT82,'Histórico'!$A$1:$DD$990,MATCH($B$6,'Histórico'!$A:$A),FALSE))),"")</f>
        <v/>
      </c>
      <c r="AX82" s="243" t="str">
        <f t="shared" si="13"/>
        <v/>
      </c>
      <c r="AY82" s="53"/>
    </row>
    <row r="83" ht="15.75" customHeight="1">
      <c r="A83" s="176"/>
      <c r="B83" s="288">
        <f>Controle!B83</f>
        <v>45112</v>
      </c>
      <c r="C83" s="233">
        <f>Controle!C83</f>
        <v>103488375.1</v>
      </c>
      <c r="D83" s="289">
        <f>Controle!D83</f>
        <v>79340926.56</v>
      </c>
      <c r="E83" s="290"/>
      <c r="F83" s="291">
        <f>Controle!F83</f>
        <v>110997169.1</v>
      </c>
      <c r="G83" s="289">
        <f>Controle!G83</f>
        <v>119148451.6</v>
      </c>
      <c r="H83" s="290"/>
      <c r="I83" s="291">
        <f>Controle!I83</f>
        <v>109670203.1</v>
      </c>
      <c r="J83" s="233">
        <f>Controle!J83</f>
        <v>78131414.47</v>
      </c>
      <c r="K83" s="292"/>
      <c r="L83" s="233">
        <f>Controle!L83</f>
        <v>105859220.5</v>
      </c>
      <c r="M83" s="233">
        <f>Controle!M83</f>
        <v>72742290.84</v>
      </c>
      <c r="N83" s="235">
        <f>Controle!N83</f>
        <v>0.001468973218</v>
      </c>
      <c r="O83" s="235">
        <f>Controle!O83</f>
        <v>0.003050791747</v>
      </c>
      <c r="P83" s="235">
        <f>Controle!P83</f>
        <v>0.003802325184</v>
      </c>
      <c r="Q83" s="235">
        <f>Controle!Q83</f>
        <v>0.002050273549</v>
      </c>
      <c r="R83" s="293">
        <f>Controle!R83</f>
        <v>103.6436343</v>
      </c>
      <c r="S83" s="287"/>
      <c r="T83" s="233">
        <f t="shared" ref="T83:U83" si="86">IF(AND(C83&lt;&gt;"",F83&lt;&gt;"",I83&lt;&gt;""), SUM(I83,F83,C83),"")</f>
        <v>324155747.3</v>
      </c>
      <c r="U83" s="233">
        <f t="shared" si="86"/>
        <v>276620792.6</v>
      </c>
      <c r="V83" s="233">
        <f t="shared" si="6"/>
        <v>324.1557473</v>
      </c>
      <c r="W83" s="241">
        <f t="shared" si="9"/>
        <v>0.002799126296</v>
      </c>
      <c r="X83" s="241">
        <f t="shared" si="10"/>
        <v>-0.0004280748057</v>
      </c>
      <c r="Y83" s="241">
        <f t="shared" si="19"/>
        <v>0.002295812507</v>
      </c>
      <c r="Z83" s="233">
        <f t="shared" si="7"/>
        <v>310.930903</v>
      </c>
      <c r="AA83" s="294"/>
      <c r="AB83" s="245"/>
      <c r="AC83" s="242" t="str">
        <f>IF(ISTEXT(AB83),VLOOKUP(AB83,'Cadastro dos Ativos'!$A$2:$C$1000,3,0),"")</f>
        <v/>
      </c>
      <c r="AD83" s="242" t="str">
        <f>IF(AB83 &lt;&gt; "",SUMIFS('Alocação'!$O$3:$O$1002,'Alocação'!$C$3:$C$1002,AB83,'Alocação'!$F$3:$F$1002,AB$9,'Alocação'!$B$3:$B$1002,"&lt;="&amp;$B$6), "")</f>
        <v/>
      </c>
      <c r="AE83" s="243" t="str">
        <f>iferror(IF(AC83="Ações Americanas", HLOOKUP(AB83,'Histórico'!$A$1:$DD$990,MATCH($B$6,'Histórico'!$A:$A),FALSE)*HLOOKUP("PTAX",'Histórico'!$A$1:$FG$983,MATCH($B$6,'Histórico'!$A:$A),FALSE),IF(AC83="Ações Europeias", HLOOKUP(AB83,'Histórico'!$A$1:$DD$990,MATCH($B$6,'Histórico'!$A:$A),FALSE)*HLOOKUP("EUR/BRL",'Histórico'!$A$1:$FG$983,MATCH($B$6,'Histórico'!$A:$A),FALSE),  HLOOKUP(AB83,'Histórico'!$A$1:$DD$990,MATCH($B$6,'Histórico'!$A:$A),FALSE))),"")</f>
        <v/>
      </c>
      <c r="AF83" s="243" t="str">
        <f t="shared" si="15"/>
        <v/>
      </c>
      <c r="AG83" s="53"/>
      <c r="AH83" s="245"/>
      <c r="AI83" s="242" t="str">
        <f>IF(ISTEXT(AH83),VLOOKUP(AH83,'Cadastro dos Ativos'!$A$2:$C$1000,3,0),"")</f>
        <v/>
      </c>
      <c r="AJ83" s="242" t="str">
        <f>IF(AH83 &lt;&gt; "",SUMIFS('Alocação'!$O$3:$O$1002,'Alocação'!$C$3:$C$1002,AH83,'Alocação'!$F$3:$F$1002,AH$9,'Alocação'!$B$3:$B$1002,"&lt;="&amp;$B$6), "")</f>
        <v/>
      </c>
      <c r="AK83" s="243" t="str">
        <f>iferror(IF(AI83="Ações Americanas", HLOOKUP(AH83,'Histórico'!$A$1:$DD$990,MATCH($B$6,'Histórico'!$A:$A),FALSE)*HLOOKUP("PTAX",'Histórico'!$A$1:$FG$983,MATCH($B$6,'Histórico'!$A:$A),FALSE),IF(AI83="Ações Europeias", HLOOKUP(AH83,'Histórico'!$A$1:$DD$990,MATCH($B$6,'Histórico'!$A:$A),FALSE)*HLOOKUP("EUR/BRL",'Histórico'!$A$1:$FG$983,MATCH($B$6,'Histórico'!$A:$A),FALSE),  HLOOKUP(AH83,'Histórico'!$A$1:$DD$990,MATCH($B$6,'Histórico'!$A:$A),FALSE))),"")</f>
        <v/>
      </c>
      <c r="AL83" s="243" t="str">
        <f t="shared" si="11"/>
        <v/>
      </c>
      <c r="AM83" s="53"/>
      <c r="AN83" s="245"/>
      <c r="AO83" s="242" t="str">
        <f>IF(ISTEXT(AN83),VLOOKUP(AN83,'Cadastro dos Ativos'!$A$2:$C$1000,3,0),"")</f>
        <v/>
      </c>
      <c r="AP83" s="242" t="str">
        <f>IF(AN83 &lt;&gt; "",SUMIFS('Alocação'!$O$3:$O$1002,'Alocação'!$C$3:$C$1002,AN83,'Alocação'!$F$3:$F$1002,AN$9,'Alocação'!$B$3:$B$1002,"&lt;="&amp;$B$6), "")</f>
        <v/>
      </c>
      <c r="AQ83" s="243" t="str">
        <f>iferror(IF(AO83="Ações Americanas", HLOOKUP(AN83,'Histórico'!$A$1:$DD$990,MATCH($B$6,'Histórico'!$A:$A),FALSE)*HLOOKUP("PTAX",'Histórico'!$A$1:$FG$983,MATCH($B$6,'Histórico'!$A:$A),FALSE),IF(AO83="Ações Europeias", HLOOKUP(AN83,'Histórico'!$A$1:$DD$990,MATCH($B$6,'Histórico'!$A:$A),FALSE)*HLOOKUP("EUR/BRL",'Histórico'!$A$1:$FG$983,MATCH($B$6,'Histórico'!$A:$A),FALSE),  HLOOKUP(AN83,'Histórico'!$A$1:$DD$990,MATCH($B$6,'Histórico'!$A:$A),FALSE))),"")</f>
        <v/>
      </c>
      <c r="AR83" s="243" t="str">
        <f t="shared" si="12"/>
        <v/>
      </c>
      <c r="AS83" s="53"/>
      <c r="AT83" s="245"/>
      <c r="AU83" s="242" t="str">
        <f>IF(ISTEXT(AT83),VLOOKUP(AT83,'Cadastro dos Ativos'!$A$2:$C$1000,3,0),"")</f>
        <v/>
      </c>
      <c r="AV83" s="242" t="str">
        <f>IF(AT83 &lt;&gt; "",SUMIFS('Alocação'!$O$3:$O$1002,'Alocação'!$C$3:$C$1002,AT83,'Alocação'!$F$3:$F$1002,AT$9,'Alocação'!$B$3:$B$1002,"&lt;="&amp;$B$6), "")</f>
        <v/>
      </c>
      <c r="AW83" s="243" t="str">
        <f>iferror(IF(AU83="Ações Americanas", HLOOKUP(AT83,'Histórico'!$A$1:$DD$990,MATCH($B$6,'Histórico'!$A:$A),FALSE)*HLOOKUP("PTAX",'Histórico'!$A$1:$FG$983,MATCH($B$6,'Histórico'!$A:$A),FALSE),IF(AU83="Ações Europeias", HLOOKUP(AT83,'Histórico'!$A$1:$DD$990,MATCH($B$6,'Histórico'!$A:$A),FALSE)*HLOOKUP("EUR/BRL",'Histórico'!$A$1:$FG$983,MATCH($B$6,'Histórico'!$A:$A),FALSE),  HLOOKUP(AT83,'Histórico'!$A$1:$DD$990,MATCH($B$6,'Histórico'!$A:$A),FALSE))),"")</f>
        <v/>
      </c>
      <c r="AX83" s="243" t="str">
        <f t="shared" si="13"/>
        <v/>
      </c>
      <c r="AY83" s="53"/>
    </row>
    <row r="84" ht="15.75" customHeight="1">
      <c r="A84" s="176"/>
      <c r="B84" s="288">
        <f>Controle!B84</f>
        <v>45113</v>
      </c>
      <c r="C84" s="233">
        <f>Controle!C84</f>
        <v>103372226</v>
      </c>
      <c r="D84" s="289">
        <f>Controle!D84</f>
        <v>79375117.29</v>
      </c>
      <c r="E84" s="290"/>
      <c r="F84" s="291">
        <f>Controle!F84</f>
        <v>110973276.7</v>
      </c>
      <c r="G84" s="289">
        <f>Controle!G84</f>
        <v>119087789.9</v>
      </c>
      <c r="H84" s="290"/>
      <c r="I84" s="291">
        <f>Controle!I84</f>
        <v>109363009.2</v>
      </c>
      <c r="J84" s="233">
        <f>Controle!J84</f>
        <v>77854473.22</v>
      </c>
      <c r="K84" s="292"/>
      <c r="L84" s="233">
        <f>Controle!L84</f>
        <v>104957570.3</v>
      </c>
      <c r="M84" s="233">
        <f>Controle!M84</f>
        <v>72772989.38</v>
      </c>
      <c r="N84" s="235">
        <f>Controle!N84</f>
        <v>-0.001122339944</v>
      </c>
      <c r="O84" s="235">
        <f>Controle!O84</f>
        <v>-0.0002152519023</v>
      </c>
      <c r="P84" s="235">
        <f>Controle!P84</f>
        <v>-0.002801069544</v>
      </c>
      <c r="Q84" s="235">
        <f>Controle!Q84</f>
        <v>-0.008517445216</v>
      </c>
      <c r="R84" s="293">
        <f>Controle!R84</f>
        <v>103.6944581</v>
      </c>
      <c r="S84" s="287"/>
      <c r="T84" s="233">
        <f t="shared" ref="T84:U84" si="87">IF(AND(C84&lt;&gt;"",F84&lt;&gt;"",I84&lt;&gt;""), SUM(I84,F84,C84),"")</f>
        <v>323708511.9</v>
      </c>
      <c r="U84" s="233">
        <f t="shared" si="87"/>
        <v>276317380.4</v>
      </c>
      <c r="V84" s="233">
        <f t="shared" si="6"/>
        <v>323.7085119</v>
      </c>
      <c r="W84" s="241">
        <f t="shared" si="9"/>
        <v>-0.001379692813</v>
      </c>
      <c r="X84" s="241">
        <f t="shared" si="10"/>
        <v>-0.001807177007</v>
      </c>
      <c r="Y84" s="241">
        <f t="shared" si="19"/>
        <v>0.001746079082</v>
      </c>
      <c r="Z84" s="233">
        <f t="shared" si="7"/>
        <v>311.0833742</v>
      </c>
      <c r="AA84" s="294"/>
      <c r="AB84" s="245"/>
      <c r="AC84" s="242" t="str">
        <f>IF(ISTEXT(AB84),VLOOKUP(AB84,'Cadastro dos Ativos'!$A$2:$C$1000,3,0),"")</f>
        <v/>
      </c>
      <c r="AD84" s="242" t="str">
        <f>IF(AB84 &lt;&gt; "",SUMIFS('Alocação'!$O$3:$O$1002,'Alocação'!$C$3:$C$1002,AB84,'Alocação'!$F$3:$F$1002,AB$9,'Alocação'!$B$3:$B$1002,"&lt;="&amp;$B$6), "")</f>
        <v/>
      </c>
      <c r="AE84" s="243" t="str">
        <f>iferror(IF(AC84="Ações Americanas", HLOOKUP(AB84,'Histórico'!$A$1:$DD$990,MATCH($B$6,'Histórico'!$A:$A),FALSE)*HLOOKUP("PTAX",'Histórico'!$A$1:$FG$983,MATCH($B$6,'Histórico'!$A:$A),FALSE),IF(AC84="Ações Europeias", HLOOKUP(AB84,'Histórico'!$A$1:$DD$990,MATCH($B$6,'Histórico'!$A:$A),FALSE)*HLOOKUP("EUR/BRL",'Histórico'!$A$1:$FG$983,MATCH($B$6,'Histórico'!$A:$A),FALSE),  HLOOKUP(AB84,'Histórico'!$A$1:$DD$990,MATCH($B$6,'Histórico'!$A:$A),FALSE))),"")</f>
        <v/>
      </c>
      <c r="AF84" s="243" t="str">
        <f t="shared" si="15"/>
        <v/>
      </c>
      <c r="AG84" s="53"/>
      <c r="AH84" s="245"/>
      <c r="AI84" s="242" t="str">
        <f>IF(ISTEXT(AH84),VLOOKUP(AH84,'Cadastro dos Ativos'!$A$2:$C$1000,3,0),"")</f>
        <v/>
      </c>
      <c r="AJ84" s="242" t="str">
        <f>IF(AH84 &lt;&gt; "",SUMIFS('Alocação'!$O$3:$O$1002,'Alocação'!$C$3:$C$1002,AH84,'Alocação'!$F$3:$F$1002,AH$9,'Alocação'!$B$3:$B$1002,"&lt;="&amp;$B$6), "")</f>
        <v/>
      </c>
      <c r="AK84" s="243" t="str">
        <f>iferror(IF(AI84="Ações Americanas", HLOOKUP(AH84,'Histórico'!$A$1:$DD$990,MATCH($B$6,'Histórico'!$A:$A),FALSE)*HLOOKUP("PTAX",'Histórico'!$A$1:$FG$983,MATCH($B$6,'Histórico'!$A:$A),FALSE),IF(AI84="Ações Europeias", HLOOKUP(AH84,'Histórico'!$A$1:$DD$990,MATCH($B$6,'Histórico'!$A:$A),FALSE)*HLOOKUP("EUR/BRL",'Histórico'!$A$1:$FG$983,MATCH($B$6,'Histórico'!$A:$A),FALSE),  HLOOKUP(AH84,'Histórico'!$A$1:$DD$990,MATCH($B$6,'Histórico'!$A:$A),FALSE))),"")</f>
        <v/>
      </c>
      <c r="AL84" s="243" t="str">
        <f t="shared" si="11"/>
        <v/>
      </c>
      <c r="AM84" s="53"/>
      <c r="AN84" s="245"/>
      <c r="AO84" s="242" t="str">
        <f>IF(ISTEXT(AN84),VLOOKUP(AN84,'Cadastro dos Ativos'!$A$2:$C$1000,3,0),"")</f>
        <v/>
      </c>
      <c r="AP84" s="242" t="str">
        <f>IF(AN84 &lt;&gt; "",SUMIFS('Alocação'!$O$3:$O$1002,'Alocação'!$C$3:$C$1002,AN84,'Alocação'!$F$3:$F$1002,AN$9,'Alocação'!$B$3:$B$1002,"&lt;="&amp;$B$6), "")</f>
        <v/>
      </c>
      <c r="AQ84" s="243" t="str">
        <f>iferror(IF(AO84="Ações Americanas", HLOOKUP(AN84,'Histórico'!$A$1:$DD$990,MATCH($B$6,'Histórico'!$A:$A),FALSE)*HLOOKUP("PTAX",'Histórico'!$A$1:$FG$983,MATCH($B$6,'Histórico'!$A:$A),FALSE),IF(AO84="Ações Europeias", HLOOKUP(AN84,'Histórico'!$A$1:$DD$990,MATCH($B$6,'Histórico'!$A:$A),FALSE)*HLOOKUP("EUR/BRL",'Histórico'!$A$1:$FG$983,MATCH($B$6,'Histórico'!$A:$A),FALSE),  HLOOKUP(AN84,'Histórico'!$A$1:$DD$990,MATCH($B$6,'Histórico'!$A:$A),FALSE))),"")</f>
        <v/>
      </c>
      <c r="AR84" s="243" t="str">
        <f t="shared" si="12"/>
        <v/>
      </c>
      <c r="AS84" s="53"/>
      <c r="AT84" s="245"/>
      <c r="AU84" s="242" t="str">
        <f>IF(ISTEXT(AT84),VLOOKUP(AT84,'Cadastro dos Ativos'!$A$2:$C$1000,3,0),"")</f>
        <v/>
      </c>
      <c r="AV84" s="242" t="str">
        <f>IF(AT84 &lt;&gt; "",SUMIFS('Alocação'!$O$3:$O$1002,'Alocação'!$C$3:$C$1002,AT84,'Alocação'!$F$3:$F$1002,AT$9,'Alocação'!$B$3:$B$1002,"&lt;="&amp;$B$6), "")</f>
        <v/>
      </c>
      <c r="AW84" s="243" t="str">
        <f>iferror(IF(AU84="Ações Americanas", HLOOKUP(AT84,'Histórico'!$A$1:$DD$990,MATCH($B$6,'Histórico'!$A:$A),FALSE)*HLOOKUP("PTAX",'Histórico'!$A$1:$FG$983,MATCH($B$6,'Histórico'!$A:$A),FALSE),IF(AU84="Ações Europeias", HLOOKUP(AT84,'Histórico'!$A$1:$DD$990,MATCH($B$6,'Histórico'!$A:$A),FALSE)*HLOOKUP("EUR/BRL",'Histórico'!$A$1:$FG$983,MATCH($B$6,'Histórico'!$A:$A),FALSE),  HLOOKUP(AT84,'Histórico'!$A$1:$DD$990,MATCH($B$6,'Histórico'!$A:$A),FALSE))),"")</f>
        <v/>
      </c>
      <c r="AX84" s="243" t="str">
        <f t="shared" si="13"/>
        <v/>
      </c>
      <c r="AY84" s="53"/>
    </row>
    <row r="85" ht="15.75" customHeight="1">
      <c r="A85" s="176"/>
      <c r="B85" s="288">
        <f>Controle!B85</f>
        <v>45114</v>
      </c>
      <c r="C85" s="233">
        <f>Controle!C85</f>
        <v>103560264.1</v>
      </c>
      <c r="D85" s="289">
        <f>Controle!D85</f>
        <v>79409322.73</v>
      </c>
      <c r="E85" s="290"/>
      <c r="F85" s="291">
        <f>Controle!F85</f>
        <v>110424396.4</v>
      </c>
      <c r="G85" s="289">
        <f>Controle!G85</f>
        <v>118661505</v>
      </c>
      <c r="H85" s="290"/>
      <c r="I85" s="291">
        <f>Controle!I85</f>
        <v>108485005</v>
      </c>
      <c r="J85" s="233">
        <f>Controle!J85</f>
        <v>76859491.2</v>
      </c>
      <c r="K85" s="292"/>
      <c r="L85" s="233">
        <f>Controle!L85</f>
        <v>105981228.4</v>
      </c>
      <c r="M85" s="233">
        <f>Controle!M85</f>
        <v>72803748.06</v>
      </c>
      <c r="N85" s="235">
        <f>Controle!N85</f>
        <v>0.001819039383</v>
      </c>
      <c r="O85" s="235">
        <f>Controle!O85</f>
        <v>-0.004946058702</v>
      </c>
      <c r="P85" s="235">
        <f>Controle!P85</f>
        <v>-0.008028347279</v>
      </c>
      <c r="Q85" s="235">
        <f>Controle!Q85</f>
        <v>0.009753065806</v>
      </c>
      <c r="R85" s="293">
        <f>Controle!R85</f>
        <v>103.7453067</v>
      </c>
      <c r="S85" s="287"/>
      <c r="T85" s="233">
        <f t="shared" ref="T85:U85" si="88">IF(AND(C85&lt;&gt;"",F85&lt;&gt;"",I85&lt;&gt;""), SUM(I85,F85,C85),"")</f>
        <v>322469665.5</v>
      </c>
      <c r="U85" s="233">
        <f t="shared" si="88"/>
        <v>274930318.9</v>
      </c>
      <c r="V85" s="233">
        <f t="shared" si="6"/>
        <v>322.4696655</v>
      </c>
      <c r="W85" s="241">
        <f t="shared" si="9"/>
        <v>-0.003827043043</v>
      </c>
      <c r="X85" s="241">
        <f t="shared" si="10"/>
        <v>-0.005627303906</v>
      </c>
      <c r="Y85" s="241">
        <f t="shared" si="19"/>
        <v>0.002463331284</v>
      </c>
      <c r="Z85" s="233">
        <f t="shared" si="7"/>
        <v>311.2359201</v>
      </c>
      <c r="AA85" s="294"/>
      <c r="AB85" s="245"/>
      <c r="AC85" s="242" t="str">
        <f>IF(ISTEXT(AB85),VLOOKUP(AB85,'Cadastro dos Ativos'!$A$2:$C$1000,3,0),"")</f>
        <v/>
      </c>
      <c r="AD85" s="242" t="str">
        <f>IF(AB85 &lt;&gt; "",SUMIFS('Alocação'!$O$3:$O$1002,'Alocação'!$C$3:$C$1002,AB85,'Alocação'!$F$3:$F$1002,AB$9,'Alocação'!$B$3:$B$1002,"&lt;="&amp;$B$6), "")</f>
        <v/>
      </c>
      <c r="AE85" s="243" t="str">
        <f>iferror(IF(AC85="Ações Americanas", HLOOKUP(AB85,'Histórico'!$A$1:$DD$990,MATCH($B$6,'Histórico'!$A:$A),FALSE)*HLOOKUP("PTAX",'Histórico'!$A$1:$FG$983,MATCH($B$6,'Histórico'!$A:$A),FALSE),IF(AC85="Ações Europeias", HLOOKUP(AB85,'Histórico'!$A$1:$DD$990,MATCH($B$6,'Histórico'!$A:$A),FALSE)*HLOOKUP("EUR/BRL",'Histórico'!$A$1:$FG$983,MATCH($B$6,'Histórico'!$A:$A),FALSE),  HLOOKUP(AB85,'Histórico'!$A$1:$DD$990,MATCH($B$6,'Histórico'!$A:$A),FALSE))),"")</f>
        <v/>
      </c>
      <c r="AF85" s="243" t="str">
        <f t="shared" si="15"/>
        <v/>
      </c>
      <c r="AG85" s="53"/>
      <c r="AH85" s="245"/>
      <c r="AI85" s="242" t="str">
        <f>IF(ISTEXT(AH85),VLOOKUP(AH85,'Cadastro dos Ativos'!$A$2:$C$1000,3,0),"")</f>
        <v/>
      </c>
      <c r="AJ85" s="242" t="str">
        <f>IF(AH85 &lt;&gt; "",SUMIFS('Alocação'!$O$3:$O$1002,'Alocação'!$C$3:$C$1002,AH85,'Alocação'!$F$3:$F$1002,AH$9,'Alocação'!$B$3:$B$1002,"&lt;="&amp;$B$6), "")</f>
        <v/>
      </c>
      <c r="AK85" s="243" t="str">
        <f>iferror(IF(AI85="Ações Americanas", HLOOKUP(AH85,'Histórico'!$A$1:$DD$990,MATCH($B$6,'Histórico'!$A:$A),FALSE)*HLOOKUP("PTAX",'Histórico'!$A$1:$FG$983,MATCH($B$6,'Histórico'!$A:$A),FALSE),IF(AI85="Ações Europeias", HLOOKUP(AH85,'Histórico'!$A$1:$DD$990,MATCH($B$6,'Histórico'!$A:$A),FALSE)*HLOOKUP("EUR/BRL",'Histórico'!$A$1:$FG$983,MATCH($B$6,'Histórico'!$A:$A),FALSE),  HLOOKUP(AH85,'Histórico'!$A$1:$DD$990,MATCH($B$6,'Histórico'!$A:$A),FALSE))),"")</f>
        <v/>
      </c>
      <c r="AL85" s="243" t="str">
        <f t="shared" si="11"/>
        <v/>
      </c>
      <c r="AM85" s="53"/>
      <c r="AN85" s="245"/>
      <c r="AO85" s="242" t="str">
        <f>IF(ISTEXT(AN85),VLOOKUP(AN85,'Cadastro dos Ativos'!$A$2:$C$1000,3,0),"")</f>
        <v/>
      </c>
      <c r="AP85" s="242" t="str">
        <f>IF(AN85 &lt;&gt; "",SUMIFS('Alocação'!$O$3:$O$1002,'Alocação'!$C$3:$C$1002,AN85,'Alocação'!$F$3:$F$1002,AN$9,'Alocação'!$B$3:$B$1002,"&lt;="&amp;$B$6), "")</f>
        <v/>
      </c>
      <c r="AQ85" s="243" t="str">
        <f>iferror(IF(AO85="Ações Americanas", HLOOKUP(AN85,'Histórico'!$A$1:$DD$990,MATCH($B$6,'Histórico'!$A:$A),FALSE)*HLOOKUP("PTAX",'Histórico'!$A$1:$FG$983,MATCH($B$6,'Histórico'!$A:$A),FALSE),IF(AO85="Ações Europeias", HLOOKUP(AN85,'Histórico'!$A$1:$DD$990,MATCH($B$6,'Histórico'!$A:$A),FALSE)*HLOOKUP("EUR/BRL",'Histórico'!$A$1:$FG$983,MATCH($B$6,'Histórico'!$A:$A),FALSE),  HLOOKUP(AN85,'Histórico'!$A$1:$DD$990,MATCH($B$6,'Histórico'!$A:$A),FALSE))),"")</f>
        <v/>
      </c>
      <c r="AR85" s="243" t="str">
        <f t="shared" si="12"/>
        <v/>
      </c>
      <c r="AS85" s="53"/>
      <c r="AT85" s="245"/>
      <c r="AU85" s="242" t="str">
        <f>IF(ISTEXT(AT85),VLOOKUP(AT85,'Cadastro dos Ativos'!$A$2:$C$1000,3,0),"")</f>
        <v/>
      </c>
      <c r="AV85" s="242" t="str">
        <f>IF(AT85 &lt;&gt; "",SUMIFS('Alocação'!$O$3:$O$1002,'Alocação'!$C$3:$C$1002,AT85,'Alocação'!$F$3:$F$1002,AT$9,'Alocação'!$B$3:$B$1002,"&lt;="&amp;$B$6), "")</f>
        <v/>
      </c>
      <c r="AW85" s="243" t="str">
        <f>iferror(IF(AU85="Ações Americanas", HLOOKUP(AT85,'Histórico'!$A$1:$DD$990,MATCH($B$6,'Histórico'!$A:$A),FALSE)*HLOOKUP("PTAX",'Histórico'!$A$1:$FG$983,MATCH($B$6,'Histórico'!$A:$A),FALSE),IF(AU85="Ações Europeias", HLOOKUP(AT85,'Histórico'!$A$1:$DD$990,MATCH($B$6,'Histórico'!$A:$A),FALSE)*HLOOKUP("EUR/BRL",'Histórico'!$A$1:$FG$983,MATCH($B$6,'Histórico'!$A:$A),FALSE),  HLOOKUP(AT85,'Histórico'!$A$1:$DD$990,MATCH($B$6,'Histórico'!$A:$A),FALSE))),"")</f>
        <v/>
      </c>
      <c r="AX85" s="243" t="str">
        <f t="shared" si="13"/>
        <v/>
      </c>
      <c r="AY85" s="53"/>
    </row>
    <row r="86" ht="15.75" customHeight="1">
      <c r="A86" s="176"/>
      <c r="B86" s="288">
        <f>Controle!B86</f>
        <v>45117</v>
      </c>
      <c r="C86" s="233">
        <f>Controle!C86</f>
        <v>103518675.8</v>
      </c>
      <c r="D86" s="289">
        <f>Controle!D86</f>
        <v>103518695.7</v>
      </c>
      <c r="E86" s="290"/>
      <c r="F86" s="291">
        <f>Controle!F86</f>
        <v>110499721.6</v>
      </c>
      <c r="G86" s="289">
        <f>Controle!G86</f>
        <v>110499741.5</v>
      </c>
      <c r="H86" s="290"/>
      <c r="I86" s="291">
        <f>Controle!I86</f>
        <v>108567941.3</v>
      </c>
      <c r="J86" s="233">
        <f>Controle!J86</f>
        <v>108567961.2</v>
      </c>
      <c r="K86" s="292"/>
      <c r="L86" s="233">
        <f>Controle!L86</f>
        <v>105522491.6</v>
      </c>
      <c r="M86" s="233">
        <f>Controle!M86</f>
        <v>72834461.89</v>
      </c>
      <c r="N86" s="235">
        <f>Controle!N86</f>
        <v>-0.0004015856713</v>
      </c>
      <c r="O86" s="235">
        <f>Controle!O86</f>
        <v>0.0006821425357</v>
      </c>
      <c r="P86" s="235">
        <f>Controle!P86</f>
        <v>0.0007644953066</v>
      </c>
      <c r="Q86" s="235">
        <f>Controle!Q86</f>
        <v>-0.00432847232</v>
      </c>
      <c r="R86" s="293">
        <f>Controle!R86</f>
        <v>103.7961803</v>
      </c>
      <c r="S86" s="287"/>
      <c r="T86" s="233">
        <f t="shared" ref="T86:U86" si="89">IF(AND(C86&lt;&gt;"",F86&lt;&gt;"",I86&lt;&gt;""), SUM(I86,F86,C86),"")</f>
        <v>322586338.6</v>
      </c>
      <c r="U86" s="233">
        <f t="shared" si="89"/>
        <v>322586398.4</v>
      </c>
      <c r="V86" s="233">
        <f t="shared" si="6"/>
        <v>322.5863386</v>
      </c>
      <c r="W86" s="241">
        <f t="shared" si="9"/>
        <v>0.0003618112003</v>
      </c>
      <c r="X86" s="241">
        <f t="shared" si="10"/>
        <v>-0.005267528727</v>
      </c>
      <c r="Y86" s="241">
        <f t="shared" si="19"/>
        <v>0.002422515035</v>
      </c>
      <c r="Z86" s="233">
        <f t="shared" si="7"/>
        <v>311.3885409</v>
      </c>
      <c r="AA86" s="294"/>
      <c r="AB86" s="245"/>
      <c r="AC86" s="242" t="str">
        <f>IF(ISTEXT(AB86),VLOOKUP(AB86,'Cadastro dos Ativos'!$A$2:$C$1000,3,0),"")</f>
        <v/>
      </c>
      <c r="AD86" s="242" t="str">
        <f>IF(AB86 &lt;&gt; "",SUMIFS('Alocação'!$O$3:$O$1002,'Alocação'!$C$3:$C$1002,AB86,'Alocação'!$F$3:$F$1002,AB$9,'Alocação'!$B$3:$B$1002,"&lt;="&amp;$B$6), "")</f>
        <v/>
      </c>
      <c r="AE86" s="243" t="str">
        <f>iferror(IF(AC86="Ações Americanas", HLOOKUP(AB86,'Histórico'!$A$1:$DD$990,MATCH($B$6,'Histórico'!$A:$A),FALSE)*HLOOKUP("PTAX",'Histórico'!$A$1:$FG$983,MATCH($B$6,'Histórico'!$A:$A),FALSE),IF(AC86="Ações Europeias", HLOOKUP(AB86,'Histórico'!$A$1:$DD$990,MATCH($B$6,'Histórico'!$A:$A),FALSE)*HLOOKUP("EUR/BRL",'Histórico'!$A$1:$FG$983,MATCH($B$6,'Histórico'!$A:$A),FALSE),  HLOOKUP(AB86,'Histórico'!$A$1:$DD$990,MATCH($B$6,'Histórico'!$A:$A),FALSE))),"")</f>
        <v/>
      </c>
      <c r="AF86" s="243" t="str">
        <f t="shared" si="15"/>
        <v/>
      </c>
      <c r="AG86" s="53"/>
      <c r="AH86" s="245"/>
      <c r="AI86" s="242" t="str">
        <f>IF(ISTEXT(AH86),VLOOKUP(AH86,'Cadastro dos Ativos'!$A$2:$C$1000,3,0),"")</f>
        <v/>
      </c>
      <c r="AJ86" s="242" t="str">
        <f>IF(AH86 &lt;&gt; "",SUMIFS('Alocação'!$O$3:$O$1002,'Alocação'!$C$3:$C$1002,AH86,'Alocação'!$F$3:$F$1002,AH$9,'Alocação'!$B$3:$B$1002,"&lt;="&amp;$B$6), "")</f>
        <v/>
      </c>
      <c r="AK86" s="243" t="str">
        <f>iferror(IF(AI86="Ações Americanas", HLOOKUP(AH86,'Histórico'!$A$1:$DD$990,MATCH($B$6,'Histórico'!$A:$A),FALSE)*HLOOKUP("PTAX",'Histórico'!$A$1:$FG$983,MATCH($B$6,'Histórico'!$A:$A),FALSE),IF(AI86="Ações Europeias", HLOOKUP(AH86,'Histórico'!$A$1:$DD$990,MATCH($B$6,'Histórico'!$A:$A),FALSE)*HLOOKUP("EUR/BRL",'Histórico'!$A$1:$FG$983,MATCH($B$6,'Histórico'!$A:$A),FALSE),  HLOOKUP(AH86,'Histórico'!$A$1:$DD$990,MATCH($B$6,'Histórico'!$A:$A),FALSE))),"")</f>
        <v/>
      </c>
      <c r="AL86" s="243" t="str">
        <f t="shared" si="11"/>
        <v/>
      </c>
      <c r="AM86" s="53"/>
      <c r="AN86" s="245"/>
      <c r="AO86" s="242" t="str">
        <f>IF(ISTEXT(AN86),VLOOKUP(AN86,'Cadastro dos Ativos'!$A$2:$C$1000,3,0),"")</f>
        <v/>
      </c>
      <c r="AP86" s="242" t="str">
        <f>IF(AN86 &lt;&gt; "",SUMIFS('Alocação'!$O$3:$O$1002,'Alocação'!$C$3:$C$1002,AN86,'Alocação'!$F$3:$F$1002,AN$9,'Alocação'!$B$3:$B$1002,"&lt;="&amp;$B$6), "")</f>
        <v/>
      </c>
      <c r="AQ86" s="243" t="str">
        <f>iferror(IF(AO86="Ações Americanas", HLOOKUP(AN86,'Histórico'!$A$1:$DD$990,MATCH($B$6,'Histórico'!$A:$A),FALSE)*HLOOKUP("PTAX",'Histórico'!$A$1:$FG$983,MATCH($B$6,'Histórico'!$A:$A),FALSE),IF(AO86="Ações Europeias", HLOOKUP(AN86,'Histórico'!$A$1:$DD$990,MATCH($B$6,'Histórico'!$A:$A),FALSE)*HLOOKUP("EUR/BRL",'Histórico'!$A$1:$FG$983,MATCH($B$6,'Histórico'!$A:$A),FALSE),  HLOOKUP(AN86,'Histórico'!$A$1:$DD$990,MATCH($B$6,'Histórico'!$A:$A),FALSE))),"")</f>
        <v/>
      </c>
      <c r="AR86" s="243" t="str">
        <f t="shared" si="12"/>
        <v/>
      </c>
      <c r="AS86" s="53"/>
      <c r="AT86" s="245"/>
      <c r="AU86" s="242" t="str">
        <f>IF(ISTEXT(AT86),VLOOKUP(AT86,'Cadastro dos Ativos'!$A$2:$C$1000,3,0),"")</f>
        <v/>
      </c>
      <c r="AV86" s="242" t="str">
        <f>IF(AT86 &lt;&gt; "",SUMIFS('Alocação'!$O$3:$O$1002,'Alocação'!$C$3:$C$1002,AT86,'Alocação'!$F$3:$F$1002,AT$9,'Alocação'!$B$3:$B$1002,"&lt;="&amp;$B$6), "")</f>
        <v/>
      </c>
      <c r="AW86" s="243" t="str">
        <f>iferror(IF(AU86="Ações Americanas", HLOOKUP(AT86,'Histórico'!$A$1:$DD$990,MATCH($B$6,'Histórico'!$A:$A),FALSE)*HLOOKUP("PTAX",'Histórico'!$A$1:$FG$983,MATCH($B$6,'Histórico'!$A:$A),FALSE),IF(AU86="Ações Europeias", HLOOKUP(AT86,'Histórico'!$A$1:$DD$990,MATCH($B$6,'Histórico'!$A:$A),FALSE)*HLOOKUP("EUR/BRL",'Histórico'!$A$1:$FG$983,MATCH($B$6,'Histórico'!$A:$A),FALSE),  HLOOKUP(AT86,'Histórico'!$A$1:$DD$990,MATCH($B$6,'Histórico'!$A:$A),FALSE))),"")</f>
        <v/>
      </c>
      <c r="AX86" s="243" t="str">
        <f t="shared" si="13"/>
        <v/>
      </c>
      <c r="AY86" s="53"/>
    </row>
    <row r="87" ht="15.75" customHeight="1">
      <c r="A87" s="176"/>
      <c r="B87" s="288">
        <f>Controle!B87</f>
        <v>45118</v>
      </c>
      <c r="C87" s="233">
        <f>Controle!C87</f>
        <v>103565135.1</v>
      </c>
      <c r="D87" s="289">
        <f>Controle!D87</f>
        <v>103565154.5</v>
      </c>
      <c r="E87" s="290"/>
      <c r="F87" s="291">
        <f>Controle!F87</f>
        <v>110549314</v>
      </c>
      <c r="G87" s="289">
        <f>Controle!G87</f>
        <v>110549333.4</v>
      </c>
      <c r="H87" s="290"/>
      <c r="I87" s="291">
        <f>Controle!I87</f>
        <v>108616666.7</v>
      </c>
      <c r="J87" s="233">
        <f>Controle!J87</f>
        <v>108616686.1</v>
      </c>
      <c r="K87" s="292"/>
      <c r="L87" s="233">
        <f>Controle!L87</f>
        <v>105092048.8</v>
      </c>
      <c r="M87" s="233">
        <f>Controle!M87</f>
        <v>72865218.41</v>
      </c>
      <c r="N87" s="235">
        <f>Controle!N87</f>
        <v>0.00044880158</v>
      </c>
      <c r="O87" s="235">
        <f>Controle!O87</f>
        <v>0.0004488012565</v>
      </c>
      <c r="P87" s="235">
        <f>Controle!P87</f>
        <v>0.0004488013418</v>
      </c>
      <c r="Q87" s="235">
        <f>Controle!Q87</f>
        <v>-0.004079157284</v>
      </c>
      <c r="R87" s="293">
        <f>Controle!R87</f>
        <v>103.8470788</v>
      </c>
      <c r="S87" s="287"/>
      <c r="T87" s="233">
        <f t="shared" ref="T87:U87" si="90">IF(AND(C87&lt;&gt;"",F87&lt;&gt;"",I87&lt;&gt;""), SUM(I87,F87,C87),"")</f>
        <v>322731115.8</v>
      </c>
      <c r="U87" s="233">
        <f t="shared" si="90"/>
        <v>322731174</v>
      </c>
      <c r="V87" s="233">
        <f t="shared" si="6"/>
        <v>322.7311158</v>
      </c>
      <c r="W87" s="241">
        <f t="shared" si="9"/>
        <v>0.000448801389</v>
      </c>
      <c r="X87" s="241">
        <f t="shared" si="10"/>
        <v>-0.004821091412</v>
      </c>
      <c r="Y87" s="241">
        <f t="shared" si="19"/>
        <v>0.00246003907</v>
      </c>
      <c r="Z87" s="233">
        <f t="shared" si="7"/>
        <v>311.5412365</v>
      </c>
      <c r="AA87" s="294"/>
      <c r="AB87" s="245"/>
      <c r="AC87" s="242" t="str">
        <f>IF(ISTEXT(AB87),VLOOKUP(AB87,'Cadastro dos Ativos'!$A$2:$C$1000,3,0),"")</f>
        <v/>
      </c>
      <c r="AD87" s="242" t="str">
        <f>IF(AB87 &lt;&gt; "",SUMIFS('Alocação'!$O$3:$O$1002,'Alocação'!$C$3:$C$1002,AB87,'Alocação'!$F$3:$F$1002,AB$9,'Alocação'!$B$3:$B$1002,"&lt;="&amp;$B$6), "")</f>
        <v/>
      </c>
      <c r="AE87" s="243" t="str">
        <f>iferror(IF(AC87="Ações Americanas", HLOOKUP(AB87,'Histórico'!$A$1:$DD$990,MATCH($B$6,'Histórico'!$A:$A),FALSE)*HLOOKUP("PTAX",'Histórico'!$A$1:$FG$983,MATCH($B$6,'Histórico'!$A:$A),FALSE),IF(AC87="Ações Europeias", HLOOKUP(AB87,'Histórico'!$A$1:$DD$990,MATCH($B$6,'Histórico'!$A:$A),FALSE)*HLOOKUP("EUR/BRL",'Histórico'!$A$1:$FG$983,MATCH($B$6,'Histórico'!$A:$A),FALSE),  HLOOKUP(AB87,'Histórico'!$A$1:$DD$990,MATCH($B$6,'Histórico'!$A:$A),FALSE))),"")</f>
        <v/>
      </c>
      <c r="AF87" s="243" t="str">
        <f t="shared" si="15"/>
        <v/>
      </c>
      <c r="AG87" s="53"/>
      <c r="AH87" s="245"/>
      <c r="AI87" s="242" t="str">
        <f>IF(ISTEXT(AH87),VLOOKUP(AH87,'Cadastro dos Ativos'!$A$2:$C$1000,3,0),"")</f>
        <v/>
      </c>
      <c r="AJ87" s="242" t="str">
        <f>IF(AH87 &lt;&gt; "",SUMIFS('Alocação'!$O$3:$O$1002,'Alocação'!$C$3:$C$1002,AH87,'Alocação'!$F$3:$F$1002,AH$9,'Alocação'!$B$3:$B$1002,"&lt;="&amp;$B$6), "")</f>
        <v/>
      </c>
      <c r="AK87" s="243" t="str">
        <f>iferror(IF(AI87="Ações Americanas", HLOOKUP(AH87,'Histórico'!$A$1:$DD$990,MATCH($B$6,'Histórico'!$A:$A),FALSE)*HLOOKUP("PTAX",'Histórico'!$A$1:$FG$983,MATCH($B$6,'Histórico'!$A:$A),FALSE),IF(AI87="Ações Europeias", HLOOKUP(AH87,'Histórico'!$A$1:$DD$990,MATCH($B$6,'Histórico'!$A:$A),FALSE)*HLOOKUP("EUR/BRL",'Histórico'!$A$1:$FG$983,MATCH($B$6,'Histórico'!$A:$A),FALSE),  HLOOKUP(AH87,'Histórico'!$A$1:$DD$990,MATCH($B$6,'Histórico'!$A:$A),FALSE))),"")</f>
        <v/>
      </c>
      <c r="AL87" s="243" t="str">
        <f t="shared" si="11"/>
        <v/>
      </c>
      <c r="AM87" s="53"/>
      <c r="AN87" s="245"/>
      <c r="AO87" s="242" t="str">
        <f>IF(ISTEXT(AN87),VLOOKUP(AN87,'Cadastro dos Ativos'!$A$2:$C$1000,3,0),"")</f>
        <v/>
      </c>
      <c r="AP87" s="242" t="str">
        <f>IF(AN87 &lt;&gt; "",SUMIFS('Alocação'!$O$3:$O$1002,'Alocação'!$C$3:$C$1002,AN87,'Alocação'!$F$3:$F$1002,AN$9,'Alocação'!$B$3:$B$1002,"&lt;="&amp;$B$6), "")</f>
        <v/>
      </c>
      <c r="AQ87" s="243" t="str">
        <f>iferror(IF(AO87="Ações Americanas", HLOOKUP(AN87,'Histórico'!$A$1:$DD$990,MATCH($B$6,'Histórico'!$A:$A),FALSE)*HLOOKUP("PTAX",'Histórico'!$A$1:$FG$983,MATCH($B$6,'Histórico'!$A:$A),FALSE),IF(AO87="Ações Europeias", HLOOKUP(AN87,'Histórico'!$A$1:$DD$990,MATCH($B$6,'Histórico'!$A:$A),FALSE)*HLOOKUP("EUR/BRL",'Histórico'!$A$1:$FG$983,MATCH($B$6,'Histórico'!$A:$A),FALSE),  HLOOKUP(AN87,'Histórico'!$A$1:$DD$990,MATCH($B$6,'Histórico'!$A:$A),FALSE))),"")</f>
        <v/>
      </c>
      <c r="AR87" s="243" t="str">
        <f t="shared" si="12"/>
        <v/>
      </c>
      <c r="AS87" s="53"/>
      <c r="AT87" s="245"/>
      <c r="AU87" s="242" t="str">
        <f>IF(ISTEXT(AT87),VLOOKUP(AT87,'Cadastro dos Ativos'!$A$2:$C$1000,3,0),"")</f>
        <v/>
      </c>
      <c r="AV87" s="242" t="str">
        <f>IF(AT87 &lt;&gt; "",SUMIFS('Alocação'!$O$3:$O$1002,'Alocação'!$C$3:$C$1002,AT87,'Alocação'!$F$3:$F$1002,AT$9,'Alocação'!$B$3:$B$1002,"&lt;="&amp;$B$6), "")</f>
        <v/>
      </c>
      <c r="AW87" s="243" t="str">
        <f>iferror(IF(AU87="Ações Americanas", HLOOKUP(AT87,'Histórico'!$A$1:$DD$990,MATCH($B$6,'Histórico'!$A:$A),FALSE)*HLOOKUP("PTAX",'Histórico'!$A$1:$FG$983,MATCH($B$6,'Histórico'!$A:$A),FALSE),IF(AU87="Ações Europeias", HLOOKUP(AT87,'Histórico'!$A$1:$DD$990,MATCH($B$6,'Histórico'!$A:$A),FALSE)*HLOOKUP("EUR/BRL",'Histórico'!$A$1:$FG$983,MATCH($B$6,'Histórico'!$A:$A),FALSE),  HLOOKUP(AT87,'Histórico'!$A$1:$DD$990,MATCH($B$6,'Histórico'!$A:$A),FALSE))),"")</f>
        <v/>
      </c>
      <c r="AX87" s="243" t="str">
        <f t="shared" si="13"/>
        <v/>
      </c>
      <c r="AY87" s="53"/>
    </row>
    <row r="88" ht="15.75" customHeight="1">
      <c r="A88" s="176"/>
      <c r="B88" s="288">
        <f>Controle!B88</f>
        <v>45119</v>
      </c>
      <c r="C88" s="233">
        <f>Controle!C88</f>
        <v>103611615.6</v>
      </c>
      <c r="D88" s="289">
        <f>Controle!D88</f>
        <v>103611634.2</v>
      </c>
      <c r="E88" s="290"/>
      <c r="F88" s="291">
        <f>Controle!F88</f>
        <v>110598928.9</v>
      </c>
      <c r="G88" s="289">
        <f>Controle!G88</f>
        <v>110598947.5</v>
      </c>
      <c r="H88" s="290"/>
      <c r="I88" s="291">
        <f>Controle!I88</f>
        <v>108665414.3</v>
      </c>
      <c r="J88" s="233">
        <f>Controle!J88</f>
        <v>108665432.9</v>
      </c>
      <c r="K88" s="292"/>
      <c r="L88" s="233">
        <f>Controle!L88</f>
        <v>104957647.5</v>
      </c>
      <c r="M88" s="233">
        <f>Controle!M88</f>
        <v>72896015.99</v>
      </c>
      <c r="N88" s="235">
        <f>Controle!N88</f>
        <v>0.0004488045684</v>
      </c>
      <c r="O88" s="235">
        <f>Controle!O88</f>
        <v>0.0004488040561</v>
      </c>
      <c r="P88" s="235">
        <f>Controle!P88</f>
        <v>0.0004488041913</v>
      </c>
      <c r="Q88" s="235">
        <f>Controle!Q88</f>
        <v>-0.001278891164</v>
      </c>
      <c r="R88" s="293">
        <f>Controle!R88</f>
        <v>103.8980023</v>
      </c>
      <c r="S88" s="287"/>
      <c r="T88" s="233">
        <f t="shared" ref="T88:U88" si="91">IF(AND(C88&lt;&gt;"",F88&lt;&gt;"",I88&lt;&gt;""), SUM(I88,F88,C88),"")</f>
        <v>322875958.9</v>
      </c>
      <c r="U88" s="233">
        <f t="shared" si="91"/>
        <v>322876014.6</v>
      </c>
      <c r="V88" s="233">
        <f t="shared" si="6"/>
        <v>322.8759589</v>
      </c>
      <c r="W88" s="241">
        <f t="shared" si="9"/>
        <v>0.000448804266</v>
      </c>
      <c r="X88" s="241">
        <f t="shared" si="10"/>
        <v>-0.004374450873</v>
      </c>
      <c r="Y88" s="241">
        <f t="shared" si="19"/>
        <v>0.001868642593</v>
      </c>
      <c r="Z88" s="233">
        <f t="shared" si="7"/>
        <v>311.694007</v>
      </c>
      <c r="AA88" s="294"/>
      <c r="AB88" s="245"/>
      <c r="AC88" s="242" t="str">
        <f>IF(ISTEXT(AB88),VLOOKUP(AB88,'Cadastro dos Ativos'!$A$2:$C$1000,3,0),"")</f>
        <v/>
      </c>
      <c r="AD88" s="242" t="str">
        <f>IF(AB88 &lt;&gt; "",SUMIFS('Alocação'!$O$3:$O$1002,'Alocação'!$C$3:$C$1002,AB88,'Alocação'!$F$3:$F$1002,AB$9,'Alocação'!$B$3:$B$1002,"&lt;="&amp;$B$6), "")</f>
        <v/>
      </c>
      <c r="AE88" s="243" t="str">
        <f>iferror(IF(AC88="Ações Americanas", HLOOKUP(AB88,'Histórico'!$A$1:$DD$990,MATCH($B$6,'Histórico'!$A:$A),FALSE)*HLOOKUP("PTAX",'Histórico'!$A$1:$FG$983,MATCH($B$6,'Histórico'!$A:$A),FALSE),IF(AC88="Ações Europeias", HLOOKUP(AB88,'Histórico'!$A$1:$DD$990,MATCH($B$6,'Histórico'!$A:$A),FALSE)*HLOOKUP("EUR/BRL",'Histórico'!$A$1:$FG$983,MATCH($B$6,'Histórico'!$A:$A),FALSE),  HLOOKUP(AB88,'Histórico'!$A$1:$DD$990,MATCH($B$6,'Histórico'!$A:$A),FALSE))),"")</f>
        <v/>
      </c>
      <c r="AF88" s="243" t="str">
        <f t="shared" si="15"/>
        <v/>
      </c>
      <c r="AG88" s="53"/>
      <c r="AH88" s="245"/>
      <c r="AI88" s="242" t="str">
        <f>IF(ISTEXT(AH88),VLOOKUP(AH88,'Cadastro dos Ativos'!$A$2:$C$1000,3,0),"")</f>
        <v/>
      </c>
      <c r="AJ88" s="242" t="str">
        <f>IF(AH88 &lt;&gt; "",SUMIFS('Alocação'!$O$3:$O$1002,'Alocação'!$C$3:$C$1002,AH88,'Alocação'!$F$3:$F$1002,AH$9,'Alocação'!$B$3:$B$1002,"&lt;="&amp;$B$6), "")</f>
        <v/>
      </c>
      <c r="AK88" s="243" t="str">
        <f>iferror(IF(AI88="Ações Americanas", HLOOKUP(AH88,'Histórico'!$A$1:$DD$990,MATCH($B$6,'Histórico'!$A:$A),FALSE)*HLOOKUP("PTAX",'Histórico'!$A$1:$FG$983,MATCH($B$6,'Histórico'!$A:$A),FALSE),IF(AI88="Ações Europeias", HLOOKUP(AH88,'Histórico'!$A$1:$DD$990,MATCH($B$6,'Histórico'!$A:$A),FALSE)*HLOOKUP("EUR/BRL",'Histórico'!$A$1:$FG$983,MATCH($B$6,'Histórico'!$A:$A),FALSE),  HLOOKUP(AH88,'Histórico'!$A$1:$DD$990,MATCH($B$6,'Histórico'!$A:$A),FALSE))),"")</f>
        <v/>
      </c>
      <c r="AL88" s="243" t="str">
        <f t="shared" si="11"/>
        <v/>
      </c>
      <c r="AM88" s="53"/>
      <c r="AN88" s="245"/>
      <c r="AO88" s="242" t="str">
        <f>IF(ISTEXT(AN88),VLOOKUP(AN88,'Cadastro dos Ativos'!$A$2:$C$1000,3,0),"")</f>
        <v/>
      </c>
      <c r="AP88" s="242" t="str">
        <f>IF(AN88 &lt;&gt; "",SUMIFS('Alocação'!$O$3:$O$1002,'Alocação'!$C$3:$C$1002,AN88,'Alocação'!$F$3:$F$1002,AN$9,'Alocação'!$B$3:$B$1002,"&lt;="&amp;$B$6), "")</f>
        <v/>
      </c>
      <c r="AQ88" s="243" t="str">
        <f>iferror(IF(AO88="Ações Americanas", HLOOKUP(AN88,'Histórico'!$A$1:$DD$990,MATCH($B$6,'Histórico'!$A:$A),FALSE)*HLOOKUP("PTAX",'Histórico'!$A$1:$FG$983,MATCH($B$6,'Histórico'!$A:$A),FALSE),IF(AO88="Ações Europeias", HLOOKUP(AN88,'Histórico'!$A$1:$DD$990,MATCH($B$6,'Histórico'!$A:$A),FALSE)*HLOOKUP("EUR/BRL",'Histórico'!$A$1:$FG$983,MATCH($B$6,'Histórico'!$A:$A),FALSE),  HLOOKUP(AN88,'Histórico'!$A$1:$DD$990,MATCH($B$6,'Histórico'!$A:$A),FALSE))),"")</f>
        <v/>
      </c>
      <c r="AR88" s="243" t="str">
        <f t="shared" si="12"/>
        <v/>
      </c>
      <c r="AS88" s="53"/>
      <c r="AT88" s="245"/>
      <c r="AU88" s="242" t="str">
        <f>IF(ISTEXT(AT88),VLOOKUP(AT88,'Cadastro dos Ativos'!$A$2:$C$1000,3,0),"")</f>
        <v/>
      </c>
      <c r="AV88" s="242" t="str">
        <f>IF(AT88 &lt;&gt; "",SUMIFS('Alocação'!$O$3:$O$1002,'Alocação'!$C$3:$C$1002,AT88,'Alocação'!$F$3:$F$1002,AT$9,'Alocação'!$B$3:$B$1002,"&lt;="&amp;$B$6), "")</f>
        <v/>
      </c>
      <c r="AW88" s="243" t="str">
        <f>iferror(IF(AU88="Ações Americanas", HLOOKUP(AT88,'Histórico'!$A$1:$DD$990,MATCH($B$6,'Histórico'!$A:$A),FALSE)*HLOOKUP("PTAX",'Histórico'!$A$1:$FG$983,MATCH($B$6,'Histórico'!$A:$A),FALSE),IF(AU88="Ações Europeias", HLOOKUP(AT88,'Histórico'!$A$1:$DD$990,MATCH($B$6,'Histórico'!$A:$A),FALSE)*HLOOKUP("EUR/BRL",'Histórico'!$A$1:$FG$983,MATCH($B$6,'Histórico'!$A:$A),FALSE),  HLOOKUP(AT88,'Histórico'!$A$1:$DD$990,MATCH($B$6,'Histórico'!$A:$A),FALSE))),"")</f>
        <v/>
      </c>
      <c r="AX88" s="243" t="str">
        <f t="shared" si="13"/>
        <v/>
      </c>
      <c r="AY88" s="53"/>
    </row>
    <row r="89" ht="15.75" customHeight="1">
      <c r="A89" s="176"/>
      <c r="B89" s="288">
        <f>Controle!B89</f>
        <v>45120</v>
      </c>
      <c r="C89" s="233">
        <f>Controle!C89</f>
        <v>103658116.6</v>
      </c>
      <c r="D89" s="289">
        <f>Controle!D89</f>
        <v>103658134.8</v>
      </c>
      <c r="E89" s="290"/>
      <c r="F89" s="291">
        <f>Controle!F89</f>
        <v>110648565.8</v>
      </c>
      <c r="G89" s="289">
        <f>Controle!G89</f>
        <v>110648583.9</v>
      </c>
      <c r="H89" s="290"/>
      <c r="I89" s="291">
        <f>Controle!I89</f>
        <v>108714183.5</v>
      </c>
      <c r="J89" s="233">
        <f>Controle!J89</f>
        <v>108714201.6</v>
      </c>
      <c r="K89" s="292"/>
      <c r="L89" s="233">
        <f>Controle!L89</f>
        <v>104904718.5</v>
      </c>
      <c r="M89" s="233">
        <f>Controle!M89</f>
        <v>72926837.14</v>
      </c>
      <c r="N89" s="235">
        <f>Controle!N89</f>
        <v>0.0004488009897</v>
      </c>
      <c r="O89" s="235">
        <f>Controle!O89</f>
        <v>0.0004488007035</v>
      </c>
      <c r="P89" s="235">
        <f>Controle!P89</f>
        <v>0.000448800779</v>
      </c>
      <c r="Q89" s="235">
        <f>Controle!Q89</f>
        <v>-0.0005042894936</v>
      </c>
      <c r="R89" s="293">
        <f>Controle!R89</f>
        <v>103.9489508</v>
      </c>
      <c r="S89" s="287"/>
      <c r="T89" s="233">
        <f t="shared" ref="T89:U89" si="92">IF(AND(C89&lt;&gt;"",F89&lt;&gt;"",I89&lt;&gt;""), SUM(I89,F89,C89),"")</f>
        <v>323020865.9</v>
      </c>
      <c r="U89" s="233">
        <f t="shared" si="92"/>
        <v>323020920.3</v>
      </c>
      <c r="V89" s="233">
        <f t="shared" si="6"/>
        <v>323.0208659</v>
      </c>
      <c r="W89" s="241">
        <f t="shared" si="9"/>
        <v>0.0004488008207</v>
      </c>
      <c r="X89" s="241">
        <f t="shared" si="10"/>
        <v>-0.003927613309</v>
      </c>
      <c r="Y89" s="241">
        <f t="shared" si="19"/>
        <v>0.001902863089</v>
      </c>
      <c r="Z89" s="233">
        <f t="shared" si="7"/>
        <v>311.8468524</v>
      </c>
      <c r="AA89" s="294"/>
      <c r="AB89" s="245"/>
      <c r="AC89" s="242" t="str">
        <f>IF(ISTEXT(AB89),VLOOKUP(AB89,'Cadastro dos Ativos'!$A$2:$C$1000,3,0),"")</f>
        <v/>
      </c>
      <c r="AD89" s="242" t="str">
        <f>IF(AB89 &lt;&gt; "",SUMIFS('Alocação'!$O$3:$O$1002,'Alocação'!$C$3:$C$1002,AB89,'Alocação'!$F$3:$F$1002,AB$9,'Alocação'!$B$3:$B$1002,"&lt;="&amp;$B$6), "")</f>
        <v/>
      </c>
      <c r="AE89" s="243" t="str">
        <f>iferror(IF(AC89="Ações Americanas", HLOOKUP(AB89,'Histórico'!$A$1:$DD$990,MATCH($B$6,'Histórico'!$A:$A),FALSE)*HLOOKUP("PTAX",'Histórico'!$A$1:$FG$983,MATCH($B$6,'Histórico'!$A:$A),FALSE),IF(AC89="Ações Europeias", HLOOKUP(AB89,'Histórico'!$A$1:$DD$990,MATCH($B$6,'Histórico'!$A:$A),FALSE)*HLOOKUP("EUR/BRL",'Histórico'!$A$1:$FG$983,MATCH($B$6,'Histórico'!$A:$A),FALSE),  HLOOKUP(AB89,'Histórico'!$A$1:$DD$990,MATCH($B$6,'Histórico'!$A:$A),FALSE))),"")</f>
        <v/>
      </c>
      <c r="AF89" s="243" t="str">
        <f t="shared" si="15"/>
        <v/>
      </c>
      <c r="AG89" s="53"/>
      <c r="AH89" s="245"/>
      <c r="AI89" s="242" t="str">
        <f>IF(ISTEXT(AH89),VLOOKUP(AH89,'Cadastro dos Ativos'!$A$2:$C$1000,3,0),"")</f>
        <v/>
      </c>
      <c r="AJ89" s="242" t="str">
        <f>IF(AH89 &lt;&gt; "",SUMIFS('Alocação'!$O$3:$O$1002,'Alocação'!$C$3:$C$1002,AH89,'Alocação'!$F$3:$F$1002,AH$9,'Alocação'!$B$3:$B$1002,"&lt;="&amp;$B$6), "")</f>
        <v/>
      </c>
      <c r="AK89" s="243" t="str">
        <f>iferror(IF(AI89="Ações Americanas", HLOOKUP(AH89,'Histórico'!$A$1:$DD$990,MATCH($B$6,'Histórico'!$A:$A),FALSE)*HLOOKUP("PTAX",'Histórico'!$A$1:$FG$983,MATCH($B$6,'Histórico'!$A:$A),FALSE),IF(AI89="Ações Europeias", HLOOKUP(AH89,'Histórico'!$A$1:$DD$990,MATCH($B$6,'Histórico'!$A:$A),FALSE)*HLOOKUP("EUR/BRL",'Histórico'!$A$1:$FG$983,MATCH($B$6,'Histórico'!$A:$A),FALSE),  HLOOKUP(AH89,'Histórico'!$A$1:$DD$990,MATCH($B$6,'Histórico'!$A:$A),FALSE))),"")</f>
        <v/>
      </c>
      <c r="AL89" s="243" t="str">
        <f t="shared" si="11"/>
        <v/>
      </c>
      <c r="AM89" s="53"/>
      <c r="AN89" s="245"/>
      <c r="AO89" s="242" t="str">
        <f>IF(ISTEXT(AN89),VLOOKUP(AN89,'Cadastro dos Ativos'!$A$2:$C$1000,3,0),"")</f>
        <v/>
      </c>
      <c r="AP89" s="242" t="str">
        <f>IF(AN89 &lt;&gt; "",SUMIFS('Alocação'!$O$3:$O$1002,'Alocação'!$C$3:$C$1002,AN89,'Alocação'!$F$3:$F$1002,AN$9,'Alocação'!$B$3:$B$1002,"&lt;="&amp;$B$6), "")</f>
        <v/>
      </c>
      <c r="AQ89" s="243" t="str">
        <f>iferror(IF(AO89="Ações Americanas", HLOOKUP(AN89,'Histórico'!$A$1:$DD$990,MATCH($B$6,'Histórico'!$A:$A),FALSE)*HLOOKUP("PTAX",'Histórico'!$A$1:$FG$983,MATCH($B$6,'Histórico'!$A:$A),FALSE),IF(AO89="Ações Europeias", HLOOKUP(AN89,'Histórico'!$A$1:$DD$990,MATCH($B$6,'Histórico'!$A:$A),FALSE)*HLOOKUP("EUR/BRL",'Histórico'!$A$1:$FG$983,MATCH($B$6,'Histórico'!$A:$A),FALSE),  HLOOKUP(AN89,'Histórico'!$A$1:$DD$990,MATCH($B$6,'Histórico'!$A:$A),FALSE))),"")</f>
        <v/>
      </c>
      <c r="AR89" s="243" t="str">
        <f t="shared" si="12"/>
        <v/>
      </c>
      <c r="AS89" s="53"/>
      <c r="AT89" s="245"/>
      <c r="AU89" s="242" t="str">
        <f>IF(ISTEXT(AT89),VLOOKUP(AT89,'Cadastro dos Ativos'!$A$2:$C$1000,3,0),"")</f>
        <v/>
      </c>
      <c r="AV89" s="242" t="str">
        <f>IF(AT89 &lt;&gt; "",SUMIFS('Alocação'!$O$3:$O$1002,'Alocação'!$C$3:$C$1002,AT89,'Alocação'!$F$3:$F$1002,AT$9,'Alocação'!$B$3:$B$1002,"&lt;="&amp;$B$6), "")</f>
        <v/>
      </c>
      <c r="AW89" s="243" t="str">
        <f>iferror(IF(AU89="Ações Americanas", HLOOKUP(AT89,'Histórico'!$A$1:$DD$990,MATCH($B$6,'Histórico'!$A:$A),FALSE)*HLOOKUP("PTAX",'Histórico'!$A$1:$FG$983,MATCH($B$6,'Histórico'!$A:$A),FALSE),IF(AU89="Ações Europeias", HLOOKUP(AT89,'Histórico'!$A$1:$DD$990,MATCH($B$6,'Histórico'!$A:$A),FALSE)*HLOOKUP("EUR/BRL",'Histórico'!$A$1:$FG$983,MATCH($B$6,'Histórico'!$A:$A),FALSE),  HLOOKUP(AT89,'Histórico'!$A$1:$DD$990,MATCH($B$6,'Histórico'!$A:$A),FALSE))),"")</f>
        <v/>
      </c>
      <c r="AX89" s="243" t="str">
        <f t="shared" si="13"/>
        <v/>
      </c>
      <c r="AY89" s="53"/>
    </row>
    <row r="90" ht="15.75" customHeight="1">
      <c r="A90" s="176"/>
      <c r="B90" s="288">
        <f>Controle!B90</f>
        <v>45121</v>
      </c>
      <c r="C90" s="233">
        <f>Controle!C90</f>
        <v>103704639.2</v>
      </c>
      <c r="D90" s="289">
        <f>Controle!D90</f>
        <v>103704656.2</v>
      </c>
      <c r="E90" s="290"/>
      <c r="F90" s="291">
        <f>Controle!F90</f>
        <v>110698225.7</v>
      </c>
      <c r="G90" s="289">
        <f>Controle!G90</f>
        <v>110698242.6</v>
      </c>
      <c r="H90" s="290"/>
      <c r="I90" s="291">
        <f>Controle!I90</f>
        <v>108762975.2</v>
      </c>
      <c r="J90" s="233">
        <f>Controle!J90</f>
        <v>108762992.1</v>
      </c>
      <c r="K90" s="292"/>
      <c r="L90" s="233">
        <f>Controle!L90</f>
        <v>104221959.9</v>
      </c>
      <c r="M90" s="233">
        <f>Controle!M90</f>
        <v>72957677.08</v>
      </c>
      <c r="N90" s="235">
        <f>Controle!N90</f>
        <v>0.0004488075455</v>
      </c>
      <c r="O90" s="235">
        <f>Controle!O90</f>
        <v>0.000448806845</v>
      </c>
      <c r="P90" s="235">
        <f>Controle!P90</f>
        <v>0.0004488070298</v>
      </c>
      <c r="Q90" s="235">
        <f>Controle!Q90</f>
        <v>-0.006508367943</v>
      </c>
      <c r="R90" s="293">
        <f>Controle!R90</f>
        <v>103.9999242</v>
      </c>
      <c r="S90" s="287"/>
      <c r="T90" s="233">
        <f t="shared" ref="T90:U90" si="93">IF(AND(C90&lt;&gt;"",F90&lt;&gt;"",I90&lt;&gt;""), SUM(I90,F90,C90),"")</f>
        <v>323165840</v>
      </c>
      <c r="U90" s="233">
        <f t="shared" si="93"/>
        <v>323165890.9</v>
      </c>
      <c r="V90" s="233">
        <f t="shared" si="6"/>
        <v>323.16584</v>
      </c>
      <c r="W90" s="241">
        <f t="shared" si="9"/>
        <v>0.000448807132</v>
      </c>
      <c r="X90" s="241">
        <f t="shared" si="10"/>
        <v>-0.003480568918</v>
      </c>
      <c r="Y90" s="241">
        <f t="shared" si="19"/>
        <v>0.00003890409535</v>
      </c>
      <c r="Z90" s="233">
        <f t="shared" si="7"/>
        <v>311.9997727</v>
      </c>
      <c r="AA90" s="294"/>
      <c r="AB90" s="245"/>
      <c r="AC90" s="242" t="str">
        <f>IF(ISTEXT(AB90),VLOOKUP(AB90,'Cadastro dos Ativos'!$A$2:$C$1000,3,0),"")</f>
        <v/>
      </c>
      <c r="AD90" s="242" t="str">
        <f>IF(AB90 &lt;&gt; "",SUMIFS('Alocação'!$O$3:$O$1002,'Alocação'!$C$3:$C$1002,AB90,'Alocação'!$F$3:$F$1002,AB$9,'Alocação'!$B$3:$B$1002,"&lt;="&amp;$B$6), "")</f>
        <v/>
      </c>
      <c r="AE90" s="243" t="str">
        <f>iferror(IF(AC90="Ações Americanas", HLOOKUP(AB90,'Histórico'!$A$1:$DD$990,MATCH($B$6,'Histórico'!$A:$A),FALSE)*HLOOKUP("PTAX",'Histórico'!$A$1:$FG$983,MATCH($B$6,'Histórico'!$A:$A),FALSE),IF(AC90="Ações Europeias", HLOOKUP(AB90,'Histórico'!$A$1:$DD$990,MATCH($B$6,'Histórico'!$A:$A),FALSE)*HLOOKUP("EUR/BRL",'Histórico'!$A$1:$FG$983,MATCH($B$6,'Histórico'!$A:$A),FALSE),  HLOOKUP(AB90,'Histórico'!$A$1:$DD$990,MATCH($B$6,'Histórico'!$A:$A),FALSE))),"")</f>
        <v/>
      </c>
      <c r="AF90" s="243" t="str">
        <f t="shared" si="15"/>
        <v/>
      </c>
      <c r="AG90" s="53"/>
      <c r="AH90" s="245"/>
      <c r="AI90" s="242" t="str">
        <f>IF(ISTEXT(AH90),VLOOKUP(AH90,'Cadastro dos Ativos'!$A$2:$C$1000,3,0),"")</f>
        <v/>
      </c>
      <c r="AJ90" s="242" t="str">
        <f>IF(AH90 &lt;&gt; "",SUMIFS('Alocação'!$O$3:$O$1002,'Alocação'!$C$3:$C$1002,AH90,'Alocação'!$F$3:$F$1002,AH$9,'Alocação'!$B$3:$B$1002,"&lt;="&amp;$B$6), "")</f>
        <v/>
      </c>
      <c r="AK90" s="243" t="str">
        <f>iferror(IF(AI90="Ações Americanas", HLOOKUP(AH90,'Histórico'!$A$1:$DD$990,MATCH($B$6,'Histórico'!$A:$A),FALSE)*HLOOKUP("PTAX",'Histórico'!$A$1:$FG$983,MATCH($B$6,'Histórico'!$A:$A),FALSE),IF(AI90="Ações Europeias", HLOOKUP(AH90,'Histórico'!$A$1:$DD$990,MATCH($B$6,'Histórico'!$A:$A),FALSE)*HLOOKUP("EUR/BRL",'Histórico'!$A$1:$FG$983,MATCH($B$6,'Histórico'!$A:$A),FALSE),  HLOOKUP(AH90,'Histórico'!$A$1:$DD$990,MATCH($B$6,'Histórico'!$A:$A),FALSE))),"")</f>
        <v/>
      </c>
      <c r="AL90" s="243" t="str">
        <f t="shared" si="11"/>
        <v/>
      </c>
      <c r="AM90" s="53"/>
      <c r="AN90" s="245"/>
      <c r="AO90" s="242" t="str">
        <f>IF(ISTEXT(AN90),VLOOKUP(AN90,'Cadastro dos Ativos'!$A$2:$C$1000,3,0),"")</f>
        <v/>
      </c>
      <c r="AP90" s="242" t="str">
        <f>IF(AN90 &lt;&gt; "",SUMIFS('Alocação'!$O$3:$O$1002,'Alocação'!$C$3:$C$1002,AN90,'Alocação'!$F$3:$F$1002,AN$9,'Alocação'!$B$3:$B$1002,"&lt;="&amp;$B$6), "")</f>
        <v/>
      </c>
      <c r="AQ90" s="243" t="str">
        <f>iferror(IF(AO90="Ações Americanas", HLOOKUP(AN90,'Histórico'!$A$1:$DD$990,MATCH($B$6,'Histórico'!$A:$A),FALSE)*HLOOKUP("PTAX",'Histórico'!$A$1:$FG$983,MATCH($B$6,'Histórico'!$A:$A),FALSE),IF(AO90="Ações Europeias", HLOOKUP(AN90,'Histórico'!$A$1:$DD$990,MATCH($B$6,'Histórico'!$A:$A),FALSE)*HLOOKUP("EUR/BRL",'Histórico'!$A$1:$FG$983,MATCH($B$6,'Histórico'!$A:$A),FALSE),  HLOOKUP(AN90,'Histórico'!$A$1:$DD$990,MATCH($B$6,'Histórico'!$A:$A),FALSE))),"")</f>
        <v/>
      </c>
      <c r="AR90" s="243" t="str">
        <f t="shared" si="12"/>
        <v/>
      </c>
      <c r="AS90" s="53"/>
      <c r="AT90" s="245"/>
      <c r="AU90" s="242" t="str">
        <f>IF(ISTEXT(AT90),VLOOKUP(AT90,'Cadastro dos Ativos'!$A$2:$C$1000,3,0),"")</f>
        <v/>
      </c>
      <c r="AV90" s="242" t="str">
        <f>IF(AT90 &lt;&gt; "",SUMIFS('Alocação'!$O$3:$O$1002,'Alocação'!$C$3:$C$1002,AT90,'Alocação'!$F$3:$F$1002,AT$9,'Alocação'!$B$3:$B$1002,"&lt;="&amp;$B$6), "")</f>
        <v/>
      </c>
      <c r="AW90" s="243" t="str">
        <f>iferror(IF(AU90="Ações Americanas", HLOOKUP(AT90,'Histórico'!$A$1:$DD$990,MATCH($B$6,'Histórico'!$A:$A),FALSE)*HLOOKUP("PTAX",'Histórico'!$A$1:$FG$983,MATCH($B$6,'Histórico'!$A:$A),FALSE),IF(AU90="Ações Europeias", HLOOKUP(AT90,'Histórico'!$A$1:$DD$990,MATCH($B$6,'Histórico'!$A:$A),FALSE)*HLOOKUP("EUR/BRL",'Histórico'!$A$1:$FG$983,MATCH($B$6,'Histórico'!$A:$A),FALSE),  HLOOKUP(AT90,'Histórico'!$A$1:$DD$990,MATCH($B$6,'Histórico'!$A:$A),FALSE))),"")</f>
        <v/>
      </c>
      <c r="AX90" s="243" t="str">
        <f t="shared" si="13"/>
        <v/>
      </c>
      <c r="AY90" s="53"/>
    </row>
    <row r="91" ht="15.75" customHeight="1">
      <c r="A91" s="176"/>
      <c r="B91" s="288">
        <f>Controle!B91</f>
        <v>45124</v>
      </c>
      <c r="C91" s="233">
        <f>Controle!C91</f>
        <v>103751181.1</v>
      </c>
      <c r="D91" s="289">
        <f>Controle!D91</f>
        <v>103751198.4</v>
      </c>
      <c r="E91" s="290"/>
      <c r="F91" s="291">
        <f>Controle!F91</f>
        <v>110747906.3</v>
      </c>
      <c r="G91" s="289">
        <f>Controle!G91</f>
        <v>110747923.6</v>
      </c>
      <c r="H91" s="290"/>
      <c r="I91" s="291">
        <f>Controle!I91</f>
        <v>108811787.2</v>
      </c>
      <c r="J91" s="233">
        <f>Controle!J91</f>
        <v>108811804.6</v>
      </c>
      <c r="K91" s="292"/>
      <c r="L91" s="233">
        <f>Controle!L91</f>
        <v>104917755.5</v>
      </c>
      <c r="M91" s="233">
        <f>Controle!M91</f>
        <v>72988573.03</v>
      </c>
      <c r="N91" s="235">
        <f>Controle!N91</f>
        <v>0.0004487930707</v>
      </c>
      <c r="O91" s="235">
        <f>Controle!O91</f>
        <v>0.0004487932848</v>
      </c>
      <c r="P91" s="235">
        <f>Controle!P91</f>
        <v>0.0004487932283</v>
      </c>
      <c r="Q91" s="235">
        <f>Controle!Q91</f>
        <v>0.006676093797</v>
      </c>
      <c r="R91" s="293">
        <f>Controle!R91</f>
        <v>104.0509227</v>
      </c>
      <c r="S91" s="287"/>
      <c r="T91" s="233">
        <f t="shared" ref="T91:U91" si="94">IF(AND(C91&lt;&gt;"",F91&lt;&gt;"",I91&lt;&gt;""), SUM(I91,F91,C91),"")</f>
        <v>323310874.6</v>
      </c>
      <c r="U91" s="233">
        <f t="shared" si="94"/>
        <v>323310926.6</v>
      </c>
      <c r="V91" s="233">
        <f t="shared" si="6"/>
        <v>323.3108746</v>
      </c>
      <c r="W91" s="241">
        <f t="shared" si="9"/>
        <v>0.0004487931971</v>
      </c>
      <c r="X91" s="241">
        <f t="shared" si="10"/>
        <v>-0.003033337776</v>
      </c>
      <c r="Y91" s="241">
        <f t="shared" si="19"/>
        <v>0.000000005212621211</v>
      </c>
      <c r="Z91" s="233">
        <f t="shared" si="7"/>
        <v>312.152768</v>
      </c>
      <c r="AA91" s="294"/>
      <c r="AB91" s="245"/>
      <c r="AC91" s="242" t="str">
        <f>IF(ISTEXT(AB91),VLOOKUP(AB91,'Cadastro dos Ativos'!$A$2:$C$1000,3,0),"")</f>
        <v/>
      </c>
      <c r="AD91" s="242" t="str">
        <f>IF(AB91 &lt;&gt; "",SUMIFS('Alocação'!$O$3:$O$1002,'Alocação'!$C$3:$C$1002,AB91,'Alocação'!$F$3:$F$1002,AB$9,'Alocação'!$B$3:$B$1002,"&lt;="&amp;$B$6), "")</f>
        <v/>
      </c>
      <c r="AE91" s="243" t="str">
        <f>iferror(IF(AC91="Ações Americanas", HLOOKUP(AB91,'Histórico'!$A$1:$DD$990,MATCH($B$6,'Histórico'!$A:$A),FALSE)*HLOOKUP("PTAX",'Histórico'!$A$1:$FG$983,MATCH($B$6,'Histórico'!$A:$A),FALSE),IF(AC91="Ações Europeias", HLOOKUP(AB91,'Histórico'!$A$1:$DD$990,MATCH($B$6,'Histórico'!$A:$A),FALSE)*HLOOKUP("EUR/BRL",'Histórico'!$A$1:$FG$983,MATCH($B$6,'Histórico'!$A:$A),FALSE),  HLOOKUP(AB91,'Histórico'!$A$1:$DD$990,MATCH($B$6,'Histórico'!$A:$A),FALSE))),"")</f>
        <v/>
      </c>
      <c r="AF91" s="243" t="str">
        <f t="shared" si="15"/>
        <v/>
      </c>
      <c r="AG91" s="53"/>
      <c r="AH91" s="245"/>
      <c r="AI91" s="242" t="str">
        <f>IF(ISTEXT(AH91),VLOOKUP(AH91,'Cadastro dos Ativos'!$A$2:$C$1000,3,0),"")</f>
        <v/>
      </c>
      <c r="AJ91" s="242" t="str">
        <f>IF(AH91 &lt;&gt; "",SUMIFS('Alocação'!$O$3:$O$1002,'Alocação'!$C$3:$C$1002,AH91,'Alocação'!$F$3:$F$1002,AH$9,'Alocação'!$B$3:$B$1002,"&lt;="&amp;$B$6), "")</f>
        <v/>
      </c>
      <c r="AK91" s="243" t="str">
        <f>iferror(IF(AI91="Ações Americanas", HLOOKUP(AH91,'Histórico'!$A$1:$DD$990,MATCH($B$6,'Histórico'!$A:$A),FALSE)*HLOOKUP("PTAX",'Histórico'!$A$1:$FG$983,MATCH($B$6,'Histórico'!$A:$A),FALSE),IF(AI91="Ações Europeias", HLOOKUP(AH91,'Histórico'!$A$1:$DD$990,MATCH($B$6,'Histórico'!$A:$A),FALSE)*HLOOKUP("EUR/BRL",'Histórico'!$A$1:$FG$983,MATCH($B$6,'Histórico'!$A:$A),FALSE),  HLOOKUP(AH91,'Histórico'!$A$1:$DD$990,MATCH($B$6,'Histórico'!$A:$A),FALSE))),"")</f>
        <v/>
      </c>
      <c r="AL91" s="243" t="str">
        <f t="shared" si="11"/>
        <v/>
      </c>
      <c r="AM91" s="53"/>
      <c r="AN91" s="245"/>
      <c r="AO91" s="242" t="str">
        <f>IF(ISTEXT(AN91),VLOOKUP(AN91,'Cadastro dos Ativos'!$A$2:$C$1000,3,0),"")</f>
        <v/>
      </c>
      <c r="AP91" s="242" t="str">
        <f>IF(AN91 &lt;&gt; "",SUMIFS('Alocação'!$O$3:$O$1002,'Alocação'!$C$3:$C$1002,AN91,'Alocação'!$F$3:$F$1002,AN$9,'Alocação'!$B$3:$B$1002,"&lt;="&amp;$B$6), "")</f>
        <v/>
      </c>
      <c r="AQ91" s="243" t="str">
        <f>iferror(IF(AO91="Ações Americanas", HLOOKUP(AN91,'Histórico'!$A$1:$DD$990,MATCH($B$6,'Histórico'!$A:$A),FALSE)*HLOOKUP("PTAX",'Histórico'!$A$1:$FG$983,MATCH($B$6,'Histórico'!$A:$A),FALSE),IF(AO91="Ações Europeias", HLOOKUP(AN91,'Histórico'!$A$1:$DD$990,MATCH($B$6,'Histórico'!$A:$A),FALSE)*HLOOKUP("EUR/BRL",'Histórico'!$A$1:$FG$983,MATCH($B$6,'Histórico'!$A:$A),FALSE),  HLOOKUP(AN91,'Histórico'!$A$1:$DD$990,MATCH($B$6,'Histórico'!$A:$A),FALSE))),"")</f>
        <v/>
      </c>
      <c r="AR91" s="243" t="str">
        <f t="shared" si="12"/>
        <v/>
      </c>
      <c r="AS91" s="53"/>
      <c r="AT91" s="245"/>
      <c r="AU91" s="242" t="str">
        <f>IF(ISTEXT(AT91),VLOOKUP(AT91,'Cadastro dos Ativos'!$A$2:$C$1000,3,0),"")</f>
        <v/>
      </c>
      <c r="AV91" s="242" t="str">
        <f>IF(AT91 &lt;&gt; "",SUMIFS('Alocação'!$O$3:$O$1002,'Alocação'!$C$3:$C$1002,AT91,'Alocação'!$F$3:$F$1002,AT$9,'Alocação'!$B$3:$B$1002,"&lt;="&amp;$B$6), "")</f>
        <v/>
      </c>
      <c r="AW91" s="243" t="str">
        <f>iferror(IF(AU91="Ações Americanas", HLOOKUP(AT91,'Histórico'!$A$1:$DD$990,MATCH($B$6,'Histórico'!$A:$A),FALSE)*HLOOKUP("PTAX",'Histórico'!$A$1:$FG$983,MATCH($B$6,'Histórico'!$A:$A),FALSE),IF(AU91="Ações Europeias", HLOOKUP(AT91,'Histórico'!$A$1:$DD$990,MATCH($B$6,'Histórico'!$A:$A),FALSE)*HLOOKUP("EUR/BRL",'Histórico'!$A$1:$FG$983,MATCH($B$6,'Histórico'!$A:$A),FALSE),  HLOOKUP(AT91,'Histórico'!$A$1:$DD$990,MATCH($B$6,'Histórico'!$A:$A),FALSE))),"")</f>
        <v/>
      </c>
      <c r="AX91" s="243" t="str">
        <f t="shared" si="13"/>
        <v/>
      </c>
      <c r="AY91" s="53"/>
    </row>
    <row r="92" ht="15.75" customHeight="1">
      <c r="A92" s="176"/>
      <c r="B92" s="288">
        <f>Controle!B92</f>
        <v>45125</v>
      </c>
      <c r="C92" s="233">
        <f>Controle!C92</f>
        <v>103797744.4</v>
      </c>
      <c r="D92" s="289">
        <f>Controle!D92</f>
        <v>103797761.6</v>
      </c>
      <c r="E92" s="290"/>
      <c r="F92" s="291">
        <f>Controle!F92</f>
        <v>110797609.7</v>
      </c>
      <c r="G92" s="289">
        <f>Controle!G92</f>
        <v>110797626.9</v>
      </c>
      <c r="H92" s="290"/>
      <c r="I92" s="291">
        <f>Controle!I92</f>
        <v>108860621.7</v>
      </c>
      <c r="J92" s="233">
        <f>Controle!J92</f>
        <v>108860638.9</v>
      </c>
      <c r="K92" s="292"/>
      <c r="L92" s="233">
        <f>Controle!L92</f>
        <v>104991876.6</v>
      </c>
      <c r="M92" s="233">
        <f>Controle!M92</f>
        <v>73019443.55</v>
      </c>
      <c r="N92" s="235">
        <f>Controle!N92</f>
        <v>0.0004487976041</v>
      </c>
      <c r="O92" s="235">
        <f>Controle!O92</f>
        <v>0.0004487975318</v>
      </c>
      <c r="P92" s="235">
        <f>Controle!P92</f>
        <v>0.0004487975508</v>
      </c>
      <c r="Q92" s="235">
        <f>Controle!Q92</f>
        <v>0.0007064682316</v>
      </c>
      <c r="R92" s="293">
        <f>Controle!R92</f>
        <v>104.1019461</v>
      </c>
      <c r="S92" s="287"/>
      <c r="T92" s="233">
        <f t="shared" ref="T92:U92" si="95">IF(AND(C92&lt;&gt;"",F92&lt;&gt;"",I92&lt;&gt;""), SUM(I92,F92,C92),"")</f>
        <v>323455975.8</v>
      </c>
      <c r="U92" s="233">
        <f t="shared" si="95"/>
        <v>323456027.4</v>
      </c>
      <c r="V92" s="233">
        <f t="shared" si="6"/>
        <v>323.4559758</v>
      </c>
      <c r="W92" s="241">
        <f t="shared" si="9"/>
        <v>0.0004487975614</v>
      </c>
      <c r="X92" s="241">
        <f t="shared" si="10"/>
        <v>-0.00258590157</v>
      </c>
      <c r="Y92" s="241">
        <f t="shared" si="19"/>
        <v>0.000000005481596032</v>
      </c>
      <c r="Z92" s="233">
        <f t="shared" si="7"/>
        <v>312.3058384</v>
      </c>
      <c r="AA92" s="294"/>
      <c r="AB92" s="245"/>
      <c r="AC92" s="242" t="str">
        <f>IF(ISTEXT(AB92),VLOOKUP(AB92,'Cadastro dos Ativos'!$A$2:$C$1000,3,0),"")</f>
        <v/>
      </c>
      <c r="AD92" s="242" t="str">
        <f>IF(AB92 &lt;&gt; "",SUMIFS('Alocação'!$O$3:$O$1002,'Alocação'!$C$3:$C$1002,AB92,'Alocação'!$F$3:$F$1002,AB$9,'Alocação'!$B$3:$B$1002,"&lt;="&amp;$B$6), "")</f>
        <v/>
      </c>
      <c r="AE92" s="243" t="str">
        <f>iferror(IF(AC92="Ações Americanas", HLOOKUP(AB92,'Histórico'!$A$1:$DD$990,MATCH($B$6,'Histórico'!$A:$A),FALSE)*HLOOKUP("PTAX",'Histórico'!$A$1:$FG$983,MATCH($B$6,'Histórico'!$A:$A),FALSE),IF(AC92="Ações Europeias", HLOOKUP(AB92,'Histórico'!$A$1:$DD$990,MATCH($B$6,'Histórico'!$A:$A),FALSE)*HLOOKUP("EUR/BRL",'Histórico'!$A$1:$FG$983,MATCH($B$6,'Histórico'!$A:$A),FALSE),  HLOOKUP(AB92,'Histórico'!$A$1:$DD$990,MATCH($B$6,'Histórico'!$A:$A),FALSE))),"")</f>
        <v/>
      </c>
      <c r="AF92" s="243" t="str">
        <f t="shared" si="15"/>
        <v/>
      </c>
      <c r="AG92" s="53"/>
      <c r="AH92" s="245"/>
      <c r="AI92" s="242" t="str">
        <f>IF(ISTEXT(AH92),VLOOKUP(AH92,'Cadastro dos Ativos'!$A$2:$C$1000,3,0),"")</f>
        <v/>
      </c>
      <c r="AJ92" s="242" t="str">
        <f>IF(AH92 &lt;&gt; "",SUMIFS('Alocação'!$O$3:$O$1002,'Alocação'!$C$3:$C$1002,AH92,'Alocação'!$F$3:$F$1002,AH$9,'Alocação'!$B$3:$B$1002,"&lt;="&amp;$B$6), "")</f>
        <v/>
      </c>
      <c r="AK92" s="243" t="str">
        <f>iferror(IF(AI92="Ações Americanas", HLOOKUP(AH92,'Histórico'!$A$1:$DD$990,MATCH($B$6,'Histórico'!$A:$A),FALSE)*HLOOKUP("PTAX",'Histórico'!$A$1:$FG$983,MATCH($B$6,'Histórico'!$A:$A),FALSE),IF(AI92="Ações Europeias", HLOOKUP(AH92,'Histórico'!$A$1:$DD$990,MATCH($B$6,'Histórico'!$A:$A),FALSE)*HLOOKUP("EUR/BRL",'Histórico'!$A$1:$FG$983,MATCH($B$6,'Histórico'!$A:$A),FALSE),  HLOOKUP(AH92,'Histórico'!$A$1:$DD$990,MATCH($B$6,'Histórico'!$A:$A),FALSE))),"")</f>
        <v/>
      </c>
      <c r="AL92" s="243" t="str">
        <f t="shared" si="11"/>
        <v/>
      </c>
      <c r="AM92" s="53"/>
      <c r="AN92" s="245"/>
      <c r="AO92" s="242" t="str">
        <f>IF(ISTEXT(AN92),VLOOKUP(AN92,'Cadastro dos Ativos'!$A$2:$C$1000,3,0),"")</f>
        <v/>
      </c>
      <c r="AP92" s="242" t="str">
        <f>IF(AN92 &lt;&gt; "",SUMIFS('Alocação'!$O$3:$O$1002,'Alocação'!$C$3:$C$1002,AN92,'Alocação'!$F$3:$F$1002,AN$9,'Alocação'!$B$3:$B$1002,"&lt;="&amp;$B$6), "")</f>
        <v/>
      </c>
      <c r="AQ92" s="243" t="str">
        <f>iferror(IF(AO92="Ações Americanas", HLOOKUP(AN92,'Histórico'!$A$1:$DD$990,MATCH($B$6,'Histórico'!$A:$A),FALSE)*HLOOKUP("PTAX",'Histórico'!$A$1:$FG$983,MATCH($B$6,'Histórico'!$A:$A),FALSE),IF(AO92="Ações Europeias", HLOOKUP(AN92,'Histórico'!$A$1:$DD$990,MATCH($B$6,'Histórico'!$A:$A),FALSE)*HLOOKUP("EUR/BRL",'Histórico'!$A$1:$FG$983,MATCH($B$6,'Histórico'!$A:$A),FALSE),  HLOOKUP(AN92,'Histórico'!$A$1:$DD$990,MATCH($B$6,'Histórico'!$A:$A),FALSE))),"")</f>
        <v/>
      </c>
      <c r="AR92" s="243" t="str">
        <f t="shared" si="12"/>
        <v/>
      </c>
      <c r="AS92" s="53"/>
      <c r="AT92" s="245"/>
      <c r="AU92" s="242" t="str">
        <f>IF(ISTEXT(AT92),VLOOKUP(AT92,'Cadastro dos Ativos'!$A$2:$C$1000,3,0),"")</f>
        <v/>
      </c>
      <c r="AV92" s="242" t="str">
        <f>IF(AT92 &lt;&gt; "",SUMIFS('Alocação'!$O$3:$O$1002,'Alocação'!$C$3:$C$1002,AT92,'Alocação'!$F$3:$F$1002,AT$9,'Alocação'!$B$3:$B$1002,"&lt;="&amp;$B$6), "")</f>
        <v/>
      </c>
      <c r="AW92" s="243" t="str">
        <f>iferror(IF(AU92="Ações Americanas", HLOOKUP(AT92,'Histórico'!$A$1:$DD$990,MATCH($B$6,'Histórico'!$A:$A),FALSE)*HLOOKUP("PTAX",'Histórico'!$A$1:$FG$983,MATCH($B$6,'Histórico'!$A:$A),FALSE),IF(AU92="Ações Europeias", HLOOKUP(AT92,'Histórico'!$A$1:$DD$990,MATCH($B$6,'Histórico'!$A:$A),FALSE)*HLOOKUP("EUR/BRL",'Histórico'!$A$1:$FG$983,MATCH($B$6,'Histórico'!$A:$A),FALSE),  HLOOKUP(AT92,'Histórico'!$A$1:$DD$990,MATCH($B$6,'Histórico'!$A:$A),FALSE))),"")</f>
        <v/>
      </c>
      <c r="AX92" s="243" t="str">
        <f t="shared" si="13"/>
        <v/>
      </c>
      <c r="AY92" s="53"/>
    </row>
    <row r="93" ht="15.75" customHeight="1">
      <c r="A93" s="176"/>
      <c r="B93" s="288">
        <f>Controle!B93</f>
        <v>45126</v>
      </c>
      <c r="C93" s="233">
        <f>Controle!C93</f>
        <v>103844328.4</v>
      </c>
      <c r="D93" s="289">
        <f>Controle!D93</f>
        <v>103844345.7</v>
      </c>
      <c r="E93" s="290"/>
      <c r="F93" s="291">
        <f>Controle!F93</f>
        <v>110847335.2</v>
      </c>
      <c r="G93" s="289">
        <f>Controle!G93</f>
        <v>110847352.5</v>
      </c>
      <c r="H93" s="290"/>
      <c r="I93" s="291">
        <f>Controle!I93</f>
        <v>108909478</v>
      </c>
      <c r="J93" s="233">
        <f>Controle!J93</f>
        <v>108909495.2</v>
      </c>
      <c r="K93" s="292"/>
      <c r="L93" s="233">
        <f>Controle!L93</f>
        <v>104931858.5</v>
      </c>
      <c r="M93" s="233">
        <f>Controle!M93</f>
        <v>73050325.37</v>
      </c>
      <c r="N93" s="235">
        <f>Controle!N93</f>
        <v>0.0004487964469</v>
      </c>
      <c r="O93" s="235">
        <f>Controle!O93</f>
        <v>0.0004487964477</v>
      </c>
      <c r="P93" s="235">
        <f>Controle!P93</f>
        <v>0.0004487964475</v>
      </c>
      <c r="Q93" s="235">
        <f>Controle!Q93</f>
        <v>-0.0005716449299</v>
      </c>
      <c r="R93" s="293">
        <f>Controle!R93</f>
        <v>104.1529946</v>
      </c>
      <c r="S93" s="287"/>
      <c r="T93" s="233">
        <f t="shared" ref="T93:U93" si="96">IF(AND(C93&lt;&gt;"",F93&lt;&gt;"",I93&lt;&gt;""), SUM(I93,F93,C93),"")</f>
        <v>323601141.7</v>
      </c>
      <c r="U93" s="233">
        <f t="shared" si="96"/>
        <v>323601193.3</v>
      </c>
      <c r="V93" s="233">
        <f t="shared" si="6"/>
        <v>323.6011417</v>
      </c>
      <c r="W93" s="241">
        <f t="shared" si="9"/>
        <v>0.0004487964474</v>
      </c>
      <c r="X93" s="241">
        <f t="shared" si="10"/>
        <v>-0.002138265666</v>
      </c>
      <c r="Y93" s="241">
        <f t="shared" si="19"/>
        <v>0.000000005284381111</v>
      </c>
      <c r="Z93" s="233">
        <f t="shared" si="7"/>
        <v>312.4589838</v>
      </c>
      <c r="AA93" s="294"/>
      <c r="AB93" s="245"/>
      <c r="AC93" s="242" t="str">
        <f>IF(ISTEXT(AB93),VLOOKUP(AB93,'Cadastro dos Ativos'!$A$2:$C$1000,3,0),"")</f>
        <v/>
      </c>
      <c r="AD93" s="242" t="str">
        <f>IF(AB93 &lt;&gt; "",SUMIFS('Alocação'!$O$3:$O$1002,'Alocação'!$C$3:$C$1002,AB93,'Alocação'!$F$3:$F$1002,AB$9,'Alocação'!$B$3:$B$1002,"&lt;="&amp;$B$6), "")</f>
        <v/>
      </c>
      <c r="AE93" s="243" t="str">
        <f>iferror(IF(AC93="Ações Americanas", HLOOKUP(AB93,'Histórico'!$A$1:$DD$990,MATCH($B$6,'Histórico'!$A:$A),FALSE)*HLOOKUP("PTAX",'Histórico'!$A$1:$FG$983,MATCH($B$6,'Histórico'!$A:$A),FALSE),IF(AC93="Ações Europeias", HLOOKUP(AB93,'Histórico'!$A$1:$DD$990,MATCH($B$6,'Histórico'!$A:$A),FALSE)*HLOOKUP("EUR/BRL",'Histórico'!$A$1:$FG$983,MATCH($B$6,'Histórico'!$A:$A),FALSE),  HLOOKUP(AB93,'Histórico'!$A$1:$DD$990,MATCH($B$6,'Histórico'!$A:$A),FALSE))),"")</f>
        <v/>
      </c>
      <c r="AF93" s="243" t="str">
        <f t="shared" si="15"/>
        <v/>
      </c>
      <c r="AG93" s="53"/>
      <c r="AH93" s="245"/>
      <c r="AI93" s="242" t="str">
        <f>IF(ISTEXT(AH93),VLOOKUP(AH93,'Cadastro dos Ativos'!$A$2:$C$1000,3,0),"")</f>
        <v/>
      </c>
      <c r="AJ93" s="242" t="str">
        <f>IF(AH93 &lt;&gt; "",SUMIFS('Alocação'!$O$3:$O$1002,'Alocação'!$C$3:$C$1002,AH93,'Alocação'!$F$3:$F$1002,AH$9,'Alocação'!$B$3:$B$1002,"&lt;="&amp;$B$6), "")</f>
        <v/>
      </c>
      <c r="AK93" s="243" t="str">
        <f>iferror(IF(AI93="Ações Americanas", HLOOKUP(AH93,'Histórico'!$A$1:$DD$990,MATCH($B$6,'Histórico'!$A:$A),FALSE)*HLOOKUP("PTAX",'Histórico'!$A$1:$FG$983,MATCH($B$6,'Histórico'!$A:$A),FALSE),IF(AI93="Ações Europeias", HLOOKUP(AH93,'Histórico'!$A$1:$DD$990,MATCH($B$6,'Histórico'!$A:$A),FALSE)*HLOOKUP("EUR/BRL",'Histórico'!$A$1:$FG$983,MATCH($B$6,'Histórico'!$A:$A),FALSE),  HLOOKUP(AH93,'Histórico'!$A$1:$DD$990,MATCH($B$6,'Histórico'!$A:$A),FALSE))),"")</f>
        <v/>
      </c>
      <c r="AL93" s="243" t="str">
        <f t="shared" si="11"/>
        <v/>
      </c>
      <c r="AM93" s="53"/>
      <c r="AN93" s="245"/>
      <c r="AO93" s="242" t="str">
        <f>IF(ISTEXT(AN93),VLOOKUP(AN93,'Cadastro dos Ativos'!$A$2:$C$1000,3,0),"")</f>
        <v/>
      </c>
      <c r="AP93" s="242" t="str">
        <f>IF(AN93 &lt;&gt; "",SUMIFS('Alocação'!$O$3:$O$1002,'Alocação'!$C$3:$C$1002,AN93,'Alocação'!$F$3:$F$1002,AN$9,'Alocação'!$B$3:$B$1002,"&lt;="&amp;$B$6), "")</f>
        <v/>
      </c>
      <c r="AQ93" s="243" t="str">
        <f>iferror(IF(AO93="Ações Americanas", HLOOKUP(AN93,'Histórico'!$A$1:$DD$990,MATCH($B$6,'Histórico'!$A:$A),FALSE)*HLOOKUP("PTAX",'Histórico'!$A$1:$FG$983,MATCH($B$6,'Histórico'!$A:$A),FALSE),IF(AO93="Ações Europeias", HLOOKUP(AN93,'Histórico'!$A$1:$DD$990,MATCH($B$6,'Histórico'!$A:$A),FALSE)*HLOOKUP("EUR/BRL",'Histórico'!$A$1:$FG$983,MATCH($B$6,'Histórico'!$A:$A),FALSE),  HLOOKUP(AN93,'Histórico'!$A$1:$DD$990,MATCH($B$6,'Histórico'!$A:$A),FALSE))),"")</f>
        <v/>
      </c>
      <c r="AR93" s="243" t="str">
        <f t="shared" si="12"/>
        <v/>
      </c>
      <c r="AS93" s="53"/>
      <c r="AT93" s="245"/>
      <c r="AU93" s="242" t="str">
        <f>IF(ISTEXT(AT93),VLOOKUP(AT93,'Cadastro dos Ativos'!$A$2:$C$1000,3,0),"")</f>
        <v/>
      </c>
      <c r="AV93" s="242" t="str">
        <f>IF(AT93 &lt;&gt; "",SUMIFS('Alocação'!$O$3:$O$1002,'Alocação'!$C$3:$C$1002,AT93,'Alocação'!$F$3:$F$1002,AT$9,'Alocação'!$B$3:$B$1002,"&lt;="&amp;$B$6), "")</f>
        <v/>
      </c>
      <c r="AW93" s="243" t="str">
        <f>iferror(IF(AU93="Ações Americanas", HLOOKUP(AT93,'Histórico'!$A$1:$DD$990,MATCH($B$6,'Histórico'!$A:$A),FALSE)*HLOOKUP("PTAX",'Histórico'!$A$1:$FG$983,MATCH($B$6,'Histórico'!$A:$A),FALSE),IF(AU93="Ações Europeias", HLOOKUP(AT93,'Histórico'!$A$1:$DD$990,MATCH($B$6,'Histórico'!$A:$A),FALSE)*HLOOKUP("EUR/BRL",'Histórico'!$A$1:$FG$983,MATCH($B$6,'Histórico'!$A:$A),FALSE),  HLOOKUP(AT93,'Histórico'!$A$1:$DD$990,MATCH($B$6,'Histórico'!$A:$A),FALSE))),"")</f>
        <v/>
      </c>
      <c r="AX93" s="243" t="str">
        <f t="shared" si="13"/>
        <v/>
      </c>
      <c r="AY93" s="53"/>
    </row>
    <row r="94" ht="15.75" customHeight="1">
      <c r="A94" s="176"/>
      <c r="B94" s="288">
        <f>Controle!B94</f>
        <v>45127</v>
      </c>
      <c r="C94" s="233">
        <f>Controle!C94</f>
        <v>103890933.7</v>
      </c>
      <c r="D94" s="289">
        <f>Controle!D94</f>
        <v>103890950.7</v>
      </c>
      <c r="E94" s="290"/>
      <c r="F94" s="291">
        <f>Controle!F94</f>
        <v>110897083.4</v>
      </c>
      <c r="G94" s="289">
        <f>Controle!G94</f>
        <v>110897100.4</v>
      </c>
      <c r="H94" s="290"/>
      <c r="I94" s="291">
        <f>Controle!I94</f>
        <v>108958356.4</v>
      </c>
      <c r="J94" s="233">
        <f>Controle!J94</f>
        <v>108958373.4</v>
      </c>
      <c r="K94" s="292"/>
      <c r="L94" s="233">
        <f>Controle!L94</f>
        <v>105026309.4</v>
      </c>
      <c r="M94" s="233">
        <f>Controle!M94</f>
        <v>73081226.43</v>
      </c>
      <c r="N94" s="235">
        <f>Controle!N94</f>
        <v>0.0004487987581</v>
      </c>
      <c r="O94" s="235">
        <f>Controle!O94</f>
        <v>0.0004487986129</v>
      </c>
      <c r="P94" s="235">
        <f>Controle!P94</f>
        <v>0.0004487986512</v>
      </c>
      <c r="Q94" s="235">
        <f>Controle!Q94</f>
        <v>0.0009001166838</v>
      </c>
      <c r="R94" s="293">
        <f>Controle!R94</f>
        <v>104.2040681</v>
      </c>
      <c r="S94" s="287"/>
      <c r="T94" s="233">
        <f t="shared" ref="T94:U94" si="97">IF(AND(C94&lt;&gt;"",F94&lt;&gt;"",I94&lt;&gt;""), SUM(I94,F94,C94),"")</f>
        <v>323746373.4</v>
      </c>
      <c r="U94" s="233">
        <f t="shared" si="97"/>
        <v>323746424.4</v>
      </c>
      <c r="V94" s="233">
        <f t="shared" si="6"/>
        <v>323.7463734</v>
      </c>
      <c r="W94" s="241">
        <f t="shared" si="9"/>
        <v>0.0004487986724</v>
      </c>
      <c r="X94" s="241">
        <f t="shared" si="10"/>
        <v>-0.001690426644</v>
      </c>
      <c r="Y94" s="241">
        <f t="shared" si="19"/>
        <v>0.000000005189031523</v>
      </c>
      <c r="Z94" s="233">
        <f t="shared" si="7"/>
        <v>312.6122043</v>
      </c>
      <c r="AA94" s="294"/>
      <c r="AB94" s="245"/>
      <c r="AC94" s="242" t="str">
        <f>IF(ISTEXT(AB94),VLOOKUP(AB94,'Cadastro dos Ativos'!$A$2:$C$1000,3,0),"")</f>
        <v/>
      </c>
      <c r="AD94" s="242" t="str">
        <f>IF(AB94 &lt;&gt; "",SUMIFS('Alocação'!$O$3:$O$1002,'Alocação'!$C$3:$C$1002,AB94,'Alocação'!$F$3:$F$1002,AB$9,'Alocação'!$B$3:$B$1002,"&lt;="&amp;$B$6), "")</f>
        <v/>
      </c>
      <c r="AE94" s="243" t="str">
        <f>iferror(IF(AC94="Ações Americanas", HLOOKUP(AB94,'Histórico'!$A$1:$DD$990,MATCH($B$6,'Histórico'!$A:$A),FALSE)*HLOOKUP("PTAX",'Histórico'!$A$1:$FG$983,MATCH($B$6,'Histórico'!$A:$A),FALSE),IF(AC94="Ações Europeias", HLOOKUP(AB94,'Histórico'!$A$1:$DD$990,MATCH($B$6,'Histórico'!$A:$A),FALSE)*HLOOKUP("EUR/BRL",'Histórico'!$A$1:$FG$983,MATCH($B$6,'Histórico'!$A:$A),FALSE),  HLOOKUP(AB94,'Histórico'!$A$1:$DD$990,MATCH($B$6,'Histórico'!$A:$A),FALSE))),"")</f>
        <v/>
      </c>
      <c r="AF94" s="243" t="str">
        <f t="shared" si="15"/>
        <v/>
      </c>
      <c r="AG94" s="53"/>
      <c r="AH94" s="245"/>
      <c r="AI94" s="242" t="str">
        <f>IF(ISTEXT(AH94),VLOOKUP(AH94,'Cadastro dos Ativos'!$A$2:$C$1000,3,0),"")</f>
        <v/>
      </c>
      <c r="AJ94" s="242" t="str">
        <f>IF(AH94 &lt;&gt; "",SUMIFS('Alocação'!$O$3:$O$1002,'Alocação'!$C$3:$C$1002,AH94,'Alocação'!$F$3:$F$1002,AH$9,'Alocação'!$B$3:$B$1002,"&lt;="&amp;$B$6), "")</f>
        <v/>
      </c>
      <c r="AK94" s="243" t="str">
        <f>iferror(IF(AI94="Ações Americanas", HLOOKUP(AH94,'Histórico'!$A$1:$DD$990,MATCH($B$6,'Histórico'!$A:$A),FALSE)*HLOOKUP("PTAX",'Histórico'!$A$1:$FG$983,MATCH($B$6,'Histórico'!$A:$A),FALSE),IF(AI94="Ações Europeias", HLOOKUP(AH94,'Histórico'!$A$1:$DD$990,MATCH($B$6,'Histórico'!$A:$A),FALSE)*HLOOKUP("EUR/BRL",'Histórico'!$A$1:$FG$983,MATCH($B$6,'Histórico'!$A:$A),FALSE),  HLOOKUP(AH94,'Histórico'!$A$1:$DD$990,MATCH($B$6,'Histórico'!$A:$A),FALSE))),"")</f>
        <v/>
      </c>
      <c r="AL94" s="243" t="str">
        <f t="shared" si="11"/>
        <v/>
      </c>
      <c r="AM94" s="53"/>
      <c r="AN94" s="245"/>
      <c r="AO94" s="242" t="str">
        <f>IF(ISTEXT(AN94),VLOOKUP(AN94,'Cadastro dos Ativos'!$A$2:$C$1000,3,0),"")</f>
        <v/>
      </c>
      <c r="AP94" s="242" t="str">
        <f>IF(AN94 &lt;&gt; "",SUMIFS('Alocação'!$O$3:$O$1002,'Alocação'!$C$3:$C$1002,AN94,'Alocação'!$F$3:$F$1002,AN$9,'Alocação'!$B$3:$B$1002,"&lt;="&amp;$B$6), "")</f>
        <v/>
      </c>
      <c r="AQ94" s="243" t="str">
        <f>iferror(IF(AO94="Ações Americanas", HLOOKUP(AN94,'Histórico'!$A$1:$DD$990,MATCH($B$6,'Histórico'!$A:$A),FALSE)*HLOOKUP("PTAX",'Histórico'!$A$1:$FG$983,MATCH($B$6,'Histórico'!$A:$A),FALSE),IF(AO94="Ações Europeias", HLOOKUP(AN94,'Histórico'!$A$1:$DD$990,MATCH($B$6,'Histórico'!$A:$A),FALSE)*HLOOKUP("EUR/BRL",'Histórico'!$A$1:$FG$983,MATCH($B$6,'Histórico'!$A:$A),FALSE),  HLOOKUP(AN94,'Histórico'!$A$1:$DD$990,MATCH($B$6,'Histórico'!$A:$A),FALSE))),"")</f>
        <v/>
      </c>
      <c r="AR94" s="243" t="str">
        <f t="shared" si="12"/>
        <v/>
      </c>
      <c r="AS94" s="53"/>
      <c r="AT94" s="245"/>
      <c r="AU94" s="242" t="str">
        <f>IF(ISTEXT(AT94),VLOOKUP(AT94,'Cadastro dos Ativos'!$A$2:$C$1000,3,0),"")</f>
        <v/>
      </c>
      <c r="AV94" s="242" t="str">
        <f>IF(AT94 &lt;&gt; "",SUMIFS('Alocação'!$O$3:$O$1002,'Alocação'!$C$3:$C$1002,AT94,'Alocação'!$F$3:$F$1002,AT$9,'Alocação'!$B$3:$B$1002,"&lt;="&amp;$B$6), "")</f>
        <v/>
      </c>
      <c r="AW94" s="243" t="str">
        <f>iferror(IF(AU94="Ações Americanas", HLOOKUP(AT94,'Histórico'!$A$1:$DD$990,MATCH($B$6,'Histórico'!$A:$A),FALSE)*HLOOKUP("PTAX",'Histórico'!$A$1:$FG$983,MATCH($B$6,'Histórico'!$A:$A),FALSE),IF(AU94="Ações Europeias", HLOOKUP(AT94,'Histórico'!$A$1:$DD$990,MATCH($B$6,'Histórico'!$A:$A),FALSE)*HLOOKUP("EUR/BRL",'Histórico'!$A$1:$FG$983,MATCH($B$6,'Histórico'!$A:$A),FALSE),  HLOOKUP(AT94,'Histórico'!$A$1:$DD$990,MATCH($B$6,'Histórico'!$A:$A),FALSE))),"")</f>
        <v/>
      </c>
      <c r="AX94" s="243" t="str">
        <f t="shared" si="13"/>
        <v/>
      </c>
      <c r="AY94" s="53"/>
    </row>
    <row r="95" ht="15.75" customHeight="1">
      <c r="A95" s="176"/>
      <c r="B95" s="288">
        <f>Controle!B95</f>
        <v>45128</v>
      </c>
      <c r="C95" s="233">
        <f>Controle!C95</f>
        <v>103606020.4</v>
      </c>
      <c r="D95" s="289">
        <f>Controle!D95</f>
        <v>113500039</v>
      </c>
      <c r="E95" s="290"/>
      <c r="F95" s="291">
        <f>Controle!F95</f>
        <v>110946852.1</v>
      </c>
      <c r="G95" s="289">
        <f>Controle!G95</f>
        <v>110946870.6</v>
      </c>
      <c r="H95" s="290"/>
      <c r="I95" s="291">
        <f>Controle!I95</f>
        <v>109007255</v>
      </c>
      <c r="J95" s="233">
        <f>Controle!J95</f>
        <v>109007273.5</v>
      </c>
      <c r="K95" s="292"/>
      <c r="L95" s="233">
        <f>Controle!L95</f>
        <v>105731219.1</v>
      </c>
      <c r="M95" s="233">
        <f>Controle!M95</f>
        <v>73112137.6</v>
      </c>
      <c r="N95" s="235">
        <f>Controle!N95</f>
        <v>-0.002742426388</v>
      </c>
      <c r="O95" s="235">
        <f>Controle!O95</f>
        <v>0.0004487830108</v>
      </c>
      <c r="P95" s="235">
        <f>Controle!P95</f>
        <v>0.0004487827715</v>
      </c>
      <c r="Q95" s="235">
        <f>Controle!Q95</f>
        <v>0.006711743266</v>
      </c>
      <c r="R95" s="293">
        <f>Controle!R95</f>
        <v>104.2551667</v>
      </c>
      <c r="S95" s="287"/>
      <c r="T95" s="233">
        <f t="shared" ref="T95:U95" si="98">IF(AND(C95&lt;&gt;"",F95&lt;&gt;"",I95&lt;&gt;""), SUM(I95,F95,C95),"")</f>
        <v>323560127.5</v>
      </c>
      <c r="U95" s="233">
        <f t="shared" si="98"/>
        <v>333454183.2</v>
      </c>
      <c r="V95" s="233">
        <f t="shared" si="6"/>
        <v>323.5601275</v>
      </c>
      <c r="W95" s="241">
        <f t="shared" si="9"/>
        <v>-0.0005752832868</v>
      </c>
      <c r="X95" s="241">
        <f t="shared" si="10"/>
        <v>-0.002264737457</v>
      </c>
      <c r="Y95" s="241">
        <f t="shared" si="19"/>
        <v>0.0004579823899</v>
      </c>
      <c r="Z95" s="233">
        <f t="shared" si="7"/>
        <v>312.7655</v>
      </c>
      <c r="AA95" s="294"/>
      <c r="AB95" s="245"/>
      <c r="AC95" s="242" t="str">
        <f>IF(ISTEXT(AB95),VLOOKUP(AB95,'Cadastro dos Ativos'!$A$2:$C$1000,3,0),"")</f>
        <v/>
      </c>
      <c r="AD95" s="242" t="str">
        <f>IF(AB95 &lt;&gt; "",SUMIFS('Alocação'!$O$3:$O$1002,'Alocação'!$C$3:$C$1002,AB95,'Alocação'!$F$3:$F$1002,AB$9,'Alocação'!$B$3:$B$1002,"&lt;="&amp;$B$6), "")</f>
        <v/>
      </c>
      <c r="AE95" s="243" t="str">
        <f>iferror(IF(AC95="Ações Americanas", HLOOKUP(AB95,'Histórico'!$A$1:$DD$990,MATCH($B$6,'Histórico'!$A:$A),FALSE)*HLOOKUP("PTAX",'Histórico'!$A$1:$FG$983,MATCH($B$6,'Histórico'!$A:$A),FALSE),IF(AC95="Ações Europeias", HLOOKUP(AB95,'Histórico'!$A$1:$DD$990,MATCH($B$6,'Histórico'!$A:$A),FALSE)*HLOOKUP("EUR/BRL",'Histórico'!$A$1:$FG$983,MATCH($B$6,'Histórico'!$A:$A),FALSE),  HLOOKUP(AB95,'Histórico'!$A$1:$DD$990,MATCH($B$6,'Histórico'!$A:$A),FALSE))),"")</f>
        <v/>
      </c>
      <c r="AF95" s="243" t="str">
        <f t="shared" si="15"/>
        <v/>
      </c>
      <c r="AG95" s="53"/>
      <c r="AH95" s="245"/>
      <c r="AI95" s="242" t="str">
        <f>IF(ISTEXT(AH95),VLOOKUP(AH95,'Cadastro dos Ativos'!$A$2:$C$1000,3,0),"")</f>
        <v/>
      </c>
      <c r="AJ95" s="242" t="str">
        <f>IF(AH95 &lt;&gt; "",SUMIFS('Alocação'!$O$3:$O$1002,'Alocação'!$C$3:$C$1002,AH95,'Alocação'!$F$3:$F$1002,AH$9,'Alocação'!$B$3:$B$1002,"&lt;="&amp;$B$6), "")</f>
        <v/>
      </c>
      <c r="AK95" s="243" t="str">
        <f>iferror(IF(AI95="Ações Americanas", HLOOKUP(AH95,'Histórico'!$A$1:$DD$990,MATCH($B$6,'Histórico'!$A:$A),FALSE)*HLOOKUP("PTAX",'Histórico'!$A$1:$FG$983,MATCH($B$6,'Histórico'!$A:$A),FALSE),IF(AI95="Ações Europeias", HLOOKUP(AH95,'Histórico'!$A$1:$DD$990,MATCH($B$6,'Histórico'!$A:$A),FALSE)*HLOOKUP("EUR/BRL",'Histórico'!$A$1:$FG$983,MATCH($B$6,'Histórico'!$A:$A),FALSE),  HLOOKUP(AH95,'Histórico'!$A$1:$DD$990,MATCH($B$6,'Histórico'!$A:$A),FALSE))),"")</f>
        <v/>
      </c>
      <c r="AL95" s="243" t="str">
        <f t="shared" si="11"/>
        <v/>
      </c>
      <c r="AM95" s="53"/>
      <c r="AN95" s="245"/>
      <c r="AO95" s="242" t="str">
        <f>IF(ISTEXT(AN95),VLOOKUP(AN95,'Cadastro dos Ativos'!$A$2:$C$1000,3,0),"")</f>
        <v/>
      </c>
      <c r="AP95" s="242" t="str">
        <f>IF(AN95 &lt;&gt; "",SUMIFS('Alocação'!$O$3:$O$1002,'Alocação'!$C$3:$C$1002,AN95,'Alocação'!$F$3:$F$1002,AN$9,'Alocação'!$B$3:$B$1002,"&lt;="&amp;$B$6), "")</f>
        <v/>
      </c>
      <c r="AQ95" s="243" t="str">
        <f>iferror(IF(AO95="Ações Americanas", HLOOKUP(AN95,'Histórico'!$A$1:$DD$990,MATCH($B$6,'Histórico'!$A:$A),FALSE)*HLOOKUP("PTAX",'Histórico'!$A$1:$FG$983,MATCH($B$6,'Histórico'!$A:$A),FALSE),IF(AO95="Ações Europeias", HLOOKUP(AN95,'Histórico'!$A$1:$DD$990,MATCH($B$6,'Histórico'!$A:$A),FALSE)*HLOOKUP("EUR/BRL",'Histórico'!$A$1:$FG$983,MATCH($B$6,'Histórico'!$A:$A),FALSE),  HLOOKUP(AN95,'Histórico'!$A$1:$DD$990,MATCH($B$6,'Histórico'!$A:$A),FALSE))),"")</f>
        <v/>
      </c>
      <c r="AR95" s="243" t="str">
        <f t="shared" si="12"/>
        <v/>
      </c>
      <c r="AS95" s="53"/>
      <c r="AT95" s="245"/>
      <c r="AU95" s="242" t="str">
        <f>IF(ISTEXT(AT95),VLOOKUP(AT95,'Cadastro dos Ativos'!$A$2:$C$1000,3,0),"")</f>
        <v/>
      </c>
      <c r="AV95" s="242" t="str">
        <f>IF(AT95 &lt;&gt; "",SUMIFS('Alocação'!$O$3:$O$1002,'Alocação'!$C$3:$C$1002,AT95,'Alocação'!$F$3:$F$1002,AT$9,'Alocação'!$B$3:$B$1002,"&lt;="&amp;$B$6), "")</f>
        <v/>
      </c>
      <c r="AW95" s="243" t="str">
        <f>iferror(IF(AU95="Ações Americanas", HLOOKUP(AT95,'Histórico'!$A$1:$DD$990,MATCH($B$6,'Histórico'!$A:$A),FALSE)*HLOOKUP("PTAX",'Histórico'!$A$1:$FG$983,MATCH($B$6,'Histórico'!$A:$A),FALSE),IF(AU95="Ações Europeias", HLOOKUP(AT95,'Histórico'!$A$1:$DD$990,MATCH($B$6,'Histórico'!$A:$A),FALSE)*HLOOKUP("EUR/BRL",'Histórico'!$A$1:$FG$983,MATCH($B$6,'Histórico'!$A:$A),FALSE),  HLOOKUP(AT95,'Histórico'!$A$1:$DD$990,MATCH($B$6,'Histórico'!$A:$A),FALSE))),"")</f>
        <v/>
      </c>
      <c r="AX95" s="243" t="str">
        <f t="shared" si="13"/>
        <v/>
      </c>
      <c r="AY95" s="53"/>
    </row>
    <row r="96" ht="15.75" customHeight="1">
      <c r="A96" s="176"/>
      <c r="B96" s="288">
        <f>Controle!B96</f>
        <v>45131</v>
      </c>
      <c r="C96" s="233">
        <f>Controle!C96</f>
        <v>103097574.5</v>
      </c>
      <c r="D96" s="289">
        <f>Controle!D96</f>
        <v>113091043.3</v>
      </c>
      <c r="E96" s="290"/>
      <c r="F96" s="291">
        <f>Controle!F96</f>
        <v>110996644.4</v>
      </c>
      <c r="G96" s="289">
        <f>Controle!G96</f>
        <v>110996663.2</v>
      </c>
      <c r="H96" s="290"/>
      <c r="I96" s="291">
        <f>Controle!I96</f>
        <v>109056176.8</v>
      </c>
      <c r="J96" s="233">
        <f>Controle!J96</f>
        <v>109056195.6</v>
      </c>
      <c r="K96" s="292"/>
      <c r="L96" s="233">
        <f>Controle!L96</f>
        <v>106375353.8</v>
      </c>
      <c r="M96" s="233">
        <f>Controle!M96</f>
        <v>73143022.81</v>
      </c>
      <c r="N96" s="235">
        <f>Controle!N96</f>
        <v>-0.004907493822</v>
      </c>
      <c r="O96" s="235">
        <f>Controle!O96</f>
        <v>0.0004487938397</v>
      </c>
      <c r="P96" s="235">
        <f>Controle!P96</f>
        <v>0.0004487937931</v>
      </c>
      <c r="Q96" s="235">
        <f>Controle!Q96</f>
        <v>0.006092190379</v>
      </c>
      <c r="R96" s="293">
        <f>Controle!R96</f>
        <v>104.3062903</v>
      </c>
      <c r="S96" s="287"/>
      <c r="T96" s="233">
        <f t="shared" ref="T96:U96" si="99">IF(AND(C96&lt;&gt;"",F96&lt;&gt;"",I96&lt;&gt;""), SUM(I96,F96,C96),"")</f>
        <v>323150395.7</v>
      </c>
      <c r="U96" s="233">
        <f t="shared" si="99"/>
        <v>333143902</v>
      </c>
      <c r="V96" s="233">
        <f t="shared" si="6"/>
        <v>323.1503957</v>
      </c>
      <c r="W96" s="241">
        <f t="shared" si="9"/>
        <v>-0.001266323712</v>
      </c>
      <c r="X96" s="241">
        <f t="shared" si="10"/>
        <v>-0.003528193278</v>
      </c>
      <c r="Y96" s="241">
        <f t="shared" si="19"/>
        <v>0.0007889450093</v>
      </c>
      <c r="Z96" s="233">
        <f t="shared" si="7"/>
        <v>312.9188708</v>
      </c>
      <c r="AA96" s="294"/>
      <c r="AB96" s="245"/>
      <c r="AC96" s="242" t="str">
        <f>IF(ISTEXT(AB96),VLOOKUP(AB96,'Cadastro dos Ativos'!$A$2:$C$1000,3,0),"")</f>
        <v/>
      </c>
      <c r="AD96" s="242" t="str">
        <f>IF(AB96 &lt;&gt; "",SUMIFS('Alocação'!$O$3:$O$1002,'Alocação'!$C$3:$C$1002,AB96,'Alocação'!$F$3:$F$1002,AB$9,'Alocação'!$B$3:$B$1002,"&lt;="&amp;$B$6), "")</f>
        <v/>
      </c>
      <c r="AE96" s="243" t="str">
        <f>iferror(IF(AC96="Ações Americanas", HLOOKUP(AB96,'Histórico'!$A$1:$DD$990,MATCH($B$6,'Histórico'!$A:$A),FALSE)*HLOOKUP("PTAX",'Histórico'!$A$1:$FG$983,MATCH($B$6,'Histórico'!$A:$A),FALSE),IF(AC96="Ações Europeias", HLOOKUP(AB96,'Histórico'!$A$1:$DD$990,MATCH($B$6,'Histórico'!$A:$A),FALSE)*HLOOKUP("EUR/BRL",'Histórico'!$A$1:$FG$983,MATCH($B$6,'Histórico'!$A:$A),FALSE),  HLOOKUP(AB96,'Histórico'!$A$1:$DD$990,MATCH($B$6,'Histórico'!$A:$A),FALSE))),"")</f>
        <v/>
      </c>
      <c r="AF96" s="243" t="str">
        <f t="shared" si="15"/>
        <v/>
      </c>
      <c r="AG96" s="53"/>
      <c r="AH96" s="245"/>
      <c r="AI96" s="242" t="str">
        <f>IF(ISTEXT(AH96),VLOOKUP(AH96,'Cadastro dos Ativos'!$A$2:$C$1000,3,0),"")</f>
        <v/>
      </c>
      <c r="AJ96" s="242" t="str">
        <f>IF(AH96 &lt;&gt; "",SUMIFS('Alocação'!$O$3:$O$1002,'Alocação'!$C$3:$C$1002,AH96,'Alocação'!$F$3:$F$1002,AH$9,'Alocação'!$B$3:$B$1002,"&lt;="&amp;$B$6), "")</f>
        <v/>
      </c>
      <c r="AK96" s="243" t="str">
        <f>iferror(IF(AI96="Ações Americanas", HLOOKUP(AH96,'Histórico'!$A$1:$DD$990,MATCH($B$6,'Histórico'!$A:$A),FALSE)*HLOOKUP("PTAX",'Histórico'!$A$1:$FG$983,MATCH($B$6,'Histórico'!$A:$A),FALSE),IF(AI96="Ações Europeias", HLOOKUP(AH96,'Histórico'!$A$1:$DD$990,MATCH($B$6,'Histórico'!$A:$A),FALSE)*HLOOKUP("EUR/BRL",'Histórico'!$A$1:$FG$983,MATCH($B$6,'Histórico'!$A:$A),FALSE),  HLOOKUP(AH96,'Histórico'!$A$1:$DD$990,MATCH($B$6,'Histórico'!$A:$A),FALSE))),"")</f>
        <v/>
      </c>
      <c r="AL96" s="243" t="str">
        <f t="shared" si="11"/>
        <v/>
      </c>
      <c r="AM96" s="53"/>
      <c r="AN96" s="245"/>
      <c r="AO96" s="242" t="str">
        <f>IF(ISTEXT(AN96),VLOOKUP(AN96,'Cadastro dos Ativos'!$A$2:$C$1000,3,0),"")</f>
        <v/>
      </c>
      <c r="AP96" s="242" t="str">
        <f>IF(AN96 &lt;&gt; "",SUMIFS('Alocação'!$O$3:$O$1002,'Alocação'!$C$3:$C$1002,AN96,'Alocação'!$F$3:$F$1002,AN$9,'Alocação'!$B$3:$B$1002,"&lt;="&amp;$B$6), "")</f>
        <v/>
      </c>
      <c r="AQ96" s="243" t="str">
        <f>iferror(IF(AO96="Ações Americanas", HLOOKUP(AN96,'Histórico'!$A$1:$DD$990,MATCH($B$6,'Histórico'!$A:$A),FALSE)*HLOOKUP("PTAX",'Histórico'!$A$1:$FG$983,MATCH($B$6,'Histórico'!$A:$A),FALSE),IF(AO96="Ações Europeias", HLOOKUP(AN96,'Histórico'!$A$1:$DD$990,MATCH($B$6,'Histórico'!$A:$A),FALSE)*HLOOKUP("EUR/BRL",'Histórico'!$A$1:$FG$983,MATCH($B$6,'Histórico'!$A:$A),FALSE),  HLOOKUP(AN96,'Histórico'!$A$1:$DD$990,MATCH($B$6,'Histórico'!$A:$A),FALSE))),"")</f>
        <v/>
      </c>
      <c r="AR96" s="243" t="str">
        <f t="shared" si="12"/>
        <v/>
      </c>
      <c r="AS96" s="53"/>
      <c r="AT96" s="245"/>
      <c r="AU96" s="242" t="str">
        <f>IF(ISTEXT(AT96),VLOOKUP(AT96,'Cadastro dos Ativos'!$A$2:$C$1000,3,0),"")</f>
        <v/>
      </c>
      <c r="AV96" s="242" t="str">
        <f>IF(AT96 &lt;&gt; "",SUMIFS('Alocação'!$O$3:$O$1002,'Alocação'!$C$3:$C$1002,AT96,'Alocação'!$F$3:$F$1002,AT$9,'Alocação'!$B$3:$B$1002,"&lt;="&amp;$B$6), "")</f>
        <v/>
      </c>
      <c r="AW96" s="243" t="str">
        <f>iferror(IF(AU96="Ações Americanas", HLOOKUP(AT96,'Histórico'!$A$1:$DD$990,MATCH($B$6,'Histórico'!$A:$A),FALSE)*HLOOKUP("PTAX",'Histórico'!$A$1:$FG$983,MATCH($B$6,'Histórico'!$A:$A),FALSE),IF(AU96="Ações Europeias", HLOOKUP(AT96,'Histórico'!$A$1:$DD$990,MATCH($B$6,'Histórico'!$A:$A),FALSE)*HLOOKUP("EUR/BRL",'Histórico'!$A$1:$FG$983,MATCH($B$6,'Histórico'!$A:$A),FALSE),  HLOOKUP(AT96,'Histórico'!$A$1:$DD$990,MATCH($B$6,'Histórico'!$A:$A),FALSE))),"")</f>
        <v/>
      </c>
      <c r="AX96" s="243" t="str">
        <f t="shared" si="13"/>
        <v/>
      </c>
      <c r="AY96" s="53"/>
    </row>
    <row r="97" ht="15.75" customHeight="1">
      <c r="A97" s="176"/>
      <c r="B97" s="288">
        <f>Controle!B97</f>
        <v>45132</v>
      </c>
      <c r="C97" s="233">
        <f>Controle!C97</f>
        <v>103314634.9</v>
      </c>
      <c r="D97" s="289">
        <f>Controle!D97</f>
        <v>113342953.6</v>
      </c>
      <c r="E97" s="290"/>
      <c r="F97" s="291">
        <f>Controle!F97</f>
        <v>111046459.6</v>
      </c>
      <c r="G97" s="289">
        <f>Controle!G97</f>
        <v>111046478.1</v>
      </c>
      <c r="H97" s="290"/>
      <c r="I97" s="291">
        <f>Controle!I97</f>
        <v>109105121.2</v>
      </c>
      <c r="J97" s="233">
        <f>Controle!J97</f>
        <v>109105139.6</v>
      </c>
      <c r="K97" s="292"/>
      <c r="L97" s="233">
        <f>Controle!L97</f>
        <v>106699066.8</v>
      </c>
      <c r="M97" s="233">
        <f>Controle!M97</f>
        <v>73173885.66</v>
      </c>
      <c r="N97" s="235">
        <f>Controle!N97</f>
        <v>0.002105387436</v>
      </c>
      <c r="O97" s="235">
        <f>Controle!O97</f>
        <v>0.0004487996082</v>
      </c>
      <c r="P97" s="235">
        <f>Controle!P97</f>
        <v>0.0004487996642</v>
      </c>
      <c r="Q97" s="235">
        <f>Controle!Q97</f>
        <v>0.003043120971</v>
      </c>
      <c r="R97" s="293">
        <f>Controle!R97</f>
        <v>104.3574389</v>
      </c>
      <c r="S97" s="287"/>
      <c r="T97" s="233">
        <f t="shared" ref="T97:U97" si="100">IF(AND(C97&lt;&gt;"",F97&lt;&gt;"",I97&lt;&gt;""), SUM(I97,F97,C97),"")</f>
        <v>323466215.6</v>
      </c>
      <c r="U97" s="233">
        <f t="shared" si="100"/>
        <v>333494571.3</v>
      </c>
      <c r="V97" s="233">
        <f t="shared" si="6"/>
        <v>323.4662156</v>
      </c>
      <c r="W97" s="241">
        <f t="shared" si="9"/>
        <v>0.0009773157275</v>
      </c>
      <c r="X97" s="241">
        <f t="shared" si="10"/>
        <v>-0.002554325709</v>
      </c>
      <c r="Y97" s="241">
        <f t="shared" si="19"/>
        <v>0.0009072333363</v>
      </c>
      <c r="Z97" s="233">
        <f t="shared" si="7"/>
        <v>313.0723168</v>
      </c>
      <c r="AA97" s="294"/>
      <c r="AB97" s="245"/>
      <c r="AC97" s="242" t="str">
        <f>IF(ISTEXT(AB97),VLOOKUP(AB97,'Cadastro dos Ativos'!$A$2:$C$1000,3,0),"")</f>
        <v/>
      </c>
      <c r="AD97" s="242" t="str">
        <f>IF(AB97 &lt;&gt; "",SUMIFS('Alocação'!$O$3:$O$1002,'Alocação'!$C$3:$C$1002,AB97,'Alocação'!$F$3:$F$1002,AB$9,'Alocação'!$B$3:$B$1002,"&lt;="&amp;$B$6), "")</f>
        <v/>
      </c>
      <c r="AE97" s="243" t="str">
        <f>iferror(IF(AC97="Ações Americanas", HLOOKUP(AB97,'Histórico'!$A$1:$DD$990,MATCH($B$6,'Histórico'!$A:$A),FALSE)*HLOOKUP("PTAX",'Histórico'!$A$1:$FG$983,MATCH($B$6,'Histórico'!$A:$A),FALSE),IF(AC97="Ações Europeias", HLOOKUP(AB97,'Histórico'!$A$1:$DD$990,MATCH($B$6,'Histórico'!$A:$A),FALSE)*HLOOKUP("EUR/BRL",'Histórico'!$A$1:$FG$983,MATCH($B$6,'Histórico'!$A:$A),FALSE),  HLOOKUP(AB97,'Histórico'!$A$1:$DD$990,MATCH($B$6,'Histórico'!$A:$A),FALSE))),"")</f>
        <v/>
      </c>
      <c r="AF97" s="243" t="str">
        <f t="shared" si="15"/>
        <v/>
      </c>
      <c r="AG97" s="53"/>
      <c r="AH97" s="245"/>
      <c r="AI97" s="242" t="str">
        <f>IF(ISTEXT(AH97),VLOOKUP(AH97,'Cadastro dos Ativos'!$A$2:$C$1000,3,0),"")</f>
        <v/>
      </c>
      <c r="AJ97" s="242" t="str">
        <f>IF(AH97 &lt;&gt; "",SUMIFS('Alocação'!$O$3:$O$1002,'Alocação'!$C$3:$C$1002,AH97,'Alocação'!$F$3:$F$1002,AH$9,'Alocação'!$B$3:$B$1002,"&lt;="&amp;$B$6), "")</f>
        <v/>
      </c>
      <c r="AK97" s="243" t="str">
        <f>iferror(IF(AI97="Ações Americanas", HLOOKUP(AH97,'Histórico'!$A$1:$DD$990,MATCH($B$6,'Histórico'!$A:$A),FALSE)*HLOOKUP("PTAX",'Histórico'!$A$1:$FG$983,MATCH($B$6,'Histórico'!$A:$A),FALSE),IF(AI97="Ações Europeias", HLOOKUP(AH97,'Histórico'!$A$1:$DD$990,MATCH($B$6,'Histórico'!$A:$A),FALSE)*HLOOKUP("EUR/BRL",'Histórico'!$A$1:$FG$983,MATCH($B$6,'Histórico'!$A:$A),FALSE),  HLOOKUP(AH97,'Histórico'!$A$1:$DD$990,MATCH($B$6,'Histórico'!$A:$A),FALSE))),"")</f>
        <v/>
      </c>
      <c r="AL97" s="243" t="str">
        <f t="shared" si="11"/>
        <v/>
      </c>
      <c r="AM97" s="53"/>
      <c r="AN97" s="245"/>
      <c r="AO97" s="242" t="str">
        <f>IF(ISTEXT(AN97),VLOOKUP(AN97,'Cadastro dos Ativos'!$A$2:$C$1000,3,0),"")</f>
        <v/>
      </c>
      <c r="AP97" s="242" t="str">
        <f>IF(AN97 &lt;&gt; "",SUMIFS('Alocação'!$O$3:$O$1002,'Alocação'!$C$3:$C$1002,AN97,'Alocação'!$F$3:$F$1002,AN$9,'Alocação'!$B$3:$B$1002,"&lt;="&amp;$B$6), "")</f>
        <v/>
      </c>
      <c r="AQ97" s="243" t="str">
        <f>iferror(IF(AO97="Ações Americanas", HLOOKUP(AN97,'Histórico'!$A$1:$DD$990,MATCH($B$6,'Histórico'!$A:$A),FALSE)*HLOOKUP("PTAX",'Histórico'!$A$1:$FG$983,MATCH($B$6,'Histórico'!$A:$A),FALSE),IF(AO97="Ações Europeias", HLOOKUP(AN97,'Histórico'!$A$1:$DD$990,MATCH($B$6,'Histórico'!$A:$A),FALSE)*HLOOKUP("EUR/BRL",'Histórico'!$A$1:$FG$983,MATCH($B$6,'Histórico'!$A:$A),FALSE),  HLOOKUP(AN97,'Histórico'!$A$1:$DD$990,MATCH($B$6,'Histórico'!$A:$A),FALSE))),"")</f>
        <v/>
      </c>
      <c r="AR97" s="243" t="str">
        <f t="shared" si="12"/>
        <v/>
      </c>
      <c r="AS97" s="53"/>
      <c r="AT97" s="245"/>
      <c r="AU97" s="242" t="str">
        <f>IF(ISTEXT(AT97),VLOOKUP(AT97,'Cadastro dos Ativos'!$A$2:$C$1000,3,0),"")</f>
        <v/>
      </c>
      <c r="AV97" s="242" t="str">
        <f>IF(AT97 &lt;&gt; "",SUMIFS('Alocação'!$O$3:$O$1002,'Alocação'!$C$3:$C$1002,AT97,'Alocação'!$F$3:$F$1002,AT$9,'Alocação'!$B$3:$B$1002,"&lt;="&amp;$B$6), "")</f>
        <v/>
      </c>
      <c r="AW97" s="243" t="str">
        <f>iferror(IF(AU97="Ações Americanas", HLOOKUP(AT97,'Histórico'!$A$1:$DD$990,MATCH($B$6,'Histórico'!$A:$A),FALSE)*HLOOKUP("PTAX",'Histórico'!$A$1:$FG$983,MATCH($B$6,'Histórico'!$A:$A),FALSE),IF(AU97="Ações Europeias", HLOOKUP(AT97,'Histórico'!$A$1:$DD$990,MATCH($B$6,'Histórico'!$A:$A),FALSE)*HLOOKUP("EUR/BRL",'Histórico'!$A$1:$FG$983,MATCH($B$6,'Histórico'!$A:$A),FALSE),  HLOOKUP(AT97,'Histórico'!$A$1:$DD$990,MATCH($B$6,'Histórico'!$A:$A),FALSE))),"")</f>
        <v/>
      </c>
      <c r="AX97" s="243" t="str">
        <f t="shared" si="13"/>
        <v/>
      </c>
      <c r="AY97" s="53"/>
    </row>
    <row r="98" ht="15.75" customHeight="1">
      <c r="A98" s="176"/>
      <c r="B98" s="288">
        <f>Controle!B98</f>
        <v>45133</v>
      </c>
      <c r="C98" s="233">
        <f>Controle!C98</f>
        <v>103001919.5</v>
      </c>
      <c r="D98" s="289">
        <f>Controle!D98</f>
        <v>113094837.8</v>
      </c>
      <c r="E98" s="290"/>
      <c r="F98" s="291">
        <f>Controle!F98</f>
        <v>111096296.9</v>
      </c>
      <c r="G98" s="289">
        <f>Controle!G98</f>
        <v>111096315.3</v>
      </c>
      <c r="H98" s="290"/>
      <c r="I98" s="291">
        <f>Controle!I98</f>
        <v>109154087.2</v>
      </c>
      <c r="J98" s="233">
        <f>Controle!J98</f>
        <v>109154105.6</v>
      </c>
      <c r="K98" s="292"/>
      <c r="L98" s="233">
        <f>Controle!L98</f>
        <v>107003726.8</v>
      </c>
      <c r="M98" s="233">
        <f>Controle!M98</f>
        <v>73204745.05</v>
      </c>
      <c r="N98" s="235">
        <f>Controle!N98</f>
        <v>-0.003026825084</v>
      </c>
      <c r="O98" s="235">
        <f>Controle!O98</f>
        <v>0.0004487968136</v>
      </c>
      <c r="P98" s="235">
        <f>Controle!P98</f>
        <v>0.0004487968199</v>
      </c>
      <c r="Q98" s="235">
        <f>Controle!Q98</f>
        <v>0.002855319902</v>
      </c>
      <c r="R98" s="293">
        <f>Controle!R98</f>
        <v>104.4086127</v>
      </c>
      <c r="S98" s="287"/>
      <c r="T98" s="233">
        <f t="shared" ref="T98:U98" si="101">IF(AND(C98&lt;&gt;"",F98&lt;&gt;"",I98&lt;&gt;""), SUM(I98,F98,C98),"")</f>
        <v>323252303.6</v>
      </c>
      <c r="U98" s="233">
        <f t="shared" si="101"/>
        <v>333345258.7</v>
      </c>
      <c r="V98" s="233">
        <f t="shared" si="6"/>
        <v>323.2523036</v>
      </c>
      <c r="W98" s="241">
        <f t="shared" si="9"/>
        <v>-0.0006613117206</v>
      </c>
      <c r="X98" s="241">
        <f t="shared" si="10"/>
        <v>-0.003213948225</v>
      </c>
      <c r="Y98" s="241">
        <f t="shared" si="19"/>
        <v>0.0009078166895</v>
      </c>
      <c r="Z98" s="233">
        <f t="shared" si="7"/>
        <v>313.2258381</v>
      </c>
      <c r="AA98" s="294"/>
      <c r="AB98" s="245"/>
      <c r="AC98" s="242" t="str">
        <f>IF(ISTEXT(AB98),VLOOKUP(AB98,'Cadastro dos Ativos'!$A$2:$C$1000,3,0),"")</f>
        <v/>
      </c>
      <c r="AD98" s="242" t="str">
        <f>IF(AB98 &lt;&gt; "",SUMIFS('Alocação'!$O$3:$O$1002,'Alocação'!$C$3:$C$1002,AB98,'Alocação'!$F$3:$F$1002,AB$9,'Alocação'!$B$3:$B$1002,"&lt;="&amp;$B$6), "")</f>
        <v/>
      </c>
      <c r="AE98" s="243" t="str">
        <f>iferror(IF(AC98="Ações Americanas", HLOOKUP(AB98,'Histórico'!$A$1:$DD$990,MATCH($B$6,'Histórico'!$A:$A),FALSE)*HLOOKUP("PTAX",'Histórico'!$A$1:$FG$983,MATCH($B$6,'Histórico'!$A:$A),FALSE),IF(AC98="Ações Europeias", HLOOKUP(AB98,'Histórico'!$A$1:$DD$990,MATCH($B$6,'Histórico'!$A:$A),FALSE)*HLOOKUP("EUR/BRL",'Histórico'!$A$1:$FG$983,MATCH($B$6,'Histórico'!$A:$A),FALSE),  HLOOKUP(AB98,'Histórico'!$A$1:$DD$990,MATCH($B$6,'Histórico'!$A:$A),FALSE))),"")</f>
        <v/>
      </c>
      <c r="AF98" s="243" t="str">
        <f t="shared" si="15"/>
        <v/>
      </c>
      <c r="AG98" s="53"/>
      <c r="AH98" s="245"/>
      <c r="AI98" s="242" t="str">
        <f>IF(ISTEXT(AH98),VLOOKUP(AH98,'Cadastro dos Ativos'!$A$2:$C$1000,3,0),"")</f>
        <v/>
      </c>
      <c r="AJ98" s="242" t="str">
        <f>IF(AH98 &lt;&gt; "",SUMIFS('Alocação'!$O$3:$O$1002,'Alocação'!$C$3:$C$1002,AH98,'Alocação'!$F$3:$F$1002,AH$9,'Alocação'!$B$3:$B$1002,"&lt;="&amp;$B$6), "")</f>
        <v/>
      </c>
      <c r="AK98" s="243" t="str">
        <f>iferror(IF(AI98="Ações Americanas", HLOOKUP(AH98,'Histórico'!$A$1:$DD$990,MATCH($B$6,'Histórico'!$A:$A),FALSE)*HLOOKUP("PTAX",'Histórico'!$A$1:$FG$983,MATCH($B$6,'Histórico'!$A:$A),FALSE),IF(AI98="Ações Europeias", HLOOKUP(AH98,'Histórico'!$A$1:$DD$990,MATCH($B$6,'Histórico'!$A:$A),FALSE)*HLOOKUP("EUR/BRL",'Histórico'!$A$1:$FG$983,MATCH($B$6,'Histórico'!$A:$A),FALSE),  HLOOKUP(AH98,'Histórico'!$A$1:$DD$990,MATCH($B$6,'Histórico'!$A:$A),FALSE))),"")</f>
        <v/>
      </c>
      <c r="AL98" s="243" t="str">
        <f t="shared" si="11"/>
        <v/>
      </c>
      <c r="AM98" s="53"/>
      <c r="AN98" s="245"/>
      <c r="AO98" s="242" t="str">
        <f>IF(ISTEXT(AN98),VLOOKUP(AN98,'Cadastro dos Ativos'!$A$2:$C$1000,3,0),"")</f>
        <v/>
      </c>
      <c r="AP98" s="242" t="str">
        <f>IF(AN98 &lt;&gt; "",SUMIFS('Alocação'!$O$3:$O$1002,'Alocação'!$C$3:$C$1002,AN98,'Alocação'!$F$3:$F$1002,AN$9,'Alocação'!$B$3:$B$1002,"&lt;="&amp;$B$6), "")</f>
        <v/>
      </c>
      <c r="AQ98" s="243" t="str">
        <f>iferror(IF(AO98="Ações Americanas", HLOOKUP(AN98,'Histórico'!$A$1:$DD$990,MATCH($B$6,'Histórico'!$A:$A),FALSE)*HLOOKUP("PTAX",'Histórico'!$A$1:$FG$983,MATCH($B$6,'Histórico'!$A:$A),FALSE),IF(AO98="Ações Europeias", HLOOKUP(AN98,'Histórico'!$A$1:$DD$990,MATCH($B$6,'Histórico'!$A:$A),FALSE)*HLOOKUP("EUR/BRL",'Histórico'!$A$1:$FG$983,MATCH($B$6,'Histórico'!$A:$A),FALSE),  HLOOKUP(AN98,'Histórico'!$A$1:$DD$990,MATCH($B$6,'Histórico'!$A:$A),FALSE))),"")</f>
        <v/>
      </c>
      <c r="AR98" s="243" t="str">
        <f t="shared" si="12"/>
        <v/>
      </c>
      <c r="AS98" s="53"/>
      <c r="AT98" s="245"/>
      <c r="AU98" s="242" t="str">
        <f>IF(ISTEXT(AT98),VLOOKUP(AT98,'Cadastro dos Ativos'!$A$2:$C$1000,3,0),"")</f>
        <v/>
      </c>
      <c r="AV98" s="242" t="str">
        <f>IF(AT98 &lt;&gt; "",SUMIFS('Alocação'!$O$3:$O$1002,'Alocação'!$C$3:$C$1002,AT98,'Alocação'!$F$3:$F$1002,AT$9,'Alocação'!$B$3:$B$1002,"&lt;="&amp;$B$6), "")</f>
        <v/>
      </c>
      <c r="AW98" s="243" t="str">
        <f>iferror(IF(AU98="Ações Americanas", HLOOKUP(AT98,'Histórico'!$A$1:$DD$990,MATCH($B$6,'Histórico'!$A:$A),FALSE)*HLOOKUP("PTAX",'Histórico'!$A$1:$FG$983,MATCH($B$6,'Histórico'!$A:$A),FALSE),IF(AU98="Ações Europeias", HLOOKUP(AT98,'Histórico'!$A$1:$DD$990,MATCH($B$6,'Histórico'!$A:$A),FALSE)*HLOOKUP("EUR/BRL",'Histórico'!$A$1:$FG$983,MATCH($B$6,'Histórico'!$A:$A),FALSE),  HLOOKUP(AT98,'Histórico'!$A$1:$DD$990,MATCH($B$6,'Histórico'!$A:$A),FALSE))),"")</f>
        <v/>
      </c>
      <c r="AX98" s="243" t="str">
        <f t="shared" si="13"/>
        <v/>
      </c>
      <c r="AY98" s="53"/>
    </row>
    <row r="99" ht="15.75" customHeight="1">
      <c r="A99" s="176"/>
      <c r="B99" s="288">
        <f>Controle!B99</f>
        <v>45134</v>
      </c>
      <c r="C99" s="233">
        <f>Controle!C99</f>
        <v>103505995.4</v>
      </c>
      <c r="D99" s="289">
        <f>Controle!D99</f>
        <v>113369413.2</v>
      </c>
      <c r="E99" s="290"/>
      <c r="F99" s="291">
        <f>Controle!F99</f>
        <v>111146157.3</v>
      </c>
      <c r="G99" s="289">
        <f>Controle!G99</f>
        <v>111146175</v>
      </c>
      <c r="H99" s="290"/>
      <c r="I99" s="291">
        <f>Controle!I99</f>
        <v>108948795.1</v>
      </c>
      <c r="J99" s="233">
        <f>Controle!J99</f>
        <v>91398023.04</v>
      </c>
      <c r="K99" s="292"/>
      <c r="L99" s="233">
        <f>Controle!L99</f>
        <v>107080634.9</v>
      </c>
      <c r="M99" s="233">
        <f>Controle!M99</f>
        <v>73235602.12</v>
      </c>
      <c r="N99" s="235">
        <f>Controle!N99</f>
        <v>0.004893849367</v>
      </c>
      <c r="O99" s="235">
        <f>Controle!O99</f>
        <v>0.0004488032942</v>
      </c>
      <c r="P99" s="235">
        <f>Controle!P99</f>
        <v>-0.001880755386</v>
      </c>
      <c r="Q99" s="235">
        <f>Controle!Q99</f>
        <v>0.0007187422406</v>
      </c>
      <c r="R99" s="293">
        <f>Controle!R99</f>
        <v>104.4598115</v>
      </c>
      <c r="S99" s="287"/>
      <c r="T99" s="233">
        <f t="shared" ref="T99:U99" si="102">IF(AND(C99&lt;&gt;"",F99&lt;&gt;"",I99&lt;&gt;""), SUM(I99,F99,C99),"")</f>
        <v>323600947.8</v>
      </c>
      <c r="U99" s="233">
        <f t="shared" si="102"/>
        <v>315913611.2</v>
      </c>
      <c r="V99" s="233">
        <f t="shared" si="6"/>
        <v>323.6009478</v>
      </c>
      <c r="W99" s="241">
        <f t="shared" si="9"/>
        <v>0.001078551093</v>
      </c>
      <c r="X99" s="241">
        <f t="shared" si="10"/>
        <v>-0.002138863539</v>
      </c>
      <c r="Y99" s="241">
        <f t="shared" si="19"/>
        <v>0.001054787562</v>
      </c>
      <c r="Z99" s="233">
        <f t="shared" si="7"/>
        <v>313.3794346</v>
      </c>
      <c r="AA99" s="294"/>
      <c r="AB99" s="245"/>
      <c r="AC99" s="242" t="str">
        <f>IF(ISTEXT(AB99),VLOOKUP(AB99,'Cadastro dos Ativos'!$A$2:$C$1000,3,0),"")</f>
        <v/>
      </c>
      <c r="AD99" s="242" t="str">
        <f>IF(AB99 &lt;&gt; "",SUMIFS('Alocação'!$O$3:$O$1002,'Alocação'!$C$3:$C$1002,AB99,'Alocação'!$F$3:$F$1002,AB$9,'Alocação'!$B$3:$B$1002,"&lt;="&amp;$B$6), "")</f>
        <v/>
      </c>
      <c r="AE99" s="243" t="str">
        <f>iferror(IF(AC99="Ações Americanas", HLOOKUP(AB99,'Histórico'!$A$1:$DD$990,MATCH($B$6,'Histórico'!$A:$A),FALSE)*HLOOKUP("PTAX",'Histórico'!$A$1:$FG$983,MATCH($B$6,'Histórico'!$A:$A),FALSE),IF(AC99="Ações Europeias", HLOOKUP(AB99,'Histórico'!$A$1:$DD$990,MATCH($B$6,'Histórico'!$A:$A),FALSE)*HLOOKUP("EUR/BRL",'Histórico'!$A$1:$FG$983,MATCH($B$6,'Histórico'!$A:$A),FALSE),  HLOOKUP(AB99,'Histórico'!$A$1:$DD$990,MATCH($B$6,'Histórico'!$A:$A),FALSE))),"")</f>
        <v/>
      </c>
      <c r="AF99" s="243" t="str">
        <f t="shared" si="15"/>
        <v/>
      </c>
      <c r="AG99" s="53"/>
      <c r="AH99" s="245"/>
      <c r="AI99" s="242" t="str">
        <f>IF(ISTEXT(AH99),VLOOKUP(AH99,'Cadastro dos Ativos'!$A$2:$C$1000,3,0),"")</f>
        <v/>
      </c>
      <c r="AJ99" s="242" t="str">
        <f>IF(AH99 &lt;&gt; "",SUMIFS('Alocação'!$O$3:$O$1002,'Alocação'!$C$3:$C$1002,AH99,'Alocação'!$F$3:$F$1002,AH$9,'Alocação'!$B$3:$B$1002,"&lt;="&amp;$B$6), "")</f>
        <v/>
      </c>
      <c r="AK99" s="243" t="str">
        <f>iferror(IF(AI99="Ações Americanas", HLOOKUP(AH99,'Histórico'!$A$1:$DD$990,MATCH($B$6,'Histórico'!$A:$A),FALSE)*HLOOKUP("PTAX",'Histórico'!$A$1:$FG$983,MATCH($B$6,'Histórico'!$A:$A),FALSE),IF(AI99="Ações Europeias", HLOOKUP(AH99,'Histórico'!$A$1:$DD$990,MATCH($B$6,'Histórico'!$A:$A),FALSE)*HLOOKUP("EUR/BRL",'Histórico'!$A$1:$FG$983,MATCH($B$6,'Histórico'!$A:$A),FALSE),  HLOOKUP(AH99,'Histórico'!$A$1:$DD$990,MATCH($B$6,'Histórico'!$A:$A),FALSE))),"")</f>
        <v/>
      </c>
      <c r="AL99" s="243" t="str">
        <f t="shared" si="11"/>
        <v/>
      </c>
      <c r="AM99" s="53"/>
      <c r="AN99" s="245"/>
      <c r="AO99" s="242" t="str">
        <f>IF(ISTEXT(AN99),VLOOKUP(AN99,'Cadastro dos Ativos'!$A$2:$C$1000,3,0),"")</f>
        <v/>
      </c>
      <c r="AP99" s="242" t="str">
        <f>IF(AN99 &lt;&gt; "",SUMIFS('Alocação'!$O$3:$O$1002,'Alocação'!$C$3:$C$1002,AN99,'Alocação'!$F$3:$F$1002,AN$9,'Alocação'!$B$3:$B$1002,"&lt;="&amp;$B$6), "")</f>
        <v/>
      </c>
      <c r="AQ99" s="243" t="str">
        <f>iferror(IF(AO99="Ações Americanas", HLOOKUP(AN99,'Histórico'!$A$1:$DD$990,MATCH($B$6,'Histórico'!$A:$A),FALSE)*HLOOKUP("PTAX",'Histórico'!$A$1:$FG$983,MATCH($B$6,'Histórico'!$A:$A),FALSE),IF(AO99="Ações Europeias", HLOOKUP(AN99,'Histórico'!$A$1:$DD$990,MATCH($B$6,'Histórico'!$A:$A),FALSE)*HLOOKUP("EUR/BRL",'Histórico'!$A$1:$FG$983,MATCH($B$6,'Histórico'!$A:$A),FALSE),  HLOOKUP(AN99,'Histórico'!$A$1:$DD$990,MATCH($B$6,'Histórico'!$A:$A),FALSE))),"")</f>
        <v/>
      </c>
      <c r="AR99" s="243" t="str">
        <f t="shared" si="12"/>
        <v/>
      </c>
      <c r="AS99" s="53"/>
      <c r="AT99" s="245"/>
      <c r="AU99" s="242" t="str">
        <f>IF(ISTEXT(AT99),VLOOKUP(AT99,'Cadastro dos Ativos'!$A$2:$C$1000,3,0),"")</f>
        <v/>
      </c>
      <c r="AV99" s="242" t="str">
        <f>IF(AT99 &lt;&gt; "",SUMIFS('Alocação'!$O$3:$O$1002,'Alocação'!$C$3:$C$1002,AT99,'Alocação'!$F$3:$F$1002,AT$9,'Alocação'!$B$3:$B$1002,"&lt;="&amp;$B$6), "")</f>
        <v/>
      </c>
      <c r="AW99" s="243" t="str">
        <f>iferror(IF(AU99="Ações Americanas", HLOOKUP(AT99,'Histórico'!$A$1:$DD$990,MATCH($B$6,'Histórico'!$A:$A),FALSE)*HLOOKUP("PTAX",'Histórico'!$A$1:$FG$983,MATCH($B$6,'Histórico'!$A:$A),FALSE),IF(AU99="Ações Europeias", HLOOKUP(AT99,'Histórico'!$A$1:$DD$990,MATCH($B$6,'Histórico'!$A:$A),FALSE)*HLOOKUP("EUR/BRL",'Histórico'!$A$1:$FG$983,MATCH($B$6,'Histórico'!$A:$A),FALSE),  HLOOKUP(AT99,'Histórico'!$A$1:$DD$990,MATCH($B$6,'Histórico'!$A:$A),FALSE))),"")</f>
        <v/>
      </c>
      <c r="AX99" s="243" t="str">
        <f t="shared" si="13"/>
        <v/>
      </c>
      <c r="AY99" s="53"/>
    </row>
    <row r="100" ht="15.75" customHeight="1">
      <c r="A100" s="176"/>
      <c r="B100" s="288">
        <f>Controle!B100</f>
        <v>45135</v>
      </c>
      <c r="C100" s="233">
        <f>Controle!C100</f>
        <v>103287372.2</v>
      </c>
      <c r="D100" s="289">
        <f>Controle!D100</f>
        <v>113191589.5</v>
      </c>
      <c r="E100" s="290"/>
      <c r="F100" s="291">
        <f>Controle!F100</f>
        <v>111297526</v>
      </c>
      <c r="G100" s="289">
        <f>Controle!G100</f>
        <v>111297543.6</v>
      </c>
      <c r="H100" s="290"/>
      <c r="I100" s="291">
        <f>Controle!I100</f>
        <v>108950732</v>
      </c>
      <c r="J100" s="233">
        <f>Controle!J100</f>
        <v>91438005.18</v>
      </c>
      <c r="K100" s="292"/>
      <c r="L100" s="233">
        <f>Controle!L100</f>
        <v>107299253.6</v>
      </c>
      <c r="M100" s="233">
        <f>Controle!M100</f>
        <v>73266470.31</v>
      </c>
      <c r="N100" s="235">
        <f>Controle!N100</f>
        <v>-0.002112179195</v>
      </c>
      <c r="O100" s="235">
        <f>Controle!O100</f>
        <v>0.001361889016</v>
      </c>
      <c r="P100" s="235">
        <f>Controle!P100</f>
        <v>0.00001777798545</v>
      </c>
      <c r="Q100" s="235">
        <f>Controle!Q100</f>
        <v>0.002041626605</v>
      </c>
      <c r="R100" s="293">
        <f>Controle!R100</f>
        <v>104.5110355</v>
      </c>
      <c r="S100" s="287"/>
      <c r="T100" s="233">
        <f t="shared" ref="T100:U100" si="103">IF(AND(C100&lt;&gt;"",F100&lt;&gt;"",I100&lt;&gt;""), SUM(I100,F100,C100),"")</f>
        <v>323535630.2</v>
      </c>
      <c r="U100" s="233">
        <f t="shared" si="103"/>
        <v>315927138.2</v>
      </c>
      <c r="V100" s="233">
        <f t="shared" si="6"/>
        <v>323.5356302</v>
      </c>
      <c r="W100" s="241">
        <f t="shared" si="9"/>
        <v>-0.0002018460995</v>
      </c>
      <c r="X100" s="241">
        <f t="shared" si="10"/>
        <v>-0.002340277918</v>
      </c>
      <c r="Y100" s="241">
        <f t="shared" si="19"/>
        <v>0.001024571307</v>
      </c>
      <c r="Z100" s="233">
        <f t="shared" si="7"/>
        <v>313.5331065</v>
      </c>
      <c r="AA100" s="294"/>
      <c r="AB100" s="245"/>
      <c r="AC100" s="242" t="str">
        <f>IF(ISTEXT(AB100),VLOOKUP(AB100,'Cadastro dos Ativos'!$A$2:$C$1000,3,0),"")</f>
        <v/>
      </c>
      <c r="AD100" s="242" t="str">
        <f>IF(AB100 &lt;&gt; "",SUMIFS('Alocação'!$O$3:$O$1002,'Alocação'!$C$3:$C$1002,AB100,'Alocação'!$F$3:$F$1002,AB$9,'Alocação'!$B$3:$B$1002,"&lt;="&amp;$B$6), "")</f>
        <v/>
      </c>
      <c r="AE100" s="243" t="str">
        <f>iferror(IF(AC100="Ações Americanas", HLOOKUP(AB100,'Histórico'!$A$1:$DD$990,MATCH($B$6,'Histórico'!$A:$A),FALSE)*HLOOKUP("PTAX",'Histórico'!$A$1:$FG$983,MATCH($B$6,'Histórico'!$A:$A),FALSE),IF(AC100="Ações Europeias", HLOOKUP(AB100,'Histórico'!$A$1:$DD$990,MATCH($B$6,'Histórico'!$A:$A),FALSE)*HLOOKUP("EUR/BRL",'Histórico'!$A$1:$FG$983,MATCH($B$6,'Histórico'!$A:$A),FALSE),  HLOOKUP(AB100,'Histórico'!$A$1:$DD$990,MATCH($B$6,'Histórico'!$A:$A),FALSE))),"")</f>
        <v/>
      </c>
      <c r="AF100" s="243" t="str">
        <f t="shared" si="15"/>
        <v/>
      </c>
      <c r="AG100" s="53"/>
      <c r="AH100" s="245"/>
      <c r="AI100" s="242" t="str">
        <f>IF(ISTEXT(AH100),VLOOKUP(AH100,'Cadastro dos Ativos'!$A$2:$C$1000,3,0),"")</f>
        <v/>
      </c>
      <c r="AJ100" s="242" t="str">
        <f>IF(AH100 &lt;&gt; "",SUMIFS('Alocação'!$O$3:$O$1002,'Alocação'!$C$3:$C$1002,AH100,'Alocação'!$F$3:$F$1002,AH$9,'Alocação'!$B$3:$B$1002,"&lt;="&amp;$B$6), "")</f>
        <v/>
      </c>
      <c r="AK100" s="243" t="str">
        <f>iferror(IF(AI100="Ações Americanas", HLOOKUP(AH100,'Histórico'!$A$1:$DD$990,MATCH($B$6,'Histórico'!$A:$A),FALSE)*HLOOKUP("PTAX",'Histórico'!$A$1:$FG$983,MATCH($B$6,'Histórico'!$A:$A),FALSE),IF(AI100="Ações Europeias", HLOOKUP(AH100,'Histórico'!$A$1:$DD$990,MATCH($B$6,'Histórico'!$A:$A),FALSE)*HLOOKUP("EUR/BRL",'Histórico'!$A$1:$FG$983,MATCH($B$6,'Histórico'!$A:$A),FALSE),  HLOOKUP(AH100,'Histórico'!$A$1:$DD$990,MATCH($B$6,'Histórico'!$A:$A),FALSE))),"")</f>
        <v/>
      </c>
      <c r="AL100" s="243" t="str">
        <f t="shared" si="11"/>
        <v/>
      </c>
      <c r="AM100" s="53"/>
      <c r="AN100" s="245"/>
      <c r="AO100" s="242" t="str">
        <f>IF(ISTEXT(AN100),VLOOKUP(AN100,'Cadastro dos Ativos'!$A$2:$C$1000,3,0),"")</f>
        <v/>
      </c>
      <c r="AP100" s="242" t="str">
        <f>IF(AN100 &lt;&gt; "",SUMIFS('Alocação'!$O$3:$O$1002,'Alocação'!$C$3:$C$1002,AN100,'Alocação'!$F$3:$F$1002,AN$9,'Alocação'!$B$3:$B$1002,"&lt;="&amp;$B$6), "")</f>
        <v/>
      </c>
      <c r="AQ100" s="243" t="str">
        <f>iferror(IF(AO100="Ações Americanas", HLOOKUP(AN100,'Histórico'!$A$1:$DD$990,MATCH($B$6,'Histórico'!$A:$A),FALSE)*HLOOKUP("PTAX",'Histórico'!$A$1:$FG$983,MATCH($B$6,'Histórico'!$A:$A),FALSE),IF(AO100="Ações Europeias", HLOOKUP(AN100,'Histórico'!$A$1:$DD$990,MATCH($B$6,'Histórico'!$A:$A),FALSE)*HLOOKUP("EUR/BRL",'Histórico'!$A$1:$FG$983,MATCH($B$6,'Histórico'!$A:$A),FALSE),  HLOOKUP(AN100,'Histórico'!$A$1:$DD$990,MATCH($B$6,'Histórico'!$A:$A),FALSE))),"")</f>
        <v/>
      </c>
      <c r="AR100" s="243" t="str">
        <f t="shared" si="12"/>
        <v/>
      </c>
      <c r="AS100" s="53"/>
      <c r="AT100" s="245"/>
      <c r="AU100" s="242" t="str">
        <f>IF(ISTEXT(AT100),VLOOKUP(AT100,'Cadastro dos Ativos'!$A$2:$C$1000,3,0),"")</f>
        <v/>
      </c>
      <c r="AV100" s="242" t="str">
        <f>IF(AT100 &lt;&gt; "",SUMIFS('Alocação'!$O$3:$O$1002,'Alocação'!$C$3:$C$1002,AT100,'Alocação'!$F$3:$F$1002,AT$9,'Alocação'!$B$3:$B$1002,"&lt;="&amp;$B$6), "")</f>
        <v/>
      </c>
      <c r="AW100" s="243" t="str">
        <f>iferror(IF(AU100="Ações Americanas", HLOOKUP(AT100,'Histórico'!$A$1:$DD$990,MATCH($B$6,'Histórico'!$A:$A),FALSE)*HLOOKUP("PTAX",'Histórico'!$A$1:$FG$983,MATCH($B$6,'Histórico'!$A:$A),FALSE),IF(AU100="Ações Europeias", HLOOKUP(AT100,'Histórico'!$A$1:$DD$990,MATCH($B$6,'Histórico'!$A:$A),FALSE)*HLOOKUP("EUR/BRL",'Histórico'!$A$1:$FG$983,MATCH($B$6,'Histórico'!$A:$A),FALSE),  HLOOKUP(AT100,'Histórico'!$A$1:$DD$990,MATCH($B$6,'Histórico'!$A:$A),FALSE))),"")</f>
        <v/>
      </c>
      <c r="AX100" s="243" t="str">
        <f t="shared" si="13"/>
        <v/>
      </c>
      <c r="AY100" s="53"/>
    </row>
    <row r="101" ht="15.75" customHeight="1">
      <c r="A101" s="176"/>
      <c r="B101" s="288">
        <f>Controle!B101</f>
        <v>45138</v>
      </c>
      <c r="C101" s="233">
        <f>Controle!C101</f>
        <v>103345828.4</v>
      </c>
      <c r="D101" s="289">
        <f>Controle!D101</f>
        <v>113371595.9</v>
      </c>
      <c r="E101" s="290"/>
      <c r="F101" s="291">
        <f>Controle!F101</f>
        <v>111203077.8</v>
      </c>
      <c r="G101" s="289">
        <f>Controle!G101</f>
        <v>111203095.5</v>
      </c>
      <c r="H101" s="290"/>
      <c r="I101" s="291">
        <f>Controle!I101</f>
        <v>109144813.2</v>
      </c>
      <c r="J101" s="233">
        <f>Controle!J101</f>
        <v>91478007.52</v>
      </c>
      <c r="K101" s="292"/>
      <c r="L101" s="233">
        <f>Controle!L101</f>
        <v>107651323.4</v>
      </c>
      <c r="M101" s="233">
        <f>Controle!M101</f>
        <v>73297341.27</v>
      </c>
      <c r="N101" s="235">
        <f>Controle!N101</f>
        <v>0.0005659573246</v>
      </c>
      <c r="O101" s="235">
        <f>Controle!O101</f>
        <v>-0.0008486100175</v>
      </c>
      <c r="P101" s="235">
        <f>Controle!P101</f>
        <v>0.001781366848</v>
      </c>
      <c r="Q101" s="235">
        <f>Controle!Q101</f>
        <v>0.003281195534</v>
      </c>
      <c r="R101" s="293">
        <f>Controle!R101</f>
        <v>104.5622846</v>
      </c>
      <c r="S101" s="287"/>
      <c r="T101" s="233">
        <f t="shared" ref="T101:U101" si="104">IF(AND(C101&lt;&gt;"",F101&lt;&gt;"",I101&lt;&gt;""), SUM(I101,F101,C101),"")</f>
        <v>323693719.4</v>
      </c>
      <c r="U101" s="233">
        <f t="shared" si="104"/>
        <v>316052698.9</v>
      </c>
      <c r="V101" s="233">
        <f t="shared" si="6"/>
        <v>323.6937194</v>
      </c>
      <c r="W101" s="241">
        <f t="shared" si="9"/>
        <v>0.0004886301743</v>
      </c>
      <c r="X101" s="241">
        <f t="shared" si="10"/>
        <v>-0.001852791274</v>
      </c>
      <c r="Y101" s="241">
        <f t="shared" si="19"/>
        <v>0.0007533048343</v>
      </c>
      <c r="Z101" s="233">
        <f t="shared" si="7"/>
        <v>313.6868537</v>
      </c>
      <c r="AA101" s="294"/>
      <c r="AB101" s="245"/>
      <c r="AC101" s="242" t="str">
        <f>IF(ISTEXT(AB101),VLOOKUP(AB101,'Cadastro dos Ativos'!$A$2:$C$1000,3,0),"")</f>
        <v/>
      </c>
      <c r="AD101" s="242" t="str">
        <f>IF(AB101 &lt;&gt; "",SUMIFS('Alocação'!$O$3:$O$1002,'Alocação'!$C$3:$C$1002,AB101,'Alocação'!$F$3:$F$1002,AB$9,'Alocação'!$B$3:$B$1002,"&lt;="&amp;$B$6), "")</f>
        <v/>
      </c>
      <c r="AE101" s="243" t="str">
        <f>iferror(IF(AC101="Ações Americanas", HLOOKUP(AB101,'Histórico'!$A$1:$DD$990,MATCH($B$6,'Histórico'!$A:$A),FALSE)*HLOOKUP("PTAX",'Histórico'!$A$1:$FG$983,MATCH($B$6,'Histórico'!$A:$A),FALSE),IF(AC101="Ações Europeias", HLOOKUP(AB101,'Histórico'!$A$1:$DD$990,MATCH($B$6,'Histórico'!$A:$A),FALSE)*HLOOKUP("EUR/BRL",'Histórico'!$A$1:$FG$983,MATCH($B$6,'Histórico'!$A:$A),FALSE),  HLOOKUP(AB101,'Histórico'!$A$1:$DD$990,MATCH($B$6,'Histórico'!$A:$A),FALSE))),"")</f>
        <v/>
      </c>
      <c r="AF101" s="243" t="str">
        <f t="shared" si="15"/>
        <v/>
      </c>
      <c r="AG101" s="53"/>
      <c r="AH101" s="245"/>
      <c r="AI101" s="242" t="str">
        <f>IF(ISTEXT(AH101),VLOOKUP(AH101,'Cadastro dos Ativos'!$A$2:$C$1000,3,0),"")</f>
        <v/>
      </c>
      <c r="AJ101" s="242" t="str">
        <f>IF(AH101 &lt;&gt; "",SUMIFS('Alocação'!$O$3:$O$1002,'Alocação'!$C$3:$C$1002,AH101,'Alocação'!$F$3:$F$1002,AH$9,'Alocação'!$B$3:$B$1002,"&lt;="&amp;$B$6), "")</f>
        <v/>
      </c>
      <c r="AK101" s="243" t="str">
        <f>iferror(IF(AI101="Ações Americanas", HLOOKUP(AH101,'Histórico'!$A$1:$DD$990,MATCH($B$6,'Histórico'!$A:$A),FALSE)*HLOOKUP("PTAX",'Histórico'!$A$1:$FG$983,MATCH($B$6,'Histórico'!$A:$A),FALSE),IF(AI101="Ações Europeias", HLOOKUP(AH101,'Histórico'!$A$1:$DD$990,MATCH($B$6,'Histórico'!$A:$A),FALSE)*HLOOKUP("EUR/BRL",'Histórico'!$A$1:$FG$983,MATCH($B$6,'Histórico'!$A:$A),FALSE),  HLOOKUP(AH101,'Histórico'!$A$1:$DD$990,MATCH($B$6,'Histórico'!$A:$A),FALSE))),"")</f>
        <v/>
      </c>
      <c r="AL101" s="243" t="str">
        <f t="shared" si="11"/>
        <v/>
      </c>
      <c r="AM101" s="53"/>
      <c r="AN101" s="245"/>
      <c r="AO101" s="242" t="str">
        <f>IF(ISTEXT(AN101),VLOOKUP(AN101,'Cadastro dos Ativos'!$A$2:$C$1000,3,0),"")</f>
        <v/>
      </c>
      <c r="AP101" s="242" t="str">
        <f>IF(AN101 &lt;&gt; "",SUMIFS('Alocação'!$O$3:$O$1002,'Alocação'!$C$3:$C$1002,AN101,'Alocação'!$F$3:$F$1002,AN$9,'Alocação'!$B$3:$B$1002,"&lt;="&amp;$B$6), "")</f>
        <v/>
      </c>
      <c r="AQ101" s="243" t="str">
        <f>iferror(IF(AO101="Ações Americanas", HLOOKUP(AN101,'Histórico'!$A$1:$DD$990,MATCH($B$6,'Histórico'!$A:$A),FALSE)*HLOOKUP("PTAX",'Histórico'!$A$1:$FG$983,MATCH($B$6,'Histórico'!$A:$A),FALSE),IF(AO101="Ações Europeias", HLOOKUP(AN101,'Histórico'!$A$1:$DD$990,MATCH($B$6,'Histórico'!$A:$A),FALSE)*HLOOKUP("EUR/BRL",'Histórico'!$A$1:$FG$983,MATCH($B$6,'Histórico'!$A:$A),FALSE),  HLOOKUP(AN101,'Histórico'!$A$1:$DD$990,MATCH($B$6,'Histórico'!$A:$A),FALSE))),"")</f>
        <v/>
      </c>
      <c r="AR101" s="243" t="str">
        <f t="shared" si="12"/>
        <v/>
      </c>
      <c r="AS101" s="53"/>
      <c r="AT101" s="245"/>
      <c r="AU101" s="242" t="str">
        <f>IF(ISTEXT(AT101),VLOOKUP(AT101,'Cadastro dos Ativos'!$A$2:$C$1000,3,0),"")</f>
        <v/>
      </c>
      <c r="AV101" s="242" t="str">
        <f>IF(AT101 &lt;&gt; "",SUMIFS('Alocação'!$O$3:$O$1002,'Alocação'!$C$3:$C$1002,AT101,'Alocação'!$F$3:$F$1002,AT$9,'Alocação'!$B$3:$B$1002,"&lt;="&amp;$B$6), "")</f>
        <v/>
      </c>
      <c r="AW101" s="243" t="str">
        <f>iferror(IF(AU101="Ações Americanas", HLOOKUP(AT101,'Histórico'!$A$1:$DD$990,MATCH($B$6,'Histórico'!$A:$A),FALSE)*HLOOKUP("PTAX",'Histórico'!$A$1:$FG$983,MATCH($B$6,'Histórico'!$A:$A),FALSE),IF(AU101="Ações Europeias", HLOOKUP(AT101,'Histórico'!$A$1:$DD$990,MATCH($B$6,'Histórico'!$A:$A),FALSE)*HLOOKUP("EUR/BRL",'Histórico'!$A$1:$FG$983,MATCH($B$6,'Histórico'!$A:$A),FALSE),  HLOOKUP(AT101,'Histórico'!$A$1:$DD$990,MATCH($B$6,'Histórico'!$A:$A),FALSE))),"")</f>
        <v/>
      </c>
      <c r="AX101" s="243" t="str">
        <f t="shared" si="13"/>
        <v/>
      </c>
      <c r="AY101" s="53"/>
    </row>
    <row r="102" ht="15.75" customHeight="1">
      <c r="A102" s="176"/>
      <c r="B102" s="288">
        <f>Controle!B102</f>
        <v>45139</v>
      </c>
      <c r="C102" s="233">
        <f>Controle!C102</f>
        <v>104144322.8</v>
      </c>
      <c r="D102" s="289">
        <f>Controle!D102</f>
        <v>114133540.3</v>
      </c>
      <c r="E102" s="290"/>
      <c r="F102" s="291">
        <f>Controle!F102</f>
        <v>111303587.4</v>
      </c>
      <c r="G102" s="289">
        <f>Controle!G102</f>
        <v>111303605.1</v>
      </c>
      <c r="H102" s="290"/>
      <c r="I102" s="291">
        <f>Controle!I102</f>
        <v>109140127.3</v>
      </c>
      <c r="J102" s="233">
        <f>Controle!J102</f>
        <v>91518018.71</v>
      </c>
      <c r="K102" s="292"/>
      <c r="L102" s="233">
        <f>Controle!L102</f>
        <v>107863939.1</v>
      </c>
      <c r="M102" s="233">
        <f>Controle!M102</f>
        <v>73328207.1</v>
      </c>
      <c r="N102" s="235">
        <f>Controle!N102</f>
        <v>0.007726430826</v>
      </c>
      <c r="O102" s="235">
        <f>Controle!O102</f>
        <v>0.000903837812</v>
      </c>
      <c r="P102" s="235">
        <f>Controle!P102</f>
        <v>-0.00004293288622</v>
      </c>
      <c r="Q102" s="235">
        <f>Controle!Q102</f>
        <v>0.001975040283</v>
      </c>
      <c r="R102" s="293">
        <f>Controle!R102</f>
        <v>104.6135588</v>
      </c>
      <c r="S102" s="287"/>
      <c r="T102" s="233">
        <f t="shared" ref="T102:U102" si="105">IF(AND(C102&lt;&gt;"",F102&lt;&gt;"",I102&lt;&gt;""), SUM(I102,F102,C102),"")</f>
        <v>324588037.5</v>
      </c>
      <c r="U102" s="233">
        <f t="shared" si="105"/>
        <v>316955164</v>
      </c>
      <c r="V102" s="233">
        <f t="shared" si="6"/>
        <v>324.5880375</v>
      </c>
      <c r="W102" s="241">
        <f t="shared" si="9"/>
        <v>0.002762852615</v>
      </c>
      <c r="X102" s="241">
        <f t="shared" si="10"/>
        <v>0</v>
      </c>
      <c r="Y102" s="241">
        <f t="shared" si="19"/>
        <v>0.001333193121</v>
      </c>
      <c r="Z102" s="233">
        <f t="shared" si="7"/>
        <v>313.8406764</v>
      </c>
      <c r="AA102" s="294"/>
      <c r="AB102" s="245"/>
      <c r="AC102" s="242" t="str">
        <f>IF(ISTEXT(AB102),VLOOKUP(AB102,'Cadastro dos Ativos'!$A$2:$C$1000,3,0),"")</f>
        <v/>
      </c>
      <c r="AD102" s="242" t="str">
        <f>IF(AB102 &lt;&gt; "",SUMIFS('Alocação'!$O$3:$O$1002,'Alocação'!$C$3:$C$1002,AB102,'Alocação'!$F$3:$F$1002,AB$9,'Alocação'!$B$3:$B$1002,"&lt;="&amp;$B$6), "")</f>
        <v/>
      </c>
      <c r="AE102" s="243" t="str">
        <f>iferror(IF(AC102="Ações Americanas", HLOOKUP(AB102,'Histórico'!$A$1:$DD$990,MATCH($B$6,'Histórico'!$A:$A),FALSE)*HLOOKUP("PTAX",'Histórico'!$A$1:$FG$983,MATCH($B$6,'Histórico'!$A:$A),FALSE),IF(AC102="Ações Europeias", HLOOKUP(AB102,'Histórico'!$A$1:$DD$990,MATCH($B$6,'Histórico'!$A:$A),FALSE)*HLOOKUP("EUR/BRL",'Histórico'!$A$1:$FG$983,MATCH($B$6,'Histórico'!$A:$A),FALSE),  HLOOKUP(AB102,'Histórico'!$A$1:$DD$990,MATCH($B$6,'Histórico'!$A:$A),FALSE))),"")</f>
        <v/>
      </c>
      <c r="AF102" s="243" t="str">
        <f t="shared" si="15"/>
        <v/>
      </c>
      <c r="AG102" s="53"/>
      <c r="AH102" s="245"/>
      <c r="AI102" s="242" t="str">
        <f>IF(ISTEXT(AH102),VLOOKUP(AH102,'Cadastro dos Ativos'!$A$2:$C$1000,3,0),"")</f>
        <v/>
      </c>
      <c r="AJ102" s="242" t="str">
        <f>IF(AH102 &lt;&gt; "",SUMIFS('Alocação'!$O$3:$O$1002,'Alocação'!$C$3:$C$1002,AH102,'Alocação'!$F$3:$F$1002,AH$9,'Alocação'!$B$3:$B$1002,"&lt;="&amp;$B$6), "")</f>
        <v/>
      </c>
      <c r="AK102" s="243" t="str">
        <f>iferror(IF(AI102="Ações Americanas", HLOOKUP(AH102,'Histórico'!$A$1:$DD$990,MATCH($B$6,'Histórico'!$A:$A),FALSE)*HLOOKUP("PTAX",'Histórico'!$A$1:$FG$983,MATCH($B$6,'Histórico'!$A:$A),FALSE),IF(AI102="Ações Europeias", HLOOKUP(AH102,'Histórico'!$A$1:$DD$990,MATCH($B$6,'Histórico'!$A:$A),FALSE)*HLOOKUP("EUR/BRL",'Histórico'!$A$1:$FG$983,MATCH($B$6,'Histórico'!$A:$A),FALSE),  HLOOKUP(AH102,'Histórico'!$A$1:$DD$990,MATCH($B$6,'Histórico'!$A:$A),FALSE))),"")</f>
        <v/>
      </c>
      <c r="AL102" s="243" t="str">
        <f t="shared" si="11"/>
        <v/>
      </c>
      <c r="AM102" s="53"/>
      <c r="AN102" s="245"/>
      <c r="AO102" s="242" t="str">
        <f>IF(ISTEXT(AN102),VLOOKUP(AN102,'Cadastro dos Ativos'!$A$2:$C$1000,3,0),"")</f>
        <v/>
      </c>
      <c r="AP102" s="242" t="str">
        <f>IF(AN102 &lt;&gt; "",SUMIFS('Alocação'!$O$3:$O$1002,'Alocação'!$C$3:$C$1002,AN102,'Alocação'!$F$3:$F$1002,AN$9,'Alocação'!$B$3:$B$1002,"&lt;="&amp;$B$6), "")</f>
        <v/>
      </c>
      <c r="AQ102" s="243" t="str">
        <f>iferror(IF(AO102="Ações Americanas", HLOOKUP(AN102,'Histórico'!$A$1:$DD$990,MATCH($B$6,'Histórico'!$A:$A),FALSE)*HLOOKUP("PTAX",'Histórico'!$A$1:$FG$983,MATCH($B$6,'Histórico'!$A:$A),FALSE),IF(AO102="Ações Europeias", HLOOKUP(AN102,'Histórico'!$A$1:$DD$990,MATCH($B$6,'Histórico'!$A:$A),FALSE)*HLOOKUP("EUR/BRL",'Histórico'!$A$1:$FG$983,MATCH($B$6,'Histórico'!$A:$A),FALSE),  HLOOKUP(AN102,'Histórico'!$A$1:$DD$990,MATCH($B$6,'Histórico'!$A:$A),FALSE))),"")</f>
        <v/>
      </c>
      <c r="AR102" s="243" t="str">
        <f t="shared" si="12"/>
        <v/>
      </c>
      <c r="AS102" s="53"/>
      <c r="AT102" s="245"/>
      <c r="AU102" s="242" t="str">
        <f>IF(ISTEXT(AT102),VLOOKUP(AT102,'Cadastro dos Ativos'!$A$2:$C$1000,3,0),"")</f>
        <v/>
      </c>
      <c r="AV102" s="242" t="str">
        <f>IF(AT102 &lt;&gt; "",SUMIFS('Alocação'!$O$3:$O$1002,'Alocação'!$C$3:$C$1002,AT102,'Alocação'!$F$3:$F$1002,AT$9,'Alocação'!$B$3:$B$1002,"&lt;="&amp;$B$6), "")</f>
        <v/>
      </c>
      <c r="AW102" s="243" t="str">
        <f>iferror(IF(AU102="Ações Americanas", HLOOKUP(AT102,'Histórico'!$A$1:$DD$990,MATCH($B$6,'Histórico'!$A:$A),FALSE)*HLOOKUP("PTAX",'Histórico'!$A$1:$FG$983,MATCH($B$6,'Histórico'!$A:$A),FALSE),IF(AU102="Ações Europeias", HLOOKUP(AT102,'Histórico'!$A$1:$DD$990,MATCH($B$6,'Histórico'!$A:$A),FALSE)*HLOOKUP("EUR/BRL",'Histórico'!$A$1:$FG$983,MATCH($B$6,'Histórico'!$A:$A),FALSE),  HLOOKUP(AT102,'Histórico'!$A$1:$DD$990,MATCH($B$6,'Histórico'!$A:$A),FALSE))),"")</f>
        <v/>
      </c>
      <c r="AX102" s="243" t="str">
        <f t="shared" si="13"/>
        <v/>
      </c>
      <c r="AY102" s="53"/>
    </row>
    <row r="103" ht="15.75" customHeight="1">
      <c r="A103" s="176"/>
      <c r="B103" s="288">
        <f>Controle!B103</f>
        <v>45140</v>
      </c>
      <c r="C103" s="233">
        <f>Controle!C103</f>
        <v>104357284.3</v>
      </c>
      <c r="D103" s="289">
        <f>Controle!D103</f>
        <v>114303151.9</v>
      </c>
      <c r="E103" s="290"/>
      <c r="F103" s="291">
        <f>Controle!F103</f>
        <v>111191793.9</v>
      </c>
      <c r="G103" s="289">
        <f>Controle!G103</f>
        <v>111191811.3</v>
      </c>
      <c r="H103" s="290"/>
      <c r="I103" s="291">
        <f>Controle!I103</f>
        <v>108839543.9</v>
      </c>
      <c r="J103" s="233">
        <f>Controle!J103</f>
        <v>91558050.5</v>
      </c>
      <c r="K103" s="292"/>
      <c r="L103" s="233">
        <f>Controle!L103</f>
        <v>107768458.1</v>
      </c>
      <c r="M103" s="233">
        <f>Controle!M103</f>
        <v>73359076.05</v>
      </c>
      <c r="N103" s="235">
        <f>Controle!N103</f>
        <v>0.002044869027</v>
      </c>
      <c r="O103" s="235">
        <f>Controle!O103</f>
        <v>-0.001004401096</v>
      </c>
      <c r="P103" s="235">
        <f>Controle!P103</f>
        <v>-0.002754105389</v>
      </c>
      <c r="Q103" s="235">
        <f>Controle!Q103</f>
        <v>-0.0008851990092</v>
      </c>
      <c r="R103" s="293">
        <f>Controle!R103</f>
        <v>104.6648581</v>
      </c>
      <c r="S103" s="287"/>
      <c r="T103" s="233">
        <f t="shared" ref="T103:U103" si="106">IF(AND(C103&lt;&gt;"",F103&lt;&gt;"",I103&lt;&gt;""), SUM(I103,F103,C103),"")</f>
        <v>324388622.1</v>
      </c>
      <c r="U103" s="233">
        <f t="shared" si="106"/>
        <v>317053013.8</v>
      </c>
      <c r="V103" s="233">
        <f t="shared" si="6"/>
        <v>324.3886221</v>
      </c>
      <c r="W103" s="241">
        <f t="shared" si="9"/>
        <v>-0.0006143644703</v>
      </c>
      <c r="X103" s="241">
        <f t="shared" si="10"/>
        <v>-0.0006143644703</v>
      </c>
      <c r="Y103" s="241">
        <f t="shared" si="19"/>
        <v>0.001321380072</v>
      </c>
      <c r="Z103" s="233">
        <f t="shared" si="7"/>
        <v>313.9945744</v>
      </c>
      <c r="AA103" s="294"/>
      <c r="AB103" s="245"/>
      <c r="AC103" s="242" t="str">
        <f>IF(ISTEXT(AB103),VLOOKUP(AB103,'Cadastro dos Ativos'!$A$2:$C$1000,3,0),"")</f>
        <v/>
      </c>
      <c r="AD103" s="242" t="str">
        <f>IF(AB103 &lt;&gt; "",SUMIFS('Alocação'!$O$3:$O$1002,'Alocação'!$C$3:$C$1002,AB103,'Alocação'!$F$3:$F$1002,AB$9,'Alocação'!$B$3:$B$1002,"&lt;="&amp;$B$6), "")</f>
        <v/>
      </c>
      <c r="AE103" s="243" t="str">
        <f>iferror(IF(AC103="Ações Americanas", HLOOKUP(AB103,'Histórico'!$A$1:$DD$990,MATCH($B$6,'Histórico'!$A:$A),FALSE)*HLOOKUP("PTAX",'Histórico'!$A$1:$FG$983,MATCH($B$6,'Histórico'!$A:$A),FALSE),IF(AC103="Ações Europeias", HLOOKUP(AB103,'Histórico'!$A$1:$DD$990,MATCH($B$6,'Histórico'!$A:$A),FALSE)*HLOOKUP("EUR/BRL",'Histórico'!$A$1:$FG$983,MATCH($B$6,'Histórico'!$A:$A),FALSE),  HLOOKUP(AB103,'Histórico'!$A$1:$DD$990,MATCH($B$6,'Histórico'!$A:$A),FALSE))),"")</f>
        <v/>
      </c>
      <c r="AF103" s="243" t="str">
        <f t="shared" si="15"/>
        <v/>
      </c>
      <c r="AG103" s="53"/>
      <c r="AH103" s="245"/>
      <c r="AI103" s="242" t="str">
        <f>IF(ISTEXT(AH103),VLOOKUP(AH103,'Cadastro dos Ativos'!$A$2:$C$1000,3,0),"")</f>
        <v/>
      </c>
      <c r="AJ103" s="242" t="str">
        <f>IF(AH103 &lt;&gt; "",SUMIFS('Alocação'!$O$3:$O$1002,'Alocação'!$C$3:$C$1002,AH103,'Alocação'!$F$3:$F$1002,AH$9,'Alocação'!$B$3:$B$1002,"&lt;="&amp;$B$6), "")</f>
        <v/>
      </c>
      <c r="AK103" s="243" t="str">
        <f>iferror(IF(AI103="Ações Americanas", HLOOKUP(AH103,'Histórico'!$A$1:$DD$990,MATCH($B$6,'Histórico'!$A:$A),FALSE)*HLOOKUP("PTAX",'Histórico'!$A$1:$FG$983,MATCH($B$6,'Histórico'!$A:$A),FALSE),IF(AI103="Ações Europeias", HLOOKUP(AH103,'Histórico'!$A$1:$DD$990,MATCH($B$6,'Histórico'!$A:$A),FALSE)*HLOOKUP("EUR/BRL",'Histórico'!$A$1:$FG$983,MATCH($B$6,'Histórico'!$A:$A),FALSE),  HLOOKUP(AH103,'Histórico'!$A$1:$DD$990,MATCH($B$6,'Histórico'!$A:$A),FALSE))),"")</f>
        <v/>
      </c>
      <c r="AL103" s="243" t="str">
        <f t="shared" si="11"/>
        <v/>
      </c>
      <c r="AM103" s="53"/>
      <c r="AN103" s="245"/>
      <c r="AO103" s="242" t="str">
        <f>IF(ISTEXT(AN103),VLOOKUP(AN103,'Cadastro dos Ativos'!$A$2:$C$1000,3,0),"")</f>
        <v/>
      </c>
      <c r="AP103" s="242" t="str">
        <f>IF(AN103 &lt;&gt; "",SUMIFS('Alocação'!$O$3:$O$1002,'Alocação'!$C$3:$C$1002,AN103,'Alocação'!$F$3:$F$1002,AN$9,'Alocação'!$B$3:$B$1002,"&lt;="&amp;$B$6), "")</f>
        <v/>
      </c>
      <c r="AQ103" s="243" t="str">
        <f>iferror(IF(AO103="Ações Americanas", HLOOKUP(AN103,'Histórico'!$A$1:$DD$990,MATCH($B$6,'Histórico'!$A:$A),FALSE)*HLOOKUP("PTAX",'Histórico'!$A$1:$FG$983,MATCH($B$6,'Histórico'!$A:$A),FALSE),IF(AO103="Ações Europeias", HLOOKUP(AN103,'Histórico'!$A$1:$DD$990,MATCH($B$6,'Histórico'!$A:$A),FALSE)*HLOOKUP("EUR/BRL",'Histórico'!$A$1:$FG$983,MATCH($B$6,'Histórico'!$A:$A),FALSE),  HLOOKUP(AN103,'Histórico'!$A$1:$DD$990,MATCH($B$6,'Histórico'!$A:$A),FALSE))),"")</f>
        <v/>
      </c>
      <c r="AR103" s="243" t="str">
        <f t="shared" si="12"/>
        <v/>
      </c>
      <c r="AS103" s="53"/>
      <c r="AT103" s="245"/>
      <c r="AU103" s="242" t="str">
        <f>IF(ISTEXT(AT103),VLOOKUP(AT103,'Cadastro dos Ativos'!$A$2:$C$1000,3,0),"")</f>
        <v/>
      </c>
      <c r="AV103" s="242" t="str">
        <f>IF(AT103 &lt;&gt; "",SUMIFS('Alocação'!$O$3:$O$1002,'Alocação'!$C$3:$C$1002,AT103,'Alocação'!$F$3:$F$1002,AT$9,'Alocação'!$B$3:$B$1002,"&lt;="&amp;$B$6), "")</f>
        <v/>
      </c>
      <c r="AW103" s="243" t="str">
        <f>iferror(IF(AU103="Ações Americanas", HLOOKUP(AT103,'Histórico'!$A$1:$DD$990,MATCH($B$6,'Histórico'!$A:$A),FALSE)*HLOOKUP("PTAX",'Histórico'!$A$1:$FG$983,MATCH($B$6,'Histórico'!$A:$A),FALSE),IF(AU103="Ações Europeias", HLOOKUP(AT103,'Histórico'!$A$1:$DD$990,MATCH($B$6,'Histórico'!$A:$A),FALSE)*HLOOKUP("EUR/BRL",'Histórico'!$A$1:$FG$983,MATCH($B$6,'Histórico'!$A:$A),FALSE),  HLOOKUP(AT103,'Histórico'!$A$1:$DD$990,MATCH($B$6,'Histórico'!$A:$A),FALSE))),"")</f>
        <v/>
      </c>
      <c r="AX103" s="243" t="str">
        <f t="shared" si="13"/>
        <v/>
      </c>
      <c r="AY103" s="53"/>
    </row>
    <row r="104" ht="15.75" customHeight="1">
      <c r="A104" s="176"/>
      <c r="B104" s="288">
        <f>Controle!B104</f>
        <v>45141</v>
      </c>
      <c r="C104" s="233">
        <f>Controle!C104</f>
        <v>105307603.8</v>
      </c>
      <c r="D104" s="289">
        <f>Controle!D104</f>
        <v>115227970.9</v>
      </c>
      <c r="E104" s="290"/>
      <c r="F104" s="291">
        <f>Controle!F104</f>
        <v>111108830.9</v>
      </c>
      <c r="G104" s="289">
        <f>Controle!G104</f>
        <v>111108848</v>
      </c>
      <c r="H104" s="290"/>
      <c r="I104" s="291">
        <f>Controle!I104</f>
        <v>108841005.8</v>
      </c>
      <c r="J104" s="233">
        <f>Controle!J104</f>
        <v>91598120.37</v>
      </c>
      <c r="K104" s="292"/>
      <c r="L104" s="233">
        <f>Controle!L104</f>
        <v>107185649</v>
      </c>
      <c r="M104" s="233">
        <f>Controle!M104</f>
        <v>73389966.31</v>
      </c>
      <c r="N104" s="235">
        <f>Controle!N104</f>
        <v>0.009106403088</v>
      </c>
      <c r="O104" s="235">
        <f>Controle!O104</f>
        <v>-0.0007461257242</v>
      </c>
      <c r="P104" s="235">
        <f>Controle!P104</f>
        <v>0.00001343206863</v>
      </c>
      <c r="Q104" s="235">
        <f>Controle!Q104</f>
        <v>-0.005407974148</v>
      </c>
      <c r="R104" s="293">
        <f>Controle!R104</f>
        <v>104.7161826</v>
      </c>
      <c r="S104" s="287"/>
      <c r="T104" s="233">
        <f t="shared" ref="T104:U104" si="107">IF(AND(C104&lt;&gt;"",F104&lt;&gt;"",I104&lt;&gt;""), SUM(I104,F104,C104),"")</f>
        <v>325257440.5</v>
      </c>
      <c r="U104" s="233">
        <f t="shared" si="107"/>
        <v>317934939.3</v>
      </c>
      <c r="V104" s="233">
        <f t="shared" si="6"/>
        <v>325.2574405</v>
      </c>
      <c r="W104" s="241">
        <f t="shared" si="9"/>
        <v>0.002678325686</v>
      </c>
      <c r="X104" s="241">
        <f t="shared" si="10"/>
        <v>0</v>
      </c>
      <c r="Y104" s="241">
        <f t="shared" si="19"/>
        <v>0.001599527379</v>
      </c>
      <c r="Z104" s="233">
        <f t="shared" si="7"/>
        <v>314.1485479</v>
      </c>
      <c r="AA104" s="294"/>
      <c r="AB104" s="245"/>
      <c r="AC104" s="242" t="str">
        <f>IF(ISTEXT(AB104),VLOOKUP(AB104,'Cadastro dos Ativos'!$A$2:$C$1000,3,0),"")</f>
        <v/>
      </c>
      <c r="AD104" s="242" t="str">
        <f>IF(AB104 &lt;&gt; "",SUMIFS('Alocação'!$O$3:$O$1002,'Alocação'!$C$3:$C$1002,AB104,'Alocação'!$F$3:$F$1002,AB$9,'Alocação'!$B$3:$B$1002,"&lt;="&amp;$B$6), "")</f>
        <v/>
      </c>
      <c r="AE104" s="243" t="str">
        <f>iferror(IF(AC104="Ações Americanas", HLOOKUP(AB104,'Histórico'!$A$1:$DD$990,MATCH($B$6,'Histórico'!$A:$A),FALSE)*HLOOKUP("PTAX",'Histórico'!$A$1:$FG$983,MATCH($B$6,'Histórico'!$A:$A),FALSE),IF(AC104="Ações Europeias", HLOOKUP(AB104,'Histórico'!$A$1:$DD$990,MATCH($B$6,'Histórico'!$A:$A),FALSE)*HLOOKUP("EUR/BRL",'Histórico'!$A$1:$FG$983,MATCH($B$6,'Histórico'!$A:$A),FALSE),  HLOOKUP(AB104,'Histórico'!$A$1:$DD$990,MATCH($B$6,'Histórico'!$A:$A),FALSE))),"")</f>
        <v/>
      </c>
      <c r="AF104" s="243" t="str">
        <f t="shared" si="15"/>
        <v/>
      </c>
      <c r="AG104" s="53"/>
      <c r="AH104" s="245"/>
      <c r="AI104" s="242" t="str">
        <f>IF(ISTEXT(AH104),VLOOKUP(AH104,'Cadastro dos Ativos'!$A$2:$C$1000,3,0),"")</f>
        <v/>
      </c>
      <c r="AJ104" s="242" t="str">
        <f>IF(AH104 &lt;&gt; "",SUMIFS('Alocação'!$O$3:$O$1002,'Alocação'!$C$3:$C$1002,AH104,'Alocação'!$F$3:$F$1002,AH$9,'Alocação'!$B$3:$B$1002,"&lt;="&amp;$B$6), "")</f>
        <v/>
      </c>
      <c r="AK104" s="243" t="str">
        <f>iferror(IF(AI104="Ações Americanas", HLOOKUP(AH104,'Histórico'!$A$1:$DD$990,MATCH($B$6,'Histórico'!$A:$A),FALSE)*HLOOKUP("PTAX",'Histórico'!$A$1:$FG$983,MATCH($B$6,'Histórico'!$A:$A),FALSE),IF(AI104="Ações Europeias", HLOOKUP(AH104,'Histórico'!$A$1:$DD$990,MATCH($B$6,'Histórico'!$A:$A),FALSE)*HLOOKUP("EUR/BRL",'Histórico'!$A$1:$FG$983,MATCH($B$6,'Histórico'!$A:$A),FALSE),  HLOOKUP(AH104,'Histórico'!$A$1:$DD$990,MATCH($B$6,'Histórico'!$A:$A),FALSE))),"")</f>
        <v/>
      </c>
      <c r="AL104" s="243" t="str">
        <f t="shared" si="11"/>
        <v/>
      </c>
      <c r="AM104" s="53"/>
      <c r="AN104" s="245"/>
      <c r="AO104" s="242" t="str">
        <f>IF(ISTEXT(AN104),VLOOKUP(AN104,'Cadastro dos Ativos'!$A$2:$C$1000,3,0),"")</f>
        <v/>
      </c>
      <c r="AP104" s="242" t="str">
        <f>IF(AN104 &lt;&gt; "",SUMIFS('Alocação'!$O$3:$O$1002,'Alocação'!$C$3:$C$1002,AN104,'Alocação'!$F$3:$F$1002,AN$9,'Alocação'!$B$3:$B$1002,"&lt;="&amp;$B$6), "")</f>
        <v/>
      </c>
      <c r="AQ104" s="243" t="str">
        <f>iferror(IF(AO104="Ações Americanas", HLOOKUP(AN104,'Histórico'!$A$1:$DD$990,MATCH($B$6,'Histórico'!$A:$A),FALSE)*HLOOKUP("PTAX",'Histórico'!$A$1:$FG$983,MATCH($B$6,'Histórico'!$A:$A),FALSE),IF(AO104="Ações Europeias", HLOOKUP(AN104,'Histórico'!$A$1:$DD$990,MATCH($B$6,'Histórico'!$A:$A),FALSE)*HLOOKUP("EUR/BRL",'Histórico'!$A$1:$FG$983,MATCH($B$6,'Histórico'!$A:$A),FALSE),  HLOOKUP(AN104,'Histórico'!$A$1:$DD$990,MATCH($B$6,'Histórico'!$A:$A),FALSE))),"")</f>
        <v/>
      </c>
      <c r="AR104" s="243" t="str">
        <f t="shared" si="12"/>
        <v/>
      </c>
      <c r="AS104" s="53"/>
      <c r="AT104" s="245"/>
      <c r="AU104" s="242" t="str">
        <f>IF(ISTEXT(AT104),VLOOKUP(AT104,'Cadastro dos Ativos'!$A$2:$C$1000,3,0),"")</f>
        <v/>
      </c>
      <c r="AV104" s="242" t="str">
        <f>IF(AT104 &lt;&gt; "",SUMIFS('Alocação'!$O$3:$O$1002,'Alocação'!$C$3:$C$1002,AT104,'Alocação'!$F$3:$F$1002,AT$9,'Alocação'!$B$3:$B$1002,"&lt;="&amp;$B$6), "")</f>
        <v/>
      </c>
      <c r="AW104" s="243" t="str">
        <f>iferror(IF(AU104="Ações Americanas", HLOOKUP(AT104,'Histórico'!$A$1:$DD$990,MATCH($B$6,'Histórico'!$A:$A),FALSE)*HLOOKUP("PTAX",'Histórico'!$A$1:$FG$983,MATCH($B$6,'Histórico'!$A:$A),FALSE),IF(AU104="Ações Europeias", HLOOKUP(AT104,'Histórico'!$A$1:$DD$990,MATCH($B$6,'Histórico'!$A:$A),FALSE)*HLOOKUP("EUR/BRL",'Histórico'!$A$1:$FG$983,MATCH($B$6,'Histórico'!$A:$A),FALSE),  HLOOKUP(AT104,'Histórico'!$A$1:$DD$990,MATCH($B$6,'Histórico'!$A:$A),FALSE))),"")</f>
        <v/>
      </c>
      <c r="AX104" s="243" t="str">
        <f t="shared" si="13"/>
        <v/>
      </c>
      <c r="AY104" s="53"/>
    </row>
    <row r="105" ht="15.75" customHeight="1">
      <c r="A105" s="176"/>
      <c r="B105" s="288">
        <f>Controle!B105</f>
        <v>45142</v>
      </c>
      <c r="C105" s="233">
        <f>Controle!C105</f>
        <v>105214913.3</v>
      </c>
      <c r="D105" s="289">
        <f>Controle!D105</f>
        <v>115046030.8</v>
      </c>
      <c r="E105" s="290"/>
      <c r="F105" s="291">
        <f>Controle!F105</f>
        <v>111150438</v>
      </c>
      <c r="G105" s="289">
        <f>Controle!G105</f>
        <v>111150455.2</v>
      </c>
      <c r="H105" s="290"/>
      <c r="I105" s="291">
        <f>Controle!I105</f>
        <v>109155393.1</v>
      </c>
      <c r="J105" s="233">
        <f>Controle!J105</f>
        <v>91636606.63</v>
      </c>
      <c r="K105" s="292"/>
      <c r="L105" s="233">
        <f>Controle!L105</f>
        <v>107692254.4</v>
      </c>
      <c r="M105" s="233">
        <f>Controle!M105</f>
        <v>73419621.64</v>
      </c>
      <c r="N105" s="235">
        <f>Controle!N105</f>
        <v>-0.0008801885311</v>
      </c>
      <c r="O105" s="235">
        <f>Controle!O105</f>
        <v>0.0003744715188</v>
      </c>
      <c r="P105" s="235">
        <f>Controle!P105</f>
        <v>0.002888500518</v>
      </c>
      <c r="Q105" s="235">
        <f>Controle!Q105</f>
        <v>0.004726429472</v>
      </c>
      <c r="R105" s="293">
        <f>Controle!R105</f>
        <v>104.7675323</v>
      </c>
      <c r="S105" s="287"/>
      <c r="T105" s="233">
        <f t="shared" ref="T105:U105" si="108">IF(AND(C105&lt;&gt;"",F105&lt;&gt;"",I105&lt;&gt;""), SUM(I105,F105,C105),"")</f>
        <v>325520744.4</v>
      </c>
      <c r="U105" s="233">
        <f t="shared" si="108"/>
        <v>317833092.6</v>
      </c>
      <c r="V105" s="233">
        <f t="shared" si="6"/>
        <v>325.5207444</v>
      </c>
      <c r="W105" s="241">
        <f t="shared" si="9"/>
        <v>0.0008095244456</v>
      </c>
      <c r="X105" s="241">
        <f t="shared" si="10"/>
        <v>0</v>
      </c>
      <c r="Y105" s="241">
        <f t="shared" si="19"/>
        <v>0.001464177954</v>
      </c>
      <c r="Z105" s="233">
        <f t="shared" si="7"/>
        <v>314.3025969</v>
      </c>
      <c r="AA105" s="294"/>
      <c r="AB105" s="245"/>
      <c r="AC105" s="242" t="str">
        <f>IF(ISTEXT(AB105),VLOOKUP(AB105,'Cadastro dos Ativos'!$A$2:$C$1000,3,0),"")</f>
        <v/>
      </c>
      <c r="AD105" s="242" t="str">
        <f>IF(AB105 &lt;&gt; "",SUMIFS('Alocação'!$O$3:$O$1002,'Alocação'!$C$3:$C$1002,AB105,'Alocação'!$F$3:$F$1002,AB$9,'Alocação'!$B$3:$B$1002,"&lt;="&amp;$B$6), "")</f>
        <v/>
      </c>
      <c r="AE105" s="243" t="str">
        <f>iferror(IF(AC105="Ações Americanas", HLOOKUP(AB105,'Histórico'!$A$1:$DD$990,MATCH($B$6,'Histórico'!$A:$A),FALSE)*HLOOKUP("PTAX",'Histórico'!$A$1:$FG$983,MATCH($B$6,'Histórico'!$A:$A),FALSE),IF(AC105="Ações Europeias", HLOOKUP(AB105,'Histórico'!$A$1:$DD$990,MATCH($B$6,'Histórico'!$A:$A),FALSE)*HLOOKUP("EUR/BRL",'Histórico'!$A$1:$FG$983,MATCH($B$6,'Histórico'!$A:$A),FALSE),  HLOOKUP(AB105,'Histórico'!$A$1:$DD$990,MATCH($B$6,'Histórico'!$A:$A),FALSE))),"")</f>
        <v/>
      </c>
      <c r="AF105" s="243" t="str">
        <f t="shared" si="15"/>
        <v/>
      </c>
      <c r="AG105" s="53"/>
      <c r="AH105" s="245"/>
      <c r="AI105" s="242" t="str">
        <f>IF(ISTEXT(AH105),VLOOKUP(AH105,'Cadastro dos Ativos'!$A$2:$C$1000,3,0),"")</f>
        <v/>
      </c>
      <c r="AJ105" s="242" t="str">
        <f>IF(AH105 &lt;&gt; "",SUMIFS('Alocação'!$O$3:$O$1002,'Alocação'!$C$3:$C$1002,AH105,'Alocação'!$F$3:$F$1002,AH$9,'Alocação'!$B$3:$B$1002,"&lt;="&amp;$B$6), "")</f>
        <v/>
      </c>
      <c r="AK105" s="243" t="str">
        <f>iferror(IF(AI105="Ações Americanas", HLOOKUP(AH105,'Histórico'!$A$1:$DD$990,MATCH($B$6,'Histórico'!$A:$A),FALSE)*HLOOKUP("PTAX",'Histórico'!$A$1:$FG$983,MATCH($B$6,'Histórico'!$A:$A),FALSE),IF(AI105="Ações Europeias", HLOOKUP(AH105,'Histórico'!$A$1:$DD$990,MATCH($B$6,'Histórico'!$A:$A),FALSE)*HLOOKUP("EUR/BRL",'Histórico'!$A$1:$FG$983,MATCH($B$6,'Histórico'!$A:$A),FALSE),  HLOOKUP(AH105,'Histórico'!$A$1:$DD$990,MATCH($B$6,'Histórico'!$A:$A),FALSE))),"")</f>
        <v/>
      </c>
      <c r="AL105" s="243" t="str">
        <f t="shared" si="11"/>
        <v/>
      </c>
      <c r="AM105" s="53"/>
      <c r="AN105" s="245"/>
      <c r="AO105" s="242" t="str">
        <f>IF(ISTEXT(AN105),VLOOKUP(AN105,'Cadastro dos Ativos'!$A$2:$C$1000,3,0),"")</f>
        <v/>
      </c>
      <c r="AP105" s="242" t="str">
        <f>IF(AN105 &lt;&gt; "",SUMIFS('Alocação'!$O$3:$O$1002,'Alocação'!$C$3:$C$1002,AN105,'Alocação'!$F$3:$F$1002,AN$9,'Alocação'!$B$3:$B$1002,"&lt;="&amp;$B$6), "")</f>
        <v/>
      </c>
      <c r="AQ105" s="243" t="str">
        <f>iferror(IF(AO105="Ações Americanas", HLOOKUP(AN105,'Histórico'!$A$1:$DD$990,MATCH($B$6,'Histórico'!$A:$A),FALSE)*HLOOKUP("PTAX",'Histórico'!$A$1:$FG$983,MATCH($B$6,'Histórico'!$A:$A),FALSE),IF(AO105="Ações Europeias", HLOOKUP(AN105,'Histórico'!$A$1:$DD$990,MATCH($B$6,'Histórico'!$A:$A),FALSE)*HLOOKUP("EUR/BRL",'Histórico'!$A$1:$FG$983,MATCH($B$6,'Histórico'!$A:$A),FALSE),  HLOOKUP(AN105,'Histórico'!$A$1:$DD$990,MATCH($B$6,'Histórico'!$A:$A),FALSE))),"")</f>
        <v/>
      </c>
      <c r="AR105" s="243" t="str">
        <f t="shared" si="12"/>
        <v/>
      </c>
      <c r="AS105" s="53"/>
      <c r="AT105" s="245"/>
      <c r="AU105" s="242" t="str">
        <f>IF(ISTEXT(AT105),VLOOKUP(AT105,'Cadastro dos Ativos'!$A$2:$C$1000,3,0),"")</f>
        <v/>
      </c>
      <c r="AV105" s="242" t="str">
        <f>IF(AT105 &lt;&gt; "",SUMIFS('Alocação'!$O$3:$O$1002,'Alocação'!$C$3:$C$1002,AT105,'Alocação'!$F$3:$F$1002,AT$9,'Alocação'!$B$3:$B$1002,"&lt;="&amp;$B$6), "")</f>
        <v/>
      </c>
      <c r="AW105" s="243" t="str">
        <f>iferror(IF(AU105="Ações Americanas", HLOOKUP(AT105,'Histórico'!$A$1:$DD$990,MATCH($B$6,'Histórico'!$A:$A),FALSE)*HLOOKUP("PTAX",'Histórico'!$A$1:$FG$983,MATCH($B$6,'Histórico'!$A:$A),FALSE),IF(AU105="Ações Europeias", HLOOKUP(AT105,'Histórico'!$A$1:$DD$990,MATCH($B$6,'Histórico'!$A:$A),FALSE)*HLOOKUP("EUR/BRL",'Histórico'!$A$1:$FG$983,MATCH($B$6,'Histórico'!$A:$A),FALSE),  HLOOKUP(AT105,'Histórico'!$A$1:$DD$990,MATCH($B$6,'Histórico'!$A:$A),FALSE))),"")</f>
        <v/>
      </c>
      <c r="AX105" s="243" t="str">
        <f t="shared" si="13"/>
        <v/>
      </c>
      <c r="AY105" s="53"/>
    </row>
    <row r="106" ht="15.75" customHeight="1">
      <c r="A106" s="176"/>
      <c r="B106" s="288">
        <f>Controle!B106</f>
        <v>45145</v>
      </c>
      <c r="C106" s="233">
        <f>Controle!C106</f>
        <v>105610968.4</v>
      </c>
      <c r="D106" s="289">
        <f>Controle!D106</f>
        <v>115437835.7</v>
      </c>
      <c r="E106" s="290"/>
      <c r="F106" s="291">
        <f>Controle!F106</f>
        <v>111359888.4</v>
      </c>
      <c r="G106" s="289">
        <f>Controle!G106</f>
        <v>111359905.7</v>
      </c>
      <c r="H106" s="290"/>
      <c r="I106" s="291">
        <f>Controle!I106</f>
        <v>109111738.3</v>
      </c>
      <c r="J106" s="233">
        <f>Controle!J106</f>
        <v>91675093.19</v>
      </c>
      <c r="K106" s="292"/>
      <c r="L106" s="233">
        <f>Controle!L106</f>
        <v>107375095.1</v>
      </c>
      <c r="M106" s="233">
        <f>Controle!M106</f>
        <v>73449261.58</v>
      </c>
      <c r="N106" s="235">
        <f>Controle!N106</f>
        <v>0.003764248998</v>
      </c>
      <c r="O106" s="235">
        <f>Controle!O106</f>
        <v>0.001884387152</v>
      </c>
      <c r="P106" s="235">
        <f>Controle!P106</f>
        <v>-0.0003999326097</v>
      </c>
      <c r="Q106" s="235">
        <f>Controle!Q106</f>
        <v>-0.002945052555</v>
      </c>
      <c r="R106" s="293">
        <f>Controle!R106</f>
        <v>104.8189072</v>
      </c>
      <c r="S106" s="287"/>
      <c r="T106" s="233">
        <f t="shared" ref="T106:U106" si="109">IF(AND(C106&lt;&gt;"",F106&lt;&gt;"",I106&lt;&gt;""), SUM(I106,F106,C106),"")</f>
        <v>326082595.1</v>
      </c>
      <c r="U106" s="233">
        <f t="shared" si="109"/>
        <v>318472834.6</v>
      </c>
      <c r="V106" s="233">
        <f t="shared" si="6"/>
        <v>326.0825951</v>
      </c>
      <c r="W106" s="241">
        <f t="shared" si="9"/>
        <v>0.001726006092</v>
      </c>
      <c r="X106" s="241">
        <f t="shared" si="10"/>
        <v>0</v>
      </c>
      <c r="Y106" s="241">
        <f t="shared" si="19"/>
        <v>0.001412252695</v>
      </c>
      <c r="Z106" s="233">
        <f t="shared" si="7"/>
        <v>314.4567215</v>
      </c>
      <c r="AA106" s="294"/>
      <c r="AB106" s="245"/>
      <c r="AC106" s="242" t="str">
        <f>IF(ISTEXT(AB106),VLOOKUP(AB106,'Cadastro dos Ativos'!$A$2:$C$1000,3,0),"")</f>
        <v/>
      </c>
      <c r="AD106" s="242" t="str">
        <f>IF(AB106 &lt;&gt; "",SUMIFS('Alocação'!$O$3:$O$1002,'Alocação'!$C$3:$C$1002,AB106,'Alocação'!$F$3:$F$1002,AB$9,'Alocação'!$B$3:$B$1002,"&lt;="&amp;$B$6), "")</f>
        <v/>
      </c>
      <c r="AE106" s="243" t="str">
        <f>iferror(IF(AC106="Ações Americanas", HLOOKUP(AB106,'Histórico'!$A$1:$DD$990,MATCH($B$6,'Histórico'!$A:$A),FALSE)*HLOOKUP("PTAX",'Histórico'!$A$1:$FG$983,MATCH($B$6,'Histórico'!$A:$A),FALSE),IF(AC106="Ações Europeias", HLOOKUP(AB106,'Histórico'!$A$1:$DD$990,MATCH($B$6,'Histórico'!$A:$A),FALSE)*HLOOKUP("EUR/BRL",'Histórico'!$A$1:$FG$983,MATCH($B$6,'Histórico'!$A:$A),FALSE),  HLOOKUP(AB106,'Histórico'!$A$1:$DD$990,MATCH($B$6,'Histórico'!$A:$A),FALSE))),"")</f>
        <v/>
      </c>
      <c r="AF106" s="243" t="str">
        <f t="shared" si="15"/>
        <v/>
      </c>
      <c r="AG106" s="53"/>
      <c r="AH106" s="245"/>
      <c r="AI106" s="242" t="str">
        <f>IF(ISTEXT(AH106),VLOOKUP(AH106,'Cadastro dos Ativos'!$A$2:$C$1000,3,0),"")</f>
        <v/>
      </c>
      <c r="AJ106" s="242" t="str">
        <f>IF(AH106 &lt;&gt; "",SUMIFS('Alocação'!$O$3:$O$1002,'Alocação'!$C$3:$C$1002,AH106,'Alocação'!$F$3:$F$1002,AH$9,'Alocação'!$B$3:$B$1002,"&lt;="&amp;$B$6), "")</f>
        <v/>
      </c>
      <c r="AK106" s="243" t="str">
        <f>iferror(IF(AI106="Ações Americanas", HLOOKUP(AH106,'Histórico'!$A$1:$DD$990,MATCH($B$6,'Histórico'!$A:$A),FALSE)*HLOOKUP("PTAX",'Histórico'!$A$1:$FG$983,MATCH($B$6,'Histórico'!$A:$A),FALSE),IF(AI106="Ações Europeias", HLOOKUP(AH106,'Histórico'!$A$1:$DD$990,MATCH($B$6,'Histórico'!$A:$A),FALSE)*HLOOKUP("EUR/BRL",'Histórico'!$A$1:$FG$983,MATCH($B$6,'Histórico'!$A:$A),FALSE),  HLOOKUP(AH106,'Histórico'!$A$1:$DD$990,MATCH($B$6,'Histórico'!$A:$A),FALSE))),"")</f>
        <v/>
      </c>
      <c r="AL106" s="243" t="str">
        <f t="shared" si="11"/>
        <v/>
      </c>
      <c r="AM106" s="53"/>
      <c r="AN106" s="245"/>
      <c r="AO106" s="242" t="str">
        <f>IF(ISTEXT(AN106),VLOOKUP(AN106,'Cadastro dos Ativos'!$A$2:$C$1000,3,0),"")</f>
        <v/>
      </c>
      <c r="AP106" s="242" t="str">
        <f>IF(AN106 &lt;&gt; "",SUMIFS('Alocação'!$O$3:$O$1002,'Alocação'!$C$3:$C$1002,AN106,'Alocação'!$F$3:$F$1002,AN$9,'Alocação'!$B$3:$B$1002,"&lt;="&amp;$B$6), "")</f>
        <v/>
      </c>
      <c r="AQ106" s="243" t="str">
        <f>iferror(IF(AO106="Ações Americanas", HLOOKUP(AN106,'Histórico'!$A$1:$DD$990,MATCH($B$6,'Histórico'!$A:$A),FALSE)*HLOOKUP("PTAX",'Histórico'!$A$1:$FG$983,MATCH($B$6,'Histórico'!$A:$A),FALSE),IF(AO106="Ações Europeias", HLOOKUP(AN106,'Histórico'!$A$1:$DD$990,MATCH($B$6,'Histórico'!$A:$A),FALSE)*HLOOKUP("EUR/BRL",'Histórico'!$A$1:$FG$983,MATCH($B$6,'Histórico'!$A:$A),FALSE),  HLOOKUP(AN106,'Histórico'!$A$1:$DD$990,MATCH($B$6,'Histórico'!$A:$A),FALSE))),"")</f>
        <v/>
      </c>
      <c r="AR106" s="243" t="str">
        <f t="shared" si="12"/>
        <v/>
      </c>
      <c r="AS106" s="53"/>
      <c r="AT106" s="245"/>
      <c r="AU106" s="242" t="str">
        <f>IF(ISTEXT(AT106),VLOOKUP(AT106,'Cadastro dos Ativos'!$A$2:$C$1000,3,0),"")</f>
        <v/>
      </c>
      <c r="AV106" s="242" t="str">
        <f>IF(AT106 &lt;&gt; "",SUMIFS('Alocação'!$O$3:$O$1002,'Alocação'!$C$3:$C$1002,AT106,'Alocação'!$F$3:$F$1002,AT$9,'Alocação'!$B$3:$B$1002,"&lt;="&amp;$B$6), "")</f>
        <v/>
      </c>
      <c r="AW106" s="243" t="str">
        <f>iferror(IF(AU106="Ações Americanas", HLOOKUP(AT106,'Histórico'!$A$1:$DD$990,MATCH($B$6,'Histórico'!$A:$A),FALSE)*HLOOKUP("PTAX",'Histórico'!$A$1:$FG$983,MATCH($B$6,'Histórico'!$A:$A),FALSE),IF(AU106="Ações Europeias", HLOOKUP(AT106,'Histórico'!$A$1:$DD$990,MATCH($B$6,'Histórico'!$A:$A),FALSE)*HLOOKUP("EUR/BRL",'Histórico'!$A$1:$FG$983,MATCH($B$6,'Histórico'!$A:$A),FALSE),  HLOOKUP(AT106,'Histórico'!$A$1:$DD$990,MATCH($B$6,'Histórico'!$A:$A),FALSE))),"")</f>
        <v/>
      </c>
      <c r="AX106" s="243" t="str">
        <f t="shared" si="13"/>
        <v/>
      </c>
      <c r="AY106" s="53"/>
    </row>
    <row r="107" ht="15.75" customHeight="1">
      <c r="A107" s="176"/>
      <c r="B107" s="288">
        <f>Controle!B107</f>
        <v>45146</v>
      </c>
      <c r="C107" s="233">
        <f>Controle!C107</f>
        <v>105699382.1</v>
      </c>
      <c r="D107" s="289">
        <f>Controle!D107</f>
        <v>115497349.3</v>
      </c>
      <c r="E107" s="290"/>
      <c r="F107" s="291">
        <f>Controle!F107</f>
        <v>111016905.2</v>
      </c>
      <c r="G107" s="289">
        <f>Controle!G107</f>
        <v>111016922.7</v>
      </c>
      <c r="H107" s="290"/>
      <c r="I107" s="291">
        <f>Controle!I107</f>
        <v>109120041.7</v>
      </c>
      <c r="J107" s="233">
        <f>Controle!J107</f>
        <v>91713601.2</v>
      </c>
      <c r="K107" s="292"/>
      <c r="L107" s="233">
        <f>Controle!L107</f>
        <v>106951517.7</v>
      </c>
      <c r="M107" s="233">
        <f>Controle!M107</f>
        <v>73478934.8</v>
      </c>
      <c r="N107" s="235">
        <f>Controle!N107</f>
        <v>0.0008371639208</v>
      </c>
      <c r="O107" s="235">
        <f>Controle!O107</f>
        <v>-0.003079953334</v>
      </c>
      <c r="P107" s="235">
        <f>Controle!P107</f>
        <v>0.00007609968159</v>
      </c>
      <c r="Q107" s="235">
        <f>Controle!Q107</f>
        <v>-0.003944837884</v>
      </c>
      <c r="R107" s="293">
        <f>Controle!R107</f>
        <v>104.8703072</v>
      </c>
      <c r="S107" s="287"/>
      <c r="T107" s="233">
        <f t="shared" ref="T107:U107" si="110">IF(AND(C107&lt;&gt;"",F107&lt;&gt;"",I107&lt;&gt;""), SUM(I107,F107,C107),"")</f>
        <v>325836328.9</v>
      </c>
      <c r="U107" s="233">
        <f t="shared" si="110"/>
        <v>318227873.2</v>
      </c>
      <c r="V107" s="233">
        <f t="shared" si="6"/>
        <v>325.8363289</v>
      </c>
      <c r="W107" s="241">
        <f t="shared" si="9"/>
        <v>-0.0007552264436</v>
      </c>
      <c r="X107" s="241">
        <f t="shared" si="10"/>
        <v>-0.0007552264436</v>
      </c>
      <c r="Y107" s="241">
        <f t="shared" si="19"/>
        <v>0.001483238928</v>
      </c>
      <c r="Z107" s="233">
        <f t="shared" si="7"/>
        <v>314.6109217</v>
      </c>
      <c r="AA107" s="294"/>
      <c r="AB107" s="245"/>
      <c r="AC107" s="242" t="str">
        <f>IF(ISTEXT(AB107),VLOOKUP(AB107,'Cadastro dos Ativos'!$A$2:$C$1000,3,0),"")</f>
        <v/>
      </c>
      <c r="AD107" s="242" t="str">
        <f>IF(AB107 &lt;&gt; "",SUMIFS('Alocação'!$O$3:$O$1002,'Alocação'!$C$3:$C$1002,AB107,'Alocação'!$F$3:$F$1002,AB$9,'Alocação'!$B$3:$B$1002,"&lt;="&amp;$B$6), "")</f>
        <v/>
      </c>
      <c r="AE107" s="243" t="str">
        <f>iferror(IF(AC107="Ações Americanas", HLOOKUP(AB107,'Histórico'!$A$1:$DD$990,MATCH($B$6,'Histórico'!$A:$A),FALSE)*HLOOKUP("PTAX",'Histórico'!$A$1:$FG$983,MATCH($B$6,'Histórico'!$A:$A),FALSE),IF(AC107="Ações Europeias", HLOOKUP(AB107,'Histórico'!$A$1:$DD$990,MATCH($B$6,'Histórico'!$A:$A),FALSE)*HLOOKUP("EUR/BRL",'Histórico'!$A$1:$FG$983,MATCH($B$6,'Histórico'!$A:$A),FALSE),  HLOOKUP(AB107,'Histórico'!$A$1:$DD$990,MATCH($B$6,'Histórico'!$A:$A),FALSE))),"")</f>
        <v/>
      </c>
      <c r="AF107" s="243" t="str">
        <f t="shared" si="15"/>
        <v/>
      </c>
      <c r="AG107" s="53"/>
      <c r="AH107" s="245"/>
      <c r="AI107" s="242" t="str">
        <f>IF(ISTEXT(AH107),VLOOKUP(AH107,'Cadastro dos Ativos'!$A$2:$C$1000,3,0),"")</f>
        <v/>
      </c>
      <c r="AJ107" s="242" t="str">
        <f>IF(AH107 &lt;&gt; "",SUMIFS('Alocação'!$O$3:$O$1002,'Alocação'!$C$3:$C$1002,AH107,'Alocação'!$F$3:$F$1002,AH$9,'Alocação'!$B$3:$B$1002,"&lt;="&amp;$B$6), "")</f>
        <v/>
      </c>
      <c r="AK107" s="243" t="str">
        <f>iferror(IF(AI107="Ações Americanas", HLOOKUP(AH107,'Histórico'!$A$1:$DD$990,MATCH($B$6,'Histórico'!$A:$A),FALSE)*HLOOKUP("PTAX",'Histórico'!$A$1:$FG$983,MATCH($B$6,'Histórico'!$A:$A),FALSE),IF(AI107="Ações Europeias", HLOOKUP(AH107,'Histórico'!$A$1:$DD$990,MATCH($B$6,'Histórico'!$A:$A),FALSE)*HLOOKUP("EUR/BRL",'Histórico'!$A$1:$FG$983,MATCH($B$6,'Histórico'!$A:$A),FALSE),  HLOOKUP(AH107,'Histórico'!$A$1:$DD$990,MATCH($B$6,'Histórico'!$A:$A),FALSE))),"")</f>
        <v/>
      </c>
      <c r="AL107" s="243" t="str">
        <f t="shared" si="11"/>
        <v/>
      </c>
      <c r="AM107" s="53"/>
      <c r="AN107" s="245"/>
      <c r="AO107" s="242" t="str">
        <f>IF(ISTEXT(AN107),VLOOKUP(AN107,'Cadastro dos Ativos'!$A$2:$C$1000,3,0),"")</f>
        <v/>
      </c>
      <c r="AP107" s="242" t="str">
        <f>IF(AN107 &lt;&gt; "",SUMIFS('Alocação'!$O$3:$O$1002,'Alocação'!$C$3:$C$1002,AN107,'Alocação'!$F$3:$F$1002,AN$9,'Alocação'!$B$3:$B$1002,"&lt;="&amp;$B$6), "")</f>
        <v/>
      </c>
      <c r="AQ107" s="243" t="str">
        <f>iferror(IF(AO107="Ações Americanas", HLOOKUP(AN107,'Histórico'!$A$1:$DD$990,MATCH($B$6,'Histórico'!$A:$A),FALSE)*HLOOKUP("PTAX",'Histórico'!$A$1:$FG$983,MATCH($B$6,'Histórico'!$A:$A),FALSE),IF(AO107="Ações Europeias", HLOOKUP(AN107,'Histórico'!$A$1:$DD$990,MATCH($B$6,'Histórico'!$A:$A),FALSE)*HLOOKUP("EUR/BRL",'Histórico'!$A$1:$FG$983,MATCH($B$6,'Histórico'!$A:$A),FALSE),  HLOOKUP(AN107,'Histórico'!$A$1:$DD$990,MATCH($B$6,'Histórico'!$A:$A),FALSE))),"")</f>
        <v/>
      </c>
      <c r="AR107" s="243" t="str">
        <f t="shared" si="12"/>
        <v/>
      </c>
      <c r="AS107" s="53"/>
      <c r="AT107" s="245"/>
      <c r="AU107" s="242" t="str">
        <f>IF(ISTEXT(AT107),VLOOKUP(AT107,'Cadastro dos Ativos'!$A$2:$C$1000,3,0),"")</f>
        <v/>
      </c>
      <c r="AV107" s="242" t="str">
        <f>IF(AT107 &lt;&gt; "",SUMIFS('Alocação'!$O$3:$O$1002,'Alocação'!$C$3:$C$1002,AT107,'Alocação'!$F$3:$F$1002,AT$9,'Alocação'!$B$3:$B$1002,"&lt;="&amp;$B$6), "")</f>
        <v/>
      </c>
      <c r="AW107" s="243" t="str">
        <f>iferror(IF(AU107="Ações Americanas", HLOOKUP(AT107,'Histórico'!$A$1:$DD$990,MATCH($B$6,'Histórico'!$A:$A),FALSE)*HLOOKUP("PTAX",'Histórico'!$A$1:$FG$983,MATCH($B$6,'Histórico'!$A:$A),FALSE),IF(AU107="Ações Europeias", HLOOKUP(AT107,'Histórico'!$A$1:$DD$990,MATCH($B$6,'Histórico'!$A:$A),FALSE)*HLOOKUP("EUR/BRL",'Histórico'!$A$1:$FG$983,MATCH($B$6,'Histórico'!$A:$A),FALSE),  HLOOKUP(AT107,'Histórico'!$A$1:$DD$990,MATCH($B$6,'Histórico'!$A:$A),FALSE))),"")</f>
        <v/>
      </c>
      <c r="AX107" s="243" t="str">
        <f t="shared" si="13"/>
        <v/>
      </c>
      <c r="AY107" s="53"/>
    </row>
    <row r="108" ht="15.75" customHeight="1">
      <c r="A108" s="176"/>
      <c r="B108" s="288">
        <f>Controle!B108</f>
        <v>45147</v>
      </c>
      <c r="C108" s="233">
        <f>Controle!C108</f>
        <v>105845946.9</v>
      </c>
      <c r="D108" s="289">
        <f>Controle!D108</f>
        <v>115595463.2</v>
      </c>
      <c r="E108" s="290"/>
      <c r="F108" s="291">
        <f>Controle!F108</f>
        <v>111090962.9</v>
      </c>
      <c r="G108" s="289">
        <f>Controle!G108</f>
        <v>103150979.4</v>
      </c>
      <c r="H108" s="290"/>
      <c r="I108" s="291">
        <f>Controle!I108</f>
        <v>108881081.1</v>
      </c>
      <c r="J108" s="233">
        <f>Controle!J108</f>
        <v>91752127.6</v>
      </c>
      <c r="K108" s="292"/>
      <c r="L108" s="233">
        <f>Controle!L108</f>
        <v>105552881</v>
      </c>
      <c r="M108" s="233">
        <f>Controle!M108</f>
        <v>73508647.59</v>
      </c>
      <c r="N108" s="235">
        <f>Controle!N108</f>
        <v>0.001386618853</v>
      </c>
      <c r="O108" s="235">
        <f>Controle!O108</f>
        <v>0.0006670856966</v>
      </c>
      <c r="P108" s="235">
        <f>Controle!P108</f>
        <v>-0.002189887593</v>
      </c>
      <c r="Q108" s="235">
        <f>Controle!Q108</f>
        <v>-0.01307729685</v>
      </c>
      <c r="R108" s="293">
        <f>Controle!R108</f>
        <v>104.9217325</v>
      </c>
      <c r="S108" s="287"/>
      <c r="T108" s="233">
        <f t="shared" ref="T108:U108" si="111">IF(AND(C108&lt;&gt;"",F108&lt;&gt;"",I108&lt;&gt;""), SUM(I108,F108,C108),"")</f>
        <v>325817990.9</v>
      </c>
      <c r="U108" s="233">
        <f t="shared" si="111"/>
        <v>310498570.2</v>
      </c>
      <c r="V108" s="233">
        <f t="shared" si="6"/>
        <v>325.8179909</v>
      </c>
      <c r="W108" s="241">
        <f t="shared" si="9"/>
        <v>-0.00005628003493</v>
      </c>
      <c r="X108" s="241">
        <f t="shared" si="10"/>
        <v>-0.0008114639743</v>
      </c>
      <c r="Y108" s="241">
        <f t="shared" si="19"/>
        <v>0.00136978585</v>
      </c>
      <c r="Z108" s="233">
        <f t="shared" si="7"/>
        <v>314.7651974</v>
      </c>
      <c r="AA108" s="294"/>
      <c r="AB108" s="245"/>
      <c r="AC108" s="242" t="str">
        <f>IF(ISTEXT(AB108),VLOOKUP(AB108,'Cadastro dos Ativos'!$A$2:$C$1000,3,0),"")</f>
        <v/>
      </c>
      <c r="AD108" s="242" t="str">
        <f>IF(AB108 &lt;&gt; "",SUMIFS('Alocação'!$O$3:$O$1002,'Alocação'!$C$3:$C$1002,AB108,'Alocação'!$F$3:$F$1002,AB$9,'Alocação'!$B$3:$B$1002,"&lt;="&amp;$B$6), "")</f>
        <v/>
      </c>
      <c r="AE108" s="243" t="str">
        <f>iferror(IF(AC108="Ações Americanas", HLOOKUP(AB108,'Histórico'!$A$1:$DD$990,MATCH($B$6,'Histórico'!$A:$A),FALSE)*HLOOKUP("PTAX",'Histórico'!$A$1:$FG$983,MATCH($B$6,'Histórico'!$A:$A),FALSE),IF(AC108="Ações Europeias", HLOOKUP(AB108,'Histórico'!$A$1:$DD$990,MATCH($B$6,'Histórico'!$A:$A),FALSE)*HLOOKUP("EUR/BRL",'Histórico'!$A$1:$FG$983,MATCH($B$6,'Histórico'!$A:$A),FALSE),  HLOOKUP(AB108,'Histórico'!$A$1:$DD$990,MATCH($B$6,'Histórico'!$A:$A),FALSE))),"")</f>
        <v/>
      </c>
      <c r="AF108" s="243" t="str">
        <f t="shared" si="15"/>
        <v/>
      </c>
      <c r="AG108" s="53"/>
      <c r="AH108" s="245"/>
      <c r="AI108" s="242" t="str">
        <f>IF(ISTEXT(AH108),VLOOKUP(AH108,'Cadastro dos Ativos'!$A$2:$C$1000,3,0),"")</f>
        <v/>
      </c>
      <c r="AJ108" s="242" t="str">
        <f>IF(AH108 &lt;&gt; "",SUMIFS('Alocação'!$O$3:$O$1002,'Alocação'!$C$3:$C$1002,AH108,'Alocação'!$F$3:$F$1002,AH$9,'Alocação'!$B$3:$B$1002,"&lt;="&amp;$B$6), "")</f>
        <v/>
      </c>
      <c r="AK108" s="243" t="str">
        <f>iferror(IF(AI108="Ações Americanas", HLOOKUP(AH108,'Histórico'!$A$1:$DD$990,MATCH($B$6,'Histórico'!$A:$A),FALSE)*HLOOKUP("PTAX",'Histórico'!$A$1:$FG$983,MATCH($B$6,'Histórico'!$A:$A),FALSE),IF(AI108="Ações Europeias", HLOOKUP(AH108,'Histórico'!$A$1:$DD$990,MATCH($B$6,'Histórico'!$A:$A),FALSE)*HLOOKUP("EUR/BRL",'Histórico'!$A$1:$FG$983,MATCH($B$6,'Histórico'!$A:$A),FALSE),  HLOOKUP(AH108,'Histórico'!$A$1:$DD$990,MATCH($B$6,'Histórico'!$A:$A),FALSE))),"")</f>
        <v/>
      </c>
      <c r="AL108" s="243" t="str">
        <f t="shared" si="11"/>
        <v/>
      </c>
      <c r="AM108" s="53"/>
      <c r="AN108" s="245"/>
      <c r="AO108" s="242" t="str">
        <f>IF(ISTEXT(AN108),VLOOKUP(AN108,'Cadastro dos Ativos'!$A$2:$C$1000,3,0),"")</f>
        <v/>
      </c>
      <c r="AP108" s="242" t="str">
        <f>IF(AN108 &lt;&gt; "",SUMIFS('Alocação'!$O$3:$O$1002,'Alocação'!$C$3:$C$1002,AN108,'Alocação'!$F$3:$F$1002,AN$9,'Alocação'!$B$3:$B$1002,"&lt;="&amp;$B$6), "")</f>
        <v/>
      </c>
      <c r="AQ108" s="243" t="str">
        <f>iferror(IF(AO108="Ações Americanas", HLOOKUP(AN108,'Histórico'!$A$1:$DD$990,MATCH($B$6,'Histórico'!$A:$A),FALSE)*HLOOKUP("PTAX",'Histórico'!$A$1:$FG$983,MATCH($B$6,'Histórico'!$A:$A),FALSE),IF(AO108="Ações Europeias", HLOOKUP(AN108,'Histórico'!$A$1:$DD$990,MATCH($B$6,'Histórico'!$A:$A),FALSE)*HLOOKUP("EUR/BRL",'Histórico'!$A$1:$FG$983,MATCH($B$6,'Histórico'!$A:$A),FALSE),  HLOOKUP(AN108,'Histórico'!$A$1:$DD$990,MATCH($B$6,'Histórico'!$A:$A),FALSE))),"")</f>
        <v/>
      </c>
      <c r="AR108" s="243" t="str">
        <f t="shared" si="12"/>
        <v/>
      </c>
      <c r="AS108" s="53"/>
      <c r="AT108" s="245"/>
      <c r="AU108" s="242" t="str">
        <f>IF(ISTEXT(AT108),VLOOKUP(AT108,'Cadastro dos Ativos'!$A$2:$C$1000,3,0),"")</f>
        <v/>
      </c>
      <c r="AV108" s="242" t="str">
        <f>IF(AT108 &lt;&gt; "",SUMIFS('Alocação'!$O$3:$O$1002,'Alocação'!$C$3:$C$1002,AT108,'Alocação'!$F$3:$F$1002,AT$9,'Alocação'!$B$3:$B$1002,"&lt;="&amp;$B$6), "")</f>
        <v/>
      </c>
      <c r="AW108" s="243" t="str">
        <f>iferror(IF(AU108="Ações Americanas", HLOOKUP(AT108,'Histórico'!$A$1:$DD$990,MATCH($B$6,'Histórico'!$A:$A),FALSE)*HLOOKUP("PTAX",'Histórico'!$A$1:$FG$983,MATCH($B$6,'Histórico'!$A:$A),FALSE),IF(AU108="Ações Europeias", HLOOKUP(AT108,'Histórico'!$A$1:$DD$990,MATCH($B$6,'Histórico'!$A:$A),FALSE)*HLOOKUP("EUR/BRL",'Histórico'!$A$1:$FG$983,MATCH($B$6,'Histórico'!$A:$A),FALSE),  HLOOKUP(AT108,'Histórico'!$A$1:$DD$990,MATCH($B$6,'Histórico'!$A:$A),FALSE))),"")</f>
        <v/>
      </c>
      <c r="AX108" s="243" t="str">
        <f t="shared" si="13"/>
        <v/>
      </c>
      <c r="AY108" s="53"/>
    </row>
    <row r="109" ht="15.75" customHeight="1">
      <c r="A109" s="176"/>
      <c r="B109" s="288">
        <f>Controle!B109</f>
        <v>45148</v>
      </c>
      <c r="C109" s="233">
        <f>Controle!C109</f>
        <v>106254131.8</v>
      </c>
      <c r="D109" s="289">
        <f>Controle!D109</f>
        <v>115987500.2</v>
      </c>
      <c r="E109" s="290"/>
      <c r="F109" s="291">
        <f>Controle!F109</f>
        <v>111150924.4</v>
      </c>
      <c r="G109" s="289">
        <f>Controle!G109</f>
        <v>103205942.9</v>
      </c>
      <c r="H109" s="290"/>
      <c r="I109" s="291">
        <f>Controle!I109</f>
        <v>108596968.6</v>
      </c>
      <c r="J109" s="233">
        <f>Controle!J109</f>
        <v>91790687.01</v>
      </c>
      <c r="K109" s="292"/>
      <c r="L109" s="233">
        <f>Controle!L109</f>
        <v>106062489.4</v>
      </c>
      <c r="M109" s="233">
        <f>Controle!M109</f>
        <v>73538457.59</v>
      </c>
      <c r="N109" s="235">
        <f>Controle!N109</f>
        <v>0.003856406259</v>
      </c>
      <c r="O109" s="235">
        <f>Controle!O109</f>
        <v>0.0005397505675</v>
      </c>
      <c r="P109" s="235">
        <f>Controle!P109</f>
        <v>-0.002609383207</v>
      </c>
      <c r="Q109" s="235">
        <f>Controle!Q109</f>
        <v>0.004827991076</v>
      </c>
      <c r="R109" s="293">
        <f>Controle!R109</f>
        <v>104.9731829</v>
      </c>
      <c r="S109" s="287"/>
      <c r="T109" s="233">
        <f t="shared" ref="T109:U109" si="112">IF(AND(C109&lt;&gt;"",F109&lt;&gt;"",I109&lt;&gt;""), SUM(I109,F109,C109),"")</f>
        <v>326002024.8</v>
      </c>
      <c r="U109" s="233">
        <f t="shared" si="112"/>
        <v>310984130.1</v>
      </c>
      <c r="V109" s="233">
        <f t="shared" si="6"/>
        <v>326.0020248</v>
      </c>
      <c r="W109" s="241">
        <f t="shared" si="9"/>
        <v>0.0005648365741</v>
      </c>
      <c r="X109" s="241">
        <f t="shared" si="10"/>
        <v>-0.0002470857448</v>
      </c>
      <c r="Y109" s="241">
        <f t="shared" si="19"/>
        <v>0.0009326340437</v>
      </c>
      <c r="Z109" s="233">
        <f t="shared" si="7"/>
        <v>314.9195488</v>
      </c>
      <c r="AA109" s="294"/>
      <c r="AB109" s="245"/>
      <c r="AC109" s="242" t="str">
        <f>IF(ISTEXT(AB109),VLOOKUP(AB109,'Cadastro dos Ativos'!$A$2:$C$1000,3,0),"")</f>
        <v/>
      </c>
      <c r="AD109" s="242" t="str">
        <f>IF(AB109 &lt;&gt; "",SUMIFS('Alocação'!$O$3:$O$1002,'Alocação'!$C$3:$C$1002,AB109,'Alocação'!$F$3:$F$1002,AB$9,'Alocação'!$B$3:$B$1002,"&lt;="&amp;$B$6), "")</f>
        <v/>
      </c>
      <c r="AE109" s="243" t="str">
        <f>iferror(IF(AC109="Ações Americanas", HLOOKUP(AB109,'Histórico'!$A$1:$DD$990,MATCH($B$6,'Histórico'!$A:$A),FALSE)*HLOOKUP("PTAX",'Histórico'!$A$1:$FG$983,MATCH($B$6,'Histórico'!$A:$A),FALSE),IF(AC109="Ações Europeias", HLOOKUP(AB109,'Histórico'!$A$1:$DD$990,MATCH($B$6,'Histórico'!$A:$A),FALSE)*HLOOKUP("EUR/BRL",'Histórico'!$A$1:$FG$983,MATCH($B$6,'Histórico'!$A:$A),FALSE),  HLOOKUP(AB109,'Histórico'!$A$1:$DD$990,MATCH($B$6,'Histórico'!$A:$A),FALSE))),"")</f>
        <v/>
      </c>
      <c r="AF109" s="243" t="str">
        <f t="shared" si="15"/>
        <v/>
      </c>
      <c r="AG109" s="53"/>
      <c r="AH109" s="245"/>
      <c r="AI109" s="242" t="str">
        <f>IF(ISTEXT(AH109),VLOOKUP(AH109,'Cadastro dos Ativos'!$A$2:$C$1000,3,0),"")</f>
        <v/>
      </c>
      <c r="AJ109" s="242" t="str">
        <f>IF(AH109 &lt;&gt; "",SUMIFS('Alocação'!$O$3:$O$1002,'Alocação'!$C$3:$C$1002,AH109,'Alocação'!$F$3:$F$1002,AH$9,'Alocação'!$B$3:$B$1002,"&lt;="&amp;$B$6), "")</f>
        <v/>
      </c>
      <c r="AK109" s="243" t="str">
        <f>iferror(IF(AI109="Ações Americanas", HLOOKUP(AH109,'Histórico'!$A$1:$DD$990,MATCH($B$6,'Histórico'!$A:$A),FALSE)*HLOOKUP("PTAX",'Histórico'!$A$1:$FG$983,MATCH($B$6,'Histórico'!$A:$A),FALSE),IF(AI109="Ações Europeias", HLOOKUP(AH109,'Histórico'!$A$1:$DD$990,MATCH($B$6,'Histórico'!$A:$A),FALSE)*HLOOKUP("EUR/BRL",'Histórico'!$A$1:$FG$983,MATCH($B$6,'Histórico'!$A:$A),FALSE),  HLOOKUP(AH109,'Histórico'!$A$1:$DD$990,MATCH($B$6,'Histórico'!$A:$A),FALSE))),"")</f>
        <v/>
      </c>
      <c r="AL109" s="243" t="str">
        <f t="shared" si="11"/>
        <v/>
      </c>
      <c r="AM109" s="53"/>
      <c r="AN109" s="245"/>
      <c r="AO109" s="242" t="str">
        <f>IF(ISTEXT(AN109),VLOOKUP(AN109,'Cadastro dos Ativos'!$A$2:$C$1000,3,0),"")</f>
        <v/>
      </c>
      <c r="AP109" s="242" t="str">
        <f>IF(AN109 &lt;&gt; "",SUMIFS('Alocação'!$O$3:$O$1002,'Alocação'!$C$3:$C$1002,AN109,'Alocação'!$F$3:$F$1002,AN$9,'Alocação'!$B$3:$B$1002,"&lt;="&amp;$B$6), "")</f>
        <v/>
      </c>
      <c r="AQ109" s="243" t="str">
        <f>iferror(IF(AO109="Ações Americanas", HLOOKUP(AN109,'Histórico'!$A$1:$DD$990,MATCH($B$6,'Histórico'!$A:$A),FALSE)*HLOOKUP("PTAX",'Histórico'!$A$1:$FG$983,MATCH($B$6,'Histórico'!$A:$A),FALSE),IF(AO109="Ações Europeias", HLOOKUP(AN109,'Histórico'!$A$1:$DD$990,MATCH($B$6,'Histórico'!$A:$A),FALSE)*HLOOKUP("EUR/BRL",'Histórico'!$A$1:$FG$983,MATCH($B$6,'Histórico'!$A:$A),FALSE),  HLOOKUP(AN109,'Histórico'!$A$1:$DD$990,MATCH($B$6,'Histórico'!$A:$A),FALSE))),"")</f>
        <v/>
      </c>
      <c r="AR109" s="243" t="str">
        <f t="shared" si="12"/>
        <v/>
      </c>
      <c r="AS109" s="53"/>
      <c r="AT109" s="245"/>
      <c r="AU109" s="242" t="str">
        <f>IF(ISTEXT(AT109),VLOOKUP(AT109,'Cadastro dos Ativos'!$A$2:$C$1000,3,0),"")</f>
        <v/>
      </c>
      <c r="AV109" s="242" t="str">
        <f>IF(AT109 &lt;&gt; "",SUMIFS('Alocação'!$O$3:$O$1002,'Alocação'!$C$3:$C$1002,AT109,'Alocação'!$F$3:$F$1002,AT$9,'Alocação'!$B$3:$B$1002,"&lt;="&amp;$B$6), "")</f>
        <v/>
      </c>
      <c r="AW109" s="243" t="str">
        <f>iferror(IF(AU109="Ações Americanas", HLOOKUP(AT109,'Histórico'!$A$1:$DD$990,MATCH($B$6,'Histórico'!$A:$A),FALSE)*HLOOKUP("PTAX",'Histórico'!$A$1:$FG$983,MATCH($B$6,'Histórico'!$A:$A),FALSE),IF(AU109="Ações Europeias", HLOOKUP(AT109,'Histórico'!$A$1:$DD$990,MATCH($B$6,'Histórico'!$A:$A),FALSE)*HLOOKUP("EUR/BRL",'Histórico'!$A$1:$FG$983,MATCH($B$6,'Histórico'!$A:$A),FALSE),  HLOOKUP(AT109,'Histórico'!$A$1:$DD$990,MATCH($B$6,'Histórico'!$A:$A),FALSE))),"")</f>
        <v/>
      </c>
      <c r="AX109" s="243" t="str">
        <f t="shared" si="13"/>
        <v/>
      </c>
      <c r="AY109" s="53"/>
    </row>
    <row r="110" ht="15.75" customHeight="1">
      <c r="A110" s="176"/>
      <c r="B110" s="288">
        <f>Controle!B110</f>
        <v>45149</v>
      </c>
      <c r="C110" s="233">
        <f>Controle!C110</f>
        <v>106667504.6</v>
      </c>
      <c r="D110" s="289">
        <f>Controle!D110</f>
        <v>116378771.7</v>
      </c>
      <c r="E110" s="290"/>
      <c r="F110" s="291">
        <f>Controle!F110</f>
        <v>111165054.7</v>
      </c>
      <c r="G110" s="289">
        <f>Controle!G110</f>
        <v>103207071.6</v>
      </c>
      <c r="H110" s="290"/>
      <c r="I110" s="291">
        <f>Controle!I110</f>
        <v>108590532.9</v>
      </c>
      <c r="J110" s="233">
        <f>Controle!J110</f>
        <v>91829282.11</v>
      </c>
      <c r="K110" s="292"/>
      <c r="L110" s="233">
        <f>Controle!L110</f>
        <v>105334085</v>
      </c>
      <c r="M110" s="233">
        <f>Controle!M110</f>
        <v>73568252.09</v>
      </c>
      <c r="N110" s="235">
        <f>Controle!N110</f>
        <v>0.003890415944</v>
      </c>
      <c r="O110" s="235">
        <f>Controle!O110</f>
        <v>0.0001271277419</v>
      </c>
      <c r="P110" s="235">
        <f>Controle!P110</f>
        <v>-0.00005926198838</v>
      </c>
      <c r="Q110" s="235">
        <f>Controle!Q110</f>
        <v>-0.006867690249</v>
      </c>
      <c r="R110" s="293">
        <f>Controle!R110</f>
        <v>105.0246586</v>
      </c>
      <c r="S110" s="287"/>
      <c r="T110" s="233">
        <f t="shared" ref="T110:U110" si="113">IF(AND(C110&lt;&gt;"",F110&lt;&gt;"",I110&lt;&gt;""), SUM(I110,F110,C110),"")</f>
        <v>326423092.2</v>
      </c>
      <c r="U110" s="233">
        <f t="shared" si="113"/>
        <v>311415125.4</v>
      </c>
      <c r="V110" s="233">
        <f t="shared" si="6"/>
        <v>326.4230922</v>
      </c>
      <c r="W110" s="241">
        <f t="shared" si="9"/>
        <v>0.001291609961</v>
      </c>
      <c r="X110" s="241">
        <f t="shared" si="10"/>
        <v>0</v>
      </c>
      <c r="Y110" s="241">
        <f t="shared" si="19"/>
        <v>0.001000537304</v>
      </c>
      <c r="Z110" s="233">
        <f t="shared" si="7"/>
        <v>315.0739759</v>
      </c>
      <c r="AA110" s="294"/>
      <c r="AB110" s="245"/>
      <c r="AC110" s="242" t="str">
        <f>IF(ISTEXT(AB110),VLOOKUP(AB110,'Cadastro dos Ativos'!$A$2:$C$1000,3,0),"")</f>
        <v/>
      </c>
      <c r="AD110" s="242" t="str">
        <f>IF(AB110 &lt;&gt; "",SUMIFS('Alocação'!$O$3:$O$1002,'Alocação'!$C$3:$C$1002,AB110,'Alocação'!$F$3:$F$1002,AB$9,'Alocação'!$B$3:$B$1002,"&lt;="&amp;$B$6), "")</f>
        <v/>
      </c>
      <c r="AE110" s="243" t="str">
        <f>iferror(IF(AC110="Ações Americanas", HLOOKUP(AB110,'Histórico'!$A$1:$DD$990,MATCH($B$6,'Histórico'!$A:$A),FALSE)*HLOOKUP("PTAX",'Histórico'!$A$1:$FG$983,MATCH($B$6,'Histórico'!$A:$A),FALSE),IF(AC110="Ações Europeias", HLOOKUP(AB110,'Histórico'!$A$1:$DD$990,MATCH($B$6,'Histórico'!$A:$A),FALSE)*HLOOKUP("EUR/BRL",'Histórico'!$A$1:$FG$983,MATCH($B$6,'Histórico'!$A:$A),FALSE),  HLOOKUP(AB110,'Histórico'!$A$1:$DD$990,MATCH($B$6,'Histórico'!$A:$A),FALSE))),"")</f>
        <v/>
      </c>
      <c r="AF110" s="243" t="str">
        <f t="shared" si="15"/>
        <v/>
      </c>
      <c r="AG110" s="53"/>
      <c r="AH110" s="245"/>
      <c r="AI110" s="242" t="str">
        <f>IF(ISTEXT(AH110),VLOOKUP(AH110,'Cadastro dos Ativos'!$A$2:$C$1000,3,0),"")</f>
        <v/>
      </c>
      <c r="AJ110" s="242" t="str">
        <f>IF(AH110 &lt;&gt; "",SUMIFS('Alocação'!$O$3:$O$1002,'Alocação'!$C$3:$C$1002,AH110,'Alocação'!$F$3:$F$1002,AH$9,'Alocação'!$B$3:$B$1002,"&lt;="&amp;$B$6), "")</f>
        <v/>
      </c>
      <c r="AK110" s="243" t="str">
        <f>iferror(IF(AI110="Ações Americanas", HLOOKUP(AH110,'Histórico'!$A$1:$DD$990,MATCH($B$6,'Histórico'!$A:$A),FALSE)*HLOOKUP("PTAX",'Histórico'!$A$1:$FG$983,MATCH($B$6,'Histórico'!$A:$A),FALSE),IF(AI110="Ações Europeias", HLOOKUP(AH110,'Histórico'!$A$1:$DD$990,MATCH($B$6,'Histórico'!$A:$A),FALSE)*HLOOKUP("EUR/BRL",'Histórico'!$A$1:$FG$983,MATCH($B$6,'Histórico'!$A:$A),FALSE),  HLOOKUP(AH110,'Histórico'!$A$1:$DD$990,MATCH($B$6,'Histórico'!$A:$A),FALSE))),"")</f>
        <v/>
      </c>
      <c r="AL110" s="243" t="str">
        <f t="shared" si="11"/>
        <v/>
      </c>
      <c r="AM110" s="53"/>
      <c r="AN110" s="245"/>
      <c r="AO110" s="242" t="str">
        <f>IF(ISTEXT(AN110),VLOOKUP(AN110,'Cadastro dos Ativos'!$A$2:$C$1000,3,0),"")</f>
        <v/>
      </c>
      <c r="AP110" s="242" t="str">
        <f>IF(AN110 &lt;&gt; "",SUMIFS('Alocação'!$O$3:$O$1002,'Alocação'!$C$3:$C$1002,AN110,'Alocação'!$F$3:$F$1002,AN$9,'Alocação'!$B$3:$B$1002,"&lt;="&amp;$B$6), "")</f>
        <v/>
      </c>
      <c r="AQ110" s="243" t="str">
        <f>iferror(IF(AO110="Ações Americanas", HLOOKUP(AN110,'Histórico'!$A$1:$DD$990,MATCH($B$6,'Histórico'!$A:$A),FALSE)*HLOOKUP("PTAX",'Histórico'!$A$1:$FG$983,MATCH($B$6,'Histórico'!$A:$A),FALSE),IF(AO110="Ações Europeias", HLOOKUP(AN110,'Histórico'!$A$1:$DD$990,MATCH($B$6,'Histórico'!$A:$A),FALSE)*HLOOKUP("EUR/BRL",'Histórico'!$A$1:$FG$983,MATCH($B$6,'Histórico'!$A:$A),FALSE),  HLOOKUP(AN110,'Histórico'!$A$1:$DD$990,MATCH($B$6,'Histórico'!$A:$A),FALSE))),"")</f>
        <v/>
      </c>
      <c r="AR110" s="243" t="str">
        <f t="shared" si="12"/>
        <v/>
      </c>
      <c r="AS110" s="53"/>
      <c r="AT110" s="245"/>
      <c r="AU110" s="242" t="str">
        <f>IF(ISTEXT(AT110),VLOOKUP(AT110,'Cadastro dos Ativos'!$A$2:$C$1000,3,0),"")</f>
        <v/>
      </c>
      <c r="AV110" s="242" t="str">
        <f>IF(AT110 &lt;&gt; "",SUMIFS('Alocação'!$O$3:$O$1002,'Alocação'!$C$3:$C$1002,AT110,'Alocação'!$F$3:$F$1002,AT$9,'Alocação'!$B$3:$B$1002,"&lt;="&amp;$B$6), "")</f>
        <v/>
      </c>
      <c r="AW110" s="243" t="str">
        <f>iferror(IF(AU110="Ações Americanas", HLOOKUP(AT110,'Histórico'!$A$1:$DD$990,MATCH($B$6,'Histórico'!$A:$A),FALSE)*HLOOKUP("PTAX",'Histórico'!$A$1:$FG$983,MATCH($B$6,'Histórico'!$A:$A),FALSE),IF(AU110="Ações Europeias", HLOOKUP(AT110,'Histórico'!$A$1:$DD$990,MATCH($B$6,'Histórico'!$A:$A),FALSE)*HLOOKUP("EUR/BRL",'Histórico'!$A$1:$FG$983,MATCH($B$6,'Histórico'!$A:$A),FALSE),  HLOOKUP(AT110,'Histórico'!$A$1:$DD$990,MATCH($B$6,'Histórico'!$A:$A),FALSE))),"")</f>
        <v/>
      </c>
      <c r="AX110" s="243" t="str">
        <f t="shared" si="13"/>
        <v/>
      </c>
      <c r="AY110" s="53"/>
    </row>
    <row r="111" ht="15.75" customHeight="1">
      <c r="A111" s="176"/>
      <c r="B111" s="288">
        <f>Controle!B111</f>
        <v>45152</v>
      </c>
      <c r="C111" s="233">
        <f>Controle!C111</f>
        <v>107471270</v>
      </c>
      <c r="D111" s="289">
        <f>Controle!D111</f>
        <v>117102636.8</v>
      </c>
      <c r="E111" s="290"/>
      <c r="F111" s="291">
        <f>Controle!F111</f>
        <v>111138069.3</v>
      </c>
      <c r="G111" s="289">
        <f>Controle!G111</f>
        <v>103202086.2</v>
      </c>
      <c r="H111" s="290"/>
      <c r="I111" s="291">
        <f>Controle!I111</f>
        <v>108469603</v>
      </c>
      <c r="J111" s="233">
        <f>Controle!J111</f>
        <v>92144628.48</v>
      </c>
      <c r="K111" s="292"/>
      <c r="L111" s="233">
        <f>Controle!L111</f>
        <v>104390036.9</v>
      </c>
      <c r="M111" s="233">
        <f>Controle!M111</f>
        <v>73598104.24</v>
      </c>
      <c r="N111" s="235">
        <f>Controle!N111</f>
        <v>0.007535241449</v>
      </c>
      <c r="O111" s="235">
        <f>Controle!O111</f>
        <v>-0.0002427508843</v>
      </c>
      <c r="P111" s="235">
        <f>Controle!P111</f>
        <v>-0.001113631851</v>
      </c>
      <c r="Q111" s="235">
        <f>Controle!Q111</f>
        <v>-0.008962417947</v>
      </c>
      <c r="R111" s="293">
        <f>Controle!R111</f>
        <v>105.0761596</v>
      </c>
      <c r="S111" s="287"/>
      <c r="T111" s="233">
        <f t="shared" ref="T111:U111" si="114">IF(AND(C111&lt;&gt;"",F111&lt;&gt;"",I111&lt;&gt;""), SUM(I111,F111,C111),"")</f>
        <v>327078942.4</v>
      </c>
      <c r="U111" s="233">
        <f t="shared" si="114"/>
        <v>312449351.5</v>
      </c>
      <c r="V111" s="233">
        <f t="shared" si="6"/>
        <v>327.0789424</v>
      </c>
      <c r="W111" s="241">
        <f t="shared" si="9"/>
        <v>0.002009202553</v>
      </c>
      <c r="X111" s="241">
        <f t="shared" si="10"/>
        <v>0</v>
      </c>
      <c r="Y111" s="241">
        <f t="shared" si="19"/>
        <v>0.001087677405</v>
      </c>
      <c r="Z111" s="233">
        <f t="shared" si="7"/>
        <v>315.2284787</v>
      </c>
      <c r="AA111" s="294"/>
      <c r="AB111" s="245"/>
      <c r="AC111" s="242" t="str">
        <f>IF(ISTEXT(AB111),VLOOKUP(AB111,'Cadastro dos Ativos'!$A$2:$C$1000,3,0),"")</f>
        <v/>
      </c>
      <c r="AD111" s="242" t="str">
        <f>IF(AB111 &lt;&gt; "",SUMIFS('Alocação'!$O$3:$O$1002,'Alocação'!$C$3:$C$1002,AB111,'Alocação'!$F$3:$F$1002,AB$9,'Alocação'!$B$3:$B$1002,"&lt;="&amp;$B$6), "")</f>
        <v/>
      </c>
      <c r="AE111" s="243" t="str">
        <f>iferror(IF(AC111="Ações Americanas", HLOOKUP(AB111,'Histórico'!$A$1:$DD$990,MATCH($B$6,'Histórico'!$A:$A),FALSE)*HLOOKUP("PTAX",'Histórico'!$A$1:$FG$983,MATCH($B$6,'Histórico'!$A:$A),FALSE),IF(AC111="Ações Europeias", HLOOKUP(AB111,'Histórico'!$A$1:$DD$990,MATCH($B$6,'Histórico'!$A:$A),FALSE)*HLOOKUP("EUR/BRL",'Histórico'!$A$1:$FG$983,MATCH($B$6,'Histórico'!$A:$A),FALSE),  HLOOKUP(AB111,'Histórico'!$A$1:$DD$990,MATCH($B$6,'Histórico'!$A:$A),FALSE))),"")</f>
        <v/>
      </c>
      <c r="AF111" s="243" t="str">
        <f t="shared" si="15"/>
        <v/>
      </c>
      <c r="AG111" s="53"/>
      <c r="AH111" s="245"/>
      <c r="AI111" s="242" t="str">
        <f>IF(ISTEXT(AH111),VLOOKUP(AH111,'Cadastro dos Ativos'!$A$2:$C$1000,3,0),"")</f>
        <v/>
      </c>
      <c r="AJ111" s="242" t="str">
        <f>IF(AH111 &lt;&gt; "",SUMIFS('Alocação'!$O$3:$O$1002,'Alocação'!$C$3:$C$1002,AH111,'Alocação'!$F$3:$F$1002,AH$9,'Alocação'!$B$3:$B$1002,"&lt;="&amp;$B$6), "")</f>
        <v/>
      </c>
      <c r="AK111" s="243" t="str">
        <f>iferror(IF(AI111="Ações Americanas", HLOOKUP(AH111,'Histórico'!$A$1:$DD$990,MATCH($B$6,'Histórico'!$A:$A),FALSE)*HLOOKUP("PTAX",'Histórico'!$A$1:$FG$983,MATCH($B$6,'Histórico'!$A:$A),FALSE),IF(AI111="Ações Europeias", HLOOKUP(AH111,'Histórico'!$A$1:$DD$990,MATCH($B$6,'Histórico'!$A:$A),FALSE)*HLOOKUP("EUR/BRL",'Histórico'!$A$1:$FG$983,MATCH($B$6,'Histórico'!$A:$A),FALSE),  HLOOKUP(AH111,'Histórico'!$A$1:$DD$990,MATCH($B$6,'Histórico'!$A:$A),FALSE))),"")</f>
        <v/>
      </c>
      <c r="AL111" s="243" t="str">
        <f t="shared" si="11"/>
        <v/>
      </c>
      <c r="AM111" s="53"/>
      <c r="AN111" s="245"/>
      <c r="AO111" s="242" t="str">
        <f>IF(ISTEXT(AN111),VLOOKUP(AN111,'Cadastro dos Ativos'!$A$2:$C$1000,3,0),"")</f>
        <v/>
      </c>
      <c r="AP111" s="242" t="str">
        <f>IF(AN111 &lt;&gt; "",SUMIFS('Alocação'!$O$3:$O$1002,'Alocação'!$C$3:$C$1002,AN111,'Alocação'!$F$3:$F$1002,AN$9,'Alocação'!$B$3:$B$1002,"&lt;="&amp;$B$6), "")</f>
        <v/>
      </c>
      <c r="AQ111" s="243" t="str">
        <f>iferror(IF(AO111="Ações Americanas", HLOOKUP(AN111,'Histórico'!$A$1:$DD$990,MATCH($B$6,'Histórico'!$A:$A),FALSE)*HLOOKUP("PTAX",'Histórico'!$A$1:$FG$983,MATCH($B$6,'Histórico'!$A:$A),FALSE),IF(AO111="Ações Europeias", HLOOKUP(AN111,'Histórico'!$A$1:$DD$990,MATCH($B$6,'Histórico'!$A:$A),FALSE)*HLOOKUP("EUR/BRL",'Histórico'!$A$1:$FG$983,MATCH($B$6,'Histórico'!$A:$A),FALSE),  HLOOKUP(AN111,'Histórico'!$A$1:$DD$990,MATCH($B$6,'Histórico'!$A:$A),FALSE))),"")</f>
        <v/>
      </c>
      <c r="AR111" s="243" t="str">
        <f t="shared" si="12"/>
        <v/>
      </c>
      <c r="AS111" s="53"/>
      <c r="AT111" s="245"/>
      <c r="AU111" s="242" t="str">
        <f>IF(ISTEXT(AT111),VLOOKUP(AT111,'Cadastro dos Ativos'!$A$2:$C$1000,3,0),"")</f>
        <v/>
      </c>
      <c r="AV111" s="242" t="str">
        <f>IF(AT111 &lt;&gt; "",SUMIFS('Alocação'!$O$3:$O$1002,'Alocação'!$C$3:$C$1002,AT111,'Alocação'!$F$3:$F$1002,AT$9,'Alocação'!$B$3:$B$1002,"&lt;="&amp;$B$6), "")</f>
        <v/>
      </c>
      <c r="AW111" s="243" t="str">
        <f>iferror(IF(AU111="Ações Americanas", HLOOKUP(AT111,'Histórico'!$A$1:$DD$990,MATCH($B$6,'Histórico'!$A:$A),FALSE)*HLOOKUP("PTAX",'Histórico'!$A$1:$FG$983,MATCH($B$6,'Histórico'!$A:$A),FALSE),IF(AU111="Ações Europeias", HLOOKUP(AT111,'Histórico'!$A$1:$DD$990,MATCH($B$6,'Histórico'!$A:$A),FALSE)*HLOOKUP("EUR/BRL",'Histórico'!$A$1:$FG$983,MATCH($B$6,'Histórico'!$A:$A),FALSE),  HLOOKUP(AT111,'Histórico'!$A$1:$DD$990,MATCH($B$6,'Histórico'!$A:$A),FALSE))),"")</f>
        <v/>
      </c>
      <c r="AX111" s="243" t="str">
        <f t="shared" si="13"/>
        <v/>
      </c>
      <c r="AY111" s="53"/>
    </row>
    <row r="112" ht="15.75" customHeight="1">
      <c r="A112" s="176"/>
      <c r="B112" s="288">
        <f>Controle!B112</f>
        <v>45153</v>
      </c>
      <c r="C112" s="233">
        <f>Controle!C112</f>
        <v>107913644.5</v>
      </c>
      <c r="D112" s="289">
        <f>Controle!D112</f>
        <v>117465110.6</v>
      </c>
      <c r="E112" s="290"/>
      <c r="F112" s="291">
        <f>Controle!F112</f>
        <v>111137074</v>
      </c>
      <c r="G112" s="289">
        <f>Controle!G112</f>
        <v>103244089.8</v>
      </c>
      <c r="H112" s="290"/>
      <c r="I112" s="291">
        <f>Controle!I112</f>
        <v>108464450.8</v>
      </c>
      <c r="J112" s="233">
        <f>Controle!J112</f>
        <v>92183404.67</v>
      </c>
      <c r="K112" s="292"/>
      <c r="L112" s="233">
        <f>Controle!L112</f>
        <v>104102561.1</v>
      </c>
      <c r="M112" s="233">
        <f>Controle!M112</f>
        <v>73628026.81</v>
      </c>
      <c r="N112" s="235">
        <f>Controle!N112</f>
        <v>0.004116211857</v>
      </c>
      <c r="O112" s="235">
        <f>Controle!O112</f>
        <v>-0.000008955834643</v>
      </c>
      <c r="P112" s="235">
        <f>Controle!P112</f>
        <v>-0.0000474998446</v>
      </c>
      <c r="Q112" s="235">
        <f>Controle!Q112</f>
        <v>-0.00275386309</v>
      </c>
      <c r="R112" s="293">
        <f>Controle!R112</f>
        <v>105.1276858</v>
      </c>
      <c r="S112" s="287"/>
      <c r="T112" s="233">
        <f t="shared" ref="T112:U112" si="115">IF(AND(C112&lt;&gt;"",F112&lt;&gt;"",I112&lt;&gt;""), SUM(I112,F112,C112),"")</f>
        <v>327515169.2</v>
      </c>
      <c r="U112" s="233">
        <f t="shared" si="115"/>
        <v>312892605.1</v>
      </c>
      <c r="V112" s="233">
        <f t="shared" si="6"/>
        <v>327.5151692</v>
      </c>
      <c r="W112" s="241">
        <f t="shared" si="9"/>
        <v>0.001333705219</v>
      </c>
      <c r="X112" s="241">
        <f t="shared" si="10"/>
        <v>0</v>
      </c>
      <c r="Y112" s="241">
        <f t="shared" si="19"/>
        <v>0.0007930772355</v>
      </c>
      <c r="Z112" s="233">
        <f t="shared" si="7"/>
        <v>315.3830573</v>
      </c>
      <c r="AA112" s="294"/>
      <c r="AB112" s="245"/>
      <c r="AC112" s="242" t="str">
        <f>IF(ISTEXT(AB112),VLOOKUP(AB112,'Cadastro dos Ativos'!$A$2:$C$1000,3,0),"")</f>
        <v/>
      </c>
      <c r="AD112" s="242" t="str">
        <f>IF(AB112 &lt;&gt; "",SUMIFS('Alocação'!$O$3:$O$1002,'Alocação'!$C$3:$C$1002,AB112,'Alocação'!$F$3:$F$1002,AB$9,'Alocação'!$B$3:$B$1002,"&lt;="&amp;$B$6), "")</f>
        <v/>
      </c>
      <c r="AE112" s="243" t="str">
        <f>iferror(IF(AC112="Ações Americanas", HLOOKUP(AB112,'Histórico'!$A$1:$DD$990,MATCH($B$6,'Histórico'!$A:$A),FALSE)*HLOOKUP("PTAX",'Histórico'!$A$1:$FG$983,MATCH($B$6,'Histórico'!$A:$A),FALSE),IF(AC112="Ações Europeias", HLOOKUP(AB112,'Histórico'!$A$1:$DD$990,MATCH($B$6,'Histórico'!$A:$A),FALSE)*HLOOKUP("EUR/BRL",'Histórico'!$A$1:$FG$983,MATCH($B$6,'Histórico'!$A:$A),FALSE),  HLOOKUP(AB112,'Histórico'!$A$1:$DD$990,MATCH($B$6,'Histórico'!$A:$A),FALSE))),"")</f>
        <v/>
      </c>
      <c r="AF112" s="243" t="str">
        <f t="shared" si="15"/>
        <v/>
      </c>
      <c r="AG112" s="53"/>
      <c r="AH112" s="245"/>
      <c r="AI112" s="242" t="str">
        <f>IF(ISTEXT(AH112),VLOOKUP(AH112,'Cadastro dos Ativos'!$A$2:$C$1000,3,0),"")</f>
        <v/>
      </c>
      <c r="AJ112" s="242" t="str">
        <f>IF(AH112 &lt;&gt; "",SUMIFS('Alocação'!$O$3:$O$1002,'Alocação'!$C$3:$C$1002,AH112,'Alocação'!$F$3:$F$1002,AH$9,'Alocação'!$B$3:$B$1002,"&lt;="&amp;$B$6), "")</f>
        <v/>
      </c>
      <c r="AK112" s="243" t="str">
        <f>iferror(IF(AI112="Ações Americanas", HLOOKUP(AH112,'Histórico'!$A$1:$DD$990,MATCH($B$6,'Histórico'!$A:$A),FALSE)*HLOOKUP("PTAX",'Histórico'!$A$1:$FG$983,MATCH($B$6,'Histórico'!$A:$A),FALSE),IF(AI112="Ações Europeias", HLOOKUP(AH112,'Histórico'!$A$1:$DD$990,MATCH($B$6,'Histórico'!$A:$A),FALSE)*HLOOKUP("EUR/BRL",'Histórico'!$A$1:$FG$983,MATCH($B$6,'Histórico'!$A:$A),FALSE),  HLOOKUP(AH112,'Histórico'!$A$1:$DD$990,MATCH($B$6,'Histórico'!$A:$A),FALSE))),"")</f>
        <v/>
      </c>
      <c r="AL112" s="243" t="str">
        <f t="shared" si="11"/>
        <v/>
      </c>
      <c r="AM112" s="53"/>
      <c r="AN112" s="245"/>
      <c r="AO112" s="242" t="str">
        <f>IF(ISTEXT(AN112),VLOOKUP(AN112,'Cadastro dos Ativos'!$A$2:$C$1000,3,0),"")</f>
        <v/>
      </c>
      <c r="AP112" s="242" t="str">
        <f>IF(AN112 &lt;&gt; "",SUMIFS('Alocação'!$O$3:$O$1002,'Alocação'!$C$3:$C$1002,AN112,'Alocação'!$F$3:$F$1002,AN$9,'Alocação'!$B$3:$B$1002,"&lt;="&amp;$B$6), "")</f>
        <v/>
      </c>
      <c r="AQ112" s="243" t="str">
        <f>iferror(IF(AO112="Ações Americanas", HLOOKUP(AN112,'Histórico'!$A$1:$DD$990,MATCH($B$6,'Histórico'!$A:$A),FALSE)*HLOOKUP("PTAX",'Histórico'!$A$1:$FG$983,MATCH($B$6,'Histórico'!$A:$A),FALSE),IF(AO112="Ações Europeias", HLOOKUP(AN112,'Histórico'!$A$1:$DD$990,MATCH($B$6,'Histórico'!$A:$A),FALSE)*HLOOKUP("EUR/BRL",'Histórico'!$A$1:$FG$983,MATCH($B$6,'Histórico'!$A:$A),FALSE),  HLOOKUP(AN112,'Histórico'!$A$1:$DD$990,MATCH($B$6,'Histórico'!$A:$A),FALSE))),"")</f>
        <v/>
      </c>
      <c r="AR112" s="243" t="str">
        <f t="shared" si="12"/>
        <v/>
      </c>
      <c r="AS112" s="53"/>
      <c r="AT112" s="245"/>
      <c r="AU112" s="242" t="str">
        <f>IF(ISTEXT(AT112),VLOOKUP(AT112,'Cadastro dos Ativos'!$A$2:$C$1000,3,0),"")</f>
        <v/>
      </c>
      <c r="AV112" s="242" t="str">
        <f>IF(AT112 &lt;&gt; "",SUMIFS('Alocação'!$O$3:$O$1002,'Alocação'!$C$3:$C$1002,AT112,'Alocação'!$F$3:$F$1002,AT$9,'Alocação'!$B$3:$B$1002,"&lt;="&amp;$B$6), "")</f>
        <v/>
      </c>
      <c r="AW112" s="243" t="str">
        <f>iferror(IF(AU112="Ações Americanas", HLOOKUP(AT112,'Histórico'!$A$1:$DD$990,MATCH($B$6,'Histórico'!$A:$A),FALSE)*HLOOKUP("PTAX",'Histórico'!$A$1:$FG$983,MATCH($B$6,'Histórico'!$A:$A),FALSE),IF(AU112="Ações Europeias", HLOOKUP(AT112,'Histórico'!$A$1:$DD$990,MATCH($B$6,'Histórico'!$A:$A),FALSE)*HLOOKUP("EUR/BRL",'Histórico'!$A$1:$FG$983,MATCH($B$6,'Histórico'!$A:$A),FALSE),  HLOOKUP(AT112,'Histórico'!$A$1:$DD$990,MATCH($B$6,'Histórico'!$A:$A),FALSE))),"")</f>
        <v/>
      </c>
      <c r="AX112" s="243" t="str">
        <f t="shared" si="13"/>
        <v/>
      </c>
      <c r="AY112" s="53"/>
    </row>
    <row r="113" ht="15.75" customHeight="1">
      <c r="A113" s="176"/>
      <c r="B113" s="288">
        <f>Controle!B113</f>
        <v>45154</v>
      </c>
      <c r="C113" s="233">
        <f>Controle!C113</f>
        <v>107893070.2</v>
      </c>
      <c r="D113" s="289">
        <f>Controle!D113</f>
        <v>117402036</v>
      </c>
      <c r="E113" s="290"/>
      <c r="F113" s="291">
        <f>Controle!F113</f>
        <v>111162220.6</v>
      </c>
      <c r="G113" s="289">
        <f>Controle!G113</f>
        <v>103254236</v>
      </c>
      <c r="H113" s="290"/>
      <c r="I113" s="291">
        <f>Controle!I113</f>
        <v>108527674</v>
      </c>
      <c r="J113" s="233">
        <f>Controle!J113</f>
        <v>86517000.19</v>
      </c>
      <c r="K113" s="292"/>
      <c r="L113" s="233">
        <f>Controle!L113</f>
        <v>103479515.6</v>
      </c>
      <c r="M113" s="233">
        <f>Controle!M113</f>
        <v>73657981.04</v>
      </c>
      <c r="N113" s="235">
        <f>Controle!N113</f>
        <v>-0.000190655538</v>
      </c>
      <c r="O113" s="235">
        <f>Controle!O113</f>
        <v>0.0002262665746</v>
      </c>
      <c r="P113" s="235">
        <f>Controle!P113</f>
        <v>0.0005828932701</v>
      </c>
      <c r="Q113" s="235">
        <f>Controle!Q113</f>
        <v>-0.005984919699</v>
      </c>
      <c r="R113" s="293">
        <f>Controle!R113</f>
        <v>105.1792372</v>
      </c>
      <c r="S113" s="287"/>
      <c r="T113" s="233">
        <f t="shared" ref="T113:U113" si="116">IF(AND(C113&lt;&gt;"",F113&lt;&gt;"",I113&lt;&gt;""), SUM(I113,F113,C113),"")</f>
        <v>327582964.7</v>
      </c>
      <c r="U113" s="233">
        <f t="shared" si="116"/>
        <v>307173272.3</v>
      </c>
      <c r="V113" s="233">
        <f t="shared" si="6"/>
        <v>327.5829647</v>
      </c>
      <c r="W113" s="241">
        <f t="shared" si="9"/>
        <v>0.0002069994792</v>
      </c>
      <c r="X113" s="241">
        <f t="shared" si="10"/>
        <v>0</v>
      </c>
      <c r="Y113" s="241">
        <f t="shared" si="19"/>
        <v>0.0007071205146</v>
      </c>
      <c r="Z113" s="233">
        <f t="shared" si="7"/>
        <v>315.5377117</v>
      </c>
      <c r="AA113" s="294"/>
      <c r="AB113" s="245"/>
      <c r="AC113" s="242" t="str">
        <f>IF(ISTEXT(AB113),VLOOKUP(AB113,'Cadastro dos Ativos'!$A$2:$C$1000,3,0),"")</f>
        <v/>
      </c>
      <c r="AD113" s="242" t="str">
        <f>IF(AB113 &lt;&gt; "",SUMIFS('Alocação'!$O$3:$O$1002,'Alocação'!$C$3:$C$1002,AB113,'Alocação'!$F$3:$F$1002,AB$9,'Alocação'!$B$3:$B$1002,"&lt;="&amp;$B$6), "")</f>
        <v/>
      </c>
      <c r="AE113" s="243" t="str">
        <f>iferror(IF(AC113="Ações Americanas", HLOOKUP(AB113,'Histórico'!$A$1:$DD$990,MATCH($B$6,'Histórico'!$A:$A),FALSE)*HLOOKUP("PTAX",'Histórico'!$A$1:$FG$983,MATCH($B$6,'Histórico'!$A:$A),FALSE),IF(AC113="Ações Europeias", HLOOKUP(AB113,'Histórico'!$A$1:$DD$990,MATCH($B$6,'Histórico'!$A:$A),FALSE)*HLOOKUP("EUR/BRL",'Histórico'!$A$1:$FG$983,MATCH($B$6,'Histórico'!$A:$A),FALSE),  HLOOKUP(AB113,'Histórico'!$A$1:$DD$990,MATCH($B$6,'Histórico'!$A:$A),FALSE))),"")</f>
        <v/>
      </c>
      <c r="AF113" s="243" t="str">
        <f t="shared" si="15"/>
        <v/>
      </c>
      <c r="AG113" s="53"/>
      <c r="AH113" s="245"/>
      <c r="AI113" s="242" t="str">
        <f>IF(ISTEXT(AH113),VLOOKUP(AH113,'Cadastro dos Ativos'!$A$2:$C$1000,3,0),"")</f>
        <v/>
      </c>
      <c r="AJ113" s="242" t="str">
        <f>IF(AH113 &lt;&gt; "",SUMIFS('Alocação'!$O$3:$O$1002,'Alocação'!$C$3:$C$1002,AH113,'Alocação'!$F$3:$F$1002,AH$9,'Alocação'!$B$3:$B$1002,"&lt;="&amp;$B$6), "")</f>
        <v/>
      </c>
      <c r="AK113" s="243" t="str">
        <f>iferror(IF(AI113="Ações Americanas", HLOOKUP(AH113,'Histórico'!$A$1:$DD$990,MATCH($B$6,'Histórico'!$A:$A),FALSE)*HLOOKUP("PTAX",'Histórico'!$A$1:$FG$983,MATCH($B$6,'Histórico'!$A:$A),FALSE),IF(AI113="Ações Europeias", HLOOKUP(AH113,'Histórico'!$A$1:$DD$990,MATCH($B$6,'Histórico'!$A:$A),FALSE)*HLOOKUP("EUR/BRL",'Histórico'!$A$1:$FG$983,MATCH($B$6,'Histórico'!$A:$A),FALSE),  HLOOKUP(AH113,'Histórico'!$A$1:$DD$990,MATCH($B$6,'Histórico'!$A:$A),FALSE))),"")</f>
        <v/>
      </c>
      <c r="AL113" s="243" t="str">
        <f t="shared" si="11"/>
        <v/>
      </c>
      <c r="AM113" s="53"/>
      <c r="AN113" s="245"/>
      <c r="AO113" s="242" t="str">
        <f>IF(ISTEXT(AN113),VLOOKUP(AN113,'Cadastro dos Ativos'!$A$2:$C$1000,3,0),"")</f>
        <v/>
      </c>
      <c r="AP113" s="242" t="str">
        <f>IF(AN113 &lt;&gt; "",SUMIFS('Alocação'!$O$3:$O$1002,'Alocação'!$C$3:$C$1002,AN113,'Alocação'!$F$3:$F$1002,AN$9,'Alocação'!$B$3:$B$1002,"&lt;="&amp;$B$6), "")</f>
        <v/>
      </c>
      <c r="AQ113" s="243" t="str">
        <f>iferror(IF(AO113="Ações Americanas", HLOOKUP(AN113,'Histórico'!$A$1:$DD$990,MATCH($B$6,'Histórico'!$A:$A),FALSE)*HLOOKUP("PTAX",'Histórico'!$A$1:$FG$983,MATCH($B$6,'Histórico'!$A:$A),FALSE),IF(AO113="Ações Europeias", HLOOKUP(AN113,'Histórico'!$A$1:$DD$990,MATCH($B$6,'Histórico'!$A:$A),FALSE)*HLOOKUP("EUR/BRL",'Histórico'!$A$1:$FG$983,MATCH($B$6,'Histórico'!$A:$A),FALSE),  HLOOKUP(AN113,'Histórico'!$A$1:$DD$990,MATCH($B$6,'Histórico'!$A:$A),FALSE))),"")</f>
        <v/>
      </c>
      <c r="AR113" s="243" t="str">
        <f t="shared" si="12"/>
        <v/>
      </c>
      <c r="AS113" s="53"/>
      <c r="AT113" s="245"/>
      <c r="AU113" s="242" t="str">
        <f>IF(ISTEXT(AT113),VLOOKUP(AT113,'Cadastro dos Ativos'!$A$2:$C$1000,3,0),"")</f>
        <v/>
      </c>
      <c r="AV113" s="242" t="str">
        <f>IF(AT113 &lt;&gt; "",SUMIFS('Alocação'!$O$3:$O$1002,'Alocação'!$C$3:$C$1002,AT113,'Alocação'!$F$3:$F$1002,AT$9,'Alocação'!$B$3:$B$1002,"&lt;="&amp;$B$6), "")</f>
        <v/>
      </c>
      <c r="AW113" s="243" t="str">
        <f>iferror(IF(AU113="Ações Americanas", HLOOKUP(AT113,'Histórico'!$A$1:$DD$990,MATCH($B$6,'Histórico'!$A:$A),FALSE)*HLOOKUP("PTAX",'Histórico'!$A$1:$FG$983,MATCH($B$6,'Histórico'!$A:$A),FALSE),IF(AU113="Ações Europeias", HLOOKUP(AT113,'Histórico'!$A$1:$DD$990,MATCH($B$6,'Histórico'!$A:$A),FALSE)*HLOOKUP("EUR/BRL",'Histórico'!$A$1:$FG$983,MATCH($B$6,'Histórico'!$A:$A),FALSE),  HLOOKUP(AT113,'Histórico'!$A$1:$DD$990,MATCH($B$6,'Histórico'!$A:$A),FALSE))),"")</f>
        <v/>
      </c>
      <c r="AX113" s="243" t="str">
        <f t="shared" si="13"/>
        <v/>
      </c>
      <c r="AY113" s="53"/>
    </row>
    <row r="114" ht="15.75" customHeight="1">
      <c r="A114" s="176"/>
      <c r="B114" s="288">
        <f>Controle!B114</f>
        <v>45155</v>
      </c>
      <c r="C114" s="233">
        <f>Controle!C114</f>
        <v>108074241.4</v>
      </c>
      <c r="D114" s="289">
        <f>Controle!D114</f>
        <v>117539856.8</v>
      </c>
      <c r="E114" s="290"/>
      <c r="F114" s="291">
        <f>Controle!F114</f>
        <v>111155618.8</v>
      </c>
      <c r="G114" s="289">
        <f>Controle!G114</f>
        <v>103290633.9</v>
      </c>
      <c r="H114" s="290"/>
      <c r="I114" s="291">
        <f>Controle!I114</f>
        <v>108461869.2</v>
      </c>
      <c r="J114" s="233">
        <f>Controle!J114</f>
        <v>86553013.33</v>
      </c>
      <c r="K114" s="292"/>
      <c r="L114" s="233">
        <f>Controle!L114</f>
        <v>103263571.7</v>
      </c>
      <c r="M114" s="233">
        <f>Controle!M114</f>
        <v>73687986.77</v>
      </c>
      <c r="N114" s="235">
        <f>Controle!N114</f>
        <v>0.001679173862</v>
      </c>
      <c r="O114" s="235">
        <f>Controle!O114</f>
        <v>-0.00005938886769</v>
      </c>
      <c r="P114" s="235">
        <f>Controle!P114</f>
        <v>-0.0006063405967</v>
      </c>
      <c r="Q114" s="235">
        <f>Controle!Q114</f>
        <v>-0.00208682786</v>
      </c>
      <c r="R114" s="293">
        <f>Controle!R114</f>
        <v>105.230814</v>
      </c>
      <c r="S114" s="287"/>
      <c r="T114" s="233">
        <f t="shared" ref="T114:U114" si="117">IF(AND(C114&lt;&gt;"",F114&lt;&gt;"",I114&lt;&gt;""), SUM(I114,F114,C114),"")</f>
        <v>327691729.4</v>
      </c>
      <c r="U114" s="233">
        <f t="shared" si="117"/>
        <v>307383504.1</v>
      </c>
      <c r="V114" s="233">
        <f t="shared" si="6"/>
        <v>327.6917294</v>
      </c>
      <c r="W114" s="241">
        <f t="shared" si="9"/>
        <v>0.0003320218146</v>
      </c>
      <c r="X114" s="241">
        <f t="shared" si="10"/>
        <v>0</v>
      </c>
      <c r="Y114" s="241">
        <f t="shared" si="19"/>
        <v>0.0007556300118</v>
      </c>
      <c r="Z114" s="233">
        <f t="shared" si="7"/>
        <v>315.692442</v>
      </c>
      <c r="AA114" s="294"/>
      <c r="AB114" s="245"/>
      <c r="AC114" s="242" t="str">
        <f>IF(ISTEXT(AB114),VLOOKUP(AB114,'Cadastro dos Ativos'!$A$2:$C$1000,3,0),"")</f>
        <v/>
      </c>
      <c r="AD114" s="242" t="str">
        <f>IF(AB114 &lt;&gt; "",SUMIFS('Alocação'!$O$3:$O$1002,'Alocação'!$C$3:$C$1002,AB114,'Alocação'!$F$3:$F$1002,AB$9,'Alocação'!$B$3:$B$1002,"&lt;="&amp;$B$6), "")</f>
        <v/>
      </c>
      <c r="AE114" s="243" t="str">
        <f>iferror(IF(AC114="Ações Americanas", HLOOKUP(AB114,'Histórico'!$A$1:$DD$990,MATCH($B$6,'Histórico'!$A:$A),FALSE)*HLOOKUP("PTAX",'Histórico'!$A$1:$FG$983,MATCH($B$6,'Histórico'!$A:$A),FALSE),IF(AC114="Ações Europeias", HLOOKUP(AB114,'Histórico'!$A$1:$DD$990,MATCH($B$6,'Histórico'!$A:$A),FALSE)*HLOOKUP("EUR/BRL",'Histórico'!$A$1:$FG$983,MATCH($B$6,'Histórico'!$A:$A),FALSE),  HLOOKUP(AB114,'Histórico'!$A$1:$DD$990,MATCH($B$6,'Histórico'!$A:$A),FALSE))),"")</f>
        <v/>
      </c>
      <c r="AF114" s="243" t="str">
        <f t="shared" si="15"/>
        <v/>
      </c>
      <c r="AG114" s="53"/>
      <c r="AH114" s="245"/>
      <c r="AI114" s="242" t="str">
        <f>IF(ISTEXT(AH114),VLOOKUP(AH114,'Cadastro dos Ativos'!$A$2:$C$1000,3,0),"")</f>
        <v/>
      </c>
      <c r="AJ114" s="242" t="str">
        <f>IF(AH114 &lt;&gt; "",SUMIFS('Alocação'!$O$3:$O$1002,'Alocação'!$C$3:$C$1002,AH114,'Alocação'!$F$3:$F$1002,AH$9,'Alocação'!$B$3:$B$1002,"&lt;="&amp;$B$6), "")</f>
        <v/>
      </c>
      <c r="AK114" s="243" t="str">
        <f>iferror(IF(AI114="Ações Americanas", HLOOKUP(AH114,'Histórico'!$A$1:$DD$990,MATCH($B$6,'Histórico'!$A:$A),FALSE)*HLOOKUP("PTAX",'Histórico'!$A$1:$FG$983,MATCH($B$6,'Histórico'!$A:$A),FALSE),IF(AI114="Ações Europeias", HLOOKUP(AH114,'Histórico'!$A$1:$DD$990,MATCH($B$6,'Histórico'!$A:$A),FALSE)*HLOOKUP("EUR/BRL",'Histórico'!$A$1:$FG$983,MATCH($B$6,'Histórico'!$A:$A),FALSE),  HLOOKUP(AH114,'Histórico'!$A$1:$DD$990,MATCH($B$6,'Histórico'!$A:$A),FALSE))),"")</f>
        <v/>
      </c>
      <c r="AL114" s="243" t="str">
        <f t="shared" si="11"/>
        <v/>
      </c>
      <c r="AM114" s="53"/>
      <c r="AN114" s="245"/>
      <c r="AO114" s="242" t="str">
        <f>IF(ISTEXT(AN114),VLOOKUP(AN114,'Cadastro dos Ativos'!$A$2:$C$1000,3,0),"")</f>
        <v/>
      </c>
      <c r="AP114" s="242" t="str">
        <f>IF(AN114 &lt;&gt; "",SUMIFS('Alocação'!$O$3:$O$1002,'Alocação'!$C$3:$C$1002,AN114,'Alocação'!$F$3:$F$1002,AN$9,'Alocação'!$B$3:$B$1002,"&lt;="&amp;$B$6), "")</f>
        <v/>
      </c>
      <c r="AQ114" s="243" t="str">
        <f>iferror(IF(AO114="Ações Americanas", HLOOKUP(AN114,'Histórico'!$A$1:$DD$990,MATCH($B$6,'Histórico'!$A:$A),FALSE)*HLOOKUP("PTAX",'Histórico'!$A$1:$FG$983,MATCH($B$6,'Histórico'!$A:$A),FALSE),IF(AO114="Ações Europeias", HLOOKUP(AN114,'Histórico'!$A$1:$DD$990,MATCH($B$6,'Histórico'!$A:$A),FALSE)*HLOOKUP("EUR/BRL",'Histórico'!$A$1:$FG$983,MATCH($B$6,'Histórico'!$A:$A),FALSE),  HLOOKUP(AN114,'Histórico'!$A$1:$DD$990,MATCH($B$6,'Histórico'!$A:$A),FALSE))),"")</f>
        <v/>
      </c>
      <c r="AR114" s="243" t="str">
        <f t="shared" si="12"/>
        <v/>
      </c>
      <c r="AS114" s="53"/>
      <c r="AT114" s="245"/>
      <c r="AU114" s="242" t="str">
        <f>IF(ISTEXT(AT114),VLOOKUP(AT114,'Cadastro dos Ativos'!$A$2:$C$1000,3,0),"")</f>
        <v/>
      </c>
      <c r="AV114" s="242" t="str">
        <f>IF(AT114 &lt;&gt; "",SUMIFS('Alocação'!$O$3:$O$1002,'Alocação'!$C$3:$C$1002,AT114,'Alocação'!$F$3:$F$1002,AT$9,'Alocação'!$B$3:$B$1002,"&lt;="&amp;$B$6), "")</f>
        <v/>
      </c>
      <c r="AW114" s="243" t="str">
        <f>iferror(IF(AU114="Ações Americanas", HLOOKUP(AT114,'Histórico'!$A$1:$DD$990,MATCH($B$6,'Histórico'!$A:$A),FALSE)*HLOOKUP("PTAX",'Histórico'!$A$1:$FG$983,MATCH($B$6,'Histórico'!$A:$A),FALSE),IF(AU114="Ações Europeias", HLOOKUP(AT114,'Histórico'!$A$1:$DD$990,MATCH($B$6,'Histórico'!$A:$A),FALSE)*HLOOKUP("EUR/BRL",'Histórico'!$A$1:$FG$983,MATCH($B$6,'Histórico'!$A:$A),FALSE),  HLOOKUP(AT114,'Histórico'!$A$1:$DD$990,MATCH($B$6,'Histórico'!$A:$A),FALSE))),"")</f>
        <v/>
      </c>
      <c r="AX114" s="243" t="str">
        <f t="shared" si="13"/>
        <v/>
      </c>
      <c r="AY114" s="53"/>
    </row>
    <row r="115" ht="15.75" customHeight="1">
      <c r="A115" s="176"/>
      <c r="B115" s="288">
        <f>Controle!B115</f>
        <v>45156</v>
      </c>
      <c r="C115" s="233">
        <f>Controle!C115</f>
        <v>107844020</v>
      </c>
      <c r="D115" s="289">
        <f>Controle!D115</f>
        <v>117338535.6</v>
      </c>
      <c r="E115" s="290"/>
      <c r="F115" s="291">
        <f>Controle!F115</f>
        <v>111220201</v>
      </c>
      <c r="G115" s="289">
        <f>Controle!G115</f>
        <v>103344216.7</v>
      </c>
      <c r="H115" s="290"/>
      <c r="I115" s="291">
        <f>Controle!I115</f>
        <v>108428365.9</v>
      </c>
      <c r="J115" s="233">
        <f>Controle!J115</f>
        <v>86589048.02</v>
      </c>
      <c r="K115" s="292"/>
      <c r="L115" s="233">
        <f>Controle!L115</f>
        <v>103539004.2</v>
      </c>
      <c r="M115" s="233">
        <f>Controle!M115</f>
        <v>73718019.97</v>
      </c>
      <c r="N115" s="235">
        <f>Controle!N115</f>
        <v>-0.002130215443</v>
      </c>
      <c r="O115" s="235">
        <f>Controle!O115</f>
        <v>0.0005810073513</v>
      </c>
      <c r="P115" s="235">
        <f>Controle!P115</f>
        <v>-0.0003088945186</v>
      </c>
      <c r="Q115" s="235">
        <f>Controle!Q115</f>
        <v>0.002667277217</v>
      </c>
      <c r="R115" s="293">
        <f>Controle!R115</f>
        <v>105.282416</v>
      </c>
      <c r="S115" s="287"/>
      <c r="T115" s="233">
        <f t="shared" ref="T115:U115" si="118">IF(AND(C115&lt;&gt;"",F115&lt;&gt;"",I115&lt;&gt;""), SUM(I115,F115,C115),"")</f>
        <v>327492586.9</v>
      </c>
      <c r="U115" s="233">
        <f t="shared" si="118"/>
        <v>307271800.4</v>
      </c>
      <c r="V115" s="233">
        <f t="shared" si="6"/>
        <v>327.4925869</v>
      </c>
      <c r="W115" s="241">
        <f t="shared" si="9"/>
        <v>-0.0006077128147</v>
      </c>
      <c r="X115" s="241">
        <f t="shared" si="10"/>
        <v>-0.0006077128147</v>
      </c>
      <c r="Y115" s="241">
        <f t="shared" si="19"/>
        <v>0.001023959012</v>
      </c>
      <c r="Z115" s="233">
        <f t="shared" si="7"/>
        <v>315.8472481</v>
      </c>
      <c r="AA115" s="294"/>
      <c r="AB115" s="245"/>
      <c r="AC115" s="242" t="str">
        <f>IF(ISTEXT(AB115),VLOOKUP(AB115,'Cadastro dos Ativos'!$A$2:$C$1000,3,0),"")</f>
        <v/>
      </c>
      <c r="AD115" s="242" t="str">
        <f>IF(AB115 &lt;&gt; "",SUMIFS('Alocação'!$O$3:$O$1002,'Alocação'!$C$3:$C$1002,AB115,'Alocação'!$F$3:$F$1002,AB$9,'Alocação'!$B$3:$B$1002,"&lt;="&amp;$B$6), "")</f>
        <v/>
      </c>
      <c r="AE115" s="243" t="str">
        <f>iferror(IF(AC115="Ações Americanas", HLOOKUP(AB115,'Histórico'!$A$1:$DD$990,MATCH($B$6,'Histórico'!$A:$A),FALSE)*HLOOKUP("PTAX",'Histórico'!$A$1:$FG$983,MATCH($B$6,'Histórico'!$A:$A),FALSE),IF(AC115="Ações Europeias", HLOOKUP(AB115,'Histórico'!$A$1:$DD$990,MATCH($B$6,'Histórico'!$A:$A),FALSE)*HLOOKUP("EUR/BRL",'Histórico'!$A$1:$FG$983,MATCH($B$6,'Histórico'!$A:$A),FALSE),  HLOOKUP(AB115,'Histórico'!$A$1:$DD$990,MATCH($B$6,'Histórico'!$A:$A),FALSE))),"")</f>
        <v/>
      </c>
      <c r="AF115" s="243" t="str">
        <f t="shared" si="15"/>
        <v/>
      </c>
      <c r="AG115" s="53"/>
      <c r="AH115" s="245"/>
      <c r="AI115" s="242" t="str">
        <f>IF(ISTEXT(AH115),VLOOKUP(AH115,'Cadastro dos Ativos'!$A$2:$C$1000,3,0),"")</f>
        <v/>
      </c>
      <c r="AJ115" s="242" t="str">
        <f>IF(AH115 &lt;&gt; "",SUMIFS('Alocação'!$O$3:$O$1002,'Alocação'!$C$3:$C$1002,AH115,'Alocação'!$F$3:$F$1002,AH$9,'Alocação'!$B$3:$B$1002,"&lt;="&amp;$B$6), "")</f>
        <v/>
      </c>
      <c r="AK115" s="243" t="str">
        <f>iferror(IF(AI115="Ações Americanas", HLOOKUP(AH115,'Histórico'!$A$1:$DD$990,MATCH($B$6,'Histórico'!$A:$A),FALSE)*HLOOKUP("PTAX",'Histórico'!$A$1:$FG$983,MATCH($B$6,'Histórico'!$A:$A),FALSE),IF(AI115="Ações Europeias", HLOOKUP(AH115,'Histórico'!$A$1:$DD$990,MATCH($B$6,'Histórico'!$A:$A),FALSE)*HLOOKUP("EUR/BRL",'Histórico'!$A$1:$FG$983,MATCH($B$6,'Histórico'!$A:$A),FALSE),  HLOOKUP(AH115,'Histórico'!$A$1:$DD$990,MATCH($B$6,'Histórico'!$A:$A),FALSE))),"")</f>
        <v/>
      </c>
      <c r="AL115" s="243" t="str">
        <f t="shared" si="11"/>
        <v/>
      </c>
      <c r="AM115" s="53"/>
      <c r="AN115" s="245"/>
      <c r="AO115" s="242" t="str">
        <f>IF(ISTEXT(AN115),VLOOKUP(AN115,'Cadastro dos Ativos'!$A$2:$C$1000,3,0),"")</f>
        <v/>
      </c>
      <c r="AP115" s="242" t="str">
        <f>IF(AN115 &lt;&gt; "",SUMIFS('Alocação'!$O$3:$O$1002,'Alocação'!$C$3:$C$1002,AN115,'Alocação'!$F$3:$F$1002,AN$9,'Alocação'!$B$3:$B$1002,"&lt;="&amp;$B$6), "")</f>
        <v/>
      </c>
      <c r="AQ115" s="243" t="str">
        <f>iferror(IF(AO115="Ações Americanas", HLOOKUP(AN115,'Histórico'!$A$1:$DD$990,MATCH($B$6,'Histórico'!$A:$A),FALSE)*HLOOKUP("PTAX",'Histórico'!$A$1:$FG$983,MATCH($B$6,'Histórico'!$A:$A),FALSE),IF(AO115="Ações Europeias", HLOOKUP(AN115,'Histórico'!$A$1:$DD$990,MATCH($B$6,'Histórico'!$A:$A),FALSE)*HLOOKUP("EUR/BRL",'Histórico'!$A$1:$FG$983,MATCH($B$6,'Histórico'!$A:$A),FALSE),  HLOOKUP(AN115,'Histórico'!$A$1:$DD$990,MATCH($B$6,'Histórico'!$A:$A),FALSE))),"")</f>
        <v/>
      </c>
      <c r="AR115" s="243" t="str">
        <f t="shared" si="12"/>
        <v/>
      </c>
      <c r="AS115" s="53"/>
      <c r="AT115" s="245"/>
      <c r="AU115" s="242" t="str">
        <f>IF(ISTEXT(AT115),VLOOKUP(AT115,'Cadastro dos Ativos'!$A$2:$C$1000,3,0),"")</f>
        <v/>
      </c>
      <c r="AV115" s="242" t="str">
        <f>IF(AT115 &lt;&gt; "",SUMIFS('Alocação'!$O$3:$O$1002,'Alocação'!$C$3:$C$1002,AT115,'Alocação'!$F$3:$F$1002,AT$9,'Alocação'!$B$3:$B$1002,"&lt;="&amp;$B$6), "")</f>
        <v/>
      </c>
      <c r="AW115" s="243" t="str">
        <f>iferror(IF(AU115="Ações Americanas", HLOOKUP(AT115,'Histórico'!$A$1:$DD$990,MATCH($B$6,'Histórico'!$A:$A),FALSE)*HLOOKUP("PTAX",'Histórico'!$A$1:$FG$983,MATCH($B$6,'Histórico'!$A:$A),FALSE),IF(AU115="Ações Europeias", HLOOKUP(AT115,'Histórico'!$A$1:$DD$990,MATCH($B$6,'Histórico'!$A:$A),FALSE)*HLOOKUP("EUR/BRL",'Histórico'!$A$1:$FG$983,MATCH($B$6,'Histórico'!$A:$A),FALSE),  HLOOKUP(AT115,'Histórico'!$A$1:$DD$990,MATCH($B$6,'Histórico'!$A:$A),FALSE))),"")</f>
        <v/>
      </c>
      <c r="AX115" s="243" t="str">
        <f t="shared" si="13"/>
        <v/>
      </c>
      <c r="AY115" s="53"/>
    </row>
    <row r="116" ht="15.75" customHeight="1">
      <c r="A116" s="176"/>
      <c r="B116" s="288">
        <f>Controle!B116</f>
        <v>45159</v>
      </c>
      <c r="C116" s="233">
        <f>Controle!C116</f>
        <v>108068702.4</v>
      </c>
      <c r="D116" s="289">
        <f>Controle!D116</f>
        <v>117485868.1</v>
      </c>
      <c r="E116" s="290"/>
      <c r="F116" s="291">
        <f>Controle!F116</f>
        <v>111245718.7</v>
      </c>
      <c r="G116" s="289">
        <f>Controle!G116</f>
        <v>103411734.7</v>
      </c>
      <c r="H116" s="290"/>
      <c r="I116" s="291">
        <f>Controle!I116</f>
        <v>108262912.4</v>
      </c>
      <c r="J116" s="233">
        <f>Controle!J116</f>
        <v>86625102.36</v>
      </c>
      <c r="K116" s="292"/>
      <c r="L116" s="233">
        <f>Controle!L116</f>
        <v>103859736.1</v>
      </c>
      <c r="M116" s="233">
        <f>Controle!M116</f>
        <v>73748051.62</v>
      </c>
      <c r="N116" s="235">
        <f>Controle!N116</f>
        <v>0.002083401323</v>
      </c>
      <c r="O116" s="235">
        <f>Controle!O116</f>
        <v>0.0002294336836</v>
      </c>
      <c r="P116" s="235">
        <f>Controle!P116</f>
        <v>-0.001525924728</v>
      </c>
      <c r="Q116" s="235">
        <f>Controle!Q116</f>
        <v>0.003097690827</v>
      </c>
      <c r="R116" s="293">
        <f>Controle!R116</f>
        <v>105.3340434</v>
      </c>
      <c r="S116" s="287"/>
      <c r="T116" s="233">
        <f t="shared" ref="T116:U116" si="119">IF(AND(C116&lt;&gt;"",F116&lt;&gt;"",I116&lt;&gt;""), SUM(I116,F116,C116),"")</f>
        <v>327577333.5</v>
      </c>
      <c r="U116" s="233">
        <f t="shared" si="119"/>
        <v>307522705.2</v>
      </c>
      <c r="V116" s="233">
        <f t="shared" si="6"/>
        <v>327.5773335</v>
      </c>
      <c r="W116" s="241">
        <f t="shared" si="9"/>
        <v>0.0002587738254</v>
      </c>
      <c r="X116" s="241">
        <f t="shared" si="10"/>
        <v>-0.0003490962495</v>
      </c>
      <c r="Y116" s="241">
        <f t="shared" si="19"/>
        <v>0.0006898822282</v>
      </c>
      <c r="Z116" s="233">
        <f t="shared" si="7"/>
        <v>316.0021301</v>
      </c>
      <c r="AA116" s="294"/>
      <c r="AB116" s="245"/>
      <c r="AC116" s="242" t="str">
        <f>IF(ISTEXT(AB116),VLOOKUP(AB116,'Cadastro dos Ativos'!$A$2:$C$1000,3,0),"")</f>
        <v/>
      </c>
      <c r="AD116" s="242" t="str">
        <f>IF(AB116 &lt;&gt; "",SUMIFS('Alocação'!$O$3:$O$1002,'Alocação'!$C$3:$C$1002,AB116,'Alocação'!$F$3:$F$1002,AB$9,'Alocação'!$B$3:$B$1002,"&lt;="&amp;$B$6), "")</f>
        <v/>
      </c>
      <c r="AE116" s="243" t="str">
        <f>iferror(IF(AC116="Ações Americanas", HLOOKUP(AB116,'Histórico'!$A$1:$DD$990,MATCH($B$6,'Histórico'!$A:$A),FALSE)*HLOOKUP("PTAX",'Histórico'!$A$1:$FG$983,MATCH($B$6,'Histórico'!$A:$A),FALSE),IF(AC116="Ações Europeias", HLOOKUP(AB116,'Histórico'!$A$1:$DD$990,MATCH($B$6,'Histórico'!$A:$A),FALSE)*HLOOKUP("EUR/BRL",'Histórico'!$A$1:$FG$983,MATCH($B$6,'Histórico'!$A:$A),FALSE),  HLOOKUP(AB116,'Histórico'!$A$1:$DD$990,MATCH($B$6,'Histórico'!$A:$A),FALSE))),"")</f>
        <v/>
      </c>
      <c r="AF116" s="243" t="str">
        <f t="shared" si="15"/>
        <v/>
      </c>
      <c r="AG116" s="53"/>
      <c r="AH116" s="245"/>
      <c r="AI116" s="242" t="str">
        <f>IF(ISTEXT(AH116),VLOOKUP(AH116,'Cadastro dos Ativos'!$A$2:$C$1000,3,0),"")</f>
        <v/>
      </c>
      <c r="AJ116" s="242" t="str">
        <f>IF(AH116 &lt;&gt; "",SUMIFS('Alocação'!$O$3:$O$1002,'Alocação'!$C$3:$C$1002,AH116,'Alocação'!$F$3:$F$1002,AH$9,'Alocação'!$B$3:$B$1002,"&lt;="&amp;$B$6), "")</f>
        <v/>
      </c>
      <c r="AK116" s="243" t="str">
        <f>iferror(IF(AI116="Ações Americanas", HLOOKUP(AH116,'Histórico'!$A$1:$DD$990,MATCH($B$6,'Histórico'!$A:$A),FALSE)*HLOOKUP("PTAX",'Histórico'!$A$1:$FG$983,MATCH($B$6,'Histórico'!$A:$A),FALSE),IF(AI116="Ações Europeias", HLOOKUP(AH116,'Histórico'!$A$1:$DD$990,MATCH($B$6,'Histórico'!$A:$A),FALSE)*HLOOKUP("EUR/BRL",'Histórico'!$A$1:$FG$983,MATCH($B$6,'Histórico'!$A:$A),FALSE),  HLOOKUP(AH116,'Histórico'!$A$1:$DD$990,MATCH($B$6,'Histórico'!$A:$A),FALSE))),"")</f>
        <v/>
      </c>
      <c r="AL116" s="243" t="str">
        <f t="shared" si="11"/>
        <v/>
      </c>
      <c r="AM116" s="53"/>
      <c r="AN116" s="245"/>
      <c r="AO116" s="242" t="str">
        <f>IF(ISTEXT(AN116),VLOOKUP(AN116,'Cadastro dos Ativos'!$A$2:$C$1000,3,0),"")</f>
        <v/>
      </c>
      <c r="AP116" s="242" t="str">
        <f>IF(AN116 &lt;&gt; "",SUMIFS('Alocação'!$O$3:$O$1002,'Alocação'!$C$3:$C$1002,AN116,'Alocação'!$F$3:$F$1002,AN$9,'Alocação'!$B$3:$B$1002,"&lt;="&amp;$B$6), "")</f>
        <v/>
      </c>
      <c r="AQ116" s="243" t="str">
        <f>iferror(IF(AO116="Ações Americanas", HLOOKUP(AN116,'Histórico'!$A$1:$DD$990,MATCH($B$6,'Histórico'!$A:$A),FALSE)*HLOOKUP("PTAX",'Histórico'!$A$1:$FG$983,MATCH($B$6,'Histórico'!$A:$A),FALSE),IF(AO116="Ações Europeias", HLOOKUP(AN116,'Histórico'!$A$1:$DD$990,MATCH($B$6,'Histórico'!$A:$A),FALSE)*HLOOKUP("EUR/BRL",'Histórico'!$A$1:$FG$983,MATCH($B$6,'Histórico'!$A:$A),FALSE),  HLOOKUP(AN116,'Histórico'!$A$1:$DD$990,MATCH($B$6,'Histórico'!$A:$A),FALSE))),"")</f>
        <v/>
      </c>
      <c r="AR116" s="243" t="str">
        <f t="shared" si="12"/>
        <v/>
      </c>
      <c r="AS116" s="53"/>
      <c r="AT116" s="245"/>
      <c r="AU116" s="242" t="str">
        <f>IF(ISTEXT(AT116),VLOOKUP(AT116,'Cadastro dos Ativos'!$A$2:$C$1000,3,0),"")</f>
        <v/>
      </c>
      <c r="AV116" s="242" t="str">
        <f>IF(AT116 &lt;&gt; "",SUMIFS('Alocação'!$O$3:$O$1002,'Alocação'!$C$3:$C$1002,AT116,'Alocação'!$F$3:$F$1002,AT$9,'Alocação'!$B$3:$B$1002,"&lt;="&amp;$B$6), "")</f>
        <v/>
      </c>
      <c r="AW116" s="243" t="str">
        <f>iferror(IF(AU116="Ações Americanas", HLOOKUP(AT116,'Histórico'!$A$1:$DD$990,MATCH($B$6,'Histórico'!$A:$A),FALSE)*HLOOKUP("PTAX",'Histórico'!$A$1:$FG$983,MATCH($B$6,'Histórico'!$A:$A),FALSE),IF(AU116="Ações Europeias", HLOOKUP(AT116,'Histórico'!$A$1:$DD$990,MATCH($B$6,'Histórico'!$A:$A),FALSE)*HLOOKUP("EUR/BRL",'Histórico'!$A$1:$FG$983,MATCH($B$6,'Histórico'!$A:$A),FALSE),  HLOOKUP(AT116,'Histórico'!$A$1:$DD$990,MATCH($B$6,'Histórico'!$A:$A),FALSE))),"")</f>
        <v/>
      </c>
      <c r="AX116" s="243" t="str">
        <f t="shared" si="13"/>
        <v/>
      </c>
      <c r="AY116" s="53"/>
    </row>
    <row r="117" ht="15.75" customHeight="1">
      <c r="A117" s="176"/>
      <c r="B117" s="288">
        <f>Controle!B117</f>
        <v>45160</v>
      </c>
      <c r="C117" s="233">
        <f>Controle!C117</f>
        <v>107441575.8</v>
      </c>
      <c r="D117" s="289">
        <f>Controle!D117</f>
        <v>116996442.1</v>
      </c>
      <c r="E117" s="290"/>
      <c r="F117" s="291">
        <f>Controle!F117</f>
        <v>111340587.1</v>
      </c>
      <c r="G117" s="289">
        <f>Controle!G117</f>
        <v>103402603.4</v>
      </c>
      <c r="H117" s="290"/>
      <c r="I117" s="291">
        <f>Controle!I117</f>
        <v>108308912.4</v>
      </c>
      <c r="J117" s="233">
        <f>Controle!J117</f>
        <v>86661184.15</v>
      </c>
      <c r="K117" s="292"/>
      <c r="L117" s="233">
        <f>Controle!L117</f>
        <v>103986813.2</v>
      </c>
      <c r="M117" s="233">
        <f>Controle!M117</f>
        <v>73778079.06</v>
      </c>
      <c r="N117" s="235">
        <f>Controle!N117</f>
        <v>-0.005803036181</v>
      </c>
      <c r="O117" s="235">
        <f>Controle!O117</f>
        <v>0.0008527824177</v>
      </c>
      <c r="P117" s="235">
        <f>Controle!P117</f>
        <v>0.0004248917122</v>
      </c>
      <c r="Q117" s="235">
        <f>Controle!Q117</f>
        <v>0.001223545661</v>
      </c>
      <c r="R117" s="293">
        <f>Controle!R117</f>
        <v>105.385696</v>
      </c>
      <c r="S117" s="287"/>
      <c r="T117" s="233">
        <f t="shared" ref="T117:U117" si="120">IF(AND(C117&lt;&gt;"",F117&lt;&gt;"",I117&lt;&gt;""), SUM(I117,F117,C117),"")</f>
        <v>327091075.3</v>
      </c>
      <c r="U117" s="233">
        <f t="shared" si="120"/>
        <v>307060229.6</v>
      </c>
      <c r="V117" s="233">
        <f t="shared" si="6"/>
        <v>327.0910753</v>
      </c>
      <c r="W117" s="241">
        <f t="shared" si="9"/>
        <v>-0.001484407293</v>
      </c>
      <c r="X117" s="241">
        <f t="shared" si="10"/>
        <v>-0.001832985341</v>
      </c>
      <c r="Y117" s="241">
        <f t="shared" si="19"/>
        <v>0.000783864721</v>
      </c>
      <c r="Z117" s="233">
        <f t="shared" si="7"/>
        <v>316.157088</v>
      </c>
      <c r="AA117" s="294"/>
      <c r="AB117" s="245"/>
      <c r="AC117" s="242" t="str">
        <f>IF(ISTEXT(AB117),VLOOKUP(AB117,'Cadastro dos Ativos'!$A$2:$C$1000,3,0),"")</f>
        <v/>
      </c>
      <c r="AD117" s="242" t="str">
        <f>IF(AB117 &lt;&gt; "",SUMIFS('Alocação'!$O$3:$O$1002,'Alocação'!$C$3:$C$1002,AB117,'Alocação'!$F$3:$F$1002,AB$9,'Alocação'!$B$3:$B$1002,"&lt;="&amp;$B$6), "")</f>
        <v/>
      </c>
      <c r="AE117" s="243" t="str">
        <f>iferror(IF(AC117="Ações Americanas", HLOOKUP(AB117,'Histórico'!$A$1:$DD$990,MATCH($B$6,'Histórico'!$A:$A),FALSE)*HLOOKUP("PTAX",'Histórico'!$A$1:$FG$983,MATCH($B$6,'Histórico'!$A:$A),FALSE),IF(AC117="Ações Europeias", HLOOKUP(AB117,'Histórico'!$A$1:$DD$990,MATCH($B$6,'Histórico'!$A:$A),FALSE)*HLOOKUP("EUR/BRL",'Histórico'!$A$1:$FG$983,MATCH($B$6,'Histórico'!$A:$A),FALSE),  HLOOKUP(AB117,'Histórico'!$A$1:$DD$990,MATCH($B$6,'Histórico'!$A:$A),FALSE))),"")</f>
        <v/>
      </c>
      <c r="AF117" s="243" t="str">
        <f t="shared" si="15"/>
        <v/>
      </c>
      <c r="AG117" s="53"/>
      <c r="AH117" s="245"/>
      <c r="AI117" s="242" t="str">
        <f>IF(ISTEXT(AH117),VLOOKUP(AH117,'Cadastro dos Ativos'!$A$2:$C$1000,3,0),"")</f>
        <v/>
      </c>
      <c r="AJ117" s="242" t="str">
        <f>IF(AH117 &lt;&gt; "",SUMIFS('Alocação'!$O$3:$O$1002,'Alocação'!$C$3:$C$1002,AH117,'Alocação'!$F$3:$F$1002,AH$9,'Alocação'!$B$3:$B$1002,"&lt;="&amp;$B$6), "")</f>
        <v/>
      </c>
      <c r="AK117" s="243" t="str">
        <f>iferror(IF(AI117="Ações Americanas", HLOOKUP(AH117,'Histórico'!$A$1:$DD$990,MATCH($B$6,'Histórico'!$A:$A),FALSE)*HLOOKUP("PTAX",'Histórico'!$A$1:$FG$983,MATCH($B$6,'Histórico'!$A:$A),FALSE),IF(AI117="Ações Europeias", HLOOKUP(AH117,'Histórico'!$A$1:$DD$990,MATCH($B$6,'Histórico'!$A:$A),FALSE)*HLOOKUP("EUR/BRL",'Histórico'!$A$1:$FG$983,MATCH($B$6,'Histórico'!$A:$A),FALSE),  HLOOKUP(AH117,'Histórico'!$A$1:$DD$990,MATCH($B$6,'Histórico'!$A:$A),FALSE))),"")</f>
        <v/>
      </c>
      <c r="AL117" s="243" t="str">
        <f t="shared" si="11"/>
        <v/>
      </c>
      <c r="AM117" s="53"/>
      <c r="AN117" s="245"/>
      <c r="AO117" s="242" t="str">
        <f>IF(ISTEXT(AN117),VLOOKUP(AN117,'Cadastro dos Ativos'!$A$2:$C$1000,3,0),"")</f>
        <v/>
      </c>
      <c r="AP117" s="242" t="str">
        <f>IF(AN117 &lt;&gt; "",SUMIFS('Alocação'!$O$3:$O$1002,'Alocação'!$C$3:$C$1002,AN117,'Alocação'!$F$3:$F$1002,AN$9,'Alocação'!$B$3:$B$1002,"&lt;="&amp;$B$6), "")</f>
        <v/>
      </c>
      <c r="AQ117" s="243" t="str">
        <f>iferror(IF(AO117="Ações Americanas", HLOOKUP(AN117,'Histórico'!$A$1:$DD$990,MATCH($B$6,'Histórico'!$A:$A),FALSE)*HLOOKUP("PTAX",'Histórico'!$A$1:$FG$983,MATCH($B$6,'Histórico'!$A:$A),FALSE),IF(AO117="Ações Europeias", HLOOKUP(AN117,'Histórico'!$A$1:$DD$990,MATCH($B$6,'Histórico'!$A:$A),FALSE)*HLOOKUP("EUR/BRL",'Histórico'!$A$1:$FG$983,MATCH($B$6,'Histórico'!$A:$A),FALSE),  HLOOKUP(AN117,'Histórico'!$A$1:$DD$990,MATCH($B$6,'Histórico'!$A:$A),FALSE))),"")</f>
        <v/>
      </c>
      <c r="AR117" s="243" t="str">
        <f t="shared" si="12"/>
        <v/>
      </c>
      <c r="AS117" s="53"/>
      <c r="AT117" s="245"/>
      <c r="AU117" s="242" t="str">
        <f>IF(ISTEXT(AT117),VLOOKUP(AT117,'Cadastro dos Ativos'!$A$2:$C$1000,3,0),"")</f>
        <v/>
      </c>
      <c r="AV117" s="242" t="str">
        <f>IF(AT117 &lt;&gt; "",SUMIFS('Alocação'!$O$3:$O$1002,'Alocação'!$C$3:$C$1002,AT117,'Alocação'!$F$3:$F$1002,AT$9,'Alocação'!$B$3:$B$1002,"&lt;="&amp;$B$6), "")</f>
        <v/>
      </c>
      <c r="AW117" s="243" t="str">
        <f>iferror(IF(AU117="Ações Americanas", HLOOKUP(AT117,'Histórico'!$A$1:$DD$990,MATCH($B$6,'Histórico'!$A:$A),FALSE)*HLOOKUP("PTAX",'Histórico'!$A$1:$FG$983,MATCH($B$6,'Histórico'!$A:$A),FALSE),IF(AU117="Ações Europeias", HLOOKUP(AT117,'Histórico'!$A$1:$DD$990,MATCH($B$6,'Histórico'!$A:$A),FALSE)*HLOOKUP("EUR/BRL",'Histórico'!$A$1:$FG$983,MATCH($B$6,'Histórico'!$A:$A),FALSE),  HLOOKUP(AT117,'Histórico'!$A$1:$DD$990,MATCH($B$6,'Histórico'!$A:$A),FALSE))),"")</f>
        <v/>
      </c>
      <c r="AX117" s="243" t="str">
        <f t="shared" si="13"/>
        <v/>
      </c>
      <c r="AY117" s="53"/>
    </row>
    <row r="118" ht="15.75" customHeight="1">
      <c r="A118" s="176"/>
      <c r="B118" s="288">
        <f>Controle!B118</f>
        <v>45161</v>
      </c>
      <c r="C118" s="233">
        <f>Controle!C118</f>
        <v>106514827.9</v>
      </c>
      <c r="D118" s="289">
        <f>Controle!D118</f>
        <v>116230344.4</v>
      </c>
      <c r="E118" s="290"/>
      <c r="F118" s="291">
        <f>Controle!F118</f>
        <v>111472662.9</v>
      </c>
      <c r="G118" s="289">
        <f>Controle!G118</f>
        <v>103454679.1</v>
      </c>
      <c r="H118" s="290"/>
      <c r="I118" s="291">
        <f>Controle!I118</f>
        <v>108171593</v>
      </c>
      <c r="J118" s="233">
        <f>Controle!J118</f>
        <v>86697280.92</v>
      </c>
      <c r="K118" s="292"/>
      <c r="L118" s="233">
        <f>Controle!L118</f>
        <v>104323847.5</v>
      </c>
      <c r="M118" s="233">
        <f>Controle!M118</f>
        <v>73808113.7</v>
      </c>
      <c r="N118" s="235">
        <f>Controle!N118</f>
        <v>-0.008625598283</v>
      </c>
      <c r="O118" s="235">
        <f>Controle!O118</f>
        <v>0.001186232776</v>
      </c>
      <c r="P118" s="235">
        <f>Controle!P118</f>
        <v>-0.001267849447</v>
      </c>
      <c r="Q118" s="235">
        <f>Controle!Q118</f>
        <v>0.003241125414</v>
      </c>
      <c r="R118" s="293">
        <f>Controle!R118</f>
        <v>105.437374</v>
      </c>
      <c r="S118" s="287"/>
      <c r="T118" s="233">
        <f t="shared" ref="T118:U118" si="121">IF(AND(C118&lt;&gt;"",F118&lt;&gt;"",I118&lt;&gt;""), SUM(I118,F118,C118),"")</f>
        <v>326159083.9</v>
      </c>
      <c r="U118" s="233">
        <f t="shared" si="121"/>
        <v>306382304.4</v>
      </c>
      <c r="V118" s="233">
        <f t="shared" si="6"/>
        <v>326.1590839</v>
      </c>
      <c r="W118" s="241">
        <f t="shared" si="9"/>
        <v>-0.002849333055</v>
      </c>
      <c r="X118" s="241">
        <f t="shared" si="10"/>
        <v>-0.00467709561</v>
      </c>
      <c r="Y118" s="241">
        <f t="shared" si="19"/>
        <v>0.001330698777</v>
      </c>
      <c r="Z118" s="233">
        <f t="shared" si="7"/>
        <v>316.312122</v>
      </c>
      <c r="AA118" s="294"/>
      <c r="AB118" s="245"/>
      <c r="AC118" s="242" t="str">
        <f>IF(ISTEXT(AB118),VLOOKUP(AB118,'Cadastro dos Ativos'!$A$2:$C$1000,3,0),"")</f>
        <v/>
      </c>
      <c r="AD118" s="242" t="str">
        <f>IF(AB118 &lt;&gt; "",SUMIFS('Alocação'!$O$3:$O$1002,'Alocação'!$C$3:$C$1002,AB118,'Alocação'!$F$3:$F$1002,AB$9,'Alocação'!$B$3:$B$1002,"&lt;="&amp;$B$6), "")</f>
        <v/>
      </c>
      <c r="AE118" s="243" t="str">
        <f>iferror(IF(AC118="Ações Americanas", HLOOKUP(AB118,'Histórico'!$A$1:$DD$990,MATCH($B$6,'Histórico'!$A:$A),FALSE)*HLOOKUP("PTAX",'Histórico'!$A$1:$FG$983,MATCH($B$6,'Histórico'!$A:$A),FALSE),IF(AC118="Ações Europeias", HLOOKUP(AB118,'Histórico'!$A$1:$DD$990,MATCH($B$6,'Histórico'!$A:$A),FALSE)*HLOOKUP("EUR/BRL",'Histórico'!$A$1:$FG$983,MATCH($B$6,'Histórico'!$A:$A),FALSE),  HLOOKUP(AB118,'Histórico'!$A$1:$DD$990,MATCH($B$6,'Histórico'!$A:$A),FALSE))),"")</f>
        <v/>
      </c>
      <c r="AF118" s="243" t="str">
        <f t="shared" si="15"/>
        <v/>
      </c>
      <c r="AG118" s="53"/>
      <c r="AH118" s="245"/>
      <c r="AI118" s="242" t="str">
        <f>IF(ISTEXT(AH118),VLOOKUP(AH118,'Cadastro dos Ativos'!$A$2:$C$1000,3,0),"")</f>
        <v/>
      </c>
      <c r="AJ118" s="242" t="str">
        <f>IF(AH118 &lt;&gt; "",SUMIFS('Alocação'!$O$3:$O$1002,'Alocação'!$C$3:$C$1002,AH118,'Alocação'!$F$3:$F$1002,AH$9,'Alocação'!$B$3:$B$1002,"&lt;="&amp;$B$6), "")</f>
        <v/>
      </c>
      <c r="AK118" s="243" t="str">
        <f>iferror(IF(AI118="Ações Americanas", HLOOKUP(AH118,'Histórico'!$A$1:$DD$990,MATCH($B$6,'Histórico'!$A:$A),FALSE)*HLOOKUP("PTAX",'Histórico'!$A$1:$FG$983,MATCH($B$6,'Histórico'!$A:$A),FALSE),IF(AI118="Ações Europeias", HLOOKUP(AH118,'Histórico'!$A$1:$DD$990,MATCH($B$6,'Histórico'!$A:$A),FALSE)*HLOOKUP("EUR/BRL",'Histórico'!$A$1:$FG$983,MATCH($B$6,'Histórico'!$A:$A),FALSE),  HLOOKUP(AH118,'Histórico'!$A$1:$DD$990,MATCH($B$6,'Histórico'!$A:$A),FALSE))),"")</f>
        <v/>
      </c>
      <c r="AL118" s="243" t="str">
        <f t="shared" si="11"/>
        <v/>
      </c>
      <c r="AM118" s="53"/>
      <c r="AN118" s="245"/>
      <c r="AO118" s="242" t="str">
        <f>IF(ISTEXT(AN118),VLOOKUP(AN118,'Cadastro dos Ativos'!$A$2:$C$1000,3,0),"")</f>
        <v/>
      </c>
      <c r="AP118" s="242" t="str">
        <f>IF(AN118 &lt;&gt; "",SUMIFS('Alocação'!$O$3:$O$1002,'Alocação'!$C$3:$C$1002,AN118,'Alocação'!$F$3:$F$1002,AN$9,'Alocação'!$B$3:$B$1002,"&lt;="&amp;$B$6), "")</f>
        <v/>
      </c>
      <c r="AQ118" s="243" t="str">
        <f>iferror(IF(AO118="Ações Americanas", HLOOKUP(AN118,'Histórico'!$A$1:$DD$990,MATCH($B$6,'Histórico'!$A:$A),FALSE)*HLOOKUP("PTAX",'Histórico'!$A$1:$FG$983,MATCH($B$6,'Histórico'!$A:$A),FALSE),IF(AO118="Ações Europeias", HLOOKUP(AN118,'Histórico'!$A$1:$DD$990,MATCH($B$6,'Histórico'!$A:$A),FALSE)*HLOOKUP("EUR/BRL",'Histórico'!$A$1:$FG$983,MATCH($B$6,'Histórico'!$A:$A),FALSE),  HLOOKUP(AN118,'Histórico'!$A$1:$DD$990,MATCH($B$6,'Histórico'!$A:$A),FALSE))),"")</f>
        <v/>
      </c>
      <c r="AR118" s="243" t="str">
        <f t="shared" si="12"/>
        <v/>
      </c>
      <c r="AS118" s="53"/>
      <c r="AT118" s="245"/>
      <c r="AU118" s="242" t="str">
        <f>IF(ISTEXT(AT118),VLOOKUP(AT118,'Cadastro dos Ativos'!$A$2:$C$1000,3,0),"")</f>
        <v/>
      </c>
      <c r="AV118" s="242" t="str">
        <f>IF(AT118 &lt;&gt; "",SUMIFS('Alocação'!$O$3:$O$1002,'Alocação'!$C$3:$C$1002,AT118,'Alocação'!$F$3:$F$1002,AT$9,'Alocação'!$B$3:$B$1002,"&lt;="&amp;$B$6), "")</f>
        <v/>
      </c>
      <c r="AW118" s="243" t="str">
        <f>iferror(IF(AU118="Ações Americanas", HLOOKUP(AT118,'Histórico'!$A$1:$DD$990,MATCH($B$6,'Histórico'!$A:$A),FALSE)*HLOOKUP("PTAX",'Histórico'!$A$1:$FG$983,MATCH($B$6,'Histórico'!$A:$A),FALSE),IF(AU118="Ações Europeias", HLOOKUP(AT118,'Histórico'!$A$1:$DD$990,MATCH($B$6,'Histórico'!$A:$A),FALSE)*HLOOKUP("EUR/BRL",'Histórico'!$A$1:$FG$983,MATCH($B$6,'Histórico'!$A:$A),FALSE),  HLOOKUP(AT118,'Histórico'!$A$1:$DD$990,MATCH($B$6,'Histórico'!$A:$A),FALSE))),"")</f>
        <v/>
      </c>
      <c r="AX118" s="243" t="str">
        <f t="shared" si="13"/>
        <v/>
      </c>
      <c r="AY118" s="53"/>
    </row>
    <row r="119" ht="15.75" customHeight="1">
      <c r="A119" s="176"/>
      <c r="B119" s="288">
        <f>Controle!B119</f>
        <v>45162</v>
      </c>
      <c r="C119" s="233">
        <f>Controle!C119</f>
        <v>106774843.9</v>
      </c>
      <c r="D119" s="289">
        <f>Controle!D119</f>
        <v>116405359.5</v>
      </c>
      <c r="E119" s="290"/>
      <c r="F119" s="291">
        <f>Controle!F119</f>
        <v>111409989.4</v>
      </c>
      <c r="G119" s="289">
        <f>Controle!G119</f>
        <v>103444004.4</v>
      </c>
      <c r="H119" s="290"/>
      <c r="I119" s="291">
        <f>Controle!I119</f>
        <v>107724354.7</v>
      </c>
      <c r="J119" s="233">
        <f>Controle!J119</f>
        <v>86733403.51</v>
      </c>
      <c r="K119" s="292"/>
      <c r="L119" s="233">
        <f>Controle!L119</f>
        <v>104217727.3</v>
      </c>
      <c r="M119" s="233">
        <f>Controle!M119</f>
        <v>73838143.17</v>
      </c>
      <c r="N119" s="235">
        <f>Controle!N119</f>
        <v>0.002441124545</v>
      </c>
      <c r="O119" s="235">
        <f>Controle!O119</f>
        <v>-0.0005622323117</v>
      </c>
      <c r="P119" s="235">
        <f>Controle!P119</f>
        <v>-0.004134526631</v>
      </c>
      <c r="Q119" s="235">
        <f>Controle!Q119</f>
        <v>-0.001017219183</v>
      </c>
      <c r="R119" s="293">
        <f>Controle!R119</f>
        <v>105.4890773</v>
      </c>
      <c r="S119" s="287"/>
      <c r="T119" s="233">
        <f t="shared" ref="T119:U119" si="122">IF(AND(C119&lt;&gt;"",F119&lt;&gt;"",I119&lt;&gt;""), SUM(I119,F119,C119),"")</f>
        <v>325909188</v>
      </c>
      <c r="U119" s="233">
        <f t="shared" si="122"/>
        <v>306582767.3</v>
      </c>
      <c r="V119" s="233">
        <f t="shared" si="6"/>
        <v>325.909188</v>
      </c>
      <c r="W119" s="241">
        <f t="shared" si="9"/>
        <v>-0.0007661779685</v>
      </c>
      <c r="X119" s="241">
        <f t="shared" si="10"/>
        <v>-0.005439690091</v>
      </c>
      <c r="Y119" s="241">
        <f t="shared" si="19"/>
        <v>0.001162697523</v>
      </c>
      <c r="Z119" s="233">
        <f t="shared" si="7"/>
        <v>316.467232</v>
      </c>
      <c r="AA119" s="294"/>
      <c r="AB119" s="245"/>
      <c r="AC119" s="242" t="str">
        <f>IF(ISTEXT(AB119),VLOOKUP(AB119,'Cadastro dos Ativos'!$A$2:$C$1000,3,0),"")</f>
        <v/>
      </c>
      <c r="AD119" s="242" t="str">
        <f>IF(AB119 &lt;&gt; "",SUMIFS('Alocação'!$O$3:$O$1002,'Alocação'!$C$3:$C$1002,AB119,'Alocação'!$F$3:$F$1002,AB$9,'Alocação'!$B$3:$B$1002,"&lt;="&amp;$B$6), "")</f>
        <v/>
      </c>
      <c r="AE119" s="243" t="str">
        <f>iferror(IF(AC119="Ações Americanas", HLOOKUP(AB119,'Histórico'!$A$1:$DD$990,MATCH($B$6,'Histórico'!$A:$A),FALSE)*HLOOKUP("PTAX",'Histórico'!$A$1:$FG$983,MATCH($B$6,'Histórico'!$A:$A),FALSE),IF(AC119="Ações Europeias", HLOOKUP(AB119,'Histórico'!$A$1:$DD$990,MATCH($B$6,'Histórico'!$A:$A),FALSE)*HLOOKUP("EUR/BRL",'Histórico'!$A$1:$FG$983,MATCH($B$6,'Histórico'!$A:$A),FALSE),  HLOOKUP(AB119,'Histórico'!$A$1:$DD$990,MATCH($B$6,'Histórico'!$A:$A),FALSE))),"")</f>
        <v/>
      </c>
      <c r="AF119" s="243" t="str">
        <f t="shared" si="15"/>
        <v/>
      </c>
      <c r="AG119" s="53"/>
      <c r="AH119" s="245"/>
      <c r="AI119" s="242" t="str">
        <f>IF(ISTEXT(AH119),VLOOKUP(AH119,'Cadastro dos Ativos'!$A$2:$C$1000,3,0),"")</f>
        <v/>
      </c>
      <c r="AJ119" s="242" t="str">
        <f>IF(AH119 &lt;&gt; "",SUMIFS('Alocação'!$O$3:$O$1002,'Alocação'!$C$3:$C$1002,AH119,'Alocação'!$F$3:$F$1002,AH$9,'Alocação'!$B$3:$B$1002,"&lt;="&amp;$B$6), "")</f>
        <v/>
      </c>
      <c r="AK119" s="243" t="str">
        <f>iferror(IF(AI119="Ações Americanas", HLOOKUP(AH119,'Histórico'!$A$1:$DD$990,MATCH($B$6,'Histórico'!$A:$A),FALSE)*HLOOKUP("PTAX",'Histórico'!$A$1:$FG$983,MATCH($B$6,'Histórico'!$A:$A),FALSE),IF(AI119="Ações Europeias", HLOOKUP(AH119,'Histórico'!$A$1:$DD$990,MATCH($B$6,'Histórico'!$A:$A),FALSE)*HLOOKUP("EUR/BRL",'Histórico'!$A$1:$FG$983,MATCH($B$6,'Histórico'!$A:$A),FALSE),  HLOOKUP(AH119,'Histórico'!$A$1:$DD$990,MATCH($B$6,'Histórico'!$A:$A),FALSE))),"")</f>
        <v/>
      </c>
      <c r="AL119" s="243" t="str">
        <f t="shared" si="11"/>
        <v/>
      </c>
      <c r="AM119" s="53"/>
      <c r="AN119" s="245"/>
      <c r="AO119" s="242" t="str">
        <f>IF(ISTEXT(AN119),VLOOKUP(AN119,'Cadastro dos Ativos'!$A$2:$C$1000,3,0),"")</f>
        <v/>
      </c>
      <c r="AP119" s="242" t="str">
        <f>IF(AN119 &lt;&gt; "",SUMIFS('Alocação'!$O$3:$O$1002,'Alocação'!$C$3:$C$1002,AN119,'Alocação'!$F$3:$F$1002,AN$9,'Alocação'!$B$3:$B$1002,"&lt;="&amp;$B$6), "")</f>
        <v/>
      </c>
      <c r="AQ119" s="243" t="str">
        <f>iferror(IF(AO119="Ações Americanas", HLOOKUP(AN119,'Histórico'!$A$1:$DD$990,MATCH($B$6,'Histórico'!$A:$A),FALSE)*HLOOKUP("PTAX",'Histórico'!$A$1:$FG$983,MATCH($B$6,'Histórico'!$A:$A),FALSE),IF(AO119="Ações Europeias", HLOOKUP(AN119,'Histórico'!$A$1:$DD$990,MATCH($B$6,'Histórico'!$A:$A),FALSE)*HLOOKUP("EUR/BRL",'Histórico'!$A$1:$FG$983,MATCH($B$6,'Histórico'!$A:$A),FALSE),  HLOOKUP(AN119,'Histórico'!$A$1:$DD$990,MATCH($B$6,'Histórico'!$A:$A),FALSE))),"")</f>
        <v/>
      </c>
      <c r="AR119" s="243" t="str">
        <f t="shared" si="12"/>
        <v/>
      </c>
      <c r="AS119" s="53"/>
      <c r="AT119" s="245"/>
      <c r="AU119" s="242" t="str">
        <f>IF(ISTEXT(AT119),VLOOKUP(AT119,'Cadastro dos Ativos'!$A$2:$C$1000,3,0),"")</f>
        <v/>
      </c>
      <c r="AV119" s="242" t="str">
        <f>IF(AT119 &lt;&gt; "",SUMIFS('Alocação'!$O$3:$O$1002,'Alocação'!$C$3:$C$1002,AT119,'Alocação'!$F$3:$F$1002,AT$9,'Alocação'!$B$3:$B$1002,"&lt;="&amp;$B$6), "")</f>
        <v/>
      </c>
      <c r="AW119" s="243" t="str">
        <f>iferror(IF(AU119="Ações Americanas", HLOOKUP(AT119,'Histórico'!$A$1:$DD$990,MATCH($B$6,'Histórico'!$A:$A),FALSE)*HLOOKUP("PTAX",'Histórico'!$A$1:$FG$983,MATCH($B$6,'Histórico'!$A:$A),FALSE),IF(AU119="Ações Europeias", HLOOKUP(AT119,'Histórico'!$A$1:$DD$990,MATCH($B$6,'Histórico'!$A:$A),FALSE)*HLOOKUP("EUR/BRL",'Histórico'!$A$1:$FG$983,MATCH($B$6,'Histórico'!$A:$A),FALSE),  HLOOKUP(AT119,'Histórico'!$A$1:$DD$990,MATCH($B$6,'Histórico'!$A:$A),FALSE))),"")</f>
        <v/>
      </c>
      <c r="AX119" s="243" t="str">
        <f t="shared" si="13"/>
        <v/>
      </c>
      <c r="AY119" s="53"/>
    </row>
    <row r="120" ht="15.75" customHeight="1">
      <c r="A120" s="176"/>
      <c r="B120" s="288">
        <f>Controle!B120</f>
        <v>45163</v>
      </c>
      <c r="C120" s="233">
        <f>Controle!C120</f>
        <v>106804713.7</v>
      </c>
      <c r="D120" s="289">
        <f>Controle!D120</f>
        <v>116337478.8</v>
      </c>
      <c r="E120" s="290"/>
      <c r="F120" s="291">
        <f>Controle!F120</f>
        <v>111410088.7</v>
      </c>
      <c r="G120" s="289">
        <f>Controle!G120</f>
        <v>103486103.9</v>
      </c>
      <c r="H120" s="290"/>
      <c r="I120" s="291">
        <f>Controle!I120</f>
        <v>107954502.1</v>
      </c>
      <c r="J120" s="233">
        <f>Controle!J120</f>
        <v>86769570.23</v>
      </c>
      <c r="K120" s="292"/>
      <c r="L120" s="233">
        <f>Controle!L120</f>
        <v>103734128.2</v>
      </c>
      <c r="M120" s="233">
        <f>Controle!M120</f>
        <v>73868193.62</v>
      </c>
      <c r="N120" s="235">
        <f>Controle!N120</f>
        <v>0.0002797456674</v>
      </c>
      <c r="O120" s="235">
        <f>Controle!O120</f>
        <v>0.0000008914812151</v>
      </c>
      <c r="P120" s="235">
        <f>Controle!P120</f>
        <v>0.002136446845</v>
      </c>
      <c r="Q120" s="235">
        <f>Controle!Q120</f>
        <v>-0.004640276631</v>
      </c>
      <c r="R120" s="293">
        <f>Controle!R120</f>
        <v>105.540806</v>
      </c>
      <c r="S120" s="287"/>
      <c r="T120" s="233">
        <f t="shared" ref="T120:U120" si="123">IF(AND(C120&lt;&gt;"",F120&lt;&gt;"",I120&lt;&gt;""), SUM(I120,F120,C120),"")</f>
        <v>326169304.4</v>
      </c>
      <c r="U120" s="233">
        <f t="shared" si="123"/>
        <v>306593152.9</v>
      </c>
      <c r="V120" s="233">
        <f t="shared" si="6"/>
        <v>326.1693044</v>
      </c>
      <c r="W120" s="241">
        <f t="shared" si="9"/>
        <v>0.000798125635</v>
      </c>
      <c r="X120" s="241">
        <f t="shared" si="10"/>
        <v>-0.004645906012</v>
      </c>
      <c r="Y120" s="241">
        <f t="shared" si="19"/>
        <v>0.001444295735</v>
      </c>
      <c r="Z120" s="233">
        <f t="shared" si="7"/>
        <v>316.622418</v>
      </c>
      <c r="AA120" s="294"/>
      <c r="AB120" s="245"/>
      <c r="AC120" s="242" t="str">
        <f>IF(ISTEXT(AB120),VLOOKUP(AB120,'Cadastro dos Ativos'!$A$2:$C$1000,3,0),"")</f>
        <v/>
      </c>
      <c r="AD120" s="242" t="str">
        <f>IF(AB120 &lt;&gt; "",SUMIFS('Alocação'!$O$3:$O$1002,'Alocação'!$C$3:$C$1002,AB120,'Alocação'!$F$3:$F$1002,AB$9,'Alocação'!$B$3:$B$1002,"&lt;="&amp;$B$6), "")</f>
        <v/>
      </c>
      <c r="AE120" s="243" t="str">
        <f>iferror(IF(AC120="Ações Americanas", HLOOKUP(AB120,'Histórico'!$A$1:$DD$990,MATCH($B$6,'Histórico'!$A:$A),FALSE)*HLOOKUP("PTAX",'Histórico'!$A$1:$FG$983,MATCH($B$6,'Histórico'!$A:$A),FALSE),IF(AC120="Ações Europeias", HLOOKUP(AB120,'Histórico'!$A$1:$DD$990,MATCH($B$6,'Histórico'!$A:$A),FALSE)*HLOOKUP("EUR/BRL",'Histórico'!$A$1:$FG$983,MATCH($B$6,'Histórico'!$A:$A),FALSE),  HLOOKUP(AB120,'Histórico'!$A$1:$DD$990,MATCH($B$6,'Histórico'!$A:$A),FALSE))),"")</f>
        <v/>
      </c>
      <c r="AF120" s="243" t="str">
        <f t="shared" si="15"/>
        <v/>
      </c>
      <c r="AG120" s="53"/>
      <c r="AH120" s="245"/>
      <c r="AI120" s="242" t="str">
        <f>IF(ISTEXT(AH120),VLOOKUP(AH120,'Cadastro dos Ativos'!$A$2:$C$1000,3,0),"")</f>
        <v/>
      </c>
      <c r="AJ120" s="242" t="str">
        <f>IF(AH120 &lt;&gt; "",SUMIFS('Alocação'!$O$3:$O$1002,'Alocação'!$C$3:$C$1002,AH120,'Alocação'!$F$3:$F$1002,AH$9,'Alocação'!$B$3:$B$1002,"&lt;="&amp;$B$6), "")</f>
        <v/>
      </c>
      <c r="AK120" s="243" t="str">
        <f>iferror(IF(AI120="Ações Americanas", HLOOKUP(AH120,'Histórico'!$A$1:$DD$990,MATCH($B$6,'Histórico'!$A:$A),FALSE)*HLOOKUP("PTAX",'Histórico'!$A$1:$FG$983,MATCH($B$6,'Histórico'!$A:$A),FALSE),IF(AI120="Ações Europeias", HLOOKUP(AH120,'Histórico'!$A$1:$DD$990,MATCH($B$6,'Histórico'!$A:$A),FALSE)*HLOOKUP("EUR/BRL",'Histórico'!$A$1:$FG$983,MATCH($B$6,'Histórico'!$A:$A),FALSE),  HLOOKUP(AH120,'Histórico'!$A$1:$DD$990,MATCH($B$6,'Histórico'!$A:$A),FALSE))),"")</f>
        <v/>
      </c>
      <c r="AL120" s="243" t="str">
        <f t="shared" si="11"/>
        <v/>
      </c>
      <c r="AM120" s="53"/>
      <c r="AN120" s="245"/>
      <c r="AO120" s="242" t="str">
        <f>IF(ISTEXT(AN120),VLOOKUP(AN120,'Cadastro dos Ativos'!$A$2:$C$1000,3,0),"")</f>
        <v/>
      </c>
      <c r="AP120" s="242" t="str">
        <f>IF(AN120 &lt;&gt; "",SUMIFS('Alocação'!$O$3:$O$1002,'Alocação'!$C$3:$C$1002,AN120,'Alocação'!$F$3:$F$1002,AN$9,'Alocação'!$B$3:$B$1002,"&lt;="&amp;$B$6), "")</f>
        <v/>
      </c>
      <c r="AQ120" s="243" t="str">
        <f>iferror(IF(AO120="Ações Americanas", HLOOKUP(AN120,'Histórico'!$A$1:$DD$990,MATCH($B$6,'Histórico'!$A:$A),FALSE)*HLOOKUP("PTAX",'Histórico'!$A$1:$FG$983,MATCH($B$6,'Histórico'!$A:$A),FALSE),IF(AO120="Ações Europeias", HLOOKUP(AN120,'Histórico'!$A$1:$DD$990,MATCH($B$6,'Histórico'!$A:$A),FALSE)*HLOOKUP("EUR/BRL",'Histórico'!$A$1:$FG$983,MATCH($B$6,'Histórico'!$A:$A),FALSE),  HLOOKUP(AN120,'Histórico'!$A$1:$DD$990,MATCH($B$6,'Histórico'!$A:$A),FALSE))),"")</f>
        <v/>
      </c>
      <c r="AR120" s="243" t="str">
        <f t="shared" si="12"/>
        <v/>
      </c>
      <c r="AS120" s="53"/>
      <c r="AT120" s="245"/>
      <c r="AU120" s="242" t="str">
        <f>IF(ISTEXT(AT120),VLOOKUP(AT120,'Cadastro dos Ativos'!$A$2:$C$1000,3,0),"")</f>
        <v/>
      </c>
      <c r="AV120" s="242" t="str">
        <f>IF(AT120 &lt;&gt; "",SUMIFS('Alocação'!$O$3:$O$1002,'Alocação'!$C$3:$C$1002,AT120,'Alocação'!$F$3:$F$1002,AT$9,'Alocação'!$B$3:$B$1002,"&lt;="&amp;$B$6), "")</f>
        <v/>
      </c>
      <c r="AW120" s="243" t="str">
        <f>iferror(IF(AU120="Ações Americanas", HLOOKUP(AT120,'Histórico'!$A$1:$DD$990,MATCH($B$6,'Histórico'!$A:$A),FALSE)*HLOOKUP("PTAX",'Histórico'!$A$1:$FG$983,MATCH($B$6,'Histórico'!$A:$A),FALSE),IF(AU120="Ações Europeias", HLOOKUP(AT120,'Histórico'!$A$1:$DD$990,MATCH($B$6,'Histórico'!$A:$A),FALSE)*HLOOKUP("EUR/BRL",'Histórico'!$A$1:$FG$983,MATCH($B$6,'Histórico'!$A:$A),FALSE),  HLOOKUP(AT120,'Histórico'!$A$1:$DD$990,MATCH($B$6,'Histórico'!$A:$A),FALSE))),"")</f>
        <v/>
      </c>
      <c r="AX120" s="243" t="str">
        <f t="shared" si="13"/>
        <v/>
      </c>
      <c r="AY120" s="53"/>
    </row>
    <row r="121" ht="15.75" customHeight="1">
      <c r="A121" s="176"/>
      <c r="B121" s="288">
        <f>Controle!B121</f>
        <v>45166</v>
      </c>
      <c r="C121" s="233">
        <f>Controle!C121</f>
        <v>106892329.4</v>
      </c>
      <c r="D121" s="289">
        <f>Controle!D121</f>
        <v>116539844.3</v>
      </c>
      <c r="E121" s="290"/>
      <c r="F121" s="291">
        <f>Controle!F121</f>
        <v>111657440.1</v>
      </c>
      <c r="G121" s="289">
        <f>Controle!G121</f>
        <v>103661455.1</v>
      </c>
      <c r="H121" s="290"/>
      <c r="I121" s="291">
        <f>Controle!I121</f>
        <v>108532092.4</v>
      </c>
      <c r="J121" s="233">
        <f>Controle!J121</f>
        <v>69819086.92</v>
      </c>
      <c r="K121" s="292"/>
      <c r="L121" s="233">
        <f>Controle!L121</f>
        <v>103656071.8</v>
      </c>
      <c r="M121" s="233">
        <f>Controle!M121</f>
        <v>73898287.39</v>
      </c>
      <c r="N121" s="235">
        <f>Controle!N121</f>
        <v>0.000820335971</v>
      </c>
      <c r="O121" s="235">
        <f>Controle!O121</f>
        <v>0.002220188613</v>
      </c>
      <c r="P121" s="235">
        <f>Controle!P121</f>
        <v>0.005350312732</v>
      </c>
      <c r="Q121" s="235">
        <f>Controle!Q121</f>
        <v>-0.000752465549</v>
      </c>
      <c r="R121" s="293">
        <f>Controle!R121</f>
        <v>105.59256</v>
      </c>
      <c r="S121" s="287"/>
      <c r="T121" s="233">
        <f t="shared" ref="T121:U121" si="124">IF(AND(C121&lt;&gt;"",F121&lt;&gt;"",I121&lt;&gt;""), SUM(I121,F121,C121),"")</f>
        <v>327081861.9</v>
      </c>
      <c r="U121" s="233">
        <f t="shared" si="124"/>
        <v>290020386.3</v>
      </c>
      <c r="V121" s="233">
        <f t="shared" si="6"/>
        <v>327.0818619</v>
      </c>
      <c r="W121" s="241">
        <f t="shared" si="9"/>
        <v>0.002797803145</v>
      </c>
      <c r="X121" s="241">
        <f t="shared" si="10"/>
        <v>-0.001861101198</v>
      </c>
      <c r="Y121" s="241">
        <f t="shared" si="19"/>
        <v>0.002174942678</v>
      </c>
      <c r="Z121" s="233">
        <f t="shared" si="7"/>
        <v>316.7776801</v>
      </c>
      <c r="AA121" s="294"/>
      <c r="AB121" s="245"/>
      <c r="AC121" s="242" t="str">
        <f>IF(ISTEXT(AB121),VLOOKUP(AB121,'Cadastro dos Ativos'!$A$2:$C$1000,3,0),"")</f>
        <v/>
      </c>
      <c r="AD121" s="242" t="str">
        <f>IF(AB121 &lt;&gt; "",SUMIFS('Alocação'!$O$3:$O$1002,'Alocação'!$C$3:$C$1002,AB121,'Alocação'!$F$3:$F$1002,AB$9,'Alocação'!$B$3:$B$1002,"&lt;="&amp;$B$6), "")</f>
        <v/>
      </c>
      <c r="AE121" s="243" t="str">
        <f>iferror(IF(AC121="Ações Americanas", HLOOKUP(AB121,'Histórico'!$A$1:$DD$990,MATCH($B$6,'Histórico'!$A:$A),FALSE)*HLOOKUP("PTAX",'Histórico'!$A$1:$FG$983,MATCH($B$6,'Histórico'!$A:$A),FALSE),IF(AC121="Ações Europeias", HLOOKUP(AB121,'Histórico'!$A$1:$DD$990,MATCH($B$6,'Histórico'!$A:$A),FALSE)*HLOOKUP("EUR/BRL",'Histórico'!$A$1:$FG$983,MATCH($B$6,'Histórico'!$A:$A),FALSE),  HLOOKUP(AB121,'Histórico'!$A$1:$DD$990,MATCH($B$6,'Histórico'!$A:$A),FALSE))),"")</f>
        <v/>
      </c>
      <c r="AF121" s="243" t="str">
        <f t="shared" si="15"/>
        <v/>
      </c>
      <c r="AG121" s="53"/>
      <c r="AH121" s="245"/>
      <c r="AI121" s="242" t="str">
        <f>IF(ISTEXT(AH121),VLOOKUP(AH121,'Cadastro dos Ativos'!$A$2:$C$1000,3,0),"")</f>
        <v/>
      </c>
      <c r="AJ121" s="242" t="str">
        <f>IF(AH121 &lt;&gt; "",SUMIFS('Alocação'!$O$3:$O$1002,'Alocação'!$C$3:$C$1002,AH121,'Alocação'!$F$3:$F$1002,AH$9,'Alocação'!$B$3:$B$1002,"&lt;="&amp;$B$6), "")</f>
        <v/>
      </c>
      <c r="AK121" s="243" t="str">
        <f>iferror(IF(AI121="Ações Americanas", HLOOKUP(AH121,'Histórico'!$A$1:$DD$990,MATCH($B$6,'Histórico'!$A:$A),FALSE)*HLOOKUP("PTAX",'Histórico'!$A$1:$FG$983,MATCH($B$6,'Histórico'!$A:$A),FALSE),IF(AI121="Ações Europeias", HLOOKUP(AH121,'Histórico'!$A$1:$DD$990,MATCH($B$6,'Histórico'!$A:$A),FALSE)*HLOOKUP("EUR/BRL",'Histórico'!$A$1:$FG$983,MATCH($B$6,'Histórico'!$A:$A),FALSE),  HLOOKUP(AH121,'Histórico'!$A$1:$DD$990,MATCH($B$6,'Histórico'!$A:$A),FALSE))),"")</f>
        <v/>
      </c>
      <c r="AL121" s="243" t="str">
        <f t="shared" si="11"/>
        <v/>
      </c>
      <c r="AM121" s="53"/>
      <c r="AN121" s="245"/>
      <c r="AO121" s="242" t="str">
        <f>IF(ISTEXT(AN121),VLOOKUP(AN121,'Cadastro dos Ativos'!$A$2:$C$1000,3,0),"")</f>
        <v/>
      </c>
      <c r="AP121" s="242" t="str">
        <f>IF(AN121 &lt;&gt; "",SUMIFS('Alocação'!$O$3:$O$1002,'Alocação'!$C$3:$C$1002,AN121,'Alocação'!$F$3:$F$1002,AN$9,'Alocação'!$B$3:$B$1002,"&lt;="&amp;$B$6), "")</f>
        <v/>
      </c>
      <c r="AQ121" s="243" t="str">
        <f>iferror(IF(AO121="Ações Americanas", HLOOKUP(AN121,'Histórico'!$A$1:$DD$990,MATCH($B$6,'Histórico'!$A:$A),FALSE)*HLOOKUP("PTAX",'Histórico'!$A$1:$FG$983,MATCH($B$6,'Histórico'!$A:$A),FALSE),IF(AO121="Ações Europeias", HLOOKUP(AN121,'Histórico'!$A$1:$DD$990,MATCH($B$6,'Histórico'!$A:$A),FALSE)*HLOOKUP("EUR/BRL",'Histórico'!$A$1:$FG$983,MATCH($B$6,'Histórico'!$A:$A),FALSE),  HLOOKUP(AN121,'Histórico'!$A$1:$DD$990,MATCH($B$6,'Histórico'!$A:$A),FALSE))),"")</f>
        <v/>
      </c>
      <c r="AR121" s="243" t="str">
        <f t="shared" si="12"/>
        <v/>
      </c>
      <c r="AS121" s="53"/>
      <c r="AT121" s="245"/>
      <c r="AU121" s="242" t="str">
        <f>IF(ISTEXT(AT121),VLOOKUP(AT121,'Cadastro dos Ativos'!$A$2:$C$1000,3,0),"")</f>
        <v/>
      </c>
      <c r="AV121" s="242" t="str">
        <f>IF(AT121 &lt;&gt; "",SUMIFS('Alocação'!$O$3:$O$1002,'Alocação'!$C$3:$C$1002,AT121,'Alocação'!$F$3:$F$1002,AT$9,'Alocação'!$B$3:$B$1002,"&lt;="&amp;$B$6), "")</f>
        <v/>
      </c>
      <c r="AW121" s="243" t="str">
        <f>iferror(IF(AU121="Ações Americanas", HLOOKUP(AT121,'Histórico'!$A$1:$DD$990,MATCH($B$6,'Histórico'!$A:$A),FALSE)*HLOOKUP("PTAX",'Histórico'!$A$1:$FG$983,MATCH($B$6,'Histórico'!$A:$A),FALSE),IF(AU121="Ações Europeias", HLOOKUP(AT121,'Histórico'!$A$1:$DD$990,MATCH($B$6,'Histórico'!$A:$A),FALSE)*HLOOKUP("EUR/BRL",'Histórico'!$A$1:$FG$983,MATCH($B$6,'Histórico'!$A:$A),FALSE),  HLOOKUP(AT121,'Histórico'!$A$1:$DD$990,MATCH($B$6,'Histórico'!$A:$A),FALSE))),"")</f>
        <v/>
      </c>
      <c r="AX121" s="243" t="str">
        <f t="shared" si="13"/>
        <v/>
      </c>
      <c r="AY121" s="53"/>
    </row>
    <row r="122" ht="15.75" customHeight="1">
      <c r="A122" s="176"/>
      <c r="B122" s="288">
        <f>Controle!B122</f>
        <v>45167</v>
      </c>
      <c r="C122" s="233">
        <f>Controle!C122</f>
        <v>107093064.9</v>
      </c>
      <c r="D122" s="289">
        <f>Controle!D122</f>
        <v>116835780.1</v>
      </c>
      <c r="E122" s="290"/>
      <c r="F122" s="291">
        <f>Controle!F122</f>
        <v>112054990.3</v>
      </c>
      <c r="G122" s="289">
        <f>Controle!G122</f>
        <v>103974005.3</v>
      </c>
      <c r="H122" s="290"/>
      <c r="I122" s="291">
        <f>Controle!I122</f>
        <v>107741360.4</v>
      </c>
      <c r="J122" s="233">
        <f>Controle!J122</f>
        <v>69844162.57</v>
      </c>
      <c r="K122" s="292"/>
      <c r="L122" s="233">
        <f>Controle!L122</f>
        <v>103659985.4</v>
      </c>
      <c r="M122" s="233">
        <f>Controle!M122</f>
        <v>73928400.53</v>
      </c>
      <c r="N122" s="235">
        <f>Controle!N122</f>
        <v>0.001877921865</v>
      </c>
      <c r="O122" s="235">
        <f>Controle!O122</f>
        <v>0.00356044525</v>
      </c>
      <c r="P122" s="235">
        <f>Controle!P122</f>
        <v>-0.00728569751</v>
      </c>
      <c r="Q122" s="235">
        <f>Controle!Q122</f>
        <v>0.00003775514184</v>
      </c>
      <c r="R122" s="293">
        <f>Controle!R122</f>
        <v>105.6443395</v>
      </c>
      <c r="S122" s="287"/>
      <c r="T122" s="233">
        <f t="shared" ref="T122:U122" si="125">IF(AND(C122&lt;&gt;"",F122&lt;&gt;"",I122&lt;&gt;""), SUM(I122,F122,C122),"")</f>
        <v>326889415.6</v>
      </c>
      <c r="U122" s="233">
        <f t="shared" si="125"/>
        <v>290653948</v>
      </c>
      <c r="V122" s="233">
        <f t="shared" si="6"/>
        <v>326.8894156</v>
      </c>
      <c r="W122" s="241">
        <f t="shared" si="9"/>
        <v>-0.0005883736545</v>
      </c>
      <c r="X122" s="241">
        <f t="shared" si="10"/>
        <v>-0.00244837983</v>
      </c>
      <c r="Y122" s="241">
        <f t="shared" si="19"/>
        <v>0.002088222688</v>
      </c>
      <c r="Z122" s="233">
        <f t="shared" si="7"/>
        <v>316.9330184</v>
      </c>
      <c r="AA122" s="294"/>
      <c r="AB122" s="245"/>
      <c r="AC122" s="242" t="str">
        <f>IF(ISTEXT(AB122),VLOOKUP(AB122,'Cadastro dos Ativos'!$A$2:$C$1000,3,0),"")</f>
        <v/>
      </c>
      <c r="AD122" s="242" t="str">
        <f>IF(AB122 &lt;&gt; "",SUMIFS('Alocação'!$O$3:$O$1002,'Alocação'!$C$3:$C$1002,AB122,'Alocação'!$F$3:$F$1002,AB$9,'Alocação'!$B$3:$B$1002,"&lt;="&amp;$B$6), "")</f>
        <v/>
      </c>
      <c r="AE122" s="243" t="str">
        <f>iferror(IF(AC122="Ações Americanas", HLOOKUP(AB122,'Histórico'!$A$1:$DD$990,MATCH($B$6,'Histórico'!$A:$A),FALSE)*HLOOKUP("PTAX",'Histórico'!$A$1:$FG$983,MATCH($B$6,'Histórico'!$A:$A),FALSE),IF(AC122="Ações Europeias", HLOOKUP(AB122,'Histórico'!$A$1:$DD$990,MATCH($B$6,'Histórico'!$A:$A),FALSE)*HLOOKUP("EUR/BRL",'Histórico'!$A$1:$FG$983,MATCH($B$6,'Histórico'!$A:$A),FALSE),  HLOOKUP(AB122,'Histórico'!$A$1:$DD$990,MATCH($B$6,'Histórico'!$A:$A),FALSE))),"")</f>
        <v/>
      </c>
      <c r="AF122" s="243" t="str">
        <f t="shared" si="15"/>
        <v/>
      </c>
      <c r="AG122" s="53"/>
      <c r="AH122" s="245"/>
      <c r="AI122" s="242" t="str">
        <f>IF(ISTEXT(AH122),VLOOKUP(AH122,'Cadastro dos Ativos'!$A$2:$C$1000,3,0),"")</f>
        <v/>
      </c>
      <c r="AJ122" s="242" t="str">
        <f>IF(AH122 &lt;&gt; "",SUMIFS('Alocação'!$O$3:$O$1002,'Alocação'!$C$3:$C$1002,AH122,'Alocação'!$F$3:$F$1002,AH$9,'Alocação'!$B$3:$B$1002,"&lt;="&amp;$B$6), "")</f>
        <v/>
      </c>
      <c r="AK122" s="243" t="str">
        <f>iferror(IF(AI122="Ações Americanas", HLOOKUP(AH122,'Histórico'!$A$1:$DD$990,MATCH($B$6,'Histórico'!$A:$A),FALSE)*HLOOKUP("PTAX",'Histórico'!$A$1:$FG$983,MATCH($B$6,'Histórico'!$A:$A),FALSE),IF(AI122="Ações Europeias", HLOOKUP(AH122,'Histórico'!$A$1:$DD$990,MATCH($B$6,'Histórico'!$A:$A),FALSE)*HLOOKUP("EUR/BRL",'Histórico'!$A$1:$FG$983,MATCH($B$6,'Histórico'!$A:$A),FALSE),  HLOOKUP(AH122,'Histórico'!$A$1:$DD$990,MATCH($B$6,'Histórico'!$A:$A),FALSE))),"")</f>
        <v/>
      </c>
      <c r="AL122" s="243" t="str">
        <f t="shared" si="11"/>
        <v/>
      </c>
      <c r="AM122" s="53"/>
      <c r="AN122" s="245"/>
      <c r="AO122" s="242" t="str">
        <f>IF(ISTEXT(AN122),VLOOKUP(AN122,'Cadastro dos Ativos'!$A$2:$C$1000,3,0),"")</f>
        <v/>
      </c>
      <c r="AP122" s="242" t="str">
        <f>IF(AN122 &lt;&gt; "",SUMIFS('Alocação'!$O$3:$O$1002,'Alocação'!$C$3:$C$1002,AN122,'Alocação'!$F$3:$F$1002,AN$9,'Alocação'!$B$3:$B$1002,"&lt;="&amp;$B$6), "")</f>
        <v/>
      </c>
      <c r="AQ122" s="243" t="str">
        <f>iferror(IF(AO122="Ações Americanas", HLOOKUP(AN122,'Histórico'!$A$1:$DD$990,MATCH($B$6,'Histórico'!$A:$A),FALSE)*HLOOKUP("PTAX",'Histórico'!$A$1:$FG$983,MATCH($B$6,'Histórico'!$A:$A),FALSE),IF(AO122="Ações Europeias", HLOOKUP(AN122,'Histórico'!$A$1:$DD$990,MATCH($B$6,'Histórico'!$A:$A),FALSE)*HLOOKUP("EUR/BRL",'Histórico'!$A$1:$FG$983,MATCH($B$6,'Histórico'!$A:$A),FALSE),  HLOOKUP(AN122,'Histórico'!$A$1:$DD$990,MATCH($B$6,'Histórico'!$A:$A),FALSE))),"")</f>
        <v/>
      </c>
      <c r="AR122" s="243" t="str">
        <f t="shared" si="12"/>
        <v/>
      </c>
      <c r="AS122" s="53"/>
      <c r="AT122" s="245"/>
      <c r="AU122" s="242" t="str">
        <f>IF(ISTEXT(AT122),VLOOKUP(AT122,'Cadastro dos Ativos'!$A$2:$C$1000,3,0),"")</f>
        <v/>
      </c>
      <c r="AV122" s="242" t="str">
        <f>IF(AT122 &lt;&gt; "",SUMIFS('Alocação'!$O$3:$O$1002,'Alocação'!$C$3:$C$1002,AT122,'Alocação'!$F$3:$F$1002,AT$9,'Alocação'!$B$3:$B$1002,"&lt;="&amp;$B$6), "")</f>
        <v/>
      </c>
      <c r="AW122" s="243" t="str">
        <f>iferror(IF(AU122="Ações Americanas", HLOOKUP(AT122,'Histórico'!$A$1:$DD$990,MATCH($B$6,'Histórico'!$A:$A),FALSE)*HLOOKUP("PTAX",'Histórico'!$A$1:$FG$983,MATCH($B$6,'Histórico'!$A:$A),FALSE),IF(AU122="Ações Europeias", HLOOKUP(AT122,'Histórico'!$A$1:$DD$990,MATCH($B$6,'Histórico'!$A:$A),FALSE)*HLOOKUP("EUR/BRL",'Histórico'!$A$1:$FG$983,MATCH($B$6,'Histórico'!$A:$A),FALSE),  HLOOKUP(AT122,'Histórico'!$A$1:$DD$990,MATCH($B$6,'Histórico'!$A:$A),FALSE))),"")</f>
        <v/>
      </c>
      <c r="AX122" s="243" t="str">
        <f t="shared" si="13"/>
        <v/>
      </c>
      <c r="AY122" s="53"/>
    </row>
    <row r="123" ht="15.75" customHeight="1">
      <c r="A123" s="176"/>
      <c r="B123" s="288">
        <f>Controle!B123</f>
        <v>45168</v>
      </c>
      <c r="C123" s="233">
        <f>Controle!C123</f>
        <v>107267229</v>
      </c>
      <c r="D123" s="289">
        <f>Controle!D123</f>
        <v>116948744.2</v>
      </c>
      <c r="E123" s="290"/>
      <c r="F123" s="291">
        <f>Controle!F123</f>
        <v>112170555.9</v>
      </c>
      <c r="G123" s="289">
        <f>Controle!G123</f>
        <v>104112570.8</v>
      </c>
      <c r="H123" s="290"/>
      <c r="I123" s="291">
        <f>Controle!I123</f>
        <v>107428098.3</v>
      </c>
      <c r="J123" s="233">
        <f>Controle!J123</f>
        <v>69812706.34</v>
      </c>
      <c r="K123" s="292"/>
      <c r="L123" s="233">
        <f>Controle!L123</f>
        <v>102998813</v>
      </c>
      <c r="M123" s="233">
        <f>Controle!M123</f>
        <v>73958528.2</v>
      </c>
      <c r="N123" s="235">
        <f>Controle!N123</f>
        <v>0.001626287827</v>
      </c>
      <c r="O123" s="235">
        <f>Controle!O123</f>
        <v>0.001031329173</v>
      </c>
      <c r="P123" s="235">
        <f>Controle!P123</f>
        <v>-0.002907537718</v>
      </c>
      <c r="Q123" s="235">
        <f>Controle!Q123</f>
        <v>-0.006378279874</v>
      </c>
      <c r="R123" s="293">
        <f>Controle!R123</f>
        <v>105.6961443</v>
      </c>
      <c r="S123" s="287"/>
      <c r="T123" s="233">
        <f t="shared" ref="T123:U123" si="126">IF(AND(C123&lt;&gt;"",F123&lt;&gt;"",I123&lt;&gt;""), SUM(I123,F123,C123),"")</f>
        <v>326865883.2</v>
      </c>
      <c r="U123" s="233">
        <f t="shared" si="126"/>
        <v>290874021.3</v>
      </c>
      <c r="V123" s="233">
        <f t="shared" si="6"/>
        <v>326.8658832</v>
      </c>
      <c r="W123" s="241">
        <f t="shared" si="9"/>
        <v>-0.00007198869047</v>
      </c>
      <c r="X123" s="241">
        <f t="shared" si="10"/>
        <v>-0.002520192264</v>
      </c>
      <c r="Y123" s="241">
        <f t="shared" si="19"/>
        <v>0.001454463158</v>
      </c>
      <c r="Z123" s="233">
        <f t="shared" si="7"/>
        <v>317.0884328</v>
      </c>
      <c r="AA123" s="294"/>
      <c r="AB123" s="245"/>
      <c r="AC123" s="242" t="str">
        <f>IF(ISTEXT(AB123),VLOOKUP(AB123,'Cadastro dos Ativos'!$A$2:$C$1000,3,0),"")</f>
        <v/>
      </c>
      <c r="AD123" s="242" t="str">
        <f>IF(AB123 &lt;&gt; "",SUMIFS('Alocação'!$O$3:$O$1002,'Alocação'!$C$3:$C$1002,AB123,'Alocação'!$F$3:$F$1002,AB$9,'Alocação'!$B$3:$B$1002,"&lt;="&amp;$B$6), "")</f>
        <v/>
      </c>
      <c r="AE123" s="243" t="str">
        <f>iferror(IF(AC123="Ações Americanas", HLOOKUP(AB123,'Histórico'!$A$1:$DD$990,MATCH($B$6,'Histórico'!$A:$A),FALSE)*HLOOKUP("PTAX",'Histórico'!$A$1:$FG$983,MATCH($B$6,'Histórico'!$A:$A),FALSE),IF(AC123="Ações Europeias", HLOOKUP(AB123,'Histórico'!$A$1:$DD$990,MATCH($B$6,'Histórico'!$A:$A),FALSE)*HLOOKUP("EUR/BRL",'Histórico'!$A$1:$FG$983,MATCH($B$6,'Histórico'!$A:$A),FALSE),  HLOOKUP(AB123,'Histórico'!$A$1:$DD$990,MATCH($B$6,'Histórico'!$A:$A),FALSE))),"")</f>
        <v/>
      </c>
      <c r="AF123" s="243" t="str">
        <f t="shared" si="15"/>
        <v/>
      </c>
      <c r="AG123" s="53"/>
      <c r="AH123" s="245"/>
      <c r="AI123" s="242" t="str">
        <f>IF(ISTEXT(AH123),VLOOKUP(AH123,'Cadastro dos Ativos'!$A$2:$C$1000,3,0),"")</f>
        <v/>
      </c>
      <c r="AJ123" s="242" t="str">
        <f>IF(AH123 &lt;&gt; "",SUMIFS('Alocação'!$O$3:$O$1002,'Alocação'!$C$3:$C$1002,AH123,'Alocação'!$F$3:$F$1002,AH$9,'Alocação'!$B$3:$B$1002,"&lt;="&amp;$B$6), "")</f>
        <v/>
      </c>
      <c r="AK123" s="243" t="str">
        <f>iferror(IF(AI123="Ações Americanas", HLOOKUP(AH123,'Histórico'!$A$1:$DD$990,MATCH($B$6,'Histórico'!$A:$A),FALSE)*HLOOKUP("PTAX",'Histórico'!$A$1:$FG$983,MATCH($B$6,'Histórico'!$A:$A),FALSE),IF(AI123="Ações Europeias", HLOOKUP(AH123,'Histórico'!$A$1:$DD$990,MATCH($B$6,'Histórico'!$A:$A),FALSE)*HLOOKUP("EUR/BRL",'Histórico'!$A$1:$FG$983,MATCH($B$6,'Histórico'!$A:$A),FALSE),  HLOOKUP(AH123,'Histórico'!$A$1:$DD$990,MATCH($B$6,'Histórico'!$A:$A),FALSE))),"")</f>
        <v/>
      </c>
      <c r="AL123" s="243" t="str">
        <f t="shared" si="11"/>
        <v/>
      </c>
      <c r="AM123" s="53"/>
      <c r="AN123" s="245"/>
      <c r="AO123" s="242" t="str">
        <f>IF(ISTEXT(AN123),VLOOKUP(AN123,'Cadastro dos Ativos'!$A$2:$C$1000,3,0),"")</f>
        <v/>
      </c>
      <c r="AP123" s="242" t="str">
        <f>IF(AN123 &lt;&gt; "",SUMIFS('Alocação'!$O$3:$O$1002,'Alocação'!$C$3:$C$1002,AN123,'Alocação'!$F$3:$F$1002,AN$9,'Alocação'!$B$3:$B$1002,"&lt;="&amp;$B$6), "")</f>
        <v/>
      </c>
      <c r="AQ123" s="243" t="str">
        <f>iferror(IF(AO123="Ações Americanas", HLOOKUP(AN123,'Histórico'!$A$1:$DD$990,MATCH($B$6,'Histórico'!$A:$A),FALSE)*HLOOKUP("PTAX",'Histórico'!$A$1:$FG$983,MATCH($B$6,'Histórico'!$A:$A),FALSE),IF(AO123="Ações Europeias", HLOOKUP(AN123,'Histórico'!$A$1:$DD$990,MATCH($B$6,'Histórico'!$A:$A),FALSE)*HLOOKUP("EUR/BRL",'Histórico'!$A$1:$FG$983,MATCH($B$6,'Histórico'!$A:$A),FALSE),  HLOOKUP(AN123,'Histórico'!$A$1:$DD$990,MATCH($B$6,'Histórico'!$A:$A),FALSE))),"")</f>
        <v/>
      </c>
      <c r="AR123" s="243" t="str">
        <f t="shared" si="12"/>
        <v/>
      </c>
      <c r="AS123" s="53"/>
      <c r="AT123" s="245"/>
      <c r="AU123" s="242" t="str">
        <f>IF(ISTEXT(AT123),VLOOKUP(AT123,'Cadastro dos Ativos'!$A$2:$C$1000,3,0),"")</f>
        <v/>
      </c>
      <c r="AV123" s="242" t="str">
        <f>IF(AT123 &lt;&gt; "",SUMIFS('Alocação'!$O$3:$O$1002,'Alocação'!$C$3:$C$1002,AT123,'Alocação'!$F$3:$F$1002,AT$9,'Alocação'!$B$3:$B$1002,"&lt;="&amp;$B$6), "")</f>
        <v/>
      </c>
      <c r="AW123" s="243" t="str">
        <f>iferror(IF(AU123="Ações Americanas", HLOOKUP(AT123,'Histórico'!$A$1:$DD$990,MATCH($B$6,'Histórico'!$A:$A),FALSE)*HLOOKUP("PTAX",'Histórico'!$A$1:$FG$983,MATCH($B$6,'Histórico'!$A:$A),FALSE),IF(AU123="Ações Europeias", HLOOKUP(AT123,'Histórico'!$A$1:$DD$990,MATCH($B$6,'Histórico'!$A:$A),FALSE)*HLOOKUP("EUR/BRL",'Histórico'!$A$1:$FG$983,MATCH($B$6,'Histórico'!$A:$A),FALSE),  HLOOKUP(AT123,'Histórico'!$A$1:$DD$990,MATCH($B$6,'Histórico'!$A:$A),FALSE))),"")</f>
        <v/>
      </c>
      <c r="AX123" s="243" t="str">
        <f t="shared" si="13"/>
        <v/>
      </c>
      <c r="AY123" s="53"/>
    </row>
    <row r="124" ht="15.75" customHeight="1">
      <c r="A124" s="176"/>
      <c r="B124" s="288">
        <f>Controle!B124</f>
        <v>45169</v>
      </c>
      <c r="C124" s="233">
        <f>Controle!C124</f>
        <v>108074559.1</v>
      </c>
      <c r="D124" s="289">
        <f>Controle!D124</f>
        <v>117620923.4</v>
      </c>
      <c r="E124" s="290"/>
      <c r="F124" s="291">
        <f>Controle!F124</f>
        <v>112467432.2</v>
      </c>
      <c r="G124" s="289">
        <f>Controle!G124</f>
        <v>104527446.5</v>
      </c>
      <c r="H124" s="290"/>
      <c r="I124" s="291">
        <f>Controle!I124</f>
        <v>107629364.5</v>
      </c>
      <c r="J124" s="233">
        <f>Controle!J124</f>
        <v>69735069.96</v>
      </c>
      <c r="K124" s="292"/>
      <c r="L124" s="233">
        <f>Controle!L124</f>
        <v>102759595.3</v>
      </c>
      <c r="M124" s="233">
        <f>Controle!M124</f>
        <v>73988709.71</v>
      </c>
      <c r="N124" s="235">
        <f>Controle!N124</f>
        <v>0.007526343998</v>
      </c>
      <c r="O124" s="235">
        <f>Controle!O124</f>
        <v>0.002646650583</v>
      </c>
      <c r="P124" s="235">
        <f>Controle!P124</f>
        <v>0.001873496595</v>
      </c>
      <c r="Q124" s="235">
        <f>Controle!Q124</f>
        <v>-0.002322528508</v>
      </c>
      <c r="R124" s="293">
        <f>Controle!R124</f>
        <v>105.7479745</v>
      </c>
      <c r="S124" s="287"/>
      <c r="T124" s="233">
        <f t="shared" ref="T124:U124" si="127">IF(AND(C124&lt;&gt;"",F124&lt;&gt;"",I124&lt;&gt;""), SUM(I124,F124,C124),"")</f>
        <v>328171355.8</v>
      </c>
      <c r="U124" s="233">
        <f t="shared" si="127"/>
        <v>291883439.8</v>
      </c>
      <c r="V124" s="233">
        <f t="shared" si="6"/>
        <v>328.1713558</v>
      </c>
      <c r="W124" s="241">
        <f t="shared" si="9"/>
        <v>0.003993908743</v>
      </c>
      <c r="X124" s="241">
        <f t="shared" si="10"/>
        <v>0</v>
      </c>
      <c r="Y124" s="241">
        <f t="shared" si="19"/>
        <v>0.00194703972</v>
      </c>
      <c r="Z124" s="233">
        <f t="shared" si="7"/>
        <v>317.2439235</v>
      </c>
      <c r="AA124" s="294"/>
      <c r="AB124" s="245"/>
      <c r="AC124" s="242" t="str">
        <f>IF(ISTEXT(AB124),VLOOKUP(AB124,'Cadastro dos Ativos'!$A$2:$C$1000,3,0),"")</f>
        <v/>
      </c>
      <c r="AD124" s="242" t="str">
        <f>IF(AB124 &lt;&gt; "",SUMIFS('Alocação'!$O$3:$O$1002,'Alocação'!$C$3:$C$1002,AB124,'Alocação'!$F$3:$F$1002,AB$9,'Alocação'!$B$3:$B$1002,"&lt;="&amp;$B$6), "")</f>
        <v/>
      </c>
      <c r="AE124" s="243" t="str">
        <f>iferror(IF(AC124="Ações Americanas", HLOOKUP(AB124,'Histórico'!$A$1:$DD$990,MATCH($B$6,'Histórico'!$A:$A),FALSE)*HLOOKUP("PTAX",'Histórico'!$A$1:$FG$983,MATCH($B$6,'Histórico'!$A:$A),FALSE),IF(AC124="Ações Europeias", HLOOKUP(AB124,'Histórico'!$A$1:$DD$990,MATCH($B$6,'Histórico'!$A:$A),FALSE)*HLOOKUP("EUR/BRL",'Histórico'!$A$1:$FG$983,MATCH($B$6,'Histórico'!$A:$A),FALSE),  HLOOKUP(AB124,'Histórico'!$A$1:$DD$990,MATCH($B$6,'Histórico'!$A:$A),FALSE))),"")</f>
        <v/>
      </c>
      <c r="AF124" s="243" t="str">
        <f t="shared" si="15"/>
        <v/>
      </c>
      <c r="AG124" s="53"/>
      <c r="AH124" s="245"/>
      <c r="AI124" s="242" t="str">
        <f>IF(ISTEXT(AH124),VLOOKUP(AH124,'Cadastro dos Ativos'!$A$2:$C$1000,3,0),"")</f>
        <v/>
      </c>
      <c r="AJ124" s="242" t="str">
        <f>IF(AH124 &lt;&gt; "",SUMIFS('Alocação'!$O$3:$O$1002,'Alocação'!$C$3:$C$1002,AH124,'Alocação'!$F$3:$F$1002,AH$9,'Alocação'!$B$3:$B$1002,"&lt;="&amp;$B$6), "")</f>
        <v/>
      </c>
      <c r="AK124" s="243" t="str">
        <f>iferror(IF(AI124="Ações Americanas", HLOOKUP(AH124,'Histórico'!$A$1:$DD$990,MATCH($B$6,'Histórico'!$A:$A),FALSE)*HLOOKUP("PTAX",'Histórico'!$A$1:$FG$983,MATCH($B$6,'Histórico'!$A:$A),FALSE),IF(AI124="Ações Europeias", HLOOKUP(AH124,'Histórico'!$A$1:$DD$990,MATCH($B$6,'Histórico'!$A:$A),FALSE)*HLOOKUP("EUR/BRL",'Histórico'!$A$1:$FG$983,MATCH($B$6,'Histórico'!$A:$A),FALSE),  HLOOKUP(AH124,'Histórico'!$A$1:$DD$990,MATCH($B$6,'Histórico'!$A:$A),FALSE))),"")</f>
        <v/>
      </c>
      <c r="AL124" s="243" t="str">
        <f t="shared" si="11"/>
        <v/>
      </c>
      <c r="AM124" s="53"/>
      <c r="AN124" s="245"/>
      <c r="AO124" s="242" t="str">
        <f>IF(ISTEXT(AN124),VLOOKUP(AN124,'Cadastro dos Ativos'!$A$2:$C$1000,3,0),"")</f>
        <v/>
      </c>
      <c r="AP124" s="242" t="str">
        <f>IF(AN124 &lt;&gt; "",SUMIFS('Alocação'!$O$3:$O$1002,'Alocação'!$C$3:$C$1002,AN124,'Alocação'!$F$3:$F$1002,AN$9,'Alocação'!$B$3:$B$1002,"&lt;="&amp;$B$6), "")</f>
        <v/>
      </c>
      <c r="AQ124" s="243" t="str">
        <f>iferror(IF(AO124="Ações Americanas", HLOOKUP(AN124,'Histórico'!$A$1:$DD$990,MATCH($B$6,'Histórico'!$A:$A),FALSE)*HLOOKUP("PTAX",'Histórico'!$A$1:$FG$983,MATCH($B$6,'Histórico'!$A:$A),FALSE),IF(AO124="Ações Europeias", HLOOKUP(AN124,'Histórico'!$A$1:$DD$990,MATCH($B$6,'Histórico'!$A:$A),FALSE)*HLOOKUP("EUR/BRL",'Histórico'!$A$1:$FG$983,MATCH($B$6,'Histórico'!$A:$A),FALSE),  HLOOKUP(AN124,'Histórico'!$A$1:$DD$990,MATCH($B$6,'Histórico'!$A:$A),FALSE))),"")</f>
        <v/>
      </c>
      <c r="AR124" s="243" t="str">
        <f t="shared" si="12"/>
        <v/>
      </c>
      <c r="AS124" s="53"/>
      <c r="AT124" s="245"/>
      <c r="AU124" s="242" t="str">
        <f>IF(ISTEXT(AT124),VLOOKUP(AT124,'Cadastro dos Ativos'!$A$2:$C$1000,3,0),"")</f>
        <v/>
      </c>
      <c r="AV124" s="242" t="str">
        <f>IF(AT124 &lt;&gt; "",SUMIFS('Alocação'!$O$3:$O$1002,'Alocação'!$C$3:$C$1002,AT124,'Alocação'!$F$3:$F$1002,AT$9,'Alocação'!$B$3:$B$1002,"&lt;="&amp;$B$6), "")</f>
        <v/>
      </c>
      <c r="AW124" s="243" t="str">
        <f>iferror(IF(AU124="Ações Americanas", HLOOKUP(AT124,'Histórico'!$A$1:$DD$990,MATCH($B$6,'Histórico'!$A:$A),FALSE)*HLOOKUP("PTAX",'Histórico'!$A$1:$FG$983,MATCH($B$6,'Histórico'!$A:$A),FALSE),IF(AU124="Ações Europeias", HLOOKUP(AT124,'Histórico'!$A$1:$DD$990,MATCH($B$6,'Histórico'!$A:$A),FALSE)*HLOOKUP("EUR/BRL",'Histórico'!$A$1:$FG$983,MATCH($B$6,'Histórico'!$A:$A),FALSE),  HLOOKUP(AT124,'Histórico'!$A$1:$DD$990,MATCH($B$6,'Histórico'!$A:$A),FALSE))),"")</f>
        <v/>
      </c>
      <c r="AX124" s="243" t="str">
        <f t="shared" si="13"/>
        <v/>
      </c>
      <c r="AY124" s="53"/>
    </row>
    <row r="125" ht="15.75" customHeight="1">
      <c r="A125" s="176"/>
      <c r="B125" s="288">
        <f>Controle!B125</f>
        <v>45170</v>
      </c>
      <c r="C125" s="233">
        <f>Controle!C125</f>
        <v>107977950.5</v>
      </c>
      <c r="D125" s="289">
        <f>Controle!D125</f>
        <v>117672215.7</v>
      </c>
      <c r="E125" s="290"/>
      <c r="F125" s="291">
        <f>Controle!F125</f>
        <v>112433871.9</v>
      </c>
      <c r="G125" s="289">
        <f>Controle!G125</f>
        <v>104364886.6</v>
      </c>
      <c r="H125" s="290"/>
      <c r="I125" s="291">
        <f>Controle!I125</f>
        <v>108181063</v>
      </c>
      <c r="J125" s="233">
        <f>Controle!J125</f>
        <v>74661611.33</v>
      </c>
      <c r="K125" s="292"/>
      <c r="L125" s="233">
        <f>Controle!L125</f>
        <v>103699505.4</v>
      </c>
      <c r="M125" s="233">
        <f>Controle!M125</f>
        <v>74018920.15</v>
      </c>
      <c r="N125" s="235">
        <f>Controle!N125</f>
        <v>-0.0008939066068</v>
      </c>
      <c r="O125" s="235">
        <f>Controle!O125</f>
        <v>-0.0002984001501</v>
      </c>
      <c r="P125" s="235">
        <f>Controle!P125</f>
        <v>0.005125910578</v>
      </c>
      <c r="Q125" s="235">
        <f>Controle!Q125</f>
        <v>0.009146689304</v>
      </c>
      <c r="R125" s="293">
        <f>Controle!R125</f>
        <v>105.7998301</v>
      </c>
      <c r="S125" s="287"/>
      <c r="T125" s="233">
        <f t="shared" ref="T125:U125" si="128">IF(AND(C125&lt;&gt;"",F125&lt;&gt;"",I125&lt;&gt;""), SUM(I125,F125,C125),"")</f>
        <v>328592885.4</v>
      </c>
      <c r="U125" s="233">
        <f t="shared" si="128"/>
        <v>296698713.6</v>
      </c>
      <c r="V125" s="233">
        <f t="shared" si="6"/>
        <v>328.5928854</v>
      </c>
      <c r="W125" s="241">
        <f t="shared" si="9"/>
        <v>0.001284480286</v>
      </c>
      <c r="X125" s="241">
        <f t="shared" si="10"/>
        <v>0</v>
      </c>
      <c r="Y125" s="241">
        <f t="shared" si="19"/>
        <v>0.001922326625</v>
      </c>
      <c r="Z125" s="233">
        <f t="shared" si="7"/>
        <v>317.3994904</v>
      </c>
      <c r="AA125" s="294"/>
      <c r="AB125" s="245"/>
      <c r="AC125" s="242" t="str">
        <f>IF(ISTEXT(AB125),VLOOKUP(AB125,'Cadastro dos Ativos'!$A$2:$C$1000,3,0),"")</f>
        <v/>
      </c>
      <c r="AD125" s="242" t="str">
        <f>IF(AB125 &lt;&gt; "",SUMIFS('Alocação'!$O$3:$O$1002,'Alocação'!$C$3:$C$1002,AB125,'Alocação'!$F$3:$F$1002,AB$9,'Alocação'!$B$3:$B$1002,"&lt;="&amp;$B$6), "")</f>
        <v/>
      </c>
      <c r="AE125" s="243" t="str">
        <f>iferror(IF(AC125="Ações Americanas", HLOOKUP(AB125,'Histórico'!$A$1:$DD$990,MATCH($B$6,'Histórico'!$A:$A),FALSE)*HLOOKUP("PTAX",'Histórico'!$A$1:$FG$983,MATCH($B$6,'Histórico'!$A:$A),FALSE),IF(AC125="Ações Europeias", HLOOKUP(AB125,'Histórico'!$A$1:$DD$990,MATCH($B$6,'Histórico'!$A:$A),FALSE)*HLOOKUP("EUR/BRL",'Histórico'!$A$1:$FG$983,MATCH($B$6,'Histórico'!$A:$A),FALSE),  HLOOKUP(AB125,'Histórico'!$A$1:$DD$990,MATCH($B$6,'Histórico'!$A:$A),FALSE))),"")</f>
        <v/>
      </c>
      <c r="AF125" s="243" t="str">
        <f t="shared" si="15"/>
        <v/>
      </c>
      <c r="AG125" s="53"/>
      <c r="AH125" s="245"/>
      <c r="AI125" s="242" t="str">
        <f>IF(ISTEXT(AH125),VLOOKUP(AH125,'Cadastro dos Ativos'!$A$2:$C$1000,3,0),"")</f>
        <v/>
      </c>
      <c r="AJ125" s="242" t="str">
        <f>IF(AH125 &lt;&gt; "",SUMIFS('Alocação'!$O$3:$O$1002,'Alocação'!$C$3:$C$1002,AH125,'Alocação'!$F$3:$F$1002,AH$9,'Alocação'!$B$3:$B$1002,"&lt;="&amp;$B$6), "")</f>
        <v/>
      </c>
      <c r="AK125" s="243" t="str">
        <f>iferror(IF(AI125="Ações Americanas", HLOOKUP(AH125,'Histórico'!$A$1:$DD$990,MATCH($B$6,'Histórico'!$A:$A),FALSE)*HLOOKUP("PTAX",'Histórico'!$A$1:$FG$983,MATCH($B$6,'Histórico'!$A:$A),FALSE),IF(AI125="Ações Europeias", HLOOKUP(AH125,'Histórico'!$A$1:$DD$990,MATCH($B$6,'Histórico'!$A:$A),FALSE)*HLOOKUP("EUR/BRL",'Histórico'!$A$1:$FG$983,MATCH($B$6,'Histórico'!$A:$A),FALSE),  HLOOKUP(AH125,'Histórico'!$A$1:$DD$990,MATCH($B$6,'Histórico'!$A:$A),FALSE))),"")</f>
        <v/>
      </c>
      <c r="AL125" s="243" t="str">
        <f t="shared" si="11"/>
        <v/>
      </c>
      <c r="AM125" s="53"/>
      <c r="AN125" s="245"/>
      <c r="AO125" s="242" t="str">
        <f>IF(ISTEXT(AN125),VLOOKUP(AN125,'Cadastro dos Ativos'!$A$2:$C$1000,3,0),"")</f>
        <v/>
      </c>
      <c r="AP125" s="242" t="str">
        <f>IF(AN125 &lt;&gt; "",SUMIFS('Alocação'!$O$3:$O$1002,'Alocação'!$C$3:$C$1002,AN125,'Alocação'!$F$3:$F$1002,AN$9,'Alocação'!$B$3:$B$1002,"&lt;="&amp;$B$6), "")</f>
        <v/>
      </c>
      <c r="AQ125" s="243" t="str">
        <f>iferror(IF(AO125="Ações Americanas", HLOOKUP(AN125,'Histórico'!$A$1:$DD$990,MATCH($B$6,'Histórico'!$A:$A),FALSE)*HLOOKUP("PTAX",'Histórico'!$A$1:$FG$983,MATCH($B$6,'Histórico'!$A:$A),FALSE),IF(AO125="Ações Europeias", HLOOKUP(AN125,'Histórico'!$A$1:$DD$990,MATCH($B$6,'Histórico'!$A:$A),FALSE)*HLOOKUP("EUR/BRL",'Histórico'!$A$1:$FG$983,MATCH($B$6,'Histórico'!$A:$A),FALSE),  HLOOKUP(AN125,'Histórico'!$A$1:$DD$990,MATCH($B$6,'Histórico'!$A:$A),FALSE))),"")</f>
        <v/>
      </c>
      <c r="AR125" s="243" t="str">
        <f t="shared" si="12"/>
        <v/>
      </c>
      <c r="AS125" s="53"/>
      <c r="AT125" s="245"/>
      <c r="AU125" s="242" t="str">
        <f>IF(ISTEXT(AT125),VLOOKUP(AT125,'Cadastro dos Ativos'!$A$2:$C$1000,3,0),"")</f>
        <v/>
      </c>
      <c r="AV125" s="242" t="str">
        <f>IF(AT125 &lt;&gt; "",SUMIFS('Alocação'!$O$3:$O$1002,'Alocação'!$C$3:$C$1002,AT125,'Alocação'!$F$3:$F$1002,AT$9,'Alocação'!$B$3:$B$1002,"&lt;="&amp;$B$6), "")</f>
        <v/>
      </c>
      <c r="AW125" s="243" t="str">
        <f>iferror(IF(AU125="Ações Americanas", HLOOKUP(AT125,'Histórico'!$A$1:$DD$990,MATCH($B$6,'Histórico'!$A:$A),FALSE)*HLOOKUP("PTAX",'Histórico'!$A$1:$FG$983,MATCH($B$6,'Histórico'!$A:$A),FALSE),IF(AU125="Ações Europeias", HLOOKUP(AT125,'Histórico'!$A$1:$DD$990,MATCH($B$6,'Histórico'!$A:$A),FALSE)*HLOOKUP("EUR/BRL",'Histórico'!$A$1:$FG$983,MATCH($B$6,'Histórico'!$A:$A),FALSE),  HLOOKUP(AT125,'Histórico'!$A$1:$DD$990,MATCH($B$6,'Histórico'!$A:$A),FALSE))),"")</f>
        <v/>
      </c>
      <c r="AX125" s="243" t="str">
        <f t="shared" si="13"/>
        <v/>
      </c>
      <c r="AY125" s="53"/>
    </row>
    <row r="126" ht="15.75" customHeight="1">
      <c r="A126" s="176"/>
      <c r="B126" s="288">
        <f>Controle!B126</f>
        <v>45173</v>
      </c>
      <c r="C126" s="233" t="str">
        <f>Controle!C126</f>
        <v/>
      </c>
      <c r="D126" s="289" t="str">
        <f>Controle!D126</f>
        <v/>
      </c>
      <c r="E126" s="290"/>
      <c r="F126" s="291" t="str">
        <f>Controle!F126</f>
        <v/>
      </c>
      <c r="G126" s="289" t="str">
        <f>Controle!G126</f>
        <v/>
      </c>
      <c r="H126" s="290"/>
      <c r="I126" s="291" t="str">
        <f>Controle!I126</f>
        <v/>
      </c>
      <c r="J126" s="233" t="str">
        <f>Controle!J126</f>
        <v/>
      </c>
      <c r="K126" s="292"/>
      <c r="L126" s="233" t="str">
        <f>Controle!L126</f>
        <v/>
      </c>
      <c r="M126" s="233" t="str">
        <f>Controle!M126</f>
        <v/>
      </c>
      <c r="N126" s="235" t="str">
        <f>Controle!N126</f>
        <v/>
      </c>
      <c r="O126" s="235" t="str">
        <f>Controle!O126</f>
        <v/>
      </c>
      <c r="P126" s="235" t="str">
        <f>Controle!P126</f>
        <v/>
      </c>
      <c r="Q126" s="235" t="str">
        <f>Controle!Q126</f>
        <v/>
      </c>
      <c r="R126" s="293" t="str">
        <f>Controle!R126</f>
        <v/>
      </c>
      <c r="S126" s="287"/>
      <c r="T126" s="233" t="str">
        <f t="shared" ref="T126:U126" si="129">IF(AND(C126&lt;&gt;"",F126&lt;&gt;"",I126&lt;&gt;""), SUM(I126,F126,C126),"")</f>
        <v/>
      </c>
      <c r="U126" s="233" t="str">
        <f t="shared" si="129"/>
        <v/>
      </c>
      <c r="V126" s="233" t="str">
        <f t="shared" si="6"/>
        <v/>
      </c>
      <c r="W126" s="241" t="str">
        <f t="shared" si="9"/>
        <v/>
      </c>
      <c r="X126" s="241" t="str">
        <f t="shared" si="10"/>
        <v/>
      </c>
      <c r="Y126" s="241" t="str">
        <f t="shared" si="19"/>
        <v/>
      </c>
      <c r="Z126" s="233" t="str">
        <f t="shared" si="7"/>
        <v/>
      </c>
      <c r="AA126" s="294"/>
      <c r="AB126" s="245"/>
      <c r="AC126" s="242" t="str">
        <f>IF(ISTEXT(AB126),VLOOKUP(AB126,'Cadastro dos Ativos'!$A$2:$C$1000,3,0),"")</f>
        <v/>
      </c>
      <c r="AD126" s="242" t="str">
        <f>IF(AB126 &lt;&gt; "",SUMIFS('Alocação'!$O$3:$O$1002,'Alocação'!$C$3:$C$1002,AB126,'Alocação'!$F$3:$F$1002,AB$9,'Alocação'!$B$3:$B$1002,"&lt;="&amp;$B$6), "")</f>
        <v/>
      </c>
      <c r="AE126" s="243" t="str">
        <f>iferror(IF(AC126="Ações Americanas", HLOOKUP(AB126,'Histórico'!$A$1:$DD$990,MATCH($B$6,'Histórico'!$A:$A),FALSE)*HLOOKUP("PTAX",'Histórico'!$A$1:$FG$983,MATCH($B$6,'Histórico'!$A:$A),FALSE),IF(AC126="Ações Europeias", HLOOKUP(AB126,'Histórico'!$A$1:$DD$990,MATCH($B$6,'Histórico'!$A:$A),FALSE)*HLOOKUP("EUR/BRL",'Histórico'!$A$1:$FG$983,MATCH($B$6,'Histórico'!$A:$A),FALSE),  HLOOKUP(AB126,'Histórico'!$A$1:$DD$990,MATCH($B$6,'Histórico'!$A:$A),FALSE))),"")</f>
        <v/>
      </c>
      <c r="AF126" s="243" t="str">
        <f t="shared" si="15"/>
        <v/>
      </c>
      <c r="AG126" s="53"/>
      <c r="AH126" s="245"/>
      <c r="AI126" s="242" t="str">
        <f>IF(ISTEXT(AH126),VLOOKUP(AH126,'Cadastro dos Ativos'!$A$2:$C$1000,3,0),"")</f>
        <v/>
      </c>
      <c r="AJ126" s="242" t="str">
        <f>IF(AH126 &lt;&gt; "",SUMIFS('Alocação'!$O$3:$O$1002,'Alocação'!$C$3:$C$1002,AH126,'Alocação'!$F$3:$F$1002,AH$9,'Alocação'!$B$3:$B$1002,"&lt;="&amp;$B$6), "")</f>
        <v/>
      </c>
      <c r="AK126" s="243" t="str">
        <f>iferror(IF(AI126="Ações Americanas", HLOOKUP(AH126,'Histórico'!$A$1:$DD$990,MATCH($B$6,'Histórico'!$A:$A),FALSE)*HLOOKUP("PTAX",'Histórico'!$A$1:$FG$983,MATCH($B$6,'Histórico'!$A:$A),FALSE),IF(AI126="Ações Europeias", HLOOKUP(AH126,'Histórico'!$A$1:$DD$990,MATCH($B$6,'Histórico'!$A:$A),FALSE)*HLOOKUP("EUR/BRL",'Histórico'!$A$1:$FG$983,MATCH($B$6,'Histórico'!$A:$A),FALSE),  HLOOKUP(AH126,'Histórico'!$A$1:$DD$990,MATCH($B$6,'Histórico'!$A:$A),FALSE))),"")</f>
        <v/>
      </c>
      <c r="AL126" s="243" t="str">
        <f t="shared" si="11"/>
        <v/>
      </c>
      <c r="AM126" s="53"/>
      <c r="AN126" s="245"/>
      <c r="AO126" s="242" t="str">
        <f>IF(ISTEXT(AN126),VLOOKUP(AN126,'Cadastro dos Ativos'!$A$2:$C$1000,3,0),"")</f>
        <v/>
      </c>
      <c r="AP126" s="242" t="str">
        <f>IF(AN126 &lt;&gt; "",SUMIFS('Alocação'!$O$3:$O$1002,'Alocação'!$C$3:$C$1002,AN126,'Alocação'!$F$3:$F$1002,AN$9,'Alocação'!$B$3:$B$1002,"&lt;="&amp;$B$6), "")</f>
        <v/>
      </c>
      <c r="AQ126" s="243" t="str">
        <f>iferror(IF(AO126="Ações Americanas", HLOOKUP(AN126,'Histórico'!$A$1:$DD$990,MATCH($B$6,'Histórico'!$A:$A),FALSE)*HLOOKUP("PTAX",'Histórico'!$A$1:$FG$983,MATCH($B$6,'Histórico'!$A:$A),FALSE),IF(AO126="Ações Europeias", HLOOKUP(AN126,'Histórico'!$A$1:$DD$990,MATCH($B$6,'Histórico'!$A:$A),FALSE)*HLOOKUP("EUR/BRL",'Histórico'!$A$1:$FG$983,MATCH($B$6,'Histórico'!$A:$A),FALSE),  HLOOKUP(AN126,'Histórico'!$A$1:$DD$990,MATCH($B$6,'Histórico'!$A:$A),FALSE))),"")</f>
        <v/>
      </c>
      <c r="AR126" s="243" t="str">
        <f t="shared" si="12"/>
        <v/>
      </c>
      <c r="AS126" s="53"/>
      <c r="AT126" s="245"/>
      <c r="AU126" s="242" t="str">
        <f>IF(ISTEXT(AT126),VLOOKUP(AT126,'Cadastro dos Ativos'!$A$2:$C$1000,3,0),"")</f>
        <v/>
      </c>
      <c r="AV126" s="242" t="str">
        <f>IF(AT126 &lt;&gt; "",SUMIFS('Alocação'!$O$3:$O$1002,'Alocação'!$C$3:$C$1002,AT126,'Alocação'!$F$3:$F$1002,AT$9,'Alocação'!$B$3:$B$1002,"&lt;="&amp;$B$6), "")</f>
        <v/>
      </c>
      <c r="AW126" s="243" t="str">
        <f>iferror(IF(AU126="Ações Americanas", HLOOKUP(AT126,'Histórico'!$A$1:$DD$990,MATCH($B$6,'Histórico'!$A:$A),FALSE)*HLOOKUP("PTAX",'Histórico'!$A$1:$FG$983,MATCH($B$6,'Histórico'!$A:$A),FALSE),IF(AU126="Ações Europeias", HLOOKUP(AT126,'Histórico'!$A$1:$DD$990,MATCH($B$6,'Histórico'!$A:$A),FALSE)*HLOOKUP("EUR/BRL",'Histórico'!$A$1:$FG$983,MATCH($B$6,'Histórico'!$A:$A),FALSE),  HLOOKUP(AT126,'Histórico'!$A$1:$DD$990,MATCH($B$6,'Histórico'!$A:$A),FALSE))),"")</f>
        <v/>
      </c>
      <c r="AX126" s="243" t="str">
        <f t="shared" si="13"/>
        <v/>
      </c>
      <c r="AY126" s="53"/>
    </row>
    <row r="127" ht="15.75" customHeight="1">
      <c r="A127" s="176"/>
      <c r="B127" s="288">
        <f>Controle!B127</f>
        <v>45174</v>
      </c>
      <c r="C127" s="233" t="str">
        <f>Controle!C127</f>
        <v/>
      </c>
      <c r="D127" s="289" t="str">
        <f>Controle!D127</f>
        <v/>
      </c>
      <c r="E127" s="290"/>
      <c r="F127" s="291" t="str">
        <f>Controle!F127</f>
        <v/>
      </c>
      <c r="G127" s="289" t="str">
        <f>Controle!G127</f>
        <v/>
      </c>
      <c r="H127" s="290"/>
      <c r="I127" s="291" t="str">
        <f>Controle!I127</f>
        <v/>
      </c>
      <c r="J127" s="233" t="str">
        <f>Controle!J127</f>
        <v/>
      </c>
      <c r="K127" s="292"/>
      <c r="L127" s="233" t="str">
        <f>Controle!L127</f>
        <v/>
      </c>
      <c r="M127" s="233" t="str">
        <f>Controle!M127</f>
        <v/>
      </c>
      <c r="N127" s="235" t="str">
        <f>Controle!N127</f>
        <v/>
      </c>
      <c r="O127" s="235" t="str">
        <f>Controle!O127</f>
        <v/>
      </c>
      <c r="P127" s="235" t="str">
        <f>Controle!P127</f>
        <v/>
      </c>
      <c r="Q127" s="235" t="str">
        <f>Controle!Q127</f>
        <v/>
      </c>
      <c r="R127" s="293" t="str">
        <f>Controle!R127</f>
        <v/>
      </c>
      <c r="S127" s="287"/>
      <c r="T127" s="233" t="str">
        <f t="shared" ref="T127:U127" si="130">IF(AND(C127&lt;&gt;"",F127&lt;&gt;"",I127&lt;&gt;""), SUM(I127,F127,C127),"")</f>
        <v/>
      </c>
      <c r="U127" s="233" t="str">
        <f t="shared" si="130"/>
        <v/>
      </c>
      <c r="V127" s="233" t="str">
        <f t="shared" si="6"/>
        <v/>
      </c>
      <c r="W127" s="241" t="str">
        <f t="shared" si="9"/>
        <v/>
      </c>
      <c r="X127" s="241" t="str">
        <f t="shared" si="10"/>
        <v/>
      </c>
      <c r="Y127" s="241" t="str">
        <f t="shared" si="19"/>
        <v/>
      </c>
      <c r="Z127" s="233" t="str">
        <f t="shared" si="7"/>
        <v/>
      </c>
      <c r="AA127" s="294"/>
      <c r="AB127" s="245"/>
      <c r="AC127" s="242" t="str">
        <f>IF(ISTEXT(AB127),VLOOKUP(AB127,'Cadastro dos Ativos'!$A$2:$C$1000,3,0),"")</f>
        <v/>
      </c>
      <c r="AD127" s="242" t="str">
        <f>IF(AB127 &lt;&gt; "",SUMIFS('Alocação'!$O$3:$O$1002,'Alocação'!$C$3:$C$1002,AB127,'Alocação'!$F$3:$F$1002,AB$9,'Alocação'!$B$3:$B$1002,"&lt;="&amp;$B$6), "")</f>
        <v/>
      </c>
      <c r="AE127" s="243" t="str">
        <f>iferror(IF(AC127="Ações Americanas", HLOOKUP(AB127,'Histórico'!$A$1:$DD$990,MATCH($B$6,'Histórico'!$A:$A),FALSE)*HLOOKUP("PTAX",'Histórico'!$A$1:$FG$983,MATCH($B$6,'Histórico'!$A:$A),FALSE),IF(AC127="Ações Europeias", HLOOKUP(AB127,'Histórico'!$A$1:$DD$990,MATCH($B$6,'Histórico'!$A:$A),FALSE)*HLOOKUP("EUR/BRL",'Histórico'!$A$1:$FG$983,MATCH($B$6,'Histórico'!$A:$A),FALSE),  HLOOKUP(AB127,'Histórico'!$A$1:$DD$990,MATCH($B$6,'Histórico'!$A:$A),FALSE))),"")</f>
        <v/>
      </c>
      <c r="AF127" s="243" t="str">
        <f t="shared" si="15"/>
        <v/>
      </c>
      <c r="AG127" s="53"/>
      <c r="AH127" s="245"/>
      <c r="AI127" s="242" t="str">
        <f>IF(ISTEXT(AH127),VLOOKUP(AH127,'Cadastro dos Ativos'!$A$2:$C$1000,3,0),"")</f>
        <v/>
      </c>
      <c r="AJ127" s="242" t="str">
        <f>IF(AH127 &lt;&gt; "",SUMIFS('Alocação'!$O$3:$O$1002,'Alocação'!$C$3:$C$1002,AH127,'Alocação'!$F$3:$F$1002,AH$9,'Alocação'!$B$3:$B$1002,"&lt;="&amp;$B$6), "")</f>
        <v/>
      </c>
      <c r="AK127" s="243" t="str">
        <f>iferror(IF(AI127="Ações Americanas", HLOOKUP(AH127,'Histórico'!$A$1:$DD$990,MATCH($B$6,'Histórico'!$A:$A),FALSE)*HLOOKUP("PTAX",'Histórico'!$A$1:$FG$983,MATCH($B$6,'Histórico'!$A:$A),FALSE),IF(AI127="Ações Europeias", HLOOKUP(AH127,'Histórico'!$A$1:$DD$990,MATCH($B$6,'Histórico'!$A:$A),FALSE)*HLOOKUP("EUR/BRL",'Histórico'!$A$1:$FG$983,MATCH($B$6,'Histórico'!$A:$A),FALSE),  HLOOKUP(AH127,'Histórico'!$A$1:$DD$990,MATCH($B$6,'Histórico'!$A:$A),FALSE))),"")</f>
        <v/>
      </c>
      <c r="AL127" s="243" t="str">
        <f t="shared" si="11"/>
        <v/>
      </c>
      <c r="AM127" s="53"/>
      <c r="AN127" s="245"/>
      <c r="AO127" s="242" t="str">
        <f>IF(ISTEXT(AN127),VLOOKUP(AN127,'Cadastro dos Ativos'!$A$2:$C$1000,3,0),"")</f>
        <v/>
      </c>
      <c r="AP127" s="242" t="str">
        <f>IF(AN127 &lt;&gt; "",SUMIFS('Alocação'!$O$3:$O$1002,'Alocação'!$C$3:$C$1002,AN127,'Alocação'!$F$3:$F$1002,AN$9,'Alocação'!$B$3:$B$1002,"&lt;="&amp;$B$6), "")</f>
        <v/>
      </c>
      <c r="AQ127" s="243" t="str">
        <f>iferror(IF(AO127="Ações Americanas", HLOOKUP(AN127,'Histórico'!$A$1:$DD$990,MATCH($B$6,'Histórico'!$A:$A),FALSE)*HLOOKUP("PTAX",'Histórico'!$A$1:$FG$983,MATCH($B$6,'Histórico'!$A:$A),FALSE),IF(AO127="Ações Europeias", HLOOKUP(AN127,'Histórico'!$A$1:$DD$990,MATCH($B$6,'Histórico'!$A:$A),FALSE)*HLOOKUP("EUR/BRL",'Histórico'!$A$1:$FG$983,MATCH($B$6,'Histórico'!$A:$A),FALSE),  HLOOKUP(AN127,'Histórico'!$A$1:$DD$990,MATCH($B$6,'Histórico'!$A:$A),FALSE))),"")</f>
        <v/>
      </c>
      <c r="AR127" s="243" t="str">
        <f t="shared" si="12"/>
        <v/>
      </c>
      <c r="AS127" s="53"/>
      <c r="AT127" s="245"/>
      <c r="AU127" s="242" t="str">
        <f>IF(ISTEXT(AT127),VLOOKUP(AT127,'Cadastro dos Ativos'!$A$2:$C$1000,3,0),"")</f>
        <v/>
      </c>
      <c r="AV127" s="242" t="str">
        <f>IF(AT127 &lt;&gt; "",SUMIFS('Alocação'!$O$3:$O$1002,'Alocação'!$C$3:$C$1002,AT127,'Alocação'!$F$3:$F$1002,AT$9,'Alocação'!$B$3:$B$1002,"&lt;="&amp;$B$6), "")</f>
        <v/>
      </c>
      <c r="AW127" s="243" t="str">
        <f>iferror(IF(AU127="Ações Americanas", HLOOKUP(AT127,'Histórico'!$A$1:$DD$990,MATCH($B$6,'Histórico'!$A:$A),FALSE)*HLOOKUP("PTAX",'Histórico'!$A$1:$FG$983,MATCH($B$6,'Histórico'!$A:$A),FALSE),IF(AU127="Ações Europeias", HLOOKUP(AT127,'Histórico'!$A$1:$DD$990,MATCH($B$6,'Histórico'!$A:$A),FALSE)*HLOOKUP("EUR/BRL",'Histórico'!$A$1:$FG$983,MATCH($B$6,'Histórico'!$A:$A),FALSE),  HLOOKUP(AT127,'Histórico'!$A$1:$DD$990,MATCH($B$6,'Histórico'!$A:$A),FALSE))),"")</f>
        <v/>
      </c>
      <c r="AX127" s="243" t="str">
        <f t="shared" si="13"/>
        <v/>
      </c>
      <c r="AY127" s="53"/>
    </row>
    <row r="128" ht="15.75" customHeight="1">
      <c r="A128" s="176"/>
      <c r="B128" s="288">
        <f>Controle!B128</f>
        <v>45175</v>
      </c>
      <c r="C128" s="233" t="str">
        <f>Controle!C128</f>
        <v/>
      </c>
      <c r="D128" s="289" t="str">
        <f>Controle!D128</f>
        <v/>
      </c>
      <c r="E128" s="290"/>
      <c r="F128" s="291" t="str">
        <f>Controle!F128</f>
        <v/>
      </c>
      <c r="G128" s="289" t="str">
        <f>Controle!G128</f>
        <v/>
      </c>
      <c r="H128" s="290"/>
      <c r="I128" s="291" t="str">
        <f>Controle!I128</f>
        <v/>
      </c>
      <c r="J128" s="233" t="str">
        <f>Controle!J128</f>
        <v/>
      </c>
      <c r="K128" s="292"/>
      <c r="L128" s="233" t="str">
        <f>Controle!L128</f>
        <v/>
      </c>
      <c r="M128" s="233" t="str">
        <f>Controle!M128</f>
        <v/>
      </c>
      <c r="N128" s="235" t="str">
        <f>Controle!N128</f>
        <v/>
      </c>
      <c r="O128" s="235" t="str">
        <f>Controle!O128</f>
        <v/>
      </c>
      <c r="P128" s="235" t="str">
        <f>Controle!P128</f>
        <v/>
      </c>
      <c r="Q128" s="235" t="str">
        <f>Controle!Q128</f>
        <v/>
      </c>
      <c r="R128" s="293" t="str">
        <f>Controle!R128</f>
        <v/>
      </c>
      <c r="S128" s="287"/>
      <c r="T128" s="233" t="str">
        <f t="shared" ref="T128:U128" si="131">IF(AND(C128&lt;&gt;"",F128&lt;&gt;"",I128&lt;&gt;""), SUM(I128,F128,C128),"")</f>
        <v/>
      </c>
      <c r="U128" s="233" t="str">
        <f t="shared" si="131"/>
        <v/>
      </c>
      <c r="V128" s="233" t="str">
        <f t="shared" si="6"/>
        <v/>
      </c>
      <c r="W128" s="241" t="str">
        <f t="shared" si="9"/>
        <v/>
      </c>
      <c r="X128" s="241" t="str">
        <f t="shared" si="10"/>
        <v/>
      </c>
      <c r="Y128" s="241" t="str">
        <f t="shared" si="19"/>
        <v/>
      </c>
      <c r="Z128" s="233" t="str">
        <f t="shared" si="7"/>
        <v/>
      </c>
      <c r="AA128" s="294"/>
      <c r="AB128" s="245"/>
      <c r="AC128" s="242" t="str">
        <f>IF(ISTEXT(AB128),VLOOKUP(AB128,'Cadastro dos Ativos'!$A$2:$C$1000,3,0),"")</f>
        <v/>
      </c>
      <c r="AD128" s="242" t="str">
        <f>IF(AB128 &lt;&gt; "",SUMIFS('Alocação'!$O$3:$O$1002,'Alocação'!$C$3:$C$1002,AB128,'Alocação'!$F$3:$F$1002,AB$9,'Alocação'!$B$3:$B$1002,"&lt;="&amp;$B$6), "")</f>
        <v/>
      </c>
      <c r="AE128" s="243" t="str">
        <f>iferror(IF(AC128="Ações Americanas", HLOOKUP(AB128,'Histórico'!$A$1:$DD$990,MATCH($B$6,'Histórico'!$A:$A),FALSE)*HLOOKUP("PTAX",'Histórico'!$A$1:$FG$983,MATCH($B$6,'Histórico'!$A:$A),FALSE),IF(AC128="Ações Europeias", HLOOKUP(AB128,'Histórico'!$A$1:$DD$990,MATCH($B$6,'Histórico'!$A:$A),FALSE)*HLOOKUP("EUR/BRL",'Histórico'!$A$1:$FG$983,MATCH($B$6,'Histórico'!$A:$A),FALSE),  HLOOKUP(AB128,'Histórico'!$A$1:$DD$990,MATCH($B$6,'Histórico'!$A:$A),FALSE))),"")</f>
        <v/>
      </c>
      <c r="AF128" s="243" t="str">
        <f t="shared" si="15"/>
        <v/>
      </c>
      <c r="AG128" s="53"/>
      <c r="AH128" s="245"/>
      <c r="AI128" s="242" t="str">
        <f>IF(ISTEXT(AH128),VLOOKUP(AH128,'Cadastro dos Ativos'!$A$2:$C$1000,3,0),"")</f>
        <v/>
      </c>
      <c r="AJ128" s="242" t="str">
        <f>IF(AH128 &lt;&gt; "",SUMIFS('Alocação'!$O$3:$O$1002,'Alocação'!$C$3:$C$1002,AH128,'Alocação'!$F$3:$F$1002,AH$9,'Alocação'!$B$3:$B$1002,"&lt;="&amp;$B$6), "")</f>
        <v/>
      </c>
      <c r="AK128" s="243" t="str">
        <f>iferror(IF(AI128="Ações Americanas", HLOOKUP(AH128,'Histórico'!$A$1:$DD$990,MATCH($B$6,'Histórico'!$A:$A),FALSE)*HLOOKUP("PTAX",'Histórico'!$A$1:$FG$983,MATCH($B$6,'Histórico'!$A:$A),FALSE),IF(AI128="Ações Europeias", HLOOKUP(AH128,'Histórico'!$A$1:$DD$990,MATCH($B$6,'Histórico'!$A:$A),FALSE)*HLOOKUP("EUR/BRL",'Histórico'!$A$1:$FG$983,MATCH($B$6,'Histórico'!$A:$A),FALSE),  HLOOKUP(AH128,'Histórico'!$A$1:$DD$990,MATCH($B$6,'Histórico'!$A:$A),FALSE))),"")</f>
        <v/>
      </c>
      <c r="AL128" s="243" t="str">
        <f t="shared" si="11"/>
        <v/>
      </c>
      <c r="AM128" s="53"/>
      <c r="AN128" s="245"/>
      <c r="AO128" s="242" t="str">
        <f>IF(ISTEXT(AN128),VLOOKUP(AN128,'Cadastro dos Ativos'!$A$2:$C$1000,3,0),"")</f>
        <v/>
      </c>
      <c r="AP128" s="242" t="str">
        <f>IF(AN128 &lt;&gt; "",SUMIFS('Alocação'!$O$3:$O$1002,'Alocação'!$C$3:$C$1002,AN128,'Alocação'!$F$3:$F$1002,AN$9,'Alocação'!$B$3:$B$1002,"&lt;="&amp;$B$6), "")</f>
        <v/>
      </c>
      <c r="AQ128" s="243" t="str">
        <f>iferror(IF(AO128="Ações Americanas", HLOOKUP(AN128,'Histórico'!$A$1:$DD$990,MATCH($B$6,'Histórico'!$A:$A),FALSE)*HLOOKUP("PTAX",'Histórico'!$A$1:$FG$983,MATCH($B$6,'Histórico'!$A:$A),FALSE),IF(AO128="Ações Europeias", HLOOKUP(AN128,'Histórico'!$A$1:$DD$990,MATCH($B$6,'Histórico'!$A:$A),FALSE)*HLOOKUP("EUR/BRL",'Histórico'!$A$1:$FG$983,MATCH($B$6,'Histórico'!$A:$A),FALSE),  HLOOKUP(AN128,'Histórico'!$A$1:$DD$990,MATCH($B$6,'Histórico'!$A:$A),FALSE))),"")</f>
        <v/>
      </c>
      <c r="AR128" s="243" t="str">
        <f t="shared" si="12"/>
        <v/>
      </c>
      <c r="AS128" s="53"/>
      <c r="AT128" s="245"/>
      <c r="AU128" s="242" t="str">
        <f>IF(ISTEXT(AT128),VLOOKUP(AT128,'Cadastro dos Ativos'!$A$2:$C$1000,3,0),"")</f>
        <v/>
      </c>
      <c r="AV128" s="242" t="str">
        <f>IF(AT128 &lt;&gt; "",SUMIFS('Alocação'!$O$3:$O$1002,'Alocação'!$C$3:$C$1002,AT128,'Alocação'!$F$3:$F$1002,AT$9,'Alocação'!$B$3:$B$1002,"&lt;="&amp;$B$6), "")</f>
        <v/>
      </c>
      <c r="AW128" s="243" t="str">
        <f>iferror(IF(AU128="Ações Americanas", HLOOKUP(AT128,'Histórico'!$A$1:$DD$990,MATCH($B$6,'Histórico'!$A:$A),FALSE)*HLOOKUP("PTAX",'Histórico'!$A$1:$FG$983,MATCH($B$6,'Histórico'!$A:$A),FALSE),IF(AU128="Ações Europeias", HLOOKUP(AT128,'Histórico'!$A$1:$DD$990,MATCH($B$6,'Histórico'!$A:$A),FALSE)*HLOOKUP("EUR/BRL",'Histórico'!$A$1:$FG$983,MATCH($B$6,'Histórico'!$A:$A),FALSE),  HLOOKUP(AT128,'Histórico'!$A$1:$DD$990,MATCH($B$6,'Histórico'!$A:$A),FALSE))),"")</f>
        <v/>
      </c>
      <c r="AX128" s="243" t="str">
        <f t="shared" si="13"/>
        <v/>
      </c>
      <c r="AY128" s="53"/>
    </row>
    <row r="129" ht="15.75" customHeight="1">
      <c r="A129" s="176"/>
      <c r="B129" s="288">
        <f>Controle!B129</f>
        <v>45177</v>
      </c>
      <c r="C129" s="233" t="str">
        <f>Controle!C129</f>
        <v/>
      </c>
      <c r="D129" s="289" t="str">
        <f>Controle!D129</f>
        <v/>
      </c>
      <c r="E129" s="290"/>
      <c r="F129" s="291" t="str">
        <f>Controle!F129</f>
        <v/>
      </c>
      <c r="G129" s="289" t="str">
        <f>Controle!G129</f>
        <v/>
      </c>
      <c r="H129" s="290"/>
      <c r="I129" s="291" t="str">
        <f>Controle!I129</f>
        <v/>
      </c>
      <c r="J129" s="233" t="str">
        <f>Controle!J129</f>
        <v/>
      </c>
      <c r="K129" s="292"/>
      <c r="L129" s="233" t="str">
        <f>Controle!L129</f>
        <v/>
      </c>
      <c r="M129" s="233" t="str">
        <f>Controle!M129</f>
        <v/>
      </c>
      <c r="N129" s="235" t="str">
        <f>Controle!N129</f>
        <v/>
      </c>
      <c r="O129" s="235" t="str">
        <f>Controle!O129</f>
        <v/>
      </c>
      <c r="P129" s="235" t="str">
        <f>Controle!P129</f>
        <v/>
      </c>
      <c r="Q129" s="235" t="str">
        <f>Controle!Q129</f>
        <v/>
      </c>
      <c r="R129" s="293" t="str">
        <f>Controle!R129</f>
        <v/>
      </c>
      <c r="S129" s="287"/>
      <c r="T129" s="233" t="str">
        <f t="shared" ref="T129:U129" si="132">IF(AND(C129&lt;&gt;"",F129&lt;&gt;"",I129&lt;&gt;""), SUM(I129,F129,C129),"")</f>
        <v/>
      </c>
      <c r="U129" s="233" t="str">
        <f t="shared" si="132"/>
        <v/>
      </c>
      <c r="V129" s="233" t="str">
        <f t="shared" si="6"/>
        <v/>
      </c>
      <c r="W129" s="241" t="str">
        <f t="shared" si="9"/>
        <v/>
      </c>
      <c r="X129" s="241" t="str">
        <f t="shared" si="10"/>
        <v/>
      </c>
      <c r="Y129" s="241" t="str">
        <f t="shared" si="19"/>
        <v/>
      </c>
      <c r="Z129" s="233" t="str">
        <f t="shared" si="7"/>
        <v/>
      </c>
      <c r="AA129" s="294"/>
      <c r="AB129" s="245"/>
      <c r="AC129" s="242" t="str">
        <f>IF(ISTEXT(AB129),VLOOKUP(AB129,'Cadastro dos Ativos'!$A$2:$C$1000,3,0),"")</f>
        <v/>
      </c>
      <c r="AD129" s="242" t="str">
        <f>IF(AB129 &lt;&gt; "",SUMIFS('Alocação'!$O$3:$O$1002,'Alocação'!$C$3:$C$1002,AB129,'Alocação'!$F$3:$F$1002,AB$9,'Alocação'!$B$3:$B$1002,"&lt;="&amp;$B$6), "")</f>
        <v/>
      </c>
      <c r="AE129" s="243" t="str">
        <f>iferror(IF(AC129="Ações Americanas", HLOOKUP(AB129,'Histórico'!$A$1:$DD$990,MATCH($B$6,'Histórico'!$A:$A),FALSE)*HLOOKUP("PTAX",'Histórico'!$A$1:$FG$983,MATCH($B$6,'Histórico'!$A:$A),FALSE),IF(AC129="Ações Europeias", HLOOKUP(AB129,'Histórico'!$A$1:$DD$990,MATCH($B$6,'Histórico'!$A:$A),FALSE)*HLOOKUP("EUR/BRL",'Histórico'!$A$1:$FG$983,MATCH($B$6,'Histórico'!$A:$A),FALSE),  HLOOKUP(AB129,'Histórico'!$A$1:$DD$990,MATCH($B$6,'Histórico'!$A:$A),FALSE))),"")</f>
        <v/>
      </c>
      <c r="AF129" s="243" t="str">
        <f t="shared" si="15"/>
        <v/>
      </c>
      <c r="AG129" s="53"/>
      <c r="AH129" s="245"/>
      <c r="AI129" s="242" t="str">
        <f>IF(ISTEXT(AH129),VLOOKUP(AH129,'Cadastro dos Ativos'!$A$2:$C$1000,3,0),"")</f>
        <v/>
      </c>
      <c r="AJ129" s="242" t="str">
        <f>IF(AH129 &lt;&gt; "",SUMIFS('Alocação'!$O$3:$O$1002,'Alocação'!$C$3:$C$1002,AH129,'Alocação'!$F$3:$F$1002,AH$9,'Alocação'!$B$3:$B$1002,"&lt;="&amp;$B$6), "")</f>
        <v/>
      </c>
      <c r="AK129" s="243" t="str">
        <f>iferror(IF(AI129="Ações Americanas", HLOOKUP(AH129,'Histórico'!$A$1:$DD$990,MATCH($B$6,'Histórico'!$A:$A),FALSE)*HLOOKUP("PTAX",'Histórico'!$A$1:$FG$983,MATCH($B$6,'Histórico'!$A:$A),FALSE),IF(AI129="Ações Europeias", HLOOKUP(AH129,'Histórico'!$A$1:$DD$990,MATCH($B$6,'Histórico'!$A:$A),FALSE)*HLOOKUP("EUR/BRL",'Histórico'!$A$1:$FG$983,MATCH($B$6,'Histórico'!$A:$A),FALSE),  HLOOKUP(AH129,'Histórico'!$A$1:$DD$990,MATCH($B$6,'Histórico'!$A:$A),FALSE))),"")</f>
        <v/>
      </c>
      <c r="AL129" s="243" t="str">
        <f t="shared" si="11"/>
        <v/>
      </c>
      <c r="AM129" s="53"/>
      <c r="AN129" s="245"/>
      <c r="AO129" s="242" t="str">
        <f>IF(ISTEXT(AN129),VLOOKUP(AN129,'Cadastro dos Ativos'!$A$2:$C$1000,3,0),"")</f>
        <v/>
      </c>
      <c r="AP129" s="242" t="str">
        <f>IF(AN129 &lt;&gt; "",SUMIFS('Alocação'!$O$3:$O$1002,'Alocação'!$C$3:$C$1002,AN129,'Alocação'!$F$3:$F$1002,AN$9,'Alocação'!$B$3:$B$1002,"&lt;="&amp;$B$6), "")</f>
        <v/>
      </c>
      <c r="AQ129" s="243" t="str">
        <f>iferror(IF(AO129="Ações Americanas", HLOOKUP(AN129,'Histórico'!$A$1:$DD$990,MATCH($B$6,'Histórico'!$A:$A),FALSE)*HLOOKUP("PTAX",'Histórico'!$A$1:$FG$983,MATCH($B$6,'Histórico'!$A:$A),FALSE),IF(AO129="Ações Europeias", HLOOKUP(AN129,'Histórico'!$A$1:$DD$990,MATCH($B$6,'Histórico'!$A:$A),FALSE)*HLOOKUP("EUR/BRL",'Histórico'!$A$1:$FG$983,MATCH($B$6,'Histórico'!$A:$A),FALSE),  HLOOKUP(AN129,'Histórico'!$A$1:$DD$990,MATCH($B$6,'Histórico'!$A:$A),FALSE))),"")</f>
        <v/>
      </c>
      <c r="AR129" s="243" t="str">
        <f t="shared" si="12"/>
        <v/>
      </c>
      <c r="AS129" s="53"/>
      <c r="AT129" s="245"/>
      <c r="AU129" s="242" t="str">
        <f>IF(ISTEXT(AT129),VLOOKUP(AT129,'Cadastro dos Ativos'!$A$2:$C$1000,3,0),"")</f>
        <v/>
      </c>
      <c r="AV129" s="242" t="str">
        <f>IF(AT129 &lt;&gt; "",SUMIFS('Alocação'!$O$3:$O$1002,'Alocação'!$C$3:$C$1002,AT129,'Alocação'!$F$3:$F$1002,AT$9,'Alocação'!$B$3:$B$1002,"&lt;="&amp;$B$6), "")</f>
        <v/>
      </c>
      <c r="AW129" s="243" t="str">
        <f>iferror(IF(AU129="Ações Americanas", HLOOKUP(AT129,'Histórico'!$A$1:$DD$990,MATCH($B$6,'Histórico'!$A:$A),FALSE)*HLOOKUP("PTAX",'Histórico'!$A$1:$FG$983,MATCH($B$6,'Histórico'!$A:$A),FALSE),IF(AU129="Ações Europeias", HLOOKUP(AT129,'Histórico'!$A$1:$DD$990,MATCH($B$6,'Histórico'!$A:$A),FALSE)*HLOOKUP("EUR/BRL",'Histórico'!$A$1:$FG$983,MATCH($B$6,'Histórico'!$A:$A),FALSE),  HLOOKUP(AT129,'Histórico'!$A$1:$DD$990,MATCH($B$6,'Histórico'!$A:$A),FALSE))),"")</f>
        <v/>
      </c>
      <c r="AX129" s="243" t="str">
        <f t="shared" si="13"/>
        <v/>
      </c>
      <c r="AY129" s="53"/>
    </row>
    <row r="130" ht="15.75" customHeight="1">
      <c r="A130" s="176"/>
      <c r="B130" s="288">
        <f>Controle!B130</f>
        <v>45180</v>
      </c>
      <c r="C130" s="233" t="str">
        <f>Controle!C130</f>
        <v/>
      </c>
      <c r="D130" s="289" t="str">
        <f>Controle!D130</f>
        <v/>
      </c>
      <c r="E130" s="290"/>
      <c r="F130" s="291" t="str">
        <f>Controle!F130</f>
        <v/>
      </c>
      <c r="G130" s="289" t="str">
        <f>Controle!G130</f>
        <v/>
      </c>
      <c r="H130" s="290"/>
      <c r="I130" s="291" t="str">
        <f>Controle!I130</f>
        <v/>
      </c>
      <c r="J130" s="233" t="str">
        <f>Controle!J130</f>
        <v/>
      </c>
      <c r="K130" s="292"/>
      <c r="L130" s="233" t="str">
        <f>Controle!L130</f>
        <v/>
      </c>
      <c r="M130" s="233" t="str">
        <f>Controle!M130</f>
        <v/>
      </c>
      <c r="N130" s="235" t="str">
        <f>Controle!N130</f>
        <v/>
      </c>
      <c r="O130" s="235" t="str">
        <f>Controle!O130</f>
        <v/>
      </c>
      <c r="P130" s="235" t="str">
        <f>Controle!P130</f>
        <v/>
      </c>
      <c r="Q130" s="235" t="str">
        <f>Controle!Q130</f>
        <v/>
      </c>
      <c r="R130" s="293" t="str">
        <f>Controle!R130</f>
        <v/>
      </c>
      <c r="S130" s="287"/>
      <c r="T130" s="233" t="str">
        <f t="shared" ref="T130:U130" si="133">IF(AND(C130&lt;&gt;"",F130&lt;&gt;"",I130&lt;&gt;""), SUM(I130,F130,C130),"")</f>
        <v/>
      </c>
      <c r="U130" s="233" t="str">
        <f t="shared" si="133"/>
        <v/>
      </c>
      <c r="V130" s="233" t="str">
        <f t="shared" si="6"/>
        <v/>
      </c>
      <c r="W130" s="241" t="str">
        <f t="shared" si="9"/>
        <v/>
      </c>
      <c r="X130" s="241" t="str">
        <f t="shared" si="10"/>
        <v/>
      </c>
      <c r="Y130" s="241" t="str">
        <f t="shared" si="19"/>
        <v/>
      </c>
      <c r="Z130" s="233" t="str">
        <f t="shared" si="7"/>
        <v/>
      </c>
      <c r="AA130" s="294"/>
      <c r="AB130" s="245"/>
      <c r="AC130" s="242" t="str">
        <f>IF(ISTEXT(AB130),VLOOKUP(AB130,'Cadastro dos Ativos'!$A$2:$C$1000,3,0),"")</f>
        <v/>
      </c>
      <c r="AD130" s="242" t="str">
        <f>IF(AB130 &lt;&gt; "",SUMIFS('Alocação'!$O$3:$O$1002,'Alocação'!$C$3:$C$1002,AB130,'Alocação'!$F$3:$F$1002,AB$9,'Alocação'!$B$3:$B$1002,"&lt;="&amp;$B$6), "")</f>
        <v/>
      </c>
      <c r="AE130" s="243" t="str">
        <f>iferror(IF(AC130="Ações Americanas", HLOOKUP(AB130,'Histórico'!$A$1:$DD$990,MATCH($B$6,'Histórico'!$A:$A),FALSE)*HLOOKUP("PTAX",'Histórico'!$A$1:$FG$983,MATCH($B$6,'Histórico'!$A:$A),FALSE),IF(AC130="Ações Europeias", HLOOKUP(AB130,'Histórico'!$A$1:$DD$990,MATCH($B$6,'Histórico'!$A:$A),FALSE)*HLOOKUP("EUR/BRL",'Histórico'!$A$1:$FG$983,MATCH($B$6,'Histórico'!$A:$A),FALSE),  HLOOKUP(AB130,'Histórico'!$A$1:$DD$990,MATCH($B$6,'Histórico'!$A:$A),FALSE))),"")</f>
        <v/>
      </c>
      <c r="AF130" s="243" t="str">
        <f t="shared" si="15"/>
        <v/>
      </c>
      <c r="AG130" s="53"/>
      <c r="AH130" s="245"/>
      <c r="AI130" s="242" t="str">
        <f>IF(ISTEXT(AH130),VLOOKUP(AH130,'Cadastro dos Ativos'!$A$2:$C$1000,3,0),"")</f>
        <v/>
      </c>
      <c r="AJ130" s="242" t="str">
        <f>IF(AH130 &lt;&gt; "",SUMIFS('Alocação'!$O$3:$O$1002,'Alocação'!$C$3:$C$1002,AH130,'Alocação'!$F$3:$F$1002,AH$9,'Alocação'!$B$3:$B$1002,"&lt;="&amp;$B$6), "")</f>
        <v/>
      </c>
      <c r="AK130" s="243" t="str">
        <f>iferror(IF(AI130="Ações Americanas", HLOOKUP(AH130,'Histórico'!$A$1:$DD$990,MATCH($B$6,'Histórico'!$A:$A),FALSE)*HLOOKUP("PTAX",'Histórico'!$A$1:$FG$983,MATCH($B$6,'Histórico'!$A:$A),FALSE),IF(AI130="Ações Europeias", HLOOKUP(AH130,'Histórico'!$A$1:$DD$990,MATCH($B$6,'Histórico'!$A:$A),FALSE)*HLOOKUP("EUR/BRL",'Histórico'!$A$1:$FG$983,MATCH($B$6,'Histórico'!$A:$A),FALSE),  HLOOKUP(AH130,'Histórico'!$A$1:$DD$990,MATCH($B$6,'Histórico'!$A:$A),FALSE))),"")</f>
        <v/>
      </c>
      <c r="AL130" s="243" t="str">
        <f t="shared" si="11"/>
        <v/>
      </c>
      <c r="AM130" s="53"/>
      <c r="AN130" s="245"/>
      <c r="AO130" s="242" t="str">
        <f>IF(ISTEXT(AN130),VLOOKUP(AN130,'Cadastro dos Ativos'!$A$2:$C$1000,3,0),"")</f>
        <v/>
      </c>
      <c r="AP130" s="242" t="str">
        <f>IF(AN130 &lt;&gt; "",SUMIFS('Alocação'!$O$3:$O$1002,'Alocação'!$C$3:$C$1002,AN130,'Alocação'!$F$3:$F$1002,AN$9,'Alocação'!$B$3:$B$1002,"&lt;="&amp;$B$6), "")</f>
        <v/>
      </c>
      <c r="AQ130" s="243" t="str">
        <f>iferror(IF(AO130="Ações Americanas", HLOOKUP(AN130,'Histórico'!$A$1:$DD$990,MATCH($B$6,'Histórico'!$A:$A),FALSE)*HLOOKUP("PTAX",'Histórico'!$A$1:$FG$983,MATCH($B$6,'Histórico'!$A:$A),FALSE),IF(AO130="Ações Europeias", HLOOKUP(AN130,'Histórico'!$A$1:$DD$990,MATCH($B$6,'Histórico'!$A:$A),FALSE)*HLOOKUP("EUR/BRL",'Histórico'!$A$1:$FG$983,MATCH($B$6,'Histórico'!$A:$A),FALSE),  HLOOKUP(AN130,'Histórico'!$A$1:$DD$990,MATCH($B$6,'Histórico'!$A:$A),FALSE))),"")</f>
        <v/>
      </c>
      <c r="AR130" s="243" t="str">
        <f t="shared" si="12"/>
        <v/>
      </c>
      <c r="AS130" s="53"/>
      <c r="AT130" s="245"/>
      <c r="AU130" s="242" t="str">
        <f>IF(ISTEXT(AT130),VLOOKUP(AT130,'Cadastro dos Ativos'!$A$2:$C$1000,3,0),"")</f>
        <v/>
      </c>
      <c r="AV130" s="242" t="str">
        <f>IF(AT130 &lt;&gt; "",SUMIFS('Alocação'!$O$3:$O$1002,'Alocação'!$C$3:$C$1002,AT130,'Alocação'!$F$3:$F$1002,AT$9,'Alocação'!$B$3:$B$1002,"&lt;="&amp;$B$6), "")</f>
        <v/>
      </c>
      <c r="AW130" s="243" t="str">
        <f>iferror(IF(AU130="Ações Americanas", HLOOKUP(AT130,'Histórico'!$A$1:$DD$990,MATCH($B$6,'Histórico'!$A:$A),FALSE)*HLOOKUP("PTAX",'Histórico'!$A$1:$FG$983,MATCH($B$6,'Histórico'!$A:$A),FALSE),IF(AU130="Ações Europeias", HLOOKUP(AT130,'Histórico'!$A$1:$DD$990,MATCH($B$6,'Histórico'!$A:$A),FALSE)*HLOOKUP("EUR/BRL",'Histórico'!$A$1:$FG$983,MATCH($B$6,'Histórico'!$A:$A),FALSE),  HLOOKUP(AT130,'Histórico'!$A$1:$DD$990,MATCH($B$6,'Histórico'!$A:$A),FALSE))),"")</f>
        <v/>
      </c>
      <c r="AX130" s="243" t="str">
        <f t="shared" si="13"/>
        <v/>
      </c>
      <c r="AY130" s="53"/>
    </row>
    <row r="131" ht="15.75" customHeight="1">
      <c r="A131" s="176"/>
      <c r="B131" s="288">
        <f>Controle!B131</f>
        <v>45181</v>
      </c>
      <c r="C131" s="233" t="str">
        <f>Controle!C131</f>
        <v/>
      </c>
      <c r="D131" s="289" t="str">
        <f>Controle!D131</f>
        <v/>
      </c>
      <c r="E131" s="290"/>
      <c r="F131" s="291" t="str">
        <f>Controle!F131</f>
        <v/>
      </c>
      <c r="G131" s="289" t="str">
        <f>Controle!G131</f>
        <v/>
      </c>
      <c r="H131" s="290"/>
      <c r="I131" s="291" t="str">
        <f>Controle!I131</f>
        <v/>
      </c>
      <c r="J131" s="233" t="str">
        <f>Controle!J131</f>
        <v/>
      </c>
      <c r="K131" s="292"/>
      <c r="L131" s="233" t="str">
        <f>Controle!L131</f>
        <v/>
      </c>
      <c r="M131" s="233" t="str">
        <f>Controle!M131</f>
        <v/>
      </c>
      <c r="N131" s="235" t="str">
        <f>Controle!N131</f>
        <v/>
      </c>
      <c r="O131" s="235" t="str">
        <f>Controle!O131</f>
        <v/>
      </c>
      <c r="P131" s="235" t="str">
        <f>Controle!P131</f>
        <v/>
      </c>
      <c r="Q131" s="235" t="str">
        <f>Controle!Q131</f>
        <v/>
      </c>
      <c r="R131" s="293" t="str">
        <f>Controle!R131</f>
        <v/>
      </c>
      <c r="S131" s="287"/>
      <c r="T131" s="233" t="str">
        <f t="shared" ref="T131:U131" si="134">IF(AND(C131&lt;&gt;"",F131&lt;&gt;"",I131&lt;&gt;""), SUM(I131,F131,C131),"")</f>
        <v/>
      </c>
      <c r="U131" s="233" t="str">
        <f t="shared" si="134"/>
        <v/>
      </c>
      <c r="V131" s="233" t="str">
        <f t="shared" si="6"/>
        <v/>
      </c>
      <c r="W131" s="241" t="str">
        <f t="shared" si="9"/>
        <v/>
      </c>
      <c r="X131" s="241" t="str">
        <f t="shared" si="10"/>
        <v/>
      </c>
      <c r="Y131" s="241" t="str">
        <f t="shared" si="19"/>
        <v/>
      </c>
      <c r="Z131" s="233" t="str">
        <f t="shared" si="7"/>
        <v/>
      </c>
      <c r="AA131" s="294"/>
      <c r="AB131" s="245"/>
      <c r="AC131" s="242" t="str">
        <f>IF(ISTEXT(AB131),VLOOKUP(AB131,'Cadastro dos Ativos'!$A$2:$C$1000,3,0),"")</f>
        <v/>
      </c>
      <c r="AD131" s="242" t="str">
        <f>IF(AB131 &lt;&gt; "",SUMIFS('Alocação'!$O$3:$O$1002,'Alocação'!$C$3:$C$1002,AB131,'Alocação'!$F$3:$F$1002,AB$9,'Alocação'!$B$3:$B$1002,"&lt;="&amp;$B$6), "")</f>
        <v/>
      </c>
      <c r="AE131" s="243" t="str">
        <f>iferror(IF(AC131="Ações Americanas", HLOOKUP(AB131,'Histórico'!$A$1:$DD$990,MATCH($B$6,'Histórico'!$A:$A),FALSE)*HLOOKUP("PTAX",'Histórico'!$A$1:$FG$983,MATCH($B$6,'Histórico'!$A:$A),FALSE),IF(AC131="Ações Europeias", HLOOKUP(AB131,'Histórico'!$A$1:$DD$990,MATCH($B$6,'Histórico'!$A:$A),FALSE)*HLOOKUP("EUR/BRL",'Histórico'!$A$1:$FG$983,MATCH($B$6,'Histórico'!$A:$A),FALSE),  HLOOKUP(AB131,'Histórico'!$A$1:$DD$990,MATCH($B$6,'Histórico'!$A:$A),FALSE))),"")</f>
        <v/>
      </c>
      <c r="AF131" s="243" t="str">
        <f t="shared" si="15"/>
        <v/>
      </c>
      <c r="AG131" s="53"/>
      <c r="AH131" s="245"/>
      <c r="AI131" s="242" t="str">
        <f>IF(ISTEXT(AH131),VLOOKUP(AH131,'Cadastro dos Ativos'!$A$2:$C$1000,3,0),"")</f>
        <v/>
      </c>
      <c r="AJ131" s="242" t="str">
        <f>IF(AH131 &lt;&gt; "",SUMIFS('Alocação'!$O$3:$O$1002,'Alocação'!$C$3:$C$1002,AH131,'Alocação'!$F$3:$F$1002,AH$9,'Alocação'!$B$3:$B$1002,"&lt;="&amp;$B$6), "")</f>
        <v/>
      </c>
      <c r="AK131" s="243" t="str">
        <f>iferror(IF(AI131="Ações Americanas", HLOOKUP(AH131,'Histórico'!$A$1:$DD$990,MATCH($B$6,'Histórico'!$A:$A),FALSE)*HLOOKUP("PTAX",'Histórico'!$A$1:$FG$983,MATCH($B$6,'Histórico'!$A:$A),FALSE),IF(AI131="Ações Europeias", HLOOKUP(AH131,'Histórico'!$A$1:$DD$990,MATCH($B$6,'Histórico'!$A:$A),FALSE)*HLOOKUP("EUR/BRL",'Histórico'!$A$1:$FG$983,MATCH($B$6,'Histórico'!$A:$A),FALSE),  HLOOKUP(AH131,'Histórico'!$A$1:$DD$990,MATCH($B$6,'Histórico'!$A:$A),FALSE))),"")</f>
        <v/>
      </c>
      <c r="AL131" s="243" t="str">
        <f t="shared" si="11"/>
        <v/>
      </c>
      <c r="AM131" s="53"/>
      <c r="AN131" s="245"/>
      <c r="AO131" s="242" t="str">
        <f>IF(ISTEXT(AN131),VLOOKUP(AN131,'Cadastro dos Ativos'!$A$2:$C$1000,3,0),"")</f>
        <v/>
      </c>
      <c r="AP131" s="242" t="str">
        <f>IF(AN131 &lt;&gt; "",SUMIFS('Alocação'!$O$3:$O$1002,'Alocação'!$C$3:$C$1002,AN131,'Alocação'!$F$3:$F$1002,AN$9,'Alocação'!$B$3:$B$1002,"&lt;="&amp;$B$6), "")</f>
        <v/>
      </c>
      <c r="AQ131" s="243" t="str">
        <f>iferror(IF(AO131="Ações Americanas", HLOOKUP(AN131,'Histórico'!$A$1:$DD$990,MATCH($B$6,'Histórico'!$A:$A),FALSE)*HLOOKUP("PTAX",'Histórico'!$A$1:$FG$983,MATCH($B$6,'Histórico'!$A:$A),FALSE),IF(AO131="Ações Europeias", HLOOKUP(AN131,'Histórico'!$A$1:$DD$990,MATCH($B$6,'Histórico'!$A:$A),FALSE)*HLOOKUP("EUR/BRL",'Histórico'!$A$1:$FG$983,MATCH($B$6,'Histórico'!$A:$A),FALSE),  HLOOKUP(AN131,'Histórico'!$A$1:$DD$990,MATCH($B$6,'Histórico'!$A:$A),FALSE))),"")</f>
        <v/>
      </c>
      <c r="AR131" s="243" t="str">
        <f t="shared" si="12"/>
        <v/>
      </c>
      <c r="AS131" s="53"/>
      <c r="AT131" s="245"/>
      <c r="AU131" s="242" t="str">
        <f>IF(ISTEXT(AT131),VLOOKUP(AT131,'Cadastro dos Ativos'!$A$2:$C$1000,3,0),"")</f>
        <v/>
      </c>
      <c r="AV131" s="242" t="str">
        <f>IF(AT131 &lt;&gt; "",SUMIFS('Alocação'!$O$3:$O$1002,'Alocação'!$C$3:$C$1002,AT131,'Alocação'!$F$3:$F$1002,AT$9,'Alocação'!$B$3:$B$1002,"&lt;="&amp;$B$6), "")</f>
        <v/>
      </c>
      <c r="AW131" s="243" t="str">
        <f>iferror(IF(AU131="Ações Americanas", HLOOKUP(AT131,'Histórico'!$A$1:$DD$990,MATCH($B$6,'Histórico'!$A:$A),FALSE)*HLOOKUP("PTAX",'Histórico'!$A$1:$FG$983,MATCH($B$6,'Histórico'!$A:$A),FALSE),IF(AU131="Ações Europeias", HLOOKUP(AT131,'Histórico'!$A$1:$DD$990,MATCH($B$6,'Histórico'!$A:$A),FALSE)*HLOOKUP("EUR/BRL",'Histórico'!$A$1:$FG$983,MATCH($B$6,'Histórico'!$A:$A),FALSE),  HLOOKUP(AT131,'Histórico'!$A$1:$DD$990,MATCH($B$6,'Histórico'!$A:$A),FALSE))),"")</f>
        <v/>
      </c>
      <c r="AX131" s="243" t="str">
        <f t="shared" si="13"/>
        <v/>
      </c>
      <c r="AY131" s="53"/>
    </row>
    <row r="132" ht="15.75" customHeight="1">
      <c r="A132" s="176"/>
      <c r="B132" s="288">
        <f>Controle!B132</f>
        <v>45182</v>
      </c>
      <c r="C132" s="233" t="str">
        <f>Controle!C132</f>
        <v/>
      </c>
      <c r="D132" s="289" t="str">
        <f>Controle!D132</f>
        <v/>
      </c>
      <c r="E132" s="290"/>
      <c r="F132" s="291" t="str">
        <f>Controle!F132</f>
        <v/>
      </c>
      <c r="G132" s="289" t="str">
        <f>Controle!G132</f>
        <v/>
      </c>
      <c r="H132" s="290"/>
      <c r="I132" s="291" t="str">
        <f>Controle!I132</f>
        <v/>
      </c>
      <c r="J132" s="233" t="str">
        <f>Controle!J132</f>
        <v/>
      </c>
      <c r="K132" s="292"/>
      <c r="L132" s="233" t="str">
        <f>Controle!L132</f>
        <v/>
      </c>
      <c r="M132" s="233" t="str">
        <f>Controle!M132</f>
        <v/>
      </c>
      <c r="N132" s="235" t="str">
        <f>Controle!N132</f>
        <v/>
      </c>
      <c r="O132" s="235" t="str">
        <f>Controle!O132</f>
        <v/>
      </c>
      <c r="P132" s="235" t="str">
        <f>Controle!P132</f>
        <v/>
      </c>
      <c r="Q132" s="235" t="str">
        <f>Controle!Q132</f>
        <v/>
      </c>
      <c r="R132" s="293" t="str">
        <f>Controle!R132</f>
        <v/>
      </c>
      <c r="S132" s="287"/>
      <c r="T132" s="233" t="str">
        <f t="shared" ref="T132:U132" si="135">IF(AND(C132&lt;&gt;"",F132&lt;&gt;"",I132&lt;&gt;""), SUM(I132,F132,C132),"")</f>
        <v/>
      </c>
      <c r="U132" s="233" t="str">
        <f t="shared" si="135"/>
        <v/>
      </c>
      <c r="V132" s="233" t="str">
        <f t="shared" si="6"/>
        <v/>
      </c>
      <c r="W132" s="241" t="str">
        <f t="shared" si="9"/>
        <v/>
      </c>
      <c r="X132" s="241" t="str">
        <f t="shared" si="10"/>
        <v/>
      </c>
      <c r="Y132" s="241" t="str">
        <f t="shared" si="19"/>
        <v/>
      </c>
      <c r="Z132" s="233" t="str">
        <f t="shared" si="7"/>
        <v/>
      </c>
      <c r="AA132" s="294"/>
      <c r="AB132" s="245"/>
      <c r="AC132" s="242" t="str">
        <f>IF(ISTEXT(AB132),VLOOKUP(AB132,'Cadastro dos Ativos'!$A$2:$C$1000,3,0),"")</f>
        <v/>
      </c>
      <c r="AD132" s="242" t="str">
        <f>IF(AB132 &lt;&gt; "",SUMIFS('Alocação'!$O$3:$O$1002,'Alocação'!$C$3:$C$1002,AB132,'Alocação'!$F$3:$F$1002,AB$9,'Alocação'!$B$3:$B$1002,"&lt;="&amp;$B$6), "")</f>
        <v/>
      </c>
      <c r="AE132" s="243" t="str">
        <f>iferror(IF(AC132="Ações Americanas", HLOOKUP(AB132,'Histórico'!$A$1:$DD$990,MATCH($B$6,'Histórico'!$A:$A),FALSE)*HLOOKUP("PTAX",'Histórico'!$A$1:$FG$983,MATCH($B$6,'Histórico'!$A:$A),FALSE),IF(AC132="Ações Europeias", HLOOKUP(AB132,'Histórico'!$A$1:$DD$990,MATCH($B$6,'Histórico'!$A:$A),FALSE)*HLOOKUP("EUR/BRL",'Histórico'!$A$1:$FG$983,MATCH($B$6,'Histórico'!$A:$A),FALSE),  HLOOKUP(AB132,'Histórico'!$A$1:$DD$990,MATCH($B$6,'Histórico'!$A:$A),FALSE))),"")</f>
        <v/>
      </c>
      <c r="AF132" s="243" t="str">
        <f t="shared" si="15"/>
        <v/>
      </c>
      <c r="AG132" s="53"/>
      <c r="AH132" s="245"/>
      <c r="AI132" s="242" t="str">
        <f>IF(ISTEXT(AH132),VLOOKUP(AH132,'Cadastro dos Ativos'!$A$2:$C$1000,3,0),"")</f>
        <v/>
      </c>
      <c r="AJ132" s="242" t="str">
        <f>IF(AH132 &lt;&gt; "",SUMIFS('Alocação'!$O$3:$O$1002,'Alocação'!$C$3:$C$1002,AH132,'Alocação'!$F$3:$F$1002,AH$9,'Alocação'!$B$3:$B$1002,"&lt;="&amp;$B$6), "")</f>
        <v/>
      </c>
      <c r="AK132" s="243" t="str">
        <f>iferror(IF(AI132="Ações Americanas", HLOOKUP(AH132,'Histórico'!$A$1:$DD$990,MATCH($B$6,'Histórico'!$A:$A),FALSE)*HLOOKUP("PTAX",'Histórico'!$A$1:$FG$983,MATCH($B$6,'Histórico'!$A:$A),FALSE),IF(AI132="Ações Europeias", HLOOKUP(AH132,'Histórico'!$A$1:$DD$990,MATCH($B$6,'Histórico'!$A:$A),FALSE)*HLOOKUP("EUR/BRL",'Histórico'!$A$1:$FG$983,MATCH($B$6,'Histórico'!$A:$A),FALSE),  HLOOKUP(AH132,'Histórico'!$A$1:$DD$990,MATCH($B$6,'Histórico'!$A:$A),FALSE))),"")</f>
        <v/>
      </c>
      <c r="AL132" s="243" t="str">
        <f t="shared" si="11"/>
        <v/>
      </c>
      <c r="AM132" s="53"/>
      <c r="AN132" s="245"/>
      <c r="AO132" s="242" t="str">
        <f>IF(ISTEXT(AN132),VLOOKUP(AN132,'Cadastro dos Ativos'!$A$2:$C$1000,3,0),"")</f>
        <v/>
      </c>
      <c r="AP132" s="242" t="str">
        <f>IF(AN132 &lt;&gt; "",SUMIFS('Alocação'!$O$3:$O$1002,'Alocação'!$C$3:$C$1002,AN132,'Alocação'!$F$3:$F$1002,AN$9,'Alocação'!$B$3:$B$1002,"&lt;="&amp;$B$6), "")</f>
        <v/>
      </c>
      <c r="AQ132" s="243" t="str">
        <f>iferror(IF(AO132="Ações Americanas", HLOOKUP(AN132,'Histórico'!$A$1:$DD$990,MATCH($B$6,'Histórico'!$A:$A),FALSE)*HLOOKUP("PTAX",'Histórico'!$A$1:$FG$983,MATCH($B$6,'Histórico'!$A:$A),FALSE),IF(AO132="Ações Europeias", HLOOKUP(AN132,'Histórico'!$A$1:$DD$990,MATCH($B$6,'Histórico'!$A:$A),FALSE)*HLOOKUP("EUR/BRL",'Histórico'!$A$1:$FG$983,MATCH($B$6,'Histórico'!$A:$A),FALSE),  HLOOKUP(AN132,'Histórico'!$A$1:$DD$990,MATCH($B$6,'Histórico'!$A:$A),FALSE))),"")</f>
        <v/>
      </c>
      <c r="AR132" s="243" t="str">
        <f t="shared" si="12"/>
        <v/>
      </c>
      <c r="AS132" s="53"/>
      <c r="AT132" s="245"/>
      <c r="AU132" s="242" t="str">
        <f>IF(ISTEXT(AT132),VLOOKUP(AT132,'Cadastro dos Ativos'!$A$2:$C$1000,3,0),"")</f>
        <v/>
      </c>
      <c r="AV132" s="242" t="str">
        <f>IF(AT132 &lt;&gt; "",SUMIFS('Alocação'!$O$3:$O$1002,'Alocação'!$C$3:$C$1002,AT132,'Alocação'!$F$3:$F$1002,AT$9,'Alocação'!$B$3:$B$1002,"&lt;="&amp;$B$6), "")</f>
        <v/>
      </c>
      <c r="AW132" s="243" t="str">
        <f>iferror(IF(AU132="Ações Americanas", HLOOKUP(AT132,'Histórico'!$A$1:$DD$990,MATCH($B$6,'Histórico'!$A:$A),FALSE)*HLOOKUP("PTAX",'Histórico'!$A$1:$FG$983,MATCH($B$6,'Histórico'!$A:$A),FALSE),IF(AU132="Ações Europeias", HLOOKUP(AT132,'Histórico'!$A$1:$DD$990,MATCH($B$6,'Histórico'!$A:$A),FALSE)*HLOOKUP("EUR/BRL",'Histórico'!$A$1:$FG$983,MATCH($B$6,'Histórico'!$A:$A),FALSE),  HLOOKUP(AT132,'Histórico'!$A$1:$DD$990,MATCH($B$6,'Histórico'!$A:$A),FALSE))),"")</f>
        <v/>
      </c>
      <c r="AX132" s="243" t="str">
        <f t="shared" si="13"/>
        <v/>
      </c>
      <c r="AY132" s="53"/>
    </row>
    <row r="133" ht="15.75" customHeight="1">
      <c r="A133" s="176"/>
      <c r="B133" s="288">
        <f>Controle!B133</f>
        <v>45183</v>
      </c>
      <c r="C133" s="233" t="str">
        <f>Controle!C133</f>
        <v/>
      </c>
      <c r="D133" s="289" t="str">
        <f>Controle!D133</f>
        <v/>
      </c>
      <c r="E133" s="290"/>
      <c r="F133" s="291" t="str">
        <f>Controle!F133</f>
        <v/>
      </c>
      <c r="G133" s="289" t="str">
        <f>Controle!G133</f>
        <v/>
      </c>
      <c r="H133" s="290"/>
      <c r="I133" s="291" t="str">
        <f>Controle!I133</f>
        <v/>
      </c>
      <c r="J133" s="233" t="str">
        <f>Controle!J133</f>
        <v/>
      </c>
      <c r="K133" s="292"/>
      <c r="L133" s="233" t="str">
        <f>Controle!L133</f>
        <v/>
      </c>
      <c r="M133" s="233" t="str">
        <f>Controle!M133</f>
        <v/>
      </c>
      <c r="N133" s="235" t="str">
        <f>Controle!N133</f>
        <v/>
      </c>
      <c r="O133" s="235" t="str">
        <f>Controle!O133</f>
        <v/>
      </c>
      <c r="P133" s="235" t="str">
        <f>Controle!P133</f>
        <v/>
      </c>
      <c r="Q133" s="235" t="str">
        <f>Controle!Q133</f>
        <v/>
      </c>
      <c r="R133" s="293" t="str">
        <f>Controle!R133</f>
        <v/>
      </c>
      <c r="S133" s="287"/>
      <c r="T133" s="233" t="str">
        <f t="shared" ref="T133:U133" si="136">IF(AND(C133&lt;&gt;"",F133&lt;&gt;"",I133&lt;&gt;""), SUM(I133,F133,C133),"")</f>
        <v/>
      </c>
      <c r="U133" s="233" t="str">
        <f t="shared" si="136"/>
        <v/>
      </c>
      <c r="V133" s="233" t="str">
        <f t="shared" si="6"/>
        <v/>
      </c>
      <c r="W133" s="241" t="str">
        <f t="shared" si="9"/>
        <v/>
      </c>
      <c r="X133" s="241" t="str">
        <f t="shared" si="10"/>
        <v/>
      </c>
      <c r="Y133" s="241" t="str">
        <f t="shared" si="19"/>
        <v/>
      </c>
      <c r="Z133" s="233" t="str">
        <f t="shared" si="7"/>
        <v/>
      </c>
      <c r="AA133" s="294"/>
      <c r="AB133" s="245"/>
      <c r="AC133" s="242" t="str">
        <f>IF(ISTEXT(AB133),VLOOKUP(AB133,'Cadastro dos Ativos'!$A$2:$C$1000,3,0),"")</f>
        <v/>
      </c>
      <c r="AD133" s="242" t="str">
        <f>IF(AB133 &lt;&gt; "",SUMIFS('Alocação'!$O$3:$O$1002,'Alocação'!$C$3:$C$1002,AB133,'Alocação'!$F$3:$F$1002,AB$9,'Alocação'!$B$3:$B$1002,"&lt;="&amp;$B$6), "")</f>
        <v/>
      </c>
      <c r="AE133" s="243" t="str">
        <f>iferror(IF(AC133="Ações Americanas", HLOOKUP(AB133,'Histórico'!$A$1:$DD$990,MATCH($B$6,'Histórico'!$A:$A),FALSE)*HLOOKUP("PTAX",'Histórico'!$A$1:$FG$983,MATCH($B$6,'Histórico'!$A:$A),FALSE),IF(AC133="Ações Europeias", HLOOKUP(AB133,'Histórico'!$A$1:$DD$990,MATCH($B$6,'Histórico'!$A:$A),FALSE)*HLOOKUP("EUR/BRL",'Histórico'!$A$1:$FG$983,MATCH($B$6,'Histórico'!$A:$A),FALSE),  HLOOKUP(AB133,'Histórico'!$A$1:$DD$990,MATCH($B$6,'Histórico'!$A:$A),FALSE))),"")</f>
        <v/>
      </c>
      <c r="AF133" s="243" t="str">
        <f t="shared" si="15"/>
        <v/>
      </c>
      <c r="AG133" s="53"/>
      <c r="AH133" s="245"/>
      <c r="AI133" s="242" t="str">
        <f>IF(ISTEXT(AH133),VLOOKUP(AH133,'Cadastro dos Ativos'!$A$2:$C$1000,3,0),"")</f>
        <v/>
      </c>
      <c r="AJ133" s="242" t="str">
        <f>IF(AH133 &lt;&gt; "",SUMIFS('Alocação'!$O$3:$O$1002,'Alocação'!$C$3:$C$1002,AH133,'Alocação'!$F$3:$F$1002,AH$9,'Alocação'!$B$3:$B$1002,"&lt;="&amp;$B$6), "")</f>
        <v/>
      </c>
      <c r="AK133" s="243" t="str">
        <f>iferror(IF(AI133="Ações Americanas", HLOOKUP(AH133,'Histórico'!$A$1:$DD$990,MATCH($B$6,'Histórico'!$A:$A),FALSE)*HLOOKUP("PTAX",'Histórico'!$A$1:$FG$983,MATCH($B$6,'Histórico'!$A:$A),FALSE),IF(AI133="Ações Europeias", HLOOKUP(AH133,'Histórico'!$A$1:$DD$990,MATCH($B$6,'Histórico'!$A:$A),FALSE)*HLOOKUP("EUR/BRL",'Histórico'!$A$1:$FG$983,MATCH($B$6,'Histórico'!$A:$A),FALSE),  HLOOKUP(AH133,'Histórico'!$A$1:$DD$990,MATCH($B$6,'Histórico'!$A:$A),FALSE))),"")</f>
        <v/>
      </c>
      <c r="AL133" s="243" t="str">
        <f t="shared" si="11"/>
        <v/>
      </c>
      <c r="AM133" s="53"/>
      <c r="AN133" s="245"/>
      <c r="AO133" s="242" t="str">
        <f>IF(ISTEXT(AN133),VLOOKUP(AN133,'Cadastro dos Ativos'!$A$2:$C$1000,3,0),"")</f>
        <v/>
      </c>
      <c r="AP133" s="242" t="str">
        <f>IF(AN133 &lt;&gt; "",SUMIFS('Alocação'!$O$3:$O$1002,'Alocação'!$C$3:$C$1002,AN133,'Alocação'!$F$3:$F$1002,AN$9,'Alocação'!$B$3:$B$1002,"&lt;="&amp;$B$6), "")</f>
        <v/>
      </c>
      <c r="AQ133" s="243" t="str">
        <f>iferror(IF(AO133="Ações Americanas", HLOOKUP(AN133,'Histórico'!$A$1:$DD$990,MATCH($B$6,'Histórico'!$A:$A),FALSE)*HLOOKUP("PTAX",'Histórico'!$A$1:$FG$983,MATCH($B$6,'Histórico'!$A:$A),FALSE),IF(AO133="Ações Europeias", HLOOKUP(AN133,'Histórico'!$A$1:$DD$990,MATCH($B$6,'Histórico'!$A:$A),FALSE)*HLOOKUP("EUR/BRL",'Histórico'!$A$1:$FG$983,MATCH($B$6,'Histórico'!$A:$A),FALSE),  HLOOKUP(AN133,'Histórico'!$A$1:$DD$990,MATCH($B$6,'Histórico'!$A:$A),FALSE))),"")</f>
        <v/>
      </c>
      <c r="AR133" s="243" t="str">
        <f t="shared" si="12"/>
        <v/>
      </c>
      <c r="AS133" s="53"/>
      <c r="AT133" s="245"/>
      <c r="AU133" s="242" t="str">
        <f>IF(ISTEXT(AT133),VLOOKUP(AT133,'Cadastro dos Ativos'!$A$2:$C$1000,3,0),"")</f>
        <v/>
      </c>
      <c r="AV133" s="242" t="str">
        <f>IF(AT133 &lt;&gt; "",SUMIFS('Alocação'!$O$3:$O$1002,'Alocação'!$C$3:$C$1002,AT133,'Alocação'!$F$3:$F$1002,AT$9,'Alocação'!$B$3:$B$1002,"&lt;="&amp;$B$6), "")</f>
        <v/>
      </c>
      <c r="AW133" s="243" t="str">
        <f>iferror(IF(AU133="Ações Americanas", HLOOKUP(AT133,'Histórico'!$A$1:$DD$990,MATCH($B$6,'Histórico'!$A:$A),FALSE)*HLOOKUP("PTAX",'Histórico'!$A$1:$FG$983,MATCH($B$6,'Histórico'!$A:$A),FALSE),IF(AU133="Ações Europeias", HLOOKUP(AT133,'Histórico'!$A$1:$DD$990,MATCH($B$6,'Histórico'!$A:$A),FALSE)*HLOOKUP("EUR/BRL",'Histórico'!$A$1:$FG$983,MATCH($B$6,'Histórico'!$A:$A),FALSE),  HLOOKUP(AT133,'Histórico'!$A$1:$DD$990,MATCH($B$6,'Histórico'!$A:$A),FALSE))),"")</f>
        <v/>
      </c>
      <c r="AX133" s="243" t="str">
        <f t="shared" si="13"/>
        <v/>
      </c>
      <c r="AY133" s="53"/>
    </row>
    <row r="134" ht="15.75" customHeight="1">
      <c r="A134" s="176"/>
      <c r="B134" s="288">
        <f>Controle!B134</f>
        <v>45184</v>
      </c>
      <c r="C134" s="233" t="str">
        <f>Controle!C134</f>
        <v/>
      </c>
      <c r="D134" s="289" t="str">
        <f>Controle!D134</f>
        <v/>
      </c>
      <c r="E134" s="290"/>
      <c r="F134" s="291" t="str">
        <f>Controle!F134</f>
        <v/>
      </c>
      <c r="G134" s="289" t="str">
        <f>Controle!G134</f>
        <v/>
      </c>
      <c r="H134" s="290"/>
      <c r="I134" s="291" t="str">
        <f>Controle!I134</f>
        <v/>
      </c>
      <c r="J134" s="233" t="str">
        <f>Controle!J134</f>
        <v/>
      </c>
      <c r="K134" s="292"/>
      <c r="L134" s="233" t="str">
        <f>Controle!L134</f>
        <v/>
      </c>
      <c r="M134" s="233" t="str">
        <f>Controle!M134</f>
        <v/>
      </c>
      <c r="N134" s="235" t="str">
        <f>Controle!N134</f>
        <v/>
      </c>
      <c r="O134" s="235" t="str">
        <f>Controle!O134</f>
        <v/>
      </c>
      <c r="P134" s="235" t="str">
        <f>Controle!P134</f>
        <v/>
      </c>
      <c r="Q134" s="235" t="str">
        <f>Controle!Q134</f>
        <v/>
      </c>
      <c r="R134" s="293" t="str">
        <f>Controle!R134</f>
        <v/>
      </c>
      <c r="S134" s="287"/>
      <c r="T134" s="233" t="str">
        <f t="shared" ref="T134:U134" si="137">IF(AND(C134&lt;&gt;"",F134&lt;&gt;"",I134&lt;&gt;""), SUM(I134,F134,C134),"")</f>
        <v/>
      </c>
      <c r="U134" s="233" t="str">
        <f t="shared" si="137"/>
        <v/>
      </c>
      <c r="V134" s="233" t="str">
        <f t="shared" si="6"/>
        <v/>
      </c>
      <c r="W134" s="241" t="str">
        <f t="shared" si="9"/>
        <v/>
      </c>
      <c r="X134" s="241" t="str">
        <f t="shared" si="10"/>
        <v/>
      </c>
      <c r="Y134" s="241" t="str">
        <f t="shared" si="19"/>
        <v/>
      </c>
      <c r="Z134" s="233" t="str">
        <f t="shared" si="7"/>
        <v/>
      </c>
      <c r="AA134" s="294"/>
      <c r="AB134" s="245"/>
      <c r="AC134" s="242" t="str">
        <f>IF(ISTEXT(AB134),VLOOKUP(AB134,'Cadastro dos Ativos'!$A$2:$C$1000,3,0),"")</f>
        <v/>
      </c>
      <c r="AD134" s="242" t="str">
        <f>IF(AB134 &lt;&gt; "",SUMIFS('Alocação'!$O$3:$O$1002,'Alocação'!$C$3:$C$1002,AB134,'Alocação'!$F$3:$F$1002,AB$9,'Alocação'!$B$3:$B$1002,"&lt;="&amp;$B$6), "")</f>
        <v/>
      </c>
      <c r="AE134" s="243" t="str">
        <f>iferror(IF(AC134="Ações Americanas", HLOOKUP(AB134,'Histórico'!$A$1:$DD$990,MATCH($B$6,'Histórico'!$A:$A),FALSE)*HLOOKUP("PTAX",'Histórico'!$A$1:$FG$983,MATCH($B$6,'Histórico'!$A:$A),FALSE),IF(AC134="Ações Europeias", HLOOKUP(AB134,'Histórico'!$A$1:$DD$990,MATCH($B$6,'Histórico'!$A:$A),FALSE)*HLOOKUP("EUR/BRL",'Histórico'!$A$1:$FG$983,MATCH($B$6,'Histórico'!$A:$A),FALSE),  HLOOKUP(AB134,'Histórico'!$A$1:$DD$990,MATCH($B$6,'Histórico'!$A:$A),FALSE))),"")</f>
        <v/>
      </c>
      <c r="AF134" s="243" t="str">
        <f t="shared" si="15"/>
        <v/>
      </c>
      <c r="AG134" s="53"/>
      <c r="AH134" s="245"/>
      <c r="AI134" s="242" t="str">
        <f>IF(ISTEXT(AH134),VLOOKUP(AH134,'Cadastro dos Ativos'!$A$2:$C$1000,3,0),"")</f>
        <v/>
      </c>
      <c r="AJ134" s="242" t="str">
        <f>IF(AH134 &lt;&gt; "",SUMIFS('Alocação'!$O$3:$O$1002,'Alocação'!$C$3:$C$1002,AH134,'Alocação'!$F$3:$F$1002,AH$9,'Alocação'!$B$3:$B$1002,"&lt;="&amp;$B$6), "")</f>
        <v/>
      </c>
      <c r="AK134" s="243" t="str">
        <f>iferror(IF(AI134="Ações Americanas", HLOOKUP(AH134,'Histórico'!$A$1:$DD$990,MATCH($B$6,'Histórico'!$A:$A),FALSE)*HLOOKUP("PTAX",'Histórico'!$A$1:$FG$983,MATCH($B$6,'Histórico'!$A:$A),FALSE),IF(AI134="Ações Europeias", HLOOKUP(AH134,'Histórico'!$A$1:$DD$990,MATCH($B$6,'Histórico'!$A:$A),FALSE)*HLOOKUP("EUR/BRL",'Histórico'!$A$1:$FG$983,MATCH($B$6,'Histórico'!$A:$A),FALSE),  HLOOKUP(AH134,'Histórico'!$A$1:$DD$990,MATCH($B$6,'Histórico'!$A:$A),FALSE))),"")</f>
        <v/>
      </c>
      <c r="AL134" s="243" t="str">
        <f t="shared" si="11"/>
        <v/>
      </c>
      <c r="AM134" s="53"/>
      <c r="AN134" s="245"/>
      <c r="AO134" s="242" t="str">
        <f>IF(ISTEXT(AN134),VLOOKUP(AN134,'Cadastro dos Ativos'!$A$2:$C$1000,3,0),"")</f>
        <v/>
      </c>
      <c r="AP134" s="242" t="str">
        <f>IF(AN134 &lt;&gt; "",SUMIFS('Alocação'!$O$3:$O$1002,'Alocação'!$C$3:$C$1002,AN134,'Alocação'!$F$3:$F$1002,AN$9,'Alocação'!$B$3:$B$1002,"&lt;="&amp;$B$6), "")</f>
        <v/>
      </c>
      <c r="AQ134" s="243" t="str">
        <f>iferror(IF(AO134="Ações Americanas", HLOOKUP(AN134,'Histórico'!$A$1:$DD$990,MATCH($B$6,'Histórico'!$A:$A),FALSE)*HLOOKUP("PTAX",'Histórico'!$A$1:$FG$983,MATCH($B$6,'Histórico'!$A:$A),FALSE),IF(AO134="Ações Europeias", HLOOKUP(AN134,'Histórico'!$A$1:$DD$990,MATCH($B$6,'Histórico'!$A:$A),FALSE)*HLOOKUP("EUR/BRL",'Histórico'!$A$1:$FG$983,MATCH($B$6,'Histórico'!$A:$A),FALSE),  HLOOKUP(AN134,'Histórico'!$A$1:$DD$990,MATCH($B$6,'Histórico'!$A:$A),FALSE))),"")</f>
        <v/>
      </c>
      <c r="AR134" s="243" t="str">
        <f t="shared" si="12"/>
        <v/>
      </c>
      <c r="AS134" s="53"/>
      <c r="AT134" s="245"/>
      <c r="AU134" s="242" t="str">
        <f>IF(ISTEXT(AT134),VLOOKUP(AT134,'Cadastro dos Ativos'!$A$2:$C$1000,3,0),"")</f>
        <v/>
      </c>
      <c r="AV134" s="242" t="str">
        <f>IF(AT134 &lt;&gt; "",SUMIFS('Alocação'!$O$3:$O$1002,'Alocação'!$C$3:$C$1002,AT134,'Alocação'!$F$3:$F$1002,AT$9,'Alocação'!$B$3:$B$1002,"&lt;="&amp;$B$6), "")</f>
        <v/>
      </c>
      <c r="AW134" s="243" t="str">
        <f>iferror(IF(AU134="Ações Americanas", HLOOKUP(AT134,'Histórico'!$A$1:$DD$990,MATCH($B$6,'Histórico'!$A:$A),FALSE)*HLOOKUP("PTAX",'Histórico'!$A$1:$FG$983,MATCH($B$6,'Histórico'!$A:$A),FALSE),IF(AU134="Ações Europeias", HLOOKUP(AT134,'Histórico'!$A$1:$DD$990,MATCH($B$6,'Histórico'!$A:$A),FALSE)*HLOOKUP("EUR/BRL",'Histórico'!$A$1:$FG$983,MATCH($B$6,'Histórico'!$A:$A),FALSE),  HLOOKUP(AT134,'Histórico'!$A$1:$DD$990,MATCH($B$6,'Histórico'!$A:$A),FALSE))),"")</f>
        <v/>
      </c>
      <c r="AX134" s="243" t="str">
        <f t="shared" si="13"/>
        <v/>
      </c>
      <c r="AY134" s="53"/>
    </row>
    <row r="135" ht="15.75" customHeight="1">
      <c r="A135" s="176"/>
      <c r="B135" s="288">
        <f>Controle!B135</f>
        <v>45187</v>
      </c>
      <c r="C135" s="233" t="str">
        <f>Controle!C135</f>
        <v/>
      </c>
      <c r="D135" s="289" t="str">
        <f>Controle!D135</f>
        <v/>
      </c>
      <c r="E135" s="290"/>
      <c r="F135" s="291" t="str">
        <f>Controle!F135</f>
        <v/>
      </c>
      <c r="G135" s="289" t="str">
        <f>Controle!G135</f>
        <v/>
      </c>
      <c r="H135" s="290"/>
      <c r="I135" s="291" t="str">
        <f>Controle!I135</f>
        <v/>
      </c>
      <c r="J135" s="233" t="str">
        <f>Controle!J135</f>
        <v/>
      </c>
      <c r="K135" s="292"/>
      <c r="L135" s="233" t="str">
        <f>Controle!L135</f>
        <v/>
      </c>
      <c r="M135" s="233" t="str">
        <f>Controle!M135</f>
        <v/>
      </c>
      <c r="N135" s="235" t="str">
        <f>Controle!N135</f>
        <v/>
      </c>
      <c r="O135" s="235" t="str">
        <f>Controle!O135</f>
        <v/>
      </c>
      <c r="P135" s="235" t="str">
        <f>Controle!P135</f>
        <v/>
      </c>
      <c r="Q135" s="235" t="str">
        <f>Controle!Q135</f>
        <v/>
      </c>
      <c r="R135" s="293" t="str">
        <f>Controle!R135</f>
        <v/>
      </c>
      <c r="S135" s="287"/>
      <c r="T135" s="233" t="str">
        <f t="shared" ref="T135:U135" si="138">IF(AND(C135&lt;&gt;"",F135&lt;&gt;"",I135&lt;&gt;""), SUM(I135,F135,C135),"")</f>
        <v/>
      </c>
      <c r="U135" s="233" t="str">
        <f t="shared" si="138"/>
        <v/>
      </c>
      <c r="V135" s="233" t="str">
        <f t="shared" si="6"/>
        <v/>
      </c>
      <c r="W135" s="241" t="str">
        <f t="shared" si="9"/>
        <v/>
      </c>
      <c r="X135" s="241" t="str">
        <f t="shared" si="10"/>
        <v/>
      </c>
      <c r="Y135" s="241" t="str">
        <f t="shared" si="19"/>
        <v/>
      </c>
      <c r="Z135" s="233" t="str">
        <f t="shared" si="7"/>
        <v/>
      </c>
      <c r="AA135" s="294"/>
      <c r="AB135" s="245"/>
      <c r="AC135" s="242" t="str">
        <f>IF(ISTEXT(AB135),VLOOKUP(AB135,'Cadastro dos Ativos'!$A$2:$C$1000,3,0),"")</f>
        <v/>
      </c>
      <c r="AD135" s="242" t="str">
        <f>IF(AB135 &lt;&gt; "",SUMIFS('Alocação'!$O$3:$O$1002,'Alocação'!$C$3:$C$1002,AB135,'Alocação'!$F$3:$F$1002,AB$9,'Alocação'!$B$3:$B$1002,"&lt;="&amp;$B$6), "")</f>
        <v/>
      </c>
      <c r="AE135" s="243" t="str">
        <f>iferror(IF(AC135="Ações Americanas", HLOOKUP(AB135,'Histórico'!$A$1:$DD$990,MATCH($B$6,'Histórico'!$A:$A),FALSE)*HLOOKUP("PTAX",'Histórico'!$A$1:$FG$983,MATCH($B$6,'Histórico'!$A:$A),FALSE),IF(AC135="Ações Europeias", HLOOKUP(AB135,'Histórico'!$A$1:$DD$990,MATCH($B$6,'Histórico'!$A:$A),FALSE)*HLOOKUP("EUR/BRL",'Histórico'!$A$1:$FG$983,MATCH($B$6,'Histórico'!$A:$A),FALSE),  HLOOKUP(AB135,'Histórico'!$A$1:$DD$990,MATCH($B$6,'Histórico'!$A:$A),FALSE))),"")</f>
        <v/>
      </c>
      <c r="AF135" s="243" t="str">
        <f t="shared" si="15"/>
        <v/>
      </c>
      <c r="AG135" s="53"/>
      <c r="AH135" s="245"/>
      <c r="AI135" s="242" t="str">
        <f>IF(ISTEXT(AH135),VLOOKUP(AH135,'Cadastro dos Ativos'!$A$2:$C$1000,3,0),"")</f>
        <v/>
      </c>
      <c r="AJ135" s="242" t="str">
        <f>IF(AH135 &lt;&gt; "",SUMIFS('Alocação'!$O$3:$O$1002,'Alocação'!$C$3:$C$1002,AH135,'Alocação'!$F$3:$F$1002,AH$9,'Alocação'!$B$3:$B$1002,"&lt;="&amp;$B$6), "")</f>
        <v/>
      </c>
      <c r="AK135" s="243" t="str">
        <f>iferror(IF(AI135="Ações Americanas", HLOOKUP(AH135,'Histórico'!$A$1:$DD$990,MATCH($B$6,'Histórico'!$A:$A),FALSE)*HLOOKUP("PTAX",'Histórico'!$A$1:$FG$983,MATCH($B$6,'Histórico'!$A:$A),FALSE),IF(AI135="Ações Europeias", HLOOKUP(AH135,'Histórico'!$A$1:$DD$990,MATCH($B$6,'Histórico'!$A:$A),FALSE)*HLOOKUP("EUR/BRL",'Histórico'!$A$1:$FG$983,MATCH($B$6,'Histórico'!$A:$A),FALSE),  HLOOKUP(AH135,'Histórico'!$A$1:$DD$990,MATCH($B$6,'Histórico'!$A:$A),FALSE))),"")</f>
        <v/>
      </c>
      <c r="AL135" s="243" t="str">
        <f t="shared" si="11"/>
        <v/>
      </c>
      <c r="AM135" s="53"/>
      <c r="AN135" s="245"/>
      <c r="AO135" s="242" t="str">
        <f>IF(ISTEXT(AN135),VLOOKUP(AN135,'Cadastro dos Ativos'!$A$2:$C$1000,3,0),"")</f>
        <v/>
      </c>
      <c r="AP135" s="242" t="str">
        <f>IF(AN135 &lt;&gt; "",SUMIFS('Alocação'!$O$3:$O$1002,'Alocação'!$C$3:$C$1002,AN135,'Alocação'!$F$3:$F$1002,AN$9,'Alocação'!$B$3:$B$1002,"&lt;="&amp;$B$6), "")</f>
        <v/>
      </c>
      <c r="AQ135" s="243" t="str">
        <f>iferror(IF(AO135="Ações Americanas", HLOOKUP(AN135,'Histórico'!$A$1:$DD$990,MATCH($B$6,'Histórico'!$A:$A),FALSE)*HLOOKUP("PTAX",'Histórico'!$A$1:$FG$983,MATCH($B$6,'Histórico'!$A:$A),FALSE),IF(AO135="Ações Europeias", HLOOKUP(AN135,'Histórico'!$A$1:$DD$990,MATCH($B$6,'Histórico'!$A:$A),FALSE)*HLOOKUP("EUR/BRL",'Histórico'!$A$1:$FG$983,MATCH($B$6,'Histórico'!$A:$A),FALSE),  HLOOKUP(AN135,'Histórico'!$A$1:$DD$990,MATCH($B$6,'Histórico'!$A:$A),FALSE))),"")</f>
        <v/>
      </c>
      <c r="AR135" s="243" t="str">
        <f t="shared" si="12"/>
        <v/>
      </c>
      <c r="AS135" s="53"/>
      <c r="AT135" s="245"/>
      <c r="AU135" s="242" t="str">
        <f>IF(ISTEXT(AT135),VLOOKUP(AT135,'Cadastro dos Ativos'!$A$2:$C$1000,3,0),"")</f>
        <v/>
      </c>
      <c r="AV135" s="242" t="str">
        <f>IF(AT135 &lt;&gt; "",SUMIFS('Alocação'!$O$3:$O$1002,'Alocação'!$C$3:$C$1002,AT135,'Alocação'!$F$3:$F$1002,AT$9,'Alocação'!$B$3:$B$1002,"&lt;="&amp;$B$6), "")</f>
        <v/>
      </c>
      <c r="AW135" s="243" t="str">
        <f>iferror(IF(AU135="Ações Americanas", HLOOKUP(AT135,'Histórico'!$A$1:$DD$990,MATCH($B$6,'Histórico'!$A:$A),FALSE)*HLOOKUP("PTAX",'Histórico'!$A$1:$FG$983,MATCH($B$6,'Histórico'!$A:$A),FALSE),IF(AU135="Ações Europeias", HLOOKUP(AT135,'Histórico'!$A$1:$DD$990,MATCH($B$6,'Histórico'!$A:$A),FALSE)*HLOOKUP("EUR/BRL",'Histórico'!$A$1:$FG$983,MATCH($B$6,'Histórico'!$A:$A),FALSE),  HLOOKUP(AT135,'Histórico'!$A$1:$DD$990,MATCH($B$6,'Histórico'!$A:$A),FALSE))),"")</f>
        <v/>
      </c>
      <c r="AX135" s="243" t="str">
        <f t="shared" si="13"/>
        <v/>
      </c>
      <c r="AY135" s="53"/>
    </row>
    <row r="136" ht="15.75" customHeight="1">
      <c r="A136" s="176"/>
      <c r="B136" s="288">
        <f>Controle!B136</f>
        <v>45188</v>
      </c>
      <c r="C136" s="233" t="str">
        <f>Controle!C136</f>
        <v/>
      </c>
      <c r="D136" s="289" t="str">
        <f>Controle!D136</f>
        <v/>
      </c>
      <c r="E136" s="290"/>
      <c r="F136" s="291" t="str">
        <f>Controle!F136</f>
        <v/>
      </c>
      <c r="G136" s="289" t="str">
        <f>Controle!G136</f>
        <v/>
      </c>
      <c r="H136" s="290"/>
      <c r="I136" s="291" t="str">
        <f>Controle!I136</f>
        <v/>
      </c>
      <c r="J136" s="233" t="str">
        <f>Controle!J136</f>
        <v/>
      </c>
      <c r="K136" s="292"/>
      <c r="L136" s="233" t="str">
        <f>Controle!L136</f>
        <v/>
      </c>
      <c r="M136" s="233" t="str">
        <f>Controle!M136</f>
        <v/>
      </c>
      <c r="N136" s="235" t="str">
        <f>Controle!N136</f>
        <v/>
      </c>
      <c r="O136" s="235" t="str">
        <f>Controle!O136</f>
        <v/>
      </c>
      <c r="P136" s="235" t="str">
        <f>Controle!P136</f>
        <v/>
      </c>
      <c r="Q136" s="235" t="str">
        <f>Controle!Q136</f>
        <v/>
      </c>
      <c r="R136" s="293" t="str">
        <f>Controle!R136</f>
        <v/>
      </c>
      <c r="S136" s="287"/>
      <c r="T136" s="233" t="str">
        <f t="shared" ref="T136:U136" si="139">IF(AND(C136&lt;&gt;"",F136&lt;&gt;"",I136&lt;&gt;""), SUM(I136,F136,C136),"")</f>
        <v/>
      </c>
      <c r="U136" s="233" t="str">
        <f t="shared" si="139"/>
        <v/>
      </c>
      <c r="V136" s="233" t="str">
        <f t="shared" si="6"/>
        <v/>
      </c>
      <c r="W136" s="241" t="str">
        <f t="shared" si="9"/>
        <v/>
      </c>
      <c r="X136" s="241" t="str">
        <f t="shared" si="10"/>
        <v/>
      </c>
      <c r="Y136" s="241" t="str">
        <f t="shared" si="19"/>
        <v/>
      </c>
      <c r="Z136" s="233" t="str">
        <f t="shared" si="7"/>
        <v/>
      </c>
      <c r="AA136" s="294"/>
      <c r="AB136" s="245"/>
      <c r="AC136" s="242" t="str">
        <f>IF(ISTEXT(AB136),VLOOKUP(AB136,'Cadastro dos Ativos'!$A$2:$C$1000,3,0),"")</f>
        <v/>
      </c>
      <c r="AD136" s="242" t="str">
        <f>IF(AB136 &lt;&gt; "",SUMIFS('Alocação'!$O$3:$O$1002,'Alocação'!$C$3:$C$1002,AB136,'Alocação'!$F$3:$F$1002,AB$9,'Alocação'!$B$3:$B$1002,"&lt;="&amp;$B$6), "")</f>
        <v/>
      </c>
      <c r="AE136" s="243" t="str">
        <f>iferror(IF(AC136="Ações Americanas", HLOOKUP(AB136,'Histórico'!$A$1:$DD$990,MATCH($B$6,'Histórico'!$A:$A),FALSE)*HLOOKUP("PTAX",'Histórico'!$A$1:$FG$983,MATCH($B$6,'Histórico'!$A:$A),FALSE),IF(AC136="Ações Europeias", HLOOKUP(AB136,'Histórico'!$A$1:$DD$990,MATCH($B$6,'Histórico'!$A:$A),FALSE)*HLOOKUP("EUR/BRL",'Histórico'!$A$1:$FG$983,MATCH($B$6,'Histórico'!$A:$A),FALSE),  HLOOKUP(AB136,'Histórico'!$A$1:$DD$990,MATCH($B$6,'Histórico'!$A:$A),FALSE))),"")</f>
        <v/>
      </c>
      <c r="AF136" s="243" t="str">
        <f t="shared" si="15"/>
        <v/>
      </c>
      <c r="AG136" s="53"/>
      <c r="AH136" s="245"/>
      <c r="AI136" s="242" t="str">
        <f>IF(ISTEXT(AH136),VLOOKUP(AH136,'Cadastro dos Ativos'!$A$2:$C$1000,3,0),"")</f>
        <v/>
      </c>
      <c r="AJ136" s="242" t="str">
        <f>IF(AH136 &lt;&gt; "",SUMIFS('Alocação'!$O$3:$O$1002,'Alocação'!$C$3:$C$1002,AH136,'Alocação'!$F$3:$F$1002,AH$9,'Alocação'!$B$3:$B$1002,"&lt;="&amp;$B$6), "")</f>
        <v/>
      </c>
      <c r="AK136" s="243" t="str">
        <f>iferror(IF(AI136="Ações Americanas", HLOOKUP(AH136,'Histórico'!$A$1:$DD$990,MATCH($B$6,'Histórico'!$A:$A),FALSE)*HLOOKUP("PTAX",'Histórico'!$A$1:$FG$983,MATCH($B$6,'Histórico'!$A:$A),FALSE),IF(AI136="Ações Europeias", HLOOKUP(AH136,'Histórico'!$A$1:$DD$990,MATCH($B$6,'Histórico'!$A:$A),FALSE)*HLOOKUP("EUR/BRL",'Histórico'!$A$1:$FG$983,MATCH($B$6,'Histórico'!$A:$A),FALSE),  HLOOKUP(AH136,'Histórico'!$A$1:$DD$990,MATCH($B$6,'Histórico'!$A:$A),FALSE))),"")</f>
        <v/>
      </c>
      <c r="AL136" s="243" t="str">
        <f t="shared" si="11"/>
        <v/>
      </c>
      <c r="AM136" s="53"/>
      <c r="AN136" s="245"/>
      <c r="AO136" s="242" t="str">
        <f>IF(ISTEXT(AN136),VLOOKUP(AN136,'Cadastro dos Ativos'!$A$2:$C$1000,3,0),"")</f>
        <v/>
      </c>
      <c r="AP136" s="242" t="str">
        <f>IF(AN136 &lt;&gt; "",SUMIFS('Alocação'!$O$3:$O$1002,'Alocação'!$C$3:$C$1002,AN136,'Alocação'!$F$3:$F$1002,AN$9,'Alocação'!$B$3:$B$1002,"&lt;="&amp;$B$6), "")</f>
        <v/>
      </c>
      <c r="AQ136" s="243" t="str">
        <f>iferror(IF(AO136="Ações Americanas", HLOOKUP(AN136,'Histórico'!$A$1:$DD$990,MATCH($B$6,'Histórico'!$A:$A),FALSE)*HLOOKUP("PTAX",'Histórico'!$A$1:$FG$983,MATCH($B$6,'Histórico'!$A:$A),FALSE),IF(AO136="Ações Europeias", HLOOKUP(AN136,'Histórico'!$A$1:$DD$990,MATCH($B$6,'Histórico'!$A:$A),FALSE)*HLOOKUP("EUR/BRL",'Histórico'!$A$1:$FG$983,MATCH($B$6,'Histórico'!$A:$A),FALSE),  HLOOKUP(AN136,'Histórico'!$A$1:$DD$990,MATCH($B$6,'Histórico'!$A:$A),FALSE))),"")</f>
        <v/>
      </c>
      <c r="AR136" s="243" t="str">
        <f t="shared" si="12"/>
        <v/>
      </c>
      <c r="AS136" s="53"/>
      <c r="AT136" s="245"/>
      <c r="AU136" s="242" t="str">
        <f>IF(ISTEXT(AT136),VLOOKUP(AT136,'Cadastro dos Ativos'!$A$2:$C$1000,3,0),"")</f>
        <v/>
      </c>
      <c r="AV136" s="242" t="str">
        <f>IF(AT136 &lt;&gt; "",SUMIFS('Alocação'!$O$3:$O$1002,'Alocação'!$C$3:$C$1002,AT136,'Alocação'!$F$3:$F$1002,AT$9,'Alocação'!$B$3:$B$1002,"&lt;="&amp;$B$6), "")</f>
        <v/>
      </c>
      <c r="AW136" s="243" t="str">
        <f>iferror(IF(AU136="Ações Americanas", HLOOKUP(AT136,'Histórico'!$A$1:$DD$990,MATCH($B$6,'Histórico'!$A:$A),FALSE)*HLOOKUP("PTAX",'Histórico'!$A$1:$FG$983,MATCH($B$6,'Histórico'!$A:$A),FALSE),IF(AU136="Ações Europeias", HLOOKUP(AT136,'Histórico'!$A$1:$DD$990,MATCH($B$6,'Histórico'!$A:$A),FALSE)*HLOOKUP("EUR/BRL",'Histórico'!$A$1:$FG$983,MATCH($B$6,'Histórico'!$A:$A),FALSE),  HLOOKUP(AT136,'Histórico'!$A$1:$DD$990,MATCH($B$6,'Histórico'!$A:$A),FALSE))),"")</f>
        <v/>
      </c>
      <c r="AX136" s="243" t="str">
        <f t="shared" si="13"/>
        <v/>
      </c>
      <c r="AY136" s="53"/>
    </row>
    <row r="137" ht="15.75" customHeight="1">
      <c r="A137" s="176"/>
      <c r="B137" s="288">
        <f>Controle!B137</f>
        <v>45189</v>
      </c>
      <c r="C137" s="233" t="str">
        <f>Controle!C137</f>
        <v/>
      </c>
      <c r="D137" s="289" t="str">
        <f>Controle!D137</f>
        <v/>
      </c>
      <c r="E137" s="290"/>
      <c r="F137" s="291" t="str">
        <f>Controle!F137</f>
        <v/>
      </c>
      <c r="G137" s="289" t="str">
        <f>Controle!G137</f>
        <v/>
      </c>
      <c r="H137" s="290"/>
      <c r="I137" s="291" t="str">
        <f>Controle!I137</f>
        <v/>
      </c>
      <c r="J137" s="233" t="str">
        <f>Controle!J137</f>
        <v/>
      </c>
      <c r="K137" s="292"/>
      <c r="L137" s="233" t="str">
        <f>Controle!L137</f>
        <v/>
      </c>
      <c r="M137" s="233" t="str">
        <f>Controle!M137</f>
        <v/>
      </c>
      <c r="N137" s="235" t="str">
        <f>Controle!N137</f>
        <v/>
      </c>
      <c r="O137" s="235" t="str">
        <f>Controle!O137</f>
        <v/>
      </c>
      <c r="P137" s="235" t="str">
        <f>Controle!P137</f>
        <v/>
      </c>
      <c r="Q137" s="235" t="str">
        <f>Controle!Q137</f>
        <v/>
      </c>
      <c r="R137" s="293" t="str">
        <f>Controle!R137</f>
        <v/>
      </c>
      <c r="S137" s="287"/>
      <c r="T137" s="233" t="str">
        <f t="shared" ref="T137:U137" si="140">IF(AND(C137&lt;&gt;"",F137&lt;&gt;"",I137&lt;&gt;""), SUM(I137,F137,C137),"")</f>
        <v/>
      </c>
      <c r="U137" s="233" t="str">
        <f t="shared" si="140"/>
        <v/>
      </c>
      <c r="V137" s="233" t="str">
        <f t="shared" si="6"/>
        <v/>
      </c>
      <c r="W137" s="241" t="str">
        <f t="shared" si="9"/>
        <v/>
      </c>
      <c r="X137" s="241" t="str">
        <f t="shared" si="10"/>
        <v/>
      </c>
      <c r="Y137" s="241" t="str">
        <f t="shared" si="19"/>
        <v/>
      </c>
      <c r="Z137" s="233" t="str">
        <f t="shared" si="7"/>
        <v/>
      </c>
      <c r="AA137" s="294"/>
      <c r="AB137" s="245"/>
      <c r="AC137" s="242" t="str">
        <f>IF(ISTEXT(AB137),VLOOKUP(AB137,'Cadastro dos Ativos'!$A$2:$C$1000,3,0),"")</f>
        <v/>
      </c>
      <c r="AD137" s="242" t="str">
        <f>IF(AB137 &lt;&gt; "",SUMIFS('Alocação'!$O$3:$O$1002,'Alocação'!$C$3:$C$1002,AB137,'Alocação'!$F$3:$F$1002,AB$9,'Alocação'!$B$3:$B$1002,"&lt;="&amp;$B$6), "")</f>
        <v/>
      </c>
      <c r="AE137" s="243" t="str">
        <f>iferror(IF(AC137="Ações Americanas", HLOOKUP(AB137,'Histórico'!$A$1:$DD$990,MATCH($B$6,'Histórico'!$A:$A),FALSE)*HLOOKUP("PTAX",'Histórico'!$A$1:$FG$983,MATCH($B$6,'Histórico'!$A:$A),FALSE),IF(AC137="Ações Europeias", HLOOKUP(AB137,'Histórico'!$A$1:$DD$990,MATCH($B$6,'Histórico'!$A:$A),FALSE)*HLOOKUP("EUR/BRL",'Histórico'!$A$1:$FG$983,MATCH($B$6,'Histórico'!$A:$A),FALSE),  HLOOKUP(AB137,'Histórico'!$A$1:$DD$990,MATCH($B$6,'Histórico'!$A:$A),FALSE))),"")</f>
        <v/>
      </c>
      <c r="AF137" s="243" t="str">
        <f t="shared" si="15"/>
        <v/>
      </c>
      <c r="AG137" s="53"/>
      <c r="AH137" s="245"/>
      <c r="AI137" s="242" t="str">
        <f>IF(ISTEXT(AH137),VLOOKUP(AH137,'Cadastro dos Ativos'!$A$2:$C$1000,3,0),"")</f>
        <v/>
      </c>
      <c r="AJ137" s="242" t="str">
        <f>IF(AH137 &lt;&gt; "",SUMIFS('Alocação'!$O$3:$O$1002,'Alocação'!$C$3:$C$1002,AH137,'Alocação'!$F$3:$F$1002,AH$9,'Alocação'!$B$3:$B$1002,"&lt;="&amp;$B$6), "")</f>
        <v/>
      </c>
      <c r="AK137" s="243" t="str">
        <f>iferror(IF(AI137="Ações Americanas", HLOOKUP(AH137,'Histórico'!$A$1:$DD$990,MATCH($B$6,'Histórico'!$A:$A),FALSE)*HLOOKUP("PTAX",'Histórico'!$A$1:$FG$983,MATCH($B$6,'Histórico'!$A:$A),FALSE),IF(AI137="Ações Europeias", HLOOKUP(AH137,'Histórico'!$A$1:$DD$990,MATCH($B$6,'Histórico'!$A:$A),FALSE)*HLOOKUP("EUR/BRL",'Histórico'!$A$1:$FG$983,MATCH($B$6,'Histórico'!$A:$A),FALSE),  HLOOKUP(AH137,'Histórico'!$A$1:$DD$990,MATCH($B$6,'Histórico'!$A:$A),FALSE))),"")</f>
        <v/>
      </c>
      <c r="AL137" s="243" t="str">
        <f t="shared" si="11"/>
        <v/>
      </c>
      <c r="AM137" s="53"/>
      <c r="AN137" s="245"/>
      <c r="AO137" s="242" t="str">
        <f>IF(ISTEXT(AN137),VLOOKUP(AN137,'Cadastro dos Ativos'!$A$2:$C$1000,3,0),"")</f>
        <v/>
      </c>
      <c r="AP137" s="242" t="str">
        <f>IF(AN137 &lt;&gt; "",SUMIFS('Alocação'!$O$3:$O$1002,'Alocação'!$C$3:$C$1002,AN137,'Alocação'!$F$3:$F$1002,AN$9,'Alocação'!$B$3:$B$1002,"&lt;="&amp;$B$6), "")</f>
        <v/>
      </c>
      <c r="AQ137" s="243" t="str">
        <f>iferror(IF(AO137="Ações Americanas", HLOOKUP(AN137,'Histórico'!$A$1:$DD$990,MATCH($B$6,'Histórico'!$A:$A),FALSE)*HLOOKUP("PTAX",'Histórico'!$A$1:$FG$983,MATCH($B$6,'Histórico'!$A:$A),FALSE),IF(AO137="Ações Europeias", HLOOKUP(AN137,'Histórico'!$A$1:$DD$990,MATCH($B$6,'Histórico'!$A:$A),FALSE)*HLOOKUP("EUR/BRL",'Histórico'!$A$1:$FG$983,MATCH($B$6,'Histórico'!$A:$A),FALSE),  HLOOKUP(AN137,'Histórico'!$A$1:$DD$990,MATCH($B$6,'Histórico'!$A:$A),FALSE))),"")</f>
        <v/>
      </c>
      <c r="AR137" s="243" t="str">
        <f t="shared" si="12"/>
        <v/>
      </c>
      <c r="AS137" s="53"/>
      <c r="AT137" s="245"/>
      <c r="AU137" s="242" t="str">
        <f>IF(ISTEXT(AT137),VLOOKUP(AT137,'Cadastro dos Ativos'!$A$2:$C$1000,3,0),"")</f>
        <v/>
      </c>
      <c r="AV137" s="242" t="str">
        <f>IF(AT137 &lt;&gt; "",SUMIFS('Alocação'!$O$3:$O$1002,'Alocação'!$C$3:$C$1002,AT137,'Alocação'!$F$3:$F$1002,AT$9,'Alocação'!$B$3:$B$1002,"&lt;="&amp;$B$6), "")</f>
        <v/>
      </c>
      <c r="AW137" s="243" t="str">
        <f>iferror(IF(AU137="Ações Americanas", HLOOKUP(AT137,'Histórico'!$A$1:$DD$990,MATCH($B$6,'Histórico'!$A:$A),FALSE)*HLOOKUP("PTAX",'Histórico'!$A$1:$FG$983,MATCH($B$6,'Histórico'!$A:$A),FALSE),IF(AU137="Ações Europeias", HLOOKUP(AT137,'Histórico'!$A$1:$DD$990,MATCH($B$6,'Histórico'!$A:$A),FALSE)*HLOOKUP("EUR/BRL",'Histórico'!$A$1:$FG$983,MATCH($B$6,'Histórico'!$A:$A),FALSE),  HLOOKUP(AT137,'Histórico'!$A$1:$DD$990,MATCH($B$6,'Histórico'!$A:$A),FALSE))),"")</f>
        <v/>
      </c>
      <c r="AX137" s="243" t="str">
        <f t="shared" si="13"/>
        <v/>
      </c>
      <c r="AY137" s="53"/>
    </row>
    <row r="138" ht="15.75" customHeight="1">
      <c r="A138" s="176"/>
      <c r="B138" s="288">
        <f>Controle!B138</f>
        <v>45190</v>
      </c>
      <c r="C138" s="233" t="str">
        <f>Controle!C138</f>
        <v/>
      </c>
      <c r="D138" s="289" t="str">
        <f>Controle!D138</f>
        <v/>
      </c>
      <c r="E138" s="290"/>
      <c r="F138" s="291" t="str">
        <f>Controle!F138</f>
        <v/>
      </c>
      <c r="G138" s="289" t="str">
        <f>Controle!G138</f>
        <v/>
      </c>
      <c r="H138" s="290"/>
      <c r="I138" s="291" t="str">
        <f>Controle!I138</f>
        <v/>
      </c>
      <c r="J138" s="233" t="str">
        <f>Controle!J138</f>
        <v/>
      </c>
      <c r="K138" s="292"/>
      <c r="L138" s="233" t="str">
        <f>Controle!L138</f>
        <v/>
      </c>
      <c r="M138" s="233" t="str">
        <f>Controle!M138</f>
        <v/>
      </c>
      <c r="N138" s="235" t="str">
        <f>Controle!N138</f>
        <v/>
      </c>
      <c r="O138" s="235" t="str">
        <f>Controle!O138</f>
        <v/>
      </c>
      <c r="P138" s="235" t="str">
        <f>Controle!P138</f>
        <v/>
      </c>
      <c r="Q138" s="235" t="str">
        <f>Controle!Q138</f>
        <v/>
      </c>
      <c r="R138" s="293" t="str">
        <f>Controle!R138</f>
        <v/>
      </c>
      <c r="S138" s="287"/>
      <c r="T138" s="233" t="str">
        <f t="shared" ref="T138:U138" si="141">IF(AND(C138&lt;&gt;"",F138&lt;&gt;"",I138&lt;&gt;""), SUM(I138,F138,C138),"")</f>
        <v/>
      </c>
      <c r="U138" s="233" t="str">
        <f t="shared" si="141"/>
        <v/>
      </c>
      <c r="V138" s="233" t="str">
        <f t="shared" si="6"/>
        <v/>
      </c>
      <c r="W138" s="241" t="str">
        <f t="shared" si="9"/>
        <v/>
      </c>
      <c r="X138" s="241" t="str">
        <f t="shared" si="10"/>
        <v/>
      </c>
      <c r="Y138" s="241" t="str">
        <f t="shared" si="19"/>
        <v/>
      </c>
      <c r="Z138" s="233" t="str">
        <f t="shared" si="7"/>
        <v/>
      </c>
      <c r="AA138" s="294"/>
      <c r="AB138" s="245"/>
      <c r="AC138" s="242" t="str">
        <f>IF(ISTEXT(AB138),VLOOKUP(AB138,'Cadastro dos Ativos'!$A$2:$C$1000,3,0),"")</f>
        <v/>
      </c>
      <c r="AD138" s="242" t="str">
        <f>IF(AB138 &lt;&gt; "",SUMIFS('Alocação'!$O$3:$O$1002,'Alocação'!$C$3:$C$1002,AB138,'Alocação'!$F$3:$F$1002,AB$9,'Alocação'!$B$3:$B$1002,"&lt;="&amp;$B$6), "")</f>
        <v/>
      </c>
      <c r="AE138" s="243" t="str">
        <f>iferror(IF(AC138="Ações Americanas", HLOOKUP(AB138,'Histórico'!$A$1:$DD$990,MATCH($B$6,'Histórico'!$A:$A),FALSE)*HLOOKUP("PTAX",'Histórico'!$A$1:$FG$983,MATCH($B$6,'Histórico'!$A:$A),FALSE),IF(AC138="Ações Europeias", HLOOKUP(AB138,'Histórico'!$A$1:$DD$990,MATCH($B$6,'Histórico'!$A:$A),FALSE)*HLOOKUP("EUR/BRL",'Histórico'!$A$1:$FG$983,MATCH($B$6,'Histórico'!$A:$A),FALSE),  HLOOKUP(AB138,'Histórico'!$A$1:$DD$990,MATCH($B$6,'Histórico'!$A:$A),FALSE))),"")</f>
        <v/>
      </c>
      <c r="AF138" s="243" t="str">
        <f t="shared" si="15"/>
        <v/>
      </c>
      <c r="AG138" s="53"/>
      <c r="AH138" s="245"/>
      <c r="AI138" s="242" t="str">
        <f>IF(ISTEXT(AH138),VLOOKUP(AH138,'Cadastro dos Ativos'!$A$2:$C$1000,3,0),"")</f>
        <v/>
      </c>
      <c r="AJ138" s="242" t="str">
        <f>IF(AH138 &lt;&gt; "",SUMIFS('Alocação'!$O$3:$O$1002,'Alocação'!$C$3:$C$1002,AH138,'Alocação'!$F$3:$F$1002,AH$9,'Alocação'!$B$3:$B$1002,"&lt;="&amp;$B$6), "")</f>
        <v/>
      </c>
      <c r="AK138" s="243" t="str">
        <f>iferror(IF(AI138="Ações Americanas", HLOOKUP(AH138,'Histórico'!$A$1:$DD$990,MATCH($B$6,'Histórico'!$A:$A),FALSE)*HLOOKUP("PTAX",'Histórico'!$A$1:$FG$983,MATCH($B$6,'Histórico'!$A:$A),FALSE),IF(AI138="Ações Europeias", HLOOKUP(AH138,'Histórico'!$A$1:$DD$990,MATCH($B$6,'Histórico'!$A:$A),FALSE)*HLOOKUP("EUR/BRL",'Histórico'!$A$1:$FG$983,MATCH($B$6,'Histórico'!$A:$A),FALSE),  HLOOKUP(AH138,'Histórico'!$A$1:$DD$990,MATCH($B$6,'Histórico'!$A:$A),FALSE))),"")</f>
        <v/>
      </c>
      <c r="AL138" s="243" t="str">
        <f t="shared" si="11"/>
        <v/>
      </c>
      <c r="AM138" s="53"/>
      <c r="AN138" s="245"/>
      <c r="AO138" s="242" t="str">
        <f>IF(ISTEXT(AN138),VLOOKUP(AN138,'Cadastro dos Ativos'!$A$2:$C$1000,3,0),"")</f>
        <v/>
      </c>
      <c r="AP138" s="242" t="str">
        <f>IF(AN138 &lt;&gt; "",SUMIFS('Alocação'!$O$3:$O$1002,'Alocação'!$C$3:$C$1002,AN138,'Alocação'!$F$3:$F$1002,AN$9,'Alocação'!$B$3:$B$1002,"&lt;="&amp;$B$6), "")</f>
        <v/>
      </c>
      <c r="AQ138" s="243" t="str">
        <f>iferror(IF(AO138="Ações Americanas", HLOOKUP(AN138,'Histórico'!$A$1:$DD$990,MATCH($B$6,'Histórico'!$A:$A),FALSE)*HLOOKUP("PTAX",'Histórico'!$A$1:$FG$983,MATCH($B$6,'Histórico'!$A:$A),FALSE),IF(AO138="Ações Europeias", HLOOKUP(AN138,'Histórico'!$A$1:$DD$990,MATCH($B$6,'Histórico'!$A:$A),FALSE)*HLOOKUP("EUR/BRL",'Histórico'!$A$1:$FG$983,MATCH($B$6,'Histórico'!$A:$A),FALSE),  HLOOKUP(AN138,'Histórico'!$A$1:$DD$990,MATCH($B$6,'Histórico'!$A:$A),FALSE))),"")</f>
        <v/>
      </c>
      <c r="AR138" s="243" t="str">
        <f t="shared" si="12"/>
        <v/>
      </c>
      <c r="AS138" s="53"/>
      <c r="AT138" s="245"/>
      <c r="AU138" s="242" t="str">
        <f>IF(ISTEXT(AT138),VLOOKUP(AT138,'Cadastro dos Ativos'!$A$2:$C$1000,3,0),"")</f>
        <v/>
      </c>
      <c r="AV138" s="242" t="str">
        <f>IF(AT138 &lt;&gt; "",SUMIFS('Alocação'!$O$3:$O$1002,'Alocação'!$C$3:$C$1002,AT138,'Alocação'!$F$3:$F$1002,AT$9,'Alocação'!$B$3:$B$1002,"&lt;="&amp;$B$6), "")</f>
        <v/>
      </c>
      <c r="AW138" s="243" t="str">
        <f>iferror(IF(AU138="Ações Americanas", HLOOKUP(AT138,'Histórico'!$A$1:$DD$990,MATCH($B$6,'Histórico'!$A:$A),FALSE)*HLOOKUP("PTAX",'Histórico'!$A$1:$FG$983,MATCH($B$6,'Histórico'!$A:$A),FALSE),IF(AU138="Ações Europeias", HLOOKUP(AT138,'Histórico'!$A$1:$DD$990,MATCH($B$6,'Histórico'!$A:$A),FALSE)*HLOOKUP("EUR/BRL",'Histórico'!$A$1:$FG$983,MATCH($B$6,'Histórico'!$A:$A),FALSE),  HLOOKUP(AT138,'Histórico'!$A$1:$DD$990,MATCH($B$6,'Histórico'!$A:$A),FALSE))),"")</f>
        <v/>
      </c>
      <c r="AX138" s="243" t="str">
        <f t="shared" si="13"/>
        <v/>
      </c>
      <c r="AY138" s="53"/>
    </row>
    <row r="139" ht="15.75" customHeight="1">
      <c r="A139" s="176"/>
      <c r="B139" s="288">
        <f>Controle!B139</f>
        <v>45191</v>
      </c>
      <c r="C139" s="233" t="str">
        <f>Controle!C139</f>
        <v/>
      </c>
      <c r="D139" s="289" t="str">
        <f>Controle!D139</f>
        <v/>
      </c>
      <c r="E139" s="290"/>
      <c r="F139" s="291" t="str">
        <f>Controle!F139</f>
        <v/>
      </c>
      <c r="G139" s="289" t="str">
        <f>Controle!G139</f>
        <v/>
      </c>
      <c r="H139" s="290"/>
      <c r="I139" s="291" t="str">
        <f>Controle!I139</f>
        <v/>
      </c>
      <c r="J139" s="233" t="str">
        <f>Controle!J139</f>
        <v/>
      </c>
      <c r="K139" s="292"/>
      <c r="L139" s="233" t="str">
        <f>Controle!L139</f>
        <v/>
      </c>
      <c r="M139" s="233" t="str">
        <f>Controle!M139</f>
        <v/>
      </c>
      <c r="N139" s="235" t="str">
        <f>Controle!N139</f>
        <v/>
      </c>
      <c r="O139" s="235" t="str">
        <f>Controle!O139</f>
        <v/>
      </c>
      <c r="P139" s="235" t="str">
        <f>Controle!P139</f>
        <v/>
      </c>
      <c r="Q139" s="235" t="str">
        <f>Controle!Q139</f>
        <v/>
      </c>
      <c r="R139" s="293" t="str">
        <f>Controle!R139</f>
        <v/>
      </c>
      <c r="S139" s="287"/>
      <c r="T139" s="233" t="str">
        <f t="shared" ref="T139:U139" si="142">IF(AND(C139&lt;&gt;"",F139&lt;&gt;"",I139&lt;&gt;""), SUM(I139,F139,C139),"")</f>
        <v/>
      </c>
      <c r="U139" s="233" t="str">
        <f t="shared" si="142"/>
        <v/>
      </c>
      <c r="V139" s="233" t="str">
        <f t="shared" si="6"/>
        <v/>
      </c>
      <c r="W139" s="241" t="str">
        <f t="shared" si="9"/>
        <v/>
      </c>
      <c r="X139" s="241" t="str">
        <f t="shared" si="10"/>
        <v/>
      </c>
      <c r="Y139" s="241" t="str">
        <f t="shared" si="19"/>
        <v/>
      </c>
      <c r="Z139" s="233" t="str">
        <f t="shared" si="7"/>
        <v/>
      </c>
      <c r="AA139" s="294"/>
      <c r="AB139" s="245"/>
      <c r="AC139" s="242" t="str">
        <f>IF(ISTEXT(AB139),VLOOKUP(AB139,'Cadastro dos Ativos'!$A$2:$C$1000,3,0),"")</f>
        <v/>
      </c>
      <c r="AD139" s="242" t="str">
        <f>IF(AB139 &lt;&gt; "",SUMIFS('Alocação'!$O$3:$O$1002,'Alocação'!$C$3:$C$1002,AB139,'Alocação'!$F$3:$F$1002,AB$9,'Alocação'!$B$3:$B$1002,"&lt;="&amp;$B$6), "")</f>
        <v/>
      </c>
      <c r="AE139" s="243" t="str">
        <f>iferror(IF(AC139="Ações Americanas", HLOOKUP(AB139,'Histórico'!$A$1:$DD$990,MATCH($B$6,'Histórico'!$A:$A),FALSE)*HLOOKUP("PTAX",'Histórico'!$A$1:$FG$983,MATCH($B$6,'Histórico'!$A:$A),FALSE),IF(AC139="Ações Europeias", HLOOKUP(AB139,'Histórico'!$A$1:$DD$990,MATCH($B$6,'Histórico'!$A:$A),FALSE)*HLOOKUP("EUR/BRL",'Histórico'!$A$1:$FG$983,MATCH($B$6,'Histórico'!$A:$A),FALSE),  HLOOKUP(AB139,'Histórico'!$A$1:$DD$990,MATCH($B$6,'Histórico'!$A:$A),FALSE))),"")</f>
        <v/>
      </c>
      <c r="AF139" s="243" t="str">
        <f t="shared" si="15"/>
        <v/>
      </c>
      <c r="AG139" s="53"/>
      <c r="AH139" s="245"/>
      <c r="AI139" s="242" t="str">
        <f>IF(ISTEXT(AH139),VLOOKUP(AH139,'Cadastro dos Ativos'!$A$2:$C$1000,3,0),"")</f>
        <v/>
      </c>
      <c r="AJ139" s="242" t="str">
        <f>IF(AH139 &lt;&gt; "",SUMIFS('Alocação'!$O$3:$O$1002,'Alocação'!$C$3:$C$1002,AH139,'Alocação'!$F$3:$F$1002,AH$9,'Alocação'!$B$3:$B$1002,"&lt;="&amp;$B$6), "")</f>
        <v/>
      </c>
      <c r="AK139" s="243" t="str">
        <f>iferror(IF(AI139="Ações Americanas", HLOOKUP(AH139,'Histórico'!$A$1:$DD$990,MATCH($B$6,'Histórico'!$A:$A),FALSE)*HLOOKUP("PTAX",'Histórico'!$A$1:$FG$983,MATCH($B$6,'Histórico'!$A:$A),FALSE),IF(AI139="Ações Europeias", HLOOKUP(AH139,'Histórico'!$A$1:$DD$990,MATCH($B$6,'Histórico'!$A:$A),FALSE)*HLOOKUP("EUR/BRL",'Histórico'!$A$1:$FG$983,MATCH($B$6,'Histórico'!$A:$A),FALSE),  HLOOKUP(AH139,'Histórico'!$A$1:$DD$990,MATCH($B$6,'Histórico'!$A:$A),FALSE))),"")</f>
        <v/>
      </c>
      <c r="AL139" s="243" t="str">
        <f t="shared" si="11"/>
        <v/>
      </c>
      <c r="AM139" s="53"/>
      <c r="AN139" s="245"/>
      <c r="AO139" s="242" t="str">
        <f>IF(ISTEXT(AN139),VLOOKUP(AN139,'Cadastro dos Ativos'!$A$2:$C$1000,3,0),"")</f>
        <v/>
      </c>
      <c r="AP139" s="242" t="str">
        <f>IF(AN139 &lt;&gt; "",SUMIFS('Alocação'!$O$3:$O$1002,'Alocação'!$C$3:$C$1002,AN139,'Alocação'!$F$3:$F$1002,AN$9,'Alocação'!$B$3:$B$1002,"&lt;="&amp;$B$6), "")</f>
        <v/>
      </c>
      <c r="AQ139" s="243" t="str">
        <f>iferror(IF(AO139="Ações Americanas", HLOOKUP(AN139,'Histórico'!$A$1:$DD$990,MATCH($B$6,'Histórico'!$A:$A),FALSE)*HLOOKUP("PTAX",'Histórico'!$A$1:$FG$983,MATCH($B$6,'Histórico'!$A:$A),FALSE),IF(AO139="Ações Europeias", HLOOKUP(AN139,'Histórico'!$A$1:$DD$990,MATCH($B$6,'Histórico'!$A:$A),FALSE)*HLOOKUP("EUR/BRL",'Histórico'!$A$1:$FG$983,MATCH($B$6,'Histórico'!$A:$A),FALSE),  HLOOKUP(AN139,'Histórico'!$A$1:$DD$990,MATCH($B$6,'Histórico'!$A:$A),FALSE))),"")</f>
        <v/>
      </c>
      <c r="AR139" s="243" t="str">
        <f t="shared" si="12"/>
        <v/>
      </c>
      <c r="AS139" s="53"/>
      <c r="AT139" s="245"/>
      <c r="AU139" s="242" t="str">
        <f>IF(ISTEXT(AT139),VLOOKUP(AT139,'Cadastro dos Ativos'!$A$2:$C$1000,3,0),"")</f>
        <v/>
      </c>
      <c r="AV139" s="242" t="str">
        <f>IF(AT139 &lt;&gt; "",SUMIFS('Alocação'!$O$3:$O$1002,'Alocação'!$C$3:$C$1002,AT139,'Alocação'!$F$3:$F$1002,AT$9,'Alocação'!$B$3:$B$1002,"&lt;="&amp;$B$6), "")</f>
        <v/>
      </c>
      <c r="AW139" s="243" t="str">
        <f>iferror(IF(AU139="Ações Americanas", HLOOKUP(AT139,'Histórico'!$A$1:$DD$990,MATCH($B$6,'Histórico'!$A:$A),FALSE)*HLOOKUP("PTAX",'Histórico'!$A$1:$FG$983,MATCH($B$6,'Histórico'!$A:$A),FALSE),IF(AU139="Ações Europeias", HLOOKUP(AT139,'Histórico'!$A$1:$DD$990,MATCH($B$6,'Histórico'!$A:$A),FALSE)*HLOOKUP("EUR/BRL",'Histórico'!$A$1:$FG$983,MATCH($B$6,'Histórico'!$A:$A),FALSE),  HLOOKUP(AT139,'Histórico'!$A$1:$DD$990,MATCH($B$6,'Histórico'!$A:$A),FALSE))),"")</f>
        <v/>
      </c>
      <c r="AX139" s="243" t="str">
        <f t="shared" si="13"/>
        <v/>
      </c>
      <c r="AY139" s="53"/>
    </row>
    <row r="140" ht="15.75" customHeight="1">
      <c r="A140" s="176"/>
      <c r="B140" s="288">
        <f>Controle!B140</f>
        <v>45194</v>
      </c>
      <c r="C140" s="233" t="str">
        <f>Controle!C140</f>
        <v/>
      </c>
      <c r="D140" s="289" t="str">
        <f>Controle!D140</f>
        <v/>
      </c>
      <c r="E140" s="290"/>
      <c r="F140" s="291" t="str">
        <f>Controle!F140</f>
        <v/>
      </c>
      <c r="G140" s="289" t="str">
        <f>Controle!G140</f>
        <v/>
      </c>
      <c r="H140" s="290"/>
      <c r="I140" s="291" t="str">
        <f>Controle!I140</f>
        <v/>
      </c>
      <c r="J140" s="233" t="str">
        <f>Controle!J140</f>
        <v/>
      </c>
      <c r="K140" s="292"/>
      <c r="L140" s="233" t="str">
        <f>Controle!L140</f>
        <v/>
      </c>
      <c r="M140" s="233" t="str">
        <f>Controle!M140</f>
        <v/>
      </c>
      <c r="N140" s="235" t="str">
        <f>Controle!N140</f>
        <v/>
      </c>
      <c r="O140" s="235" t="str">
        <f>Controle!O140</f>
        <v/>
      </c>
      <c r="P140" s="235" t="str">
        <f>Controle!P140</f>
        <v/>
      </c>
      <c r="Q140" s="235" t="str">
        <f>Controle!Q140</f>
        <v/>
      </c>
      <c r="R140" s="293" t="str">
        <f>Controle!R140</f>
        <v/>
      </c>
      <c r="S140" s="287"/>
      <c r="T140" s="233" t="str">
        <f t="shared" ref="T140:U140" si="143">IF(AND(C140&lt;&gt;"",F140&lt;&gt;"",I140&lt;&gt;""), SUM(I140,F140,C140),"")</f>
        <v/>
      </c>
      <c r="U140" s="233" t="str">
        <f t="shared" si="143"/>
        <v/>
      </c>
      <c r="V140" s="233" t="str">
        <f t="shared" si="6"/>
        <v/>
      </c>
      <c r="W140" s="241" t="str">
        <f t="shared" si="9"/>
        <v/>
      </c>
      <c r="X140" s="241" t="str">
        <f t="shared" si="10"/>
        <v/>
      </c>
      <c r="Y140" s="241" t="str">
        <f t="shared" si="19"/>
        <v/>
      </c>
      <c r="Z140" s="233" t="str">
        <f t="shared" si="7"/>
        <v/>
      </c>
      <c r="AA140" s="294"/>
      <c r="AB140" s="245"/>
      <c r="AC140" s="242" t="str">
        <f>IF(ISTEXT(AB140),VLOOKUP(AB140,'Cadastro dos Ativos'!$A$2:$C$1000,3,0),"")</f>
        <v/>
      </c>
      <c r="AD140" s="242" t="str">
        <f>IF(AB140 &lt;&gt; "",SUMIFS('Alocação'!$O$3:$O$1002,'Alocação'!$C$3:$C$1002,AB140,'Alocação'!$F$3:$F$1002,AB$9,'Alocação'!$B$3:$B$1002,"&lt;="&amp;$B$6), "")</f>
        <v/>
      </c>
      <c r="AE140" s="243" t="str">
        <f>iferror(IF(AC140="Ações Americanas", HLOOKUP(AB140,'Histórico'!$A$1:$DD$990,MATCH($B$6,'Histórico'!$A:$A),FALSE)*HLOOKUP("PTAX",'Histórico'!$A$1:$FG$983,MATCH($B$6,'Histórico'!$A:$A),FALSE),IF(AC140="Ações Europeias", HLOOKUP(AB140,'Histórico'!$A$1:$DD$990,MATCH($B$6,'Histórico'!$A:$A),FALSE)*HLOOKUP("EUR/BRL",'Histórico'!$A$1:$FG$983,MATCH($B$6,'Histórico'!$A:$A),FALSE),  HLOOKUP(AB140,'Histórico'!$A$1:$DD$990,MATCH($B$6,'Histórico'!$A:$A),FALSE))),"")</f>
        <v/>
      </c>
      <c r="AF140" s="243" t="str">
        <f t="shared" si="15"/>
        <v/>
      </c>
      <c r="AG140" s="53"/>
      <c r="AH140" s="245"/>
      <c r="AI140" s="242" t="str">
        <f>IF(ISTEXT(AH140),VLOOKUP(AH140,'Cadastro dos Ativos'!$A$2:$C$1000,3,0),"")</f>
        <v/>
      </c>
      <c r="AJ140" s="242" t="str">
        <f>IF(AH140 &lt;&gt; "",SUMIFS('Alocação'!$O$3:$O$1002,'Alocação'!$C$3:$C$1002,AH140,'Alocação'!$F$3:$F$1002,AH$9,'Alocação'!$B$3:$B$1002,"&lt;="&amp;$B$6), "")</f>
        <v/>
      </c>
      <c r="AK140" s="243" t="str">
        <f>iferror(IF(AI140="Ações Americanas", HLOOKUP(AH140,'Histórico'!$A$1:$DD$990,MATCH($B$6,'Histórico'!$A:$A),FALSE)*HLOOKUP("PTAX",'Histórico'!$A$1:$FG$983,MATCH($B$6,'Histórico'!$A:$A),FALSE),IF(AI140="Ações Europeias", HLOOKUP(AH140,'Histórico'!$A$1:$DD$990,MATCH($B$6,'Histórico'!$A:$A),FALSE)*HLOOKUP("EUR/BRL",'Histórico'!$A$1:$FG$983,MATCH($B$6,'Histórico'!$A:$A),FALSE),  HLOOKUP(AH140,'Histórico'!$A$1:$DD$990,MATCH($B$6,'Histórico'!$A:$A),FALSE))),"")</f>
        <v/>
      </c>
      <c r="AL140" s="243" t="str">
        <f t="shared" si="11"/>
        <v/>
      </c>
      <c r="AM140" s="53"/>
      <c r="AN140" s="245"/>
      <c r="AO140" s="242" t="str">
        <f>IF(ISTEXT(AN140),VLOOKUP(AN140,'Cadastro dos Ativos'!$A$2:$C$1000,3,0),"")</f>
        <v/>
      </c>
      <c r="AP140" s="242" t="str">
        <f>IF(AN140 &lt;&gt; "",SUMIFS('Alocação'!$O$3:$O$1002,'Alocação'!$C$3:$C$1002,AN140,'Alocação'!$F$3:$F$1002,AN$9,'Alocação'!$B$3:$B$1002,"&lt;="&amp;$B$6), "")</f>
        <v/>
      </c>
      <c r="AQ140" s="243" t="str">
        <f>iferror(IF(AO140="Ações Americanas", HLOOKUP(AN140,'Histórico'!$A$1:$DD$990,MATCH($B$6,'Histórico'!$A:$A),FALSE)*HLOOKUP("PTAX",'Histórico'!$A$1:$FG$983,MATCH($B$6,'Histórico'!$A:$A),FALSE),IF(AO140="Ações Europeias", HLOOKUP(AN140,'Histórico'!$A$1:$DD$990,MATCH($B$6,'Histórico'!$A:$A),FALSE)*HLOOKUP("EUR/BRL",'Histórico'!$A$1:$FG$983,MATCH($B$6,'Histórico'!$A:$A),FALSE),  HLOOKUP(AN140,'Histórico'!$A$1:$DD$990,MATCH($B$6,'Histórico'!$A:$A),FALSE))),"")</f>
        <v/>
      </c>
      <c r="AR140" s="243" t="str">
        <f t="shared" si="12"/>
        <v/>
      </c>
      <c r="AS140" s="53"/>
      <c r="AT140" s="245"/>
      <c r="AU140" s="242" t="str">
        <f>IF(ISTEXT(AT140),VLOOKUP(AT140,'Cadastro dos Ativos'!$A$2:$C$1000,3,0),"")</f>
        <v/>
      </c>
      <c r="AV140" s="242" t="str">
        <f>IF(AT140 &lt;&gt; "",SUMIFS('Alocação'!$O$3:$O$1002,'Alocação'!$C$3:$C$1002,AT140,'Alocação'!$F$3:$F$1002,AT$9,'Alocação'!$B$3:$B$1002,"&lt;="&amp;$B$6), "")</f>
        <v/>
      </c>
      <c r="AW140" s="243" t="str">
        <f>iferror(IF(AU140="Ações Americanas", HLOOKUP(AT140,'Histórico'!$A$1:$DD$990,MATCH($B$6,'Histórico'!$A:$A),FALSE)*HLOOKUP("PTAX",'Histórico'!$A$1:$FG$983,MATCH($B$6,'Histórico'!$A:$A),FALSE),IF(AU140="Ações Europeias", HLOOKUP(AT140,'Histórico'!$A$1:$DD$990,MATCH($B$6,'Histórico'!$A:$A),FALSE)*HLOOKUP("EUR/BRL",'Histórico'!$A$1:$FG$983,MATCH($B$6,'Histórico'!$A:$A),FALSE),  HLOOKUP(AT140,'Histórico'!$A$1:$DD$990,MATCH($B$6,'Histórico'!$A:$A),FALSE))),"")</f>
        <v/>
      </c>
      <c r="AX140" s="243" t="str">
        <f t="shared" si="13"/>
        <v/>
      </c>
      <c r="AY140" s="53"/>
    </row>
    <row r="141" ht="15.75" customHeight="1">
      <c r="A141" s="176"/>
      <c r="B141" s="288">
        <f>Controle!B141</f>
        <v>45195</v>
      </c>
      <c r="C141" s="233" t="str">
        <f>Controle!C141</f>
        <v/>
      </c>
      <c r="D141" s="289" t="str">
        <f>Controle!D141</f>
        <v/>
      </c>
      <c r="E141" s="290"/>
      <c r="F141" s="291" t="str">
        <f>Controle!F141</f>
        <v/>
      </c>
      <c r="G141" s="289" t="str">
        <f>Controle!G141</f>
        <v/>
      </c>
      <c r="H141" s="290"/>
      <c r="I141" s="291" t="str">
        <f>Controle!I141</f>
        <v/>
      </c>
      <c r="J141" s="233" t="str">
        <f>Controle!J141</f>
        <v/>
      </c>
      <c r="K141" s="292"/>
      <c r="L141" s="233" t="str">
        <f>Controle!L141</f>
        <v/>
      </c>
      <c r="M141" s="233" t="str">
        <f>Controle!M141</f>
        <v/>
      </c>
      <c r="N141" s="235" t="str">
        <f>Controle!N141</f>
        <v/>
      </c>
      <c r="O141" s="235" t="str">
        <f>Controle!O141</f>
        <v/>
      </c>
      <c r="P141" s="235" t="str">
        <f>Controle!P141</f>
        <v/>
      </c>
      <c r="Q141" s="235" t="str">
        <f>Controle!Q141</f>
        <v/>
      </c>
      <c r="R141" s="293" t="str">
        <f>Controle!R141</f>
        <v/>
      </c>
      <c r="S141" s="287"/>
      <c r="T141" s="233" t="str">
        <f t="shared" ref="T141:U141" si="144">IF(AND(C141&lt;&gt;"",F141&lt;&gt;"",I141&lt;&gt;""), SUM(I141,F141,C141),"")</f>
        <v/>
      </c>
      <c r="U141" s="233" t="str">
        <f t="shared" si="144"/>
        <v/>
      </c>
      <c r="V141" s="233" t="str">
        <f t="shared" si="6"/>
        <v/>
      </c>
      <c r="W141" s="241" t="str">
        <f t="shared" si="9"/>
        <v/>
      </c>
      <c r="X141" s="241" t="str">
        <f t="shared" si="10"/>
        <v/>
      </c>
      <c r="Y141" s="241" t="str">
        <f t="shared" si="19"/>
        <v/>
      </c>
      <c r="Z141" s="233" t="str">
        <f t="shared" si="7"/>
        <v/>
      </c>
      <c r="AA141" s="294"/>
      <c r="AB141" s="245"/>
      <c r="AC141" s="242" t="str">
        <f>IF(ISTEXT(AB141),VLOOKUP(AB141,'Cadastro dos Ativos'!$A$2:$C$1000,3,0),"")</f>
        <v/>
      </c>
      <c r="AD141" s="242" t="str">
        <f>IF(AB141 &lt;&gt; "",SUMIFS('Alocação'!$O$3:$O$1002,'Alocação'!$C$3:$C$1002,AB141,'Alocação'!$F$3:$F$1002,AB$9,'Alocação'!$B$3:$B$1002,"&lt;="&amp;$B$6), "")</f>
        <v/>
      </c>
      <c r="AE141" s="243" t="str">
        <f>iferror(IF(AC141="Ações Americanas", HLOOKUP(AB141,'Histórico'!$A$1:$DD$990,MATCH($B$6,'Histórico'!$A:$A),FALSE)*HLOOKUP("PTAX",'Histórico'!$A$1:$FG$983,MATCH($B$6,'Histórico'!$A:$A),FALSE),IF(AC141="Ações Europeias", HLOOKUP(AB141,'Histórico'!$A$1:$DD$990,MATCH($B$6,'Histórico'!$A:$A),FALSE)*HLOOKUP("EUR/BRL",'Histórico'!$A$1:$FG$983,MATCH($B$6,'Histórico'!$A:$A),FALSE),  HLOOKUP(AB141,'Histórico'!$A$1:$DD$990,MATCH($B$6,'Histórico'!$A:$A),FALSE))),"")</f>
        <v/>
      </c>
      <c r="AF141" s="243" t="str">
        <f t="shared" si="15"/>
        <v/>
      </c>
      <c r="AG141" s="53"/>
      <c r="AH141" s="245"/>
      <c r="AI141" s="242" t="str">
        <f>IF(ISTEXT(AH141),VLOOKUP(AH141,'Cadastro dos Ativos'!$A$2:$C$1000,3,0),"")</f>
        <v/>
      </c>
      <c r="AJ141" s="242" t="str">
        <f>IF(AH141 &lt;&gt; "",SUMIFS('Alocação'!$O$3:$O$1002,'Alocação'!$C$3:$C$1002,AH141,'Alocação'!$F$3:$F$1002,AH$9,'Alocação'!$B$3:$B$1002,"&lt;="&amp;$B$6), "")</f>
        <v/>
      </c>
      <c r="AK141" s="243" t="str">
        <f>iferror(IF(AI141="Ações Americanas", HLOOKUP(AH141,'Histórico'!$A$1:$DD$990,MATCH($B$6,'Histórico'!$A:$A),FALSE)*HLOOKUP("PTAX",'Histórico'!$A$1:$FG$983,MATCH($B$6,'Histórico'!$A:$A),FALSE),IF(AI141="Ações Europeias", HLOOKUP(AH141,'Histórico'!$A$1:$DD$990,MATCH($B$6,'Histórico'!$A:$A),FALSE)*HLOOKUP("EUR/BRL",'Histórico'!$A$1:$FG$983,MATCH($B$6,'Histórico'!$A:$A),FALSE),  HLOOKUP(AH141,'Histórico'!$A$1:$DD$990,MATCH($B$6,'Histórico'!$A:$A),FALSE))),"")</f>
        <v/>
      </c>
      <c r="AL141" s="243" t="str">
        <f t="shared" si="11"/>
        <v/>
      </c>
      <c r="AM141" s="53"/>
      <c r="AN141" s="245"/>
      <c r="AO141" s="242" t="str">
        <f>IF(ISTEXT(AN141),VLOOKUP(AN141,'Cadastro dos Ativos'!$A$2:$C$1000,3,0),"")</f>
        <v/>
      </c>
      <c r="AP141" s="242" t="str">
        <f>IF(AN141 &lt;&gt; "",SUMIFS('Alocação'!$O$3:$O$1002,'Alocação'!$C$3:$C$1002,AN141,'Alocação'!$F$3:$F$1002,AN$9,'Alocação'!$B$3:$B$1002,"&lt;="&amp;$B$6), "")</f>
        <v/>
      </c>
      <c r="AQ141" s="243" t="str">
        <f>iferror(IF(AO141="Ações Americanas", HLOOKUP(AN141,'Histórico'!$A$1:$DD$990,MATCH($B$6,'Histórico'!$A:$A),FALSE)*HLOOKUP("PTAX",'Histórico'!$A$1:$FG$983,MATCH($B$6,'Histórico'!$A:$A),FALSE),IF(AO141="Ações Europeias", HLOOKUP(AN141,'Histórico'!$A$1:$DD$990,MATCH($B$6,'Histórico'!$A:$A),FALSE)*HLOOKUP("EUR/BRL",'Histórico'!$A$1:$FG$983,MATCH($B$6,'Histórico'!$A:$A),FALSE),  HLOOKUP(AN141,'Histórico'!$A$1:$DD$990,MATCH($B$6,'Histórico'!$A:$A),FALSE))),"")</f>
        <v/>
      </c>
      <c r="AR141" s="243" t="str">
        <f t="shared" si="12"/>
        <v/>
      </c>
      <c r="AS141" s="53"/>
      <c r="AT141" s="245"/>
      <c r="AU141" s="242" t="str">
        <f>IF(ISTEXT(AT141),VLOOKUP(AT141,'Cadastro dos Ativos'!$A$2:$C$1000,3,0),"")</f>
        <v/>
      </c>
      <c r="AV141" s="242" t="str">
        <f>IF(AT141 &lt;&gt; "",SUMIFS('Alocação'!$O$3:$O$1002,'Alocação'!$C$3:$C$1002,AT141,'Alocação'!$F$3:$F$1002,AT$9,'Alocação'!$B$3:$B$1002,"&lt;="&amp;$B$6), "")</f>
        <v/>
      </c>
      <c r="AW141" s="243" t="str">
        <f>iferror(IF(AU141="Ações Americanas", HLOOKUP(AT141,'Histórico'!$A$1:$DD$990,MATCH($B$6,'Histórico'!$A:$A),FALSE)*HLOOKUP("PTAX",'Histórico'!$A$1:$FG$983,MATCH($B$6,'Histórico'!$A:$A),FALSE),IF(AU141="Ações Europeias", HLOOKUP(AT141,'Histórico'!$A$1:$DD$990,MATCH($B$6,'Histórico'!$A:$A),FALSE)*HLOOKUP("EUR/BRL",'Histórico'!$A$1:$FG$983,MATCH($B$6,'Histórico'!$A:$A),FALSE),  HLOOKUP(AT141,'Histórico'!$A$1:$DD$990,MATCH($B$6,'Histórico'!$A:$A),FALSE))),"")</f>
        <v/>
      </c>
      <c r="AX141" s="243" t="str">
        <f t="shared" si="13"/>
        <v/>
      </c>
      <c r="AY141" s="53"/>
    </row>
    <row r="142" ht="15.75" customHeight="1">
      <c r="A142" s="176"/>
      <c r="B142" s="288">
        <f>Controle!B142</f>
        <v>45196</v>
      </c>
      <c r="C142" s="233" t="str">
        <f>Controle!C142</f>
        <v/>
      </c>
      <c r="D142" s="289" t="str">
        <f>Controle!D142</f>
        <v/>
      </c>
      <c r="E142" s="290"/>
      <c r="F142" s="291" t="str">
        <f>Controle!F142</f>
        <v/>
      </c>
      <c r="G142" s="289" t="str">
        <f>Controle!G142</f>
        <v/>
      </c>
      <c r="H142" s="290"/>
      <c r="I142" s="291" t="str">
        <f>Controle!I142</f>
        <v/>
      </c>
      <c r="J142" s="233" t="str">
        <f>Controle!J142</f>
        <v/>
      </c>
      <c r="K142" s="292"/>
      <c r="L142" s="233" t="str">
        <f>Controle!L142</f>
        <v/>
      </c>
      <c r="M142" s="233" t="str">
        <f>Controle!M142</f>
        <v/>
      </c>
      <c r="N142" s="235" t="str">
        <f>Controle!N142</f>
        <v/>
      </c>
      <c r="O142" s="235" t="str">
        <f>Controle!O142</f>
        <v/>
      </c>
      <c r="P142" s="235" t="str">
        <f>Controle!P142</f>
        <v/>
      </c>
      <c r="Q142" s="235" t="str">
        <f>Controle!Q142</f>
        <v/>
      </c>
      <c r="R142" s="293" t="str">
        <f>Controle!R142</f>
        <v/>
      </c>
      <c r="S142" s="287"/>
      <c r="T142" s="233" t="str">
        <f t="shared" ref="T142:U142" si="145">IF(AND(C142&lt;&gt;"",F142&lt;&gt;"",I142&lt;&gt;""), SUM(I142,F142,C142),"")</f>
        <v/>
      </c>
      <c r="U142" s="233" t="str">
        <f t="shared" si="145"/>
        <v/>
      </c>
      <c r="V142" s="233" t="str">
        <f t="shared" si="6"/>
        <v/>
      </c>
      <c r="W142" s="241" t="str">
        <f t="shared" si="9"/>
        <v/>
      </c>
      <c r="X142" s="241" t="str">
        <f t="shared" si="10"/>
        <v/>
      </c>
      <c r="Y142" s="241" t="str">
        <f t="shared" si="19"/>
        <v/>
      </c>
      <c r="Z142" s="233" t="str">
        <f t="shared" si="7"/>
        <v/>
      </c>
      <c r="AA142" s="294"/>
      <c r="AB142" s="245"/>
      <c r="AC142" s="242" t="str">
        <f>IF(ISTEXT(AB142),VLOOKUP(AB142,'Cadastro dos Ativos'!$A$2:$C$1000,3,0),"")</f>
        <v/>
      </c>
      <c r="AD142" s="242" t="str">
        <f>IF(AB142 &lt;&gt; "",SUMIFS('Alocação'!$O$3:$O$1002,'Alocação'!$C$3:$C$1002,AB142,'Alocação'!$F$3:$F$1002,AB$9,'Alocação'!$B$3:$B$1002,"&lt;="&amp;$B$6), "")</f>
        <v/>
      </c>
      <c r="AE142" s="243" t="str">
        <f>iferror(IF(AC142="Ações Americanas", HLOOKUP(AB142,'Histórico'!$A$1:$DD$990,MATCH($B$6,'Histórico'!$A:$A),FALSE)*HLOOKUP("PTAX",'Histórico'!$A$1:$FG$983,MATCH($B$6,'Histórico'!$A:$A),FALSE),IF(AC142="Ações Europeias", HLOOKUP(AB142,'Histórico'!$A$1:$DD$990,MATCH($B$6,'Histórico'!$A:$A),FALSE)*HLOOKUP("EUR/BRL",'Histórico'!$A$1:$FG$983,MATCH($B$6,'Histórico'!$A:$A),FALSE),  HLOOKUP(AB142,'Histórico'!$A$1:$DD$990,MATCH($B$6,'Histórico'!$A:$A),FALSE))),"")</f>
        <v/>
      </c>
      <c r="AF142" s="243" t="str">
        <f t="shared" si="15"/>
        <v/>
      </c>
      <c r="AG142" s="53"/>
      <c r="AH142" s="245"/>
      <c r="AI142" s="242" t="str">
        <f>IF(ISTEXT(AH142),VLOOKUP(AH142,'Cadastro dos Ativos'!$A$2:$C$1000,3,0),"")</f>
        <v/>
      </c>
      <c r="AJ142" s="242" t="str">
        <f>IF(AH142 &lt;&gt; "",SUMIFS('Alocação'!$O$3:$O$1002,'Alocação'!$C$3:$C$1002,AH142,'Alocação'!$F$3:$F$1002,AH$9,'Alocação'!$B$3:$B$1002,"&lt;="&amp;$B$6), "")</f>
        <v/>
      </c>
      <c r="AK142" s="243" t="str">
        <f>iferror(IF(AI142="Ações Americanas", HLOOKUP(AH142,'Histórico'!$A$1:$DD$990,MATCH($B$6,'Histórico'!$A:$A),FALSE)*HLOOKUP("PTAX",'Histórico'!$A$1:$FG$983,MATCH($B$6,'Histórico'!$A:$A),FALSE),IF(AI142="Ações Europeias", HLOOKUP(AH142,'Histórico'!$A$1:$DD$990,MATCH($B$6,'Histórico'!$A:$A),FALSE)*HLOOKUP("EUR/BRL",'Histórico'!$A$1:$FG$983,MATCH($B$6,'Histórico'!$A:$A),FALSE),  HLOOKUP(AH142,'Histórico'!$A$1:$DD$990,MATCH($B$6,'Histórico'!$A:$A),FALSE))),"")</f>
        <v/>
      </c>
      <c r="AL142" s="243" t="str">
        <f t="shared" si="11"/>
        <v/>
      </c>
      <c r="AM142" s="53"/>
      <c r="AN142" s="245"/>
      <c r="AO142" s="242" t="str">
        <f>IF(ISTEXT(AN142),VLOOKUP(AN142,'Cadastro dos Ativos'!$A$2:$C$1000,3,0),"")</f>
        <v/>
      </c>
      <c r="AP142" s="242" t="str">
        <f>IF(AN142 &lt;&gt; "",SUMIFS('Alocação'!$O$3:$O$1002,'Alocação'!$C$3:$C$1002,AN142,'Alocação'!$F$3:$F$1002,AN$9,'Alocação'!$B$3:$B$1002,"&lt;="&amp;$B$6), "")</f>
        <v/>
      </c>
      <c r="AQ142" s="243" t="str">
        <f>iferror(IF(AO142="Ações Americanas", HLOOKUP(AN142,'Histórico'!$A$1:$DD$990,MATCH($B$6,'Histórico'!$A:$A),FALSE)*HLOOKUP("PTAX",'Histórico'!$A$1:$FG$983,MATCH($B$6,'Histórico'!$A:$A),FALSE),IF(AO142="Ações Europeias", HLOOKUP(AN142,'Histórico'!$A$1:$DD$990,MATCH($B$6,'Histórico'!$A:$A),FALSE)*HLOOKUP("EUR/BRL",'Histórico'!$A$1:$FG$983,MATCH($B$6,'Histórico'!$A:$A),FALSE),  HLOOKUP(AN142,'Histórico'!$A$1:$DD$990,MATCH($B$6,'Histórico'!$A:$A),FALSE))),"")</f>
        <v/>
      </c>
      <c r="AR142" s="243" t="str">
        <f t="shared" si="12"/>
        <v/>
      </c>
      <c r="AS142" s="53"/>
      <c r="AT142" s="245"/>
      <c r="AU142" s="242" t="str">
        <f>IF(ISTEXT(AT142),VLOOKUP(AT142,'Cadastro dos Ativos'!$A$2:$C$1000,3,0),"")</f>
        <v/>
      </c>
      <c r="AV142" s="242" t="str">
        <f>IF(AT142 &lt;&gt; "",SUMIFS('Alocação'!$O$3:$O$1002,'Alocação'!$C$3:$C$1002,AT142,'Alocação'!$F$3:$F$1002,AT$9,'Alocação'!$B$3:$B$1002,"&lt;="&amp;$B$6), "")</f>
        <v/>
      </c>
      <c r="AW142" s="243" t="str">
        <f>iferror(IF(AU142="Ações Americanas", HLOOKUP(AT142,'Histórico'!$A$1:$DD$990,MATCH($B$6,'Histórico'!$A:$A),FALSE)*HLOOKUP("PTAX",'Histórico'!$A$1:$FG$983,MATCH($B$6,'Histórico'!$A:$A),FALSE),IF(AU142="Ações Europeias", HLOOKUP(AT142,'Histórico'!$A$1:$DD$990,MATCH($B$6,'Histórico'!$A:$A),FALSE)*HLOOKUP("EUR/BRL",'Histórico'!$A$1:$FG$983,MATCH($B$6,'Histórico'!$A:$A),FALSE),  HLOOKUP(AT142,'Histórico'!$A$1:$DD$990,MATCH($B$6,'Histórico'!$A:$A),FALSE))),"")</f>
        <v/>
      </c>
      <c r="AX142" s="243" t="str">
        <f t="shared" si="13"/>
        <v/>
      </c>
      <c r="AY142" s="53"/>
    </row>
    <row r="143" ht="15.75" customHeight="1">
      <c r="A143" s="176"/>
      <c r="B143" s="288">
        <f>Controle!B143</f>
        <v>45197</v>
      </c>
      <c r="C143" s="233" t="str">
        <f>Controle!C143</f>
        <v/>
      </c>
      <c r="D143" s="289" t="str">
        <f>Controle!D143</f>
        <v/>
      </c>
      <c r="E143" s="290"/>
      <c r="F143" s="291" t="str">
        <f>Controle!F143</f>
        <v/>
      </c>
      <c r="G143" s="289" t="str">
        <f>Controle!G143</f>
        <v/>
      </c>
      <c r="H143" s="290"/>
      <c r="I143" s="291" t="str">
        <f>Controle!I143</f>
        <v/>
      </c>
      <c r="J143" s="233" t="str">
        <f>Controle!J143</f>
        <v/>
      </c>
      <c r="K143" s="292"/>
      <c r="L143" s="233" t="str">
        <f>Controle!L143</f>
        <v/>
      </c>
      <c r="M143" s="233" t="str">
        <f>Controle!M143</f>
        <v/>
      </c>
      <c r="N143" s="235" t="str">
        <f>Controle!N143</f>
        <v/>
      </c>
      <c r="O143" s="235" t="str">
        <f>Controle!O143</f>
        <v/>
      </c>
      <c r="P143" s="235" t="str">
        <f>Controle!P143</f>
        <v/>
      </c>
      <c r="Q143" s="235" t="str">
        <f>Controle!Q143</f>
        <v/>
      </c>
      <c r="R143" s="293" t="str">
        <f>Controle!R143</f>
        <v/>
      </c>
      <c r="S143" s="287"/>
      <c r="T143" s="233" t="str">
        <f t="shared" ref="T143:U143" si="146">IF(AND(C143&lt;&gt;"",F143&lt;&gt;"",I143&lt;&gt;""), SUM(I143,F143,C143),"")</f>
        <v/>
      </c>
      <c r="U143" s="233" t="str">
        <f t="shared" si="146"/>
        <v/>
      </c>
      <c r="V143" s="233" t="str">
        <f t="shared" si="6"/>
        <v/>
      </c>
      <c r="W143" s="241" t="str">
        <f t="shared" si="9"/>
        <v/>
      </c>
      <c r="X143" s="241" t="str">
        <f t="shared" si="10"/>
        <v/>
      </c>
      <c r="Y143" s="241" t="str">
        <f t="shared" si="19"/>
        <v/>
      </c>
      <c r="Z143" s="233" t="str">
        <f t="shared" si="7"/>
        <v/>
      </c>
      <c r="AA143" s="294"/>
      <c r="AB143" s="245"/>
      <c r="AC143" s="242" t="str">
        <f>IF(ISTEXT(AB143),VLOOKUP(AB143,'Cadastro dos Ativos'!$A$2:$C$1000,3,0),"")</f>
        <v/>
      </c>
      <c r="AD143" s="242" t="str">
        <f>IF(AB143 &lt;&gt; "",SUMIFS('Alocação'!$O$3:$O$1002,'Alocação'!$C$3:$C$1002,AB143,'Alocação'!$F$3:$F$1002,AB$9,'Alocação'!$B$3:$B$1002,"&lt;="&amp;$B$6), "")</f>
        <v/>
      </c>
      <c r="AE143" s="243" t="str">
        <f>iferror(IF(AC143="Ações Americanas", HLOOKUP(AB143,'Histórico'!$A$1:$DD$990,MATCH($B$6,'Histórico'!$A:$A),FALSE)*HLOOKUP("PTAX",'Histórico'!$A$1:$FG$983,MATCH($B$6,'Histórico'!$A:$A),FALSE),IF(AC143="Ações Europeias", HLOOKUP(AB143,'Histórico'!$A$1:$DD$990,MATCH($B$6,'Histórico'!$A:$A),FALSE)*HLOOKUP("EUR/BRL",'Histórico'!$A$1:$FG$983,MATCH($B$6,'Histórico'!$A:$A),FALSE),  HLOOKUP(AB143,'Histórico'!$A$1:$DD$990,MATCH($B$6,'Histórico'!$A:$A),FALSE))),"")</f>
        <v/>
      </c>
      <c r="AF143" s="243" t="str">
        <f t="shared" si="15"/>
        <v/>
      </c>
      <c r="AG143" s="53"/>
      <c r="AH143" s="245"/>
      <c r="AI143" s="242" t="str">
        <f>IF(ISTEXT(AH143),VLOOKUP(AH143,'Cadastro dos Ativos'!$A$2:$C$1000,3,0),"")</f>
        <v/>
      </c>
      <c r="AJ143" s="242" t="str">
        <f>IF(AH143 &lt;&gt; "",SUMIFS('Alocação'!$O$3:$O$1002,'Alocação'!$C$3:$C$1002,AH143,'Alocação'!$F$3:$F$1002,AH$9,'Alocação'!$B$3:$B$1002,"&lt;="&amp;$B$6), "")</f>
        <v/>
      </c>
      <c r="AK143" s="243" t="str">
        <f>iferror(IF(AI143="Ações Americanas", HLOOKUP(AH143,'Histórico'!$A$1:$DD$990,MATCH($B$6,'Histórico'!$A:$A),FALSE)*HLOOKUP("PTAX",'Histórico'!$A$1:$FG$983,MATCH($B$6,'Histórico'!$A:$A),FALSE),IF(AI143="Ações Europeias", HLOOKUP(AH143,'Histórico'!$A$1:$DD$990,MATCH($B$6,'Histórico'!$A:$A),FALSE)*HLOOKUP("EUR/BRL",'Histórico'!$A$1:$FG$983,MATCH($B$6,'Histórico'!$A:$A),FALSE),  HLOOKUP(AH143,'Histórico'!$A$1:$DD$990,MATCH($B$6,'Histórico'!$A:$A),FALSE))),"")</f>
        <v/>
      </c>
      <c r="AL143" s="243" t="str">
        <f t="shared" si="11"/>
        <v/>
      </c>
      <c r="AM143" s="53"/>
      <c r="AN143" s="245"/>
      <c r="AO143" s="242" t="str">
        <f>IF(ISTEXT(AN143),VLOOKUP(AN143,'Cadastro dos Ativos'!$A$2:$C$1000,3,0),"")</f>
        <v/>
      </c>
      <c r="AP143" s="242" t="str">
        <f>IF(AN143 &lt;&gt; "",SUMIFS('Alocação'!$O$3:$O$1002,'Alocação'!$C$3:$C$1002,AN143,'Alocação'!$F$3:$F$1002,AN$9,'Alocação'!$B$3:$B$1002,"&lt;="&amp;$B$6), "")</f>
        <v/>
      </c>
      <c r="AQ143" s="243" t="str">
        <f>iferror(IF(AO143="Ações Americanas", HLOOKUP(AN143,'Histórico'!$A$1:$DD$990,MATCH($B$6,'Histórico'!$A:$A),FALSE)*HLOOKUP("PTAX",'Histórico'!$A$1:$FG$983,MATCH($B$6,'Histórico'!$A:$A),FALSE),IF(AO143="Ações Europeias", HLOOKUP(AN143,'Histórico'!$A$1:$DD$990,MATCH($B$6,'Histórico'!$A:$A),FALSE)*HLOOKUP("EUR/BRL",'Histórico'!$A$1:$FG$983,MATCH($B$6,'Histórico'!$A:$A),FALSE),  HLOOKUP(AN143,'Histórico'!$A$1:$DD$990,MATCH($B$6,'Histórico'!$A:$A),FALSE))),"")</f>
        <v/>
      </c>
      <c r="AR143" s="243" t="str">
        <f t="shared" si="12"/>
        <v/>
      </c>
      <c r="AS143" s="53"/>
      <c r="AT143" s="245"/>
      <c r="AU143" s="242" t="str">
        <f>IF(ISTEXT(AT143),VLOOKUP(AT143,'Cadastro dos Ativos'!$A$2:$C$1000,3,0),"")</f>
        <v/>
      </c>
      <c r="AV143" s="242" t="str">
        <f>IF(AT143 &lt;&gt; "",SUMIFS('Alocação'!$O$3:$O$1002,'Alocação'!$C$3:$C$1002,AT143,'Alocação'!$F$3:$F$1002,AT$9,'Alocação'!$B$3:$B$1002,"&lt;="&amp;$B$6), "")</f>
        <v/>
      </c>
      <c r="AW143" s="243" t="str">
        <f>iferror(IF(AU143="Ações Americanas", HLOOKUP(AT143,'Histórico'!$A$1:$DD$990,MATCH($B$6,'Histórico'!$A:$A),FALSE)*HLOOKUP("PTAX",'Histórico'!$A$1:$FG$983,MATCH($B$6,'Histórico'!$A:$A),FALSE),IF(AU143="Ações Europeias", HLOOKUP(AT143,'Histórico'!$A$1:$DD$990,MATCH($B$6,'Histórico'!$A:$A),FALSE)*HLOOKUP("EUR/BRL",'Histórico'!$A$1:$FG$983,MATCH($B$6,'Histórico'!$A:$A),FALSE),  HLOOKUP(AT143,'Histórico'!$A$1:$DD$990,MATCH($B$6,'Histórico'!$A:$A),FALSE))),"")</f>
        <v/>
      </c>
      <c r="AX143" s="243" t="str">
        <f t="shared" si="13"/>
        <v/>
      </c>
      <c r="AY143" s="53"/>
    </row>
    <row r="144" ht="15.75" customHeight="1">
      <c r="A144" s="176"/>
      <c r="B144" s="288">
        <f>Controle!B144</f>
        <v>45198</v>
      </c>
      <c r="C144" s="233" t="str">
        <f>Controle!C144</f>
        <v/>
      </c>
      <c r="D144" s="289" t="str">
        <f>Controle!D144</f>
        <v/>
      </c>
      <c r="E144" s="290"/>
      <c r="F144" s="291" t="str">
        <f>Controle!F144</f>
        <v/>
      </c>
      <c r="G144" s="289" t="str">
        <f>Controle!G144</f>
        <v/>
      </c>
      <c r="H144" s="290"/>
      <c r="I144" s="291" t="str">
        <f>Controle!I144</f>
        <v/>
      </c>
      <c r="J144" s="233" t="str">
        <f>Controle!J144</f>
        <v/>
      </c>
      <c r="K144" s="292"/>
      <c r="L144" s="233" t="str">
        <f>Controle!L144</f>
        <v/>
      </c>
      <c r="M144" s="233" t="str">
        <f>Controle!M144</f>
        <v/>
      </c>
      <c r="N144" s="235" t="str">
        <f>Controle!N144</f>
        <v/>
      </c>
      <c r="O144" s="235" t="str">
        <f>Controle!O144</f>
        <v/>
      </c>
      <c r="P144" s="235" t="str">
        <f>Controle!P144</f>
        <v/>
      </c>
      <c r="Q144" s="235" t="str">
        <f>Controle!Q144</f>
        <v/>
      </c>
      <c r="R144" s="293" t="str">
        <f>Controle!R144</f>
        <v/>
      </c>
      <c r="S144" s="287"/>
      <c r="T144" s="233" t="str">
        <f t="shared" ref="T144:U144" si="147">IF(AND(C144&lt;&gt;"",F144&lt;&gt;"",I144&lt;&gt;""), SUM(I144,F144,C144),"")</f>
        <v/>
      </c>
      <c r="U144" s="233" t="str">
        <f t="shared" si="147"/>
        <v/>
      </c>
      <c r="V144" s="233" t="str">
        <f t="shared" si="6"/>
        <v/>
      </c>
      <c r="W144" s="241" t="str">
        <f t="shared" si="9"/>
        <v/>
      </c>
      <c r="X144" s="241" t="str">
        <f t="shared" si="10"/>
        <v/>
      </c>
      <c r="Y144" s="241" t="str">
        <f t="shared" si="19"/>
        <v/>
      </c>
      <c r="Z144" s="233" t="str">
        <f t="shared" si="7"/>
        <v/>
      </c>
      <c r="AA144" s="294"/>
      <c r="AB144" s="245"/>
      <c r="AC144" s="242" t="str">
        <f>IF(ISTEXT(AB144),VLOOKUP(AB144,'Cadastro dos Ativos'!$A$2:$C$1000,3,0),"")</f>
        <v/>
      </c>
      <c r="AD144" s="242" t="str">
        <f>IF(AB144 &lt;&gt; "",SUMIFS('Alocação'!$O$3:$O$1002,'Alocação'!$C$3:$C$1002,AB144,'Alocação'!$F$3:$F$1002,AB$9,'Alocação'!$B$3:$B$1002,"&lt;="&amp;$B$6), "")</f>
        <v/>
      </c>
      <c r="AE144" s="243" t="str">
        <f>iferror(IF(AC144="Ações Americanas", HLOOKUP(AB144,'Histórico'!$A$1:$DD$990,MATCH($B$6,'Histórico'!$A:$A),FALSE)*HLOOKUP("PTAX",'Histórico'!$A$1:$FG$983,MATCH($B$6,'Histórico'!$A:$A),FALSE),IF(AC144="Ações Europeias", HLOOKUP(AB144,'Histórico'!$A$1:$DD$990,MATCH($B$6,'Histórico'!$A:$A),FALSE)*HLOOKUP("EUR/BRL",'Histórico'!$A$1:$FG$983,MATCH($B$6,'Histórico'!$A:$A),FALSE),  HLOOKUP(AB144,'Histórico'!$A$1:$DD$990,MATCH($B$6,'Histórico'!$A:$A),FALSE))),"")</f>
        <v/>
      </c>
      <c r="AF144" s="243" t="str">
        <f t="shared" si="15"/>
        <v/>
      </c>
      <c r="AG144" s="53"/>
      <c r="AH144" s="245"/>
      <c r="AI144" s="242" t="str">
        <f>IF(ISTEXT(AH144),VLOOKUP(AH144,'Cadastro dos Ativos'!$A$2:$C$1000,3,0),"")</f>
        <v/>
      </c>
      <c r="AJ144" s="242" t="str">
        <f>IF(AH144 &lt;&gt; "",SUMIFS('Alocação'!$O$3:$O$1002,'Alocação'!$C$3:$C$1002,AH144,'Alocação'!$F$3:$F$1002,AH$9,'Alocação'!$B$3:$B$1002,"&lt;="&amp;$B$6), "")</f>
        <v/>
      </c>
      <c r="AK144" s="243" t="str">
        <f>iferror(IF(AI144="Ações Americanas", HLOOKUP(AH144,'Histórico'!$A$1:$DD$990,MATCH($B$6,'Histórico'!$A:$A),FALSE)*HLOOKUP("PTAX",'Histórico'!$A$1:$FG$983,MATCH($B$6,'Histórico'!$A:$A),FALSE),IF(AI144="Ações Europeias", HLOOKUP(AH144,'Histórico'!$A$1:$DD$990,MATCH($B$6,'Histórico'!$A:$A),FALSE)*HLOOKUP("EUR/BRL",'Histórico'!$A$1:$FG$983,MATCH($B$6,'Histórico'!$A:$A),FALSE),  HLOOKUP(AH144,'Histórico'!$A$1:$DD$990,MATCH($B$6,'Histórico'!$A:$A),FALSE))),"")</f>
        <v/>
      </c>
      <c r="AL144" s="243" t="str">
        <f t="shared" si="11"/>
        <v/>
      </c>
      <c r="AM144" s="53"/>
      <c r="AN144" s="245"/>
      <c r="AO144" s="242" t="str">
        <f>IF(ISTEXT(AN144),VLOOKUP(AN144,'Cadastro dos Ativos'!$A$2:$C$1000,3,0),"")</f>
        <v/>
      </c>
      <c r="AP144" s="242" t="str">
        <f>IF(AN144 &lt;&gt; "",SUMIFS('Alocação'!$O$3:$O$1002,'Alocação'!$C$3:$C$1002,AN144,'Alocação'!$F$3:$F$1002,AN$9,'Alocação'!$B$3:$B$1002,"&lt;="&amp;$B$6), "")</f>
        <v/>
      </c>
      <c r="AQ144" s="243" t="str">
        <f>iferror(IF(AO144="Ações Americanas", HLOOKUP(AN144,'Histórico'!$A$1:$DD$990,MATCH($B$6,'Histórico'!$A:$A),FALSE)*HLOOKUP("PTAX",'Histórico'!$A$1:$FG$983,MATCH($B$6,'Histórico'!$A:$A),FALSE),IF(AO144="Ações Europeias", HLOOKUP(AN144,'Histórico'!$A$1:$DD$990,MATCH($B$6,'Histórico'!$A:$A),FALSE)*HLOOKUP("EUR/BRL",'Histórico'!$A$1:$FG$983,MATCH($B$6,'Histórico'!$A:$A),FALSE),  HLOOKUP(AN144,'Histórico'!$A$1:$DD$990,MATCH($B$6,'Histórico'!$A:$A),FALSE))),"")</f>
        <v/>
      </c>
      <c r="AR144" s="243" t="str">
        <f t="shared" si="12"/>
        <v/>
      </c>
      <c r="AS144" s="53"/>
      <c r="AT144" s="245"/>
      <c r="AU144" s="242" t="str">
        <f>IF(ISTEXT(AT144),VLOOKUP(AT144,'Cadastro dos Ativos'!$A$2:$C$1000,3,0),"")</f>
        <v/>
      </c>
      <c r="AV144" s="242" t="str">
        <f>IF(AT144 &lt;&gt; "",SUMIFS('Alocação'!$O$3:$O$1002,'Alocação'!$C$3:$C$1002,AT144,'Alocação'!$F$3:$F$1002,AT$9,'Alocação'!$B$3:$B$1002,"&lt;="&amp;$B$6), "")</f>
        <v/>
      </c>
      <c r="AW144" s="243" t="str">
        <f>iferror(IF(AU144="Ações Americanas", HLOOKUP(AT144,'Histórico'!$A$1:$DD$990,MATCH($B$6,'Histórico'!$A:$A),FALSE)*HLOOKUP("PTAX",'Histórico'!$A$1:$FG$983,MATCH($B$6,'Histórico'!$A:$A),FALSE),IF(AU144="Ações Europeias", HLOOKUP(AT144,'Histórico'!$A$1:$DD$990,MATCH($B$6,'Histórico'!$A:$A),FALSE)*HLOOKUP("EUR/BRL",'Histórico'!$A$1:$FG$983,MATCH($B$6,'Histórico'!$A:$A),FALSE),  HLOOKUP(AT144,'Histórico'!$A$1:$DD$990,MATCH($B$6,'Histórico'!$A:$A),FALSE))),"")</f>
        <v/>
      </c>
      <c r="AX144" s="243" t="str">
        <f t="shared" si="13"/>
        <v/>
      </c>
      <c r="AY144" s="53"/>
    </row>
    <row r="145" ht="15.75" customHeight="1">
      <c r="A145" s="176"/>
      <c r="B145" s="288">
        <f>Controle!B145</f>
        <v>45201</v>
      </c>
      <c r="C145" s="233" t="str">
        <f>Controle!C145</f>
        <v/>
      </c>
      <c r="D145" s="289" t="str">
        <f>Controle!D145</f>
        <v/>
      </c>
      <c r="E145" s="290"/>
      <c r="F145" s="291" t="str">
        <f>Controle!F145</f>
        <v/>
      </c>
      <c r="G145" s="289" t="str">
        <f>Controle!G145</f>
        <v/>
      </c>
      <c r="H145" s="290"/>
      <c r="I145" s="291" t="str">
        <f>Controle!I145</f>
        <v/>
      </c>
      <c r="J145" s="233" t="str">
        <f>Controle!J145</f>
        <v/>
      </c>
      <c r="K145" s="292"/>
      <c r="L145" s="233" t="str">
        <f>Controle!L145</f>
        <v/>
      </c>
      <c r="M145" s="233" t="str">
        <f>Controle!M145</f>
        <v/>
      </c>
      <c r="N145" s="235" t="str">
        <f>Controle!N145</f>
        <v/>
      </c>
      <c r="O145" s="235" t="str">
        <f>Controle!O145</f>
        <v/>
      </c>
      <c r="P145" s="235" t="str">
        <f>Controle!P145</f>
        <v/>
      </c>
      <c r="Q145" s="235" t="str">
        <f>Controle!Q145</f>
        <v/>
      </c>
      <c r="R145" s="293" t="str">
        <f>Controle!R145</f>
        <v/>
      </c>
      <c r="S145" s="287"/>
      <c r="T145" s="233" t="str">
        <f t="shared" ref="T145:U145" si="148">IF(AND(C145&lt;&gt;"",F145&lt;&gt;"",I145&lt;&gt;""), SUM(I145,F145,C145),"")</f>
        <v/>
      </c>
      <c r="U145" s="233" t="str">
        <f t="shared" si="148"/>
        <v/>
      </c>
      <c r="V145" s="233" t="str">
        <f t="shared" si="6"/>
        <v/>
      </c>
      <c r="W145" s="241" t="str">
        <f t="shared" si="9"/>
        <v/>
      </c>
      <c r="X145" s="241" t="str">
        <f t="shared" si="10"/>
        <v/>
      </c>
      <c r="Y145" s="241" t="str">
        <f t="shared" si="19"/>
        <v/>
      </c>
      <c r="Z145" s="233" t="str">
        <f t="shared" si="7"/>
        <v/>
      </c>
      <c r="AA145" s="294"/>
      <c r="AB145" s="245"/>
      <c r="AC145" s="242" t="str">
        <f>IF(ISTEXT(AB145),VLOOKUP(AB145,'Cadastro dos Ativos'!$A$2:$C$1000,3,0),"")</f>
        <v/>
      </c>
      <c r="AD145" s="242" t="str">
        <f>IF(AB145 &lt;&gt; "",SUMIFS('Alocação'!$O$3:$O$1002,'Alocação'!$C$3:$C$1002,AB145,'Alocação'!$F$3:$F$1002,AB$9,'Alocação'!$B$3:$B$1002,"&lt;="&amp;$B$6), "")</f>
        <v/>
      </c>
      <c r="AE145" s="243" t="str">
        <f>iferror(IF(AC145="Ações Americanas", HLOOKUP(AB145,'Histórico'!$A$1:$DD$990,MATCH($B$6,'Histórico'!$A:$A),FALSE)*HLOOKUP("PTAX",'Histórico'!$A$1:$FG$983,MATCH($B$6,'Histórico'!$A:$A),FALSE),IF(AC145="Ações Europeias", HLOOKUP(AB145,'Histórico'!$A$1:$DD$990,MATCH($B$6,'Histórico'!$A:$A),FALSE)*HLOOKUP("EUR/BRL",'Histórico'!$A$1:$FG$983,MATCH($B$6,'Histórico'!$A:$A),FALSE),  HLOOKUP(AB145,'Histórico'!$A$1:$DD$990,MATCH($B$6,'Histórico'!$A:$A),FALSE))),"")</f>
        <v/>
      </c>
      <c r="AF145" s="243" t="str">
        <f t="shared" si="15"/>
        <v/>
      </c>
      <c r="AG145" s="53"/>
      <c r="AH145" s="245"/>
      <c r="AI145" s="242" t="str">
        <f>IF(ISTEXT(AH145),VLOOKUP(AH145,'Cadastro dos Ativos'!$A$2:$C$1000,3,0),"")</f>
        <v/>
      </c>
      <c r="AJ145" s="242" t="str">
        <f>IF(AH145 &lt;&gt; "",SUMIFS('Alocação'!$O$3:$O$1002,'Alocação'!$C$3:$C$1002,AH145,'Alocação'!$F$3:$F$1002,AH$9,'Alocação'!$B$3:$B$1002,"&lt;="&amp;$B$6), "")</f>
        <v/>
      </c>
      <c r="AK145" s="243" t="str">
        <f>iferror(IF(AI145="Ações Americanas", HLOOKUP(AH145,'Histórico'!$A$1:$DD$990,MATCH($B$6,'Histórico'!$A:$A),FALSE)*HLOOKUP("PTAX",'Histórico'!$A$1:$FG$983,MATCH($B$6,'Histórico'!$A:$A),FALSE),IF(AI145="Ações Europeias", HLOOKUP(AH145,'Histórico'!$A$1:$DD$990,MATCH($B$6,'Histórico'!$A:$A),FALSE)*HLOOKUP("EUR/BRL",'Histórico'!$A$1:$FG$983,MATCH($B$6,'Histórico'!$A:$A),FALSE),  HLOOKUP(AH145,'Histórico'!$A$1:$DD$990,MATCH($B$6,'Histórico'!$A:$A),FALSE))),"")</f>
        <v/>
      </c>
      <c r="AL145" s="243" t="str">
        <f t="shared" si="11"/>
        <v/>
      </c>
      <c r="AM145" s="53"/>
      <c r="AN145" s="245"/>
      <c r="AO145" s="242" t="str">
        <f>IF(ISTEXT(AN145),VLOOKUP(AN145,'Cadastro dos Ativos'!$A$2:$C$1000,3,0),"")</f>
        <v/>
      </c>
      <c r="AP145" s="242" t="str">
        <f>IF(AN145 &lt;&gt; "",SUMIFS('Alocação'!$O$3:$O$1002,'Alocação'!$C$3:$C$1002,AN145,'Alocação'!$F$3:$F$1002,AN$9,'Alocação'!$B$3:$B$1002,"&lt;="&amp;$B$6), "")</f>
        <v/>
      </c>
      <c r="AQ145" s="243" t="str">
        <f>iferror(IF(AO145="Ações Americanas", HLOOKUP(AN145,'Histórico'!$A$1:$DD$990,MATCH($B$6,'Histórico'!$A:$A),FALSE)*HLOOKUP("PTAX",'Histórico'!$A$1:$FG$983,MATCH($B$6,'Histórico'!$A:$A),FALSE),IF(AO145="Ações Europeias", HLOOKUP(AN145,'Histórico'!$A$1:$DD$990,MATCH($B$6,'Histórico'!$A:$A),FALSE)*HLOOKUP("EUR/BRL",'Histórico'!$A$1:$FG$983,MATCH($B$6,'Histórico'!$A:$A),FALSE),  HLOOKUP(AN145,'Histórico'!$A$1:$DD$990,MATCH($B$6,'Histórico'!$A:$A),FALSE))),"")</f>
        <v/>
      </c>
      <c r="AR145" s="243" t="str">
        <f t="shared" si="12"/>
        <v/>
      </c>
      <c r="AS145" s="53"/>
      <c r="AT145" s="245"/>
      <c r="AU145" s="242" t="str">
        <f>IF(ISTEXT(AT145),VLOOKUP(AT145,'Cadastro dos Ativos'!$A$2:$C$1000,3,0),"")</f>
        <v/>
      </c>
      <c r="AV145" s="242" t="str">
        <f>IF(AT145 &lt;&gt; "",SUMIFS('Alocação'!$O$3:$O$1002,'Alocação'!$C$3:$C$1002,AT145,'Alocação'!$F$3:$F$1002,AT$9,'Alocação'!$B$3:$B$1002,"&lt;="&amp;$B$6), "")</f>
        <v/>
      </c>
      <c r="AW145" s="243" t="str">
        <f>iferror(IF(AU145="Ações Americanas", HLOOKUP(AT145,'Histórico'!$A$1:$DD$990,MATCH($B$6,'Histórico'!$A:$A),FALSE)*HLOOKUP("PTAX",'Histórico'!$A$1:$FG$983,MATCH($B$6,'Histórico'!$A:$A),FALSE),IF(AU145="Ações Europeias", HLOOKUP(AT145,'Histórico'!$A$1:$DD$990,MATCH($B$6,'Histórico'!$A:$A),FALSE)*HLOOKUP("EUR/BRL",'Histórico'!$A$1:$FG$983,MATCH($B$6,'Histórico'!$A:$A),FALSE),  HLOOKUP(AT145,'Histórico'!$A$1:$DD$990,MATCH($B$6,'Histórico'!$A:$A),FALSE))),"")</f>
        <v/>
      </c>
      <c r="AX145" s="243" t="str">
        <f t="shared" si="13"/>
        <v/>
      </c>
      <c r="AY145" s="53"/>
    </row>
    <row r="146" ht="15.75" customHeight="1">
      <c r="A146" s="176"/>
      <c r="B146" s="288">
        <f>Controle!B146</f>
        <v>45202</v>
      </c>
      <c r="C146" s="233" t="str">
        <f>Controle!C146</f>
        <v/>
      </c>
      <c r="D146" s="289" t="str">
        <f>Controle!D146</f>
        <v/>
      </c>
      <c r="E146" s="290"/>
      <c r="F146" s="291" t="str">
        <f>Controle!F146</f>
        <v/>
      </c>
      <c r="G146" s="289" t="str">
        <f>Controle!G146</f>
        <v/>
      </c>
      <c r="H146" s="290"/>
      <c r="I146" s="291" t="str">
        <f>Controle!I146</f>
        <v/>
      </c>
      <c r="J146" s="233" t="str">
        <f>Controle!J146</f>
        <v/>
      </c>
      <c r="K146" s="292"/>
      <c r="L146" s="233" t="str">
        <f>Controle!L146</f>
        <v/>
      </c>
      <c r="M146" s="233" t="str">
        <f>Controle!M146</f>
        <v/>
      </c>
      <c r="N146" s="235" t="str">
        <f>Controle!N146</f>
        <v/>
      </c>
      <c r="O146" s="235" t="str">
        <f>Controle!O146</f>
        <v/>
      </c>
      <c r="P146" s="235" t="str">
        <f>Controle!P146</f>
        <v/>
      </c>
      <c r="Q146" s="235" t="str">
        <f>Controle!Q146</f>
        <v/>
      </c>
      <c r="R146" s="293" t="str">
        <f>Controle!R146</f>
        <v/>
      </c>
      <c r="S146" s="287"/>
      <c r="T146" s="233" t="str">
        <f t="shared" ref="T146:U146" si="149">IF(AND(C146&lt;&gt;"",F146&lt;&gt;"",I146&lt;&gt;""), SUM(I146,F146,C146),"")</f>
        <v/>
      </c>
      <c r="U146" s="233" t="str">
        <f t="shared" si="149"/>
        <v/>
      </c>
      <c r="V146" s="233" t="str">
        <f t="shared" si="6"/>
        <v/>
      </c>
      <c r="W146" s="241" t="str">
        <f t="shared" si="9"/>
        <v/>
      </c>
      <c r="X146" s="241" t="str">
        <f t="shared" si="10"/>
        <v/>
      </c>
      <c r="Y146" s="241" t="str">
        <f t="shared" si="19"/>
        <v/>
      </c>
      <c r="Z146" s="233" t="str">
        <f t="shared" si="7"/>
        <v/>
      </c>
      <c r="AA146" s="294"/>
      <c r="AB146" s="245"/>
      <c r="AC146" s="242" t="str">
        <f>IF(ISTEXT(AB146),VLOOKUP(AB146,'Cadastro dos Ativos'!$A$2:$C$1000,3,0),"")</f>
        <v/>
      </c>
      <c r="AD146" s="242" t="str">
        <f>IF(AB146 &lt;&gt; "",SUMIFS('Alocação'!$O$3:$O$1002,'Alocação'!$C$3:$C$1002,AB146,'Alocação'!$F$3:$F$1002,AB$9,'Alocação'!$B$3:$B$1002,"&lt;="&amp;$B$6), "")</f>
        <v/>
      </c>
      <c r="AE146" s="243" t="str">
        <f>iferror(IF(AC146="Ações Americanas", HLOOKUP(AB146,'Histórico'!$A$1:$DD$990,MATCH($B$6,'Histórico'!$A:$A),FALSE)*HLOOKUP("PTAX",'Histórico'!$A$1:$FG$983,MATCH($B$6,'Histórico'!$A:$A),FALSE),IF(AC146="Ações Europeias", HLOOKUP(AB146,'Histórico'!$A$1:$DD$990,MATCH($B$6,'Histórico'!$A:$A),FALSE)*HLOOKUP("EUR/BRL",'Histórico'!$A$1:$FG$983,MATCH($B$6,'Histórico'!$A:$A),FALSE),  HLOOKUP(AB146,'Histórico'!$A$1:$DD$990,MATCH($B$6,'Histórico'!$A:$A),FALSE))),"")</f>
        <v/>
      </c>
      <c r="AF146" s="243" t="str">
        <f t="shared" si="15"/>
        <v/>
      </c>
      <c r="AG146" s="53"/>
      <c r="AH146" s="245"/>
      <c r="AI146" s="242" t="str">
        <f>IF(ISTEXT(AH146),VLOOKUP(AH146,'Cadastro dos Ativos'!$A$2:$C$1000,3,0),"")</f>
        <v/>
      </c>
      <c r="AJ146" s="242" t="str">
        <f>IF(AH146 &lt;&gt; "",SUMIFS('Alocação'!$O$3:$O$1002,'Alocação'!$C$3:$C$1002,AH146,'Alocação'!$F$3:$F$1002,AH$9,'Alocação'!$B$3:$B$1002,"&lt;="&amp;$B$6), "")</f>
        <v/>
      </c>
      <c r="AK146" s="243" t="str">
        <f>iferror(IF(AI146="Ações Americanas", HLOOKUP(AH146,'Histórico'!$A$1:$DD$990,MATCH($B$6,'Histórico'!$A:$A),FALSE)*HLOOKUP("PTAX",'Histórico'!$A$1:$FG$983,MATCH($B$6,'Histórico'!$A:$A),FALSE),IF(AI146="Ações Europeias", HLOOKUP(AH146,'Histórico'!$A$1:$DD$990,MATCH($B$6,'Histórico'!$A:$A),FALSE)*HLOOKUP("EUR/BRL",'Histórico'!$A$1:$FG$983,MATCH($B$6,'Histórico'!$A:$A),FALSE),  HLOOKUP(AH146,'Histórico'!$A$1:$DD$990,MATCH($B$6,'Histórico'!$A:$A),FALSE))),"")</f>
        <v/>
      </c>
      <c r="AL146" s="243" t="str">
        <f t="shared" si="11"/>
        <v/>
      </c>
      <c r="AM146" s="53"/>
      <c r="AN146" s="245"/>
      <c r="AO146" s="242" t="str">
        <f>IF(ISTEXT(AN146),VLOOKUP(AN146,'Cadastro dos Ativos'!$A$2:$C$1000,3,0),"")</f>
        <v/>
      </c>
      <c r="AP146" s="242" t="str">
        <f>IF(AN146 &lt;&gt; "",SUMIFS('Alocação'!$O$3:$O$1002,'Alocação'!$C$3:$C$1002,AN146,'Alocação'!$F$3:$F$1002,AN$9,'Alocação'!$B$3:$B$1002,"&lt;="&amp;$B$6), "")</f>
        <v/>
      </c>
      <c r="AQ146" s="243" t="str">
        <f>iferror(IF(AO146="Ações Americanas", HLOOKUP(AN146,'Histórico'!$A$1:$DD$990,MATCH($B$6,'Histórico'!$A:$A),FALSE)*HLOOKUP("PTAX",'Histórico'!$A$1:$FG$983,MATCH($B$6,'Histórico'!$A:$A),FALSE),IF(AO146="Ações Europeias", HLOOKUP(AN146,'Histórico'!$A$1:$DD$990,MATCH($B$6,'Histórico'!$A:$A),FALSE)*HLOOKUP("EUR/BRL",'Histórico'!$A$1:$FG$983,MATCH($B$6,'Histórico'!$A:$A),FALSE),  HLOOKUP(AN146,'Histórico'!$A$1:$DD$990,MATCH($B$6,'Histórico'!$A:$A),FALSE))),"")</f>
        <v/>
      </c>
      <c r="AR146" s="243" t="str">
        <f t="shared" si="12"/>
        <v/>
      </c>
      <c r="AS146" s="53"/>
      <c r="AT146" s="245"/>
      <c r="AU146" s="242" t="str">
        <f>IF(ISTEXT(AT146),VLOOKUP(AT146,'Cadastro dos Ativos'!$A$2:$C$1000,3,0),"")</f>
        <v/>
      </c>
      <c r="AV146" s="242" t="str">
        <f>IF(AT146 &lt;&gt; "",SUMIFS('Alocação'!$O$3:$O$1002,'Alocação'!$C$3:$C$1002,AT146,'Alocação'!$F$3:$F$1002,AT$9,'Alocação'!$B$3:$B$1002,"&lt;="&amp;$B$6), "")</f>
        <v/>
      </c>
      <c r="AW146" s="243" t="str">
        <f>iferror(IF(AU146="Ações Americanas", HLOOKUP(AT146,'Histórico'!$A$1:$DD$990,MATCH($B$6,'Histórico'!$A:$A),FALSE)*HLOOKUP("PTAX",'Histórico'!$A$1:$FG$983,MATCH($B$6,'Histórico'!$A:$A),FALSE),IF(AU146="Ações Europeias", HLOOKUP(AT146,'Histórico'!$A$1:$DD$990,MATCH($B$6,'Histórico'!$A:$A),FALSE)*HLOOKUP("EUR/BRL",'Histórico'!$A$1:$FG$983,MATCH($B$6,'Histórico'!$A:$A),FALSE),  HLOOKUP(AT146,'Histórico'!$A$1:$DD$990,MATCH($B$6,'Histórico'!$A:$A),FALSE))),"")</f>
        <v/>
      </c>
      <c r="AX146" s="243" t="str">
        <f t="shared" si="13"/>
        <v/>
      </c>
      <c r="AY146" s="53"/>
    </row>
    <row r="147" ht="15.75" customHeight="1">
      <c r="A147" s="176"/>
      <c r="B147" s="288">
        <f>Controle!B147</f>
        <v>45203</v>
      </c>
      <c r="C147" s="233" t="str">
        <f>Controle!C147</f>
        <v/>
      </c>
      <c r="D147" s="289" t="str">
        <f>Controle!D147</f>
        <v/>
      </c>
      <c r="E147" s="290"/>
      <c r="F147" s="291" t="str">
        <f>Controle!F147</f>
        <v/>
      </c>
      <c r="G147" s="289" t="str">
        <f>Controle!G147</f>
        <v/>
      </c>
      <c r="H147" s="290"/>
      <c r="I147" s="291" t="str">
        <f>Controle!I147</f>
        <v/>
      </c>
      <c r="J147" s="233" t="str">
        <f>Controle!J147</f>
        <v/>
      </c>
      <c r="K147" s="292"/>
      <c r="L147" s="233" t="str">
        <f>Controle!L147</f>
        <v/>
      </c>
      <c r="M147" s="233" t="str">
        <f>Controle!M147</f>
        <v/>
      </c>
      <c r="N147" s="235" t="str">
        <f>Controle!N147</f>
        <v/>
      </c>
      <c r="O147" s="235" t="str">
        <f>Controle!O147</f>
        <v/>
      </c>
      <c r="P147" s="235" t="str">
        <f>Controle!P147</f>
        <v/>
      </c>
      <c r="Q147" s="235" t="str">
        <f>Controle!Q147</f>
        <v/>
      </c>
      <c r="R147" s="293" t="str">
        <f>Controle!R147</f>
        <v/>
      </c>
      <c r="S147" s="287"/>
      <c r="T147" s="233" t="str">
        <f t="shared" ref="T147:U147" si="150">IF(AND(C147&lt;&gt;"",F147&lt;&gt;"",I147&lt;&gt;""), SUM(I147,F147,C147),"")</f>
        <v/>
      </c>
      <c r="U147" s="233" t="str">
        <f t="shared" si="150"/>
        <v/>
      </c>
      <c r="V147" s="233" t="str">
        <f t="shared" si="6"/>
        <v/>
      </c>
      <c r="W147" s="241" t="str">
        <f t="shared" si="9"/>
        <v/>
      </c>
      <c r="X147" s="241" t="str">
        <f t="shared" si="10"/>
        <v/>
      </c>
      <c r="Y147" s="241" t="str">
        <f t="shared" si="19"/>
        <v/>
      </c>
      <c r="Z147" s="233" t="str">
        <f t="shared" si="7"/>
        <v/>
      </c>
      <c r="AA147" s="294"/>
      <c r="AB147" s="245"/>
      <c r="AC147" s="242" t="str">
        <f>IF(ISTEXT(AB147),VLOOKUP(AB147,'Cadastro dos Ativos'!$A$2:$C$1000,3,0),"")</f>
        <v/>
      </c>
      <c r="AD147" s="242" t="str">
        <f>IF(AB147 &lt;&gt; "",SUMIFS('Alocação'!$O$3:$O$1002,'Alocação'!$C$3:$C$1002,AB147,'Alocação'!$F$3:$F$1002,AB$9,'Alocação'!$B$3:$B$1002,"&lt;="&amp;$B$6), "")</f>
        <v/>
      </c>
      <c r="AE147" s="243" t="str">
        <f>iferror(IF(AC147="Ações Americanas", HLOOKUP(AB147,'Histórico'!$A$1:$DD$990,MATCH($B$6,'Histórico'!$A:$A),FALSE)*HLOOKUP("PTAX",'Histórico'!$A$1:$FG$983,MATCH($B$6,'Histórico'!$A:$A),FALSE),IF(AC147="Ações Europeias", HLOOKUP(AB147,'Histórico'!$A$1:$DD$990,MATCH($B$6,'Histórico'!$A:$A),FALSE)*HLOOKUP("EUR/BRL",'Histórico'!$A$1:$FG$983,MATCH($B$6,'Histórico'!$A:$A),FALSE),  HLOOKUP(AB147,'Histórico'!$A$1:$DD$990,MATCH($B$6,'Histórico'!$A:$A),FALSE))),"")</f>
        <v/>
      </c>
      <c r="AF147" s="243" t="str">
        <f t="shared" si="15"/>
        <v/>
      </c>
      <c r="AG147" s="53"/>
      <c r="AH147" s="245"/>
      <c r="AI147" s="242" t="str">
        <f>IF(ISTEXT(AH147),VLOOKUP(AH147,'Cadastro dos Ativos'!$A$2:$C$1000,3,0),"")</f>
        <v/>
      </c>
      <c r="AJ147" s="242" t="str">
        <f>IF(AH147 &lt;&gt; "",SUMIFS('Alocação'!$O$3:$O$1002,'Alocação'!$C$3:$C$1002,AH147,'Alocação'!$F$3:$F$1002,AH$9,'Alocação'!$B$3:$B$1002,"&lt;="&amp;$B$6), "")</f>
        <v/>
      </c>
      <c r="AK147" s="243" t="str">
        <f>iferror(IF(AI147="Ações Americanas", HLOOKUP(AH147,'Histórico'!$A$1:$DD$990,MATCH($B$6,'Histórico'!$A:$A),FALSE)*HLOOKUP("PTAX",'Histórico'!$A$1:$FG$983,MATCH($B$6,'Histórico'!$A:$A),FALSE),IF(AI147="Ações Europeias", HLOOKUP(AH147,'Histórico'!$A$1:$DD$990,MATCH($B$6,'Histórico'!$A:$A),FALSE)*HLOOKUP("EUR/BRL",'Histórico'!$A$1:$FG$983,MATCH($B$6,'Histórico'!$A:$A),FALSE),  HLOOKUP(AH147,'Histórico'!$A$1:$DD$990,MATCH($B$6,'Histórico'!$A:$A),FALSE))),"")</f>
        <v/>
      </c>
      <c r="AL147" s="243" t="str">
        <f t="shared" si="11"/>
        <v/>
      </c>
      <c r="AM147" s="53"/>
      <c r="AN147" s="245"/>
      <c r="AO147" s="242" t="str">
        <f>IF(ISTEXT(AN147),VLOOKUP(AN147,'Cadastro dos Ativos'!$A$2:$C$1000,3,0),"")</f>
        <v/>
      </c>
      <c r="AP147" s="242" t="str">
        <f>IF(AN147 &lt;&gt; "",SUMIFS('Alocação'!$O$3:$O$1002,'Alocação'!$C$3:$C$1002,AN147,'Alocação'!$F$3:$F$1002,AN$9,'Alocação'!$B$3:$B$1002,"&lt;="&amp;$B$6), "")</f>
        <v/>
      </c>
      <c r="AQ147" s="243" t="str">
        <f>iferror(IF(AO147="Ações Americanas", HLOOKUP(AN147,'Histórico'!$A$1:$DD$990,MATCH($B$6,'Histórico'!$A:$A),FALSE)*HLOOKUP("PTAX",'Histórico'!$A$1:$FG$983,MATCH($B$6,'Histórico'!$A:$A),FALSE),IF(AO147="Ações Europeias", HLOOKUP(AN147,'Histórico'!$A$1:$DD$990,MATCH($B$6,'Histórico'!$A:$A),FALSE)*HLOOKUP("EUR/BRL",'Histórico'!$A$1:$FG$983,MATCH($B$6,'Histórico'!$A:$A),FALSE),  HLOOKUP(AN147,'Histórico'!$A$1:$DD$990,MATCH($B$6,'Histórico'!$A:$A),FALSE))),"")</f>
        <v/>
      </c>
      <c r="AR147" s="243" t="str">
        <f t="shared" si="12"/>
        <v/>
      </c>
      <c r="AS147" s="53"/>
      <c r="AT147" s="245"/>
      <c r="AU147" s="242" t="str">
        <f>IF(ISTEXT(AT147),VLOOKUP(AT147,'Cadastro dos Ativos'!$A$2:$C$1000,3,0),"")</f>
        <v/>
      </c>
      <c r="AV147" s="242" t="str">
        <f>IF(AT147 &lt;&gt; "",SUMIFS('Alocação'!$O$3:$O$1002,'Alocação'!$C$3:$C$1002,AT147,'Alocação'!$F$3:$F$1002,AT$9,'Alocação'!$B$3:$B$1002,"&lt;="&amp;$B$6), "")</f>
        <v/>
      </c>
      <c r="AW147" s="243" t="str">
        <f>iferror(IF(AU147="Ações Americanas", HLOOKUP(AT147,'Histórico'!$A$1:$DD$990,MATCH($B$6,'Histórico'!$A:$A),FALSE)*HLOOKUP("PTAX",'Histórico'!$A$1:$FG$983,MATCH($B$6,'Histórico'!$A:$A),FALSE),IF(AU147="Ações Europeias", HLOOKUP(AT147,'Histórico'!$A$1:$DD$990,MATCH($B$6,'Histórico'!$A:$A),FALSE)*HLOOKUP("EUR/BRL",'Histórico'!$A$1:$FG$983,MATCH($B$6,'Histórico'!$A:$A),FALSE),  HLOOKUP(AT147,'Histórico'!$A$1:$DD$990,MATCH($B$6,'Histórico'!$A:$A),FALSE))),"")</f>
        <v/>
      </c>
      <c r="AX147" s="243" t="str">
        <f t="shared" si="13"/>
        <v/>
      </c>
      <c r="AY147" s="53"/>
    </row>
    <row r="148" ht="15.75" customHeight="1">
      <c r="A148" s="176"/>
      <c r="B148" s="288">
        <f>Controle!B148</f>
        <v>45204</v>
      </c>
      <c r="C148" s="233" t="str">
        <f>Controle!C148</f>
        <v/>
      </c>
      <c r="D148" s="289" t="str">
        <f>Controle!D148</f>
        <v/>
      </c>
      <c r="E148" s="290"/>
      <c r="F148" s="291" t="str">
        <f>Controle!F148</f>
        <v/>
      </c>
      <c r="G148" s="289" t="str">
        <f>Controle!G148</f>
        <v/>
      </c>
      <c r="H148" s="290"/>
      <c r="I148" s="291" t="str">
        <f>Controle!I148</f>
        <v/>
      </c>
      <c r="J148" s="233" t="str">
        <f>Controle!J148</f>
        <v/>
      </c>
      <c r="K148" s="292"/>
      <c r="L148" s="233" t="str">
        <f>Controle!L148</f>
        <v/>
      </c>
      <c r="M148" s="233" t="str">
        <f>Controle!M148</f>
        <v/>
      </c>
      <c r="N148" s="235" t="str">
        <f>Controle!N148</f>
        <v/>
      </c>
      <c r="O148" s="235" t="str">
        <f>Controle!O148</f>
        <v/>
      </c>
      <c r="P148" s="235" t="str">
        <f>Controle!P148</f>
        <v/>
      </c>
      <c r="Q148" s="235" t="str">
        <f>Controle!Q148</f>
        <v/>
      </c>
      <c r="R148" s="293" t="str">
        <f>Controle!R148</f>
        <v/>
      </c>
      <c r="S148" s="287"/>
      <c r="T148" s="233" t="str">
        <f t="shared" ref="T148:U148" si="151">IF(AND(C148&lt;&gt;"",F148&lt;&gt;"",I148&lt;&gt;""), SUM(I148,F148,C148),"")</f>
        <v/>
      </c>
      <c r="U148" s="233" t="str">
        <f t="shared" si="151"/>
        <v/>
      </c>
      <c r="V148" s="233" t="str">
        <f t="shared" si="6"/>
        <v/>
      </c>
      <c r="W148" s="241" t="str">
        <f t="shared" si="9"/>
        <v/>
      </c>
      <c r="X148" s="241" t="str">
        <f t="shared" si="10"/>
        <v/>
      </c>
      <c r="Y148" s="241" t="str">
        <f t="shared" si="19"/>
        <v/>
      </c>
      <c r="Z148" s="233" t="str">
        <f t="shared" si="7"/>
        <v/>
      </c>
      <c r="AA148" s="294"/>
      <c r="AB148" s="245"/>
      <c r="AC148" s="242" t="str">
        <f>IF(ISTEXT(AB148),VLOOKUP(AB148,'Cadastro dos Ativos'!$A$2:$C$1000,3,0),"")</f>
        <v/>
      </c>
      <c r="AD148" s="242" t="str">
        <f>IF(AB148 &lt;&gt; "",SUMIFS('Alocação'!$O$3:$O$1002,'Alocação'!$C$3:$C$1002,AB148,'Alocação'!$F$3:$F$1002,AB$9,'Alocação'!$B$3:$B$1002,"&lt;="&amp;$B$6), "")</f>
        <v/>
      </c>
      <c r="AE148" s="243" t="str">
        <f>iferror(IF(AC148="Ações Americanas", HLOOKUP(AB148,'Histórico'!$A$1:$DD$990,MATCH($B$6,'Histórico'!$A:$A),FALSE)*HLOOKUP("PTAX",'Histórico'!$A$1:$FG$983,MATCH($B$6,'Histórico'!$A:$A),FALSE),IF(AC148="Ações Europeias", HLOOKUP(AB148,'Histórico'!$A$1:$DD$990,MATCH($B$6,'Histórico'!$A:$A),FALSE)*HLOOKUP("EUR/BRL",'Histórico'!$A$1:$FG$983,MATCH($B$6,'Histórico'!$A:$A),FALSE),  HLOOKUP(AB148,'Histórico'!$A$1:$DD$990,MATCH($B$6,'Histórico'!$A:$A),FALSE))),"")</f>
        <v/>
      </c>
      <c r="AF148" s="243" t="str">
        <f t="shared" si="15"/>
        <v/>
      </c>
      <c r="AG148" s="53"/>
      <c r="AH148" s="245"/>
      <c r="AI148" s="242" t="str">
        <f>IF(ISTEXT(AH148),VLOOKUP(AH148,'Cadastro dos Ativos'!$A$2:$C$1000,3,0),"")</f>
        <v/>
      </c>
      <c r="AJ148" s="242" t="str">
        <f>IF(AH148 &lt;&gt; "",SUMIFS('Alocação'!$O$3:$O$1002,'Alocação'!$C$3:$C$1002,AH148,'Alocação'!$F$3:$F$1002,AH$9,'Alocação'!$B$3:$B$1002,"&lt;="&amp;$B$6), "")</f>
        <v/>
      </c>
      <c r="AK148" s="243" t="str">
        <f>iferror(IF(AI148="Ações Americanas", HLOOKUP(AH148,'Histórico'!$A$1:$DD$990,MATCH($B$6,'Histórico'!$A:$A),FALSE)*HLOOKUP("PTAX",'Histórico'!$A$1:$FG$983,MATCH($B$6,'Histórico'!$A:$A),FALSE),IF(AI148="Ações Europeias", HLOOKUP(AH148,'Histórico'!$A$1:$DD$990,MATCH($B$6,'Histórico'!$A:$A),FALSE)*HLOOKUP("EUR/BRL",'Histórico'!$A$1:$FG$983,MATCH($B$6,'Histórico'!$A:$A),FALSE),  HLOOKUP(AH148,'Histórico'!$A$1:$DD$990,MATCH($B$6,'Histórico'!$A:$A),FALSE))),"")</f>
        <v/>
      </c>
      <c r="AL148" s="243" t="str">
        <f t="shared" si="11"/>
        <v/>
      </c>
      <c r="AM148" s="53"/>
      <c r="AN148" s="245"/>
      <c r="AO148" s="242" t="str">
        <f>IF(ISTEXT(AN148),VLOOKUP(AN148,'Cadastro dos Ativos'!$A$2:$C$1000,3,0),"")</f>
        <v/>
      </c>
      <c r="AP148" s="242" t="str">
        <f>IF(AN148 &lt;&gt; "",SUMIFS('Alocação'!$O$3:$O$1002,'Alocação'!$C$3:$C$1002,AN148,'Alocação'!$F$3:$F$1002,AN$9,'Alocação'!$B$3:$B$1002,"&lt;="&amp;$B$6), "")</f>
        <v/>
      </c>
      <c r="AQ148" s="243" t="str">
        <f>iferror(IF(AO148="Ações Americanas", HLOOKUP(AN148,'Histórico'!$A$1:$DD$990,MATCH($B$6,'Histórico'!$A:$A),FALSE)*HLOOKUP("PTAX",'Histórico'!$A$1:$FG$983,MATCH($B$6,'Histórico'!$A:$A),FALSE),IF(AO148="Ações Europeias", HLOOKUP(AN148,'Histórico'!$A$1:$DD$990,MATCH($B$6,'Histórico'!$A:$A),FALSE)*HLOOKUP("EUR/BRL",'Histórico'!$A$1:$FG$983,MATCH($B$6,'Histórico'!$A:$A),FALSE),  HLOOKUP(AN148,'Histórico'!$A$1:$DD$990,MATCH($B$6,'Histórico'!$A:$A),FALSE))),"")</f>
        <v/>
      </c>
      <c r="AR148" s="243" t="str">
        <f t="shared" si="12"/>
        <v/>
      </c>
      <c r="AS148" s="53"/>
      <c r="AT148" s="245"/>
      <c r="AU148" s="242" t="str">
        <f>IF(ISTEXT(AT148),VLOOKUP(AT148,'Cadastro dos Ativos'!$A$2:$C$1000,3,0),"")</f>
        <v/>
      </c>
      <c r="AV148" s="242" t="str">
        <f>IF(AT148 &lt;&gt; "",SUMIFS('Alocação'!$O$3:$O$1002,'Alocação'!$C$3:$C$1002,AT148,'Alocação'!$F$3:$F$1002,AT$9,'Alocação'!$B$3:$B$1002,"&lt;="&amp;$B$6), "")</f>
        <v/>
      </c>
      <c r="AW148" s="243" t="str">
        <f>iferror(IF(AU148="Ações Americanas", HLOOKUP(AT148,'Histórico'!$A$1:$DD$990,MATCH($B$6,'Histórico'!$A:$A),FALSE)*HLOOKUP("PTAX",'Histórico'!$A$1:$FG$983,MATCH($B$6,'Histórico'!$A:$A),FALSE),IF(AU148="Ações Europeias", HLOOKUP(AT148,'Histórico'!$A$1:$DD$990,MATCH($B$6,'Histórico'!$A:$A),FALSE)*HLOOKUP("EUR/BRL",'Histórico'!$A$1:$FG$983,MATCH($B$6,'Histórico'!$A:$A),FALSE),  HLOOKUP(AT148,'Histórico'!$A$1:$DD$990,MATCH($B$6,'Histórico'!$A:$A),FALSE))),"")</f>
        <v/>
      </c>
      <c r="AX148" s="243" t="str">
        <f t="shared" si="13"/>
        <v/>
      </c>
      <c r="AY148" s="53"/>
    </row>
    <row r="149" ht="15.75" customHeight="1">
      <c r="A149" s="176"/>
      <c r="B149" s="288">
        <f>Controle!B149</f>
        <v>45205</v>
      </c>
      <c r="C149" s="233" t="str">
        <f>Controle!C149</f>
        <v/>
      </c>
      <c r="D149" s="289" t="str">
        <f>Controle!D149</f>
        <v/>
      </c>
      <c r="E149" s="290"/>
      <c r="F149" s="291" t="str">
        <f>Controle!F149</f>
        <v/>
      </c>
      <c r="G149" s="289" t="str">
        <f>Controle!G149</f>
        <v/>
      </c>
      <c r="H149" s="290"/>
      <c r="I149" s="291" t="str">
        <f>Controle!I149</f>
        <v/>
      </c>
      <c r="J149" s="233" t="str">
        <f>Controle!J149</f>
        <v/>
      </c>
      <c r="K149" s="292"/>
      <c r="L149" s="233" t="str">
        <f>Controle!L149</f>
        <v/>
      </c>
      <c r="M149" s="233" t="str">
        <f>Controle!M149</f>
        <v/>
      </c>
      <c r="N149" s="235" t="str">
        <f>Controle!N149</f>
        <v/>
      </c>
      <c r="O149" s="235" t="str">
        <f>Controle!O149</f>
        <v/>
      </c>
      <c r="P149" s="235" t="str">
        <f>Controle!P149</f>
        <v/>
      </c>
      <c r="Q149" s="235" t="str">
        <f>Controle!Q149</f>
        <v/>
      </c>
      <c r="R149" s="293" t="str">
        <f>Controle!R149</f>
        <v/>
      </c>
      <c r="S149" s="287"/>
      <c r="T149" s="233" t="str">
        <f t="shared" ref="T149:U149" si="152">IF(AND(C149&lt;&gt;"",F149&lt;&gt;"",I149&lt;&gt;""), SUM(I149,F149,C149),"")</f>
        <v/>
      </c>
      <c r="U149" s="233" t="str">
        <f t="shared" si="152"/>
        <v/>
      </c>
      <c r="V149" s="233" t="str">
        <f t="shared" si="6"/>
        <v/>
      </c>
      <c r="W149" s="241" t="str">
        <f t="shared" si="9"/>
        <v/>
      </c>
      <c r="X149" s="241" t="str">
        <f t="shared" si="10"/>
        <v/>
      </c>
      <c r="Y149" s="241" t="str">
        <f t="shared" si="19"/>
        <v/>
      </c>
      <c r="Z149" s="233" t="str">
        <f t="shared" si="7"/>
        <v/>
      </c>
      <c r="AA149" s="294"/>
      <c r="AB149" s="245"/>
      <c r="AC149" s="242" t="str">
        <f>IF(ISTEXT(AB149),VLOOKUP(AB149,'Cadastro dos Ativos'!$A$2:$C$1000,3,0),"")</f>
        <v/>
      </c>
      <c r="AD149" s="242" t="str">
        <f>IF(AB149 &lt;&gt; "",SUMIFS('Alocação'!$O$3:$O$1002,'Alocação'!$C$3:$C$1002,AB149,'Alocação'!$F$3:$F$1002,AB$9,'Alocação'!$B$3:$B$1002,"&lt;="&amp;$B$6), "")</f>
        <v/>
      </c>
      <c r="AE149" s="243" t="str">
        <f>iferror(IF(AC149="Ações Americanas", HLOOKUP(AB149,'Histórico'!$A$1:$DD$990,MATCH($B$6,'Histórico'!$A:$A),FALSE)*HLOOKUP("PTAX",'Histórico'!$A$1:$FG$983,MATCH($B$6,'Histórico'!$A:$A),FALSE),IF(AC149="Ações Europeias", HLOOKUP(AB149,'Histórico'!$A$1:$DD$990,MATCH($B$6,'Histórico'!$A:$A),FALSE)*HLOOKUP("EUR/BRL",'Histórico'!$A$1:$FG$983,MATCH($B$6,'Histórico'!$A:$A),FALSE),  HLOOKUP(AB149,'Histórico'!$A$1:$DD$990,MATCH($B$6,'Histórico'!$A:$A),FALSE))),"")</f>
        <v/>
      </c>
      <c r="AF149" s="243" t="str">
        <f t="shared" si="15"/>
        <v/>
      </c>
      <c r="AG149" s="53"/>
      <c r="AH149" s="245"/>
      <c r="AI149" s="242" t="str">
        <f>IF(ISTEXT(AH149),VLOOKUP(AH149,'Cadastro dos Ativos'!$A$2:$C$1000,3,0),"")</f>
        <v/>
      </c>
      <c r="AJ149" s="242" t="str">
        <f>IF(AH149 &lt;&gt; "",SUMIFS('Alocação'!$O$3:$O$1002,'Alocação'!$C$3:$C$1002,AH149,'Alocação'!$F$3:$F$1002,AH$9,'Alocação'!$B$3:$B$1002,"&lt;="&amp;$B$6), "")</f>
        <v/>
      </c>
      <c r="AK149" s="243" t="str">
        <f>iferror(IF(AI149="Ações Americanas", HLOOKUP(AH149,'Histórico'!$A$1:$DD$990,MATCH($B$6,'Histórico'!$A:$A),FALSE)*HLOOKUP("PTAX",'Histórico'!$A$1:$FG$983,MATCH($B$6,'Histórico'!$A:$A),FALSE),IF(AI149="Ações Europeias", HLOOKUP(AH149,'Histórico'!$A$1:$DD$990,MATCH($B$6,'Histórico'!$A:$A),FALSE)*HLOOKUP("EUR/BRL",'Histórico'!$A$1:$FG$983,MATCH($B$6,'Histórico'!$A:$A),FALSE),  HLOOKUP(AH149,'Histórico'!$A$1:$DD$990,MATCH($B$6,'Histórico'!$A:$A),FALSE))),"")</f>
        <v/>
      </c>
      <c r="AL149" s="243" t="str">
        <f t="shared" si="11"/>
        <v/>
      </c>
      <c r="AM149" s="53"/>
      <c r="AN149" s="245"/>
      <c r="AO149" s="242" t="str">
        <f>IF(ISTEXT(AN149),VLOOKUP(AN149,'Cadastro dos Ativos'!$A$2:$C$1000,3,0),"")</f>
        <v/>
      </c>
      <c r="AP149" s="242" t="str">
        <f>IF(AN149 &lt;&gt; "",SUMIFS('Alocação'!$O$3:$O$1002,'Alocação'!$C$3:$C$1002,AN149,'Alocação'!$F$3:$F$1002,AN$9,'Alocação'!$B$3:$B$1002,"&lt;="&amp;$B$6), "")</f>
        <v/>
      </c>
      <c r="AQ149" s="243" t="str">
        <f>iferror(IF(AO149="Ações Americanas", HLOOKUP(AN149,'Histórico'!$A$1:$DD$990,MATCH($B$6,'Histórico'!$A:$A),FALSE)*HLOOKUP("PTAX",'Histórico'!$A$1:$FG$983,MATCH($B$6,'Histórico'!$A:$A),FALSE),IF(AO149="Ações Europeias", HLOOKUP(AN149,'Histórico'!$A$1:$DD$990,MATCH($B$6,'Histórico'!$A:$A),FALSE)*HLOOKUP("EUR/BRL",'Histórico'!$A$1:$FG$983,MATCH($B$6,'Histórico'!$A:$A),FALSE),  HLOOKUP(AN149,'Histórico'!$A$1:$DD$990,MATCH($B$6,'Histórico'!$A:$A),FALSE))),"")</f>
        <v/>
      </c>
      <c r="AR149" s="243" t="str">
        <f t="shared" si="12"/>
        <v/>
      </c>
      <c r="AS149" s="53"/>
      <c r="AT149" s="245"/>
      <c r="AU149" s="242" t="str">
        <f>IF(ISTEXT(AT149),VLOOKUP(AT149,'Cadastro dos Ativos'!$A$2:$C$1000,3,0),"")</f>
        <v/>
      </c>
      <c r="AV149" s="242" t="str">
        <f>IF(AT149 &lt;&gt; "",SUMIFS('Alocação'!$O$3:$O$1002,'Alocação'!$C$3:$C$1002,AT149,'Alocação'!$F$3:$F$1002,AT$9,'Alocação'!$B$3:$B$1002,"&lt;="&amp;$B$6), "")</f>
        <v/>
      </c>
      <c r="AW149" s="243" t="str">
        <f>iferror(IF(AU149="Ações Americanas", HLOOKUP(AT149,'Histórico'!$A$1:$DD$990,MATCH($B$6,'Histórico'!$A:$A),FALSE)*HLOOKUP("PTAX",'Histórico'!$A$1:$FG$983,MATCH($B$6,'Histórico'!$A:$A),FALSE),IF(AU149="Ações Europeias", HLOOKUP(AT149,'Histórico'!$A$1:$DD$990,MATCH($B$6,'Histórico'!$A:$A),FALSE)*HLOOKUP("EUR/BRL",'Histórico'!$A$1:$FG$983,MATCH($B$6,'Histórico'!$A:$A),FALSE),  HLOOKUP(AT149,'Histórico'!$A$1:$DD$990,MATCH($B$6,'Histórico'!$A:$A),FALSE))),"")</f>
        <v/>
      </c>
      <c r="AX149" s="243" t="str">
        <f t="shared" si="13"/>
        <v/>
      </c>
      <c r="AY149" s="53"/>
    </row>
    <row r="150" ht="15.75" customHeight="1">
      <c r="A150" s="176"/>
      <c r="B150" s="288">
        <f>Controle!B150</f>
        <v>45208</v>
      </c>
      <c r="C150" s="233" t="str">
        <f>Controle!C150</f>
        <v/>
      </c>
      <c r="D150" s="289" t="str">
        <f>Controle!D150</f>
        <v/>
      </c>
      <c r="E150" s="290"/>
      <c r="F150" s="291" t="str">
        <f>Controle!F150</f>
        <v/>
      </c>
      <c r="G150" s="289" t="str">
        <f>Controle!G150</f>
        <v/>
      </c>
      <c r="H150" s="290"/>
      <c r="I150" s="291" t="str">
        <f>Controle!I150</f>
        <v/>
      </c>
      <c r="J150" s="233" t="str">
        <f>Controle!J150</f>
        <v/>
      </c>
      <c r="K150" s="292"/>
      <c r="L150" s="233" t="str">
        <f>Controle!L150</f>
        <v/>
      </c>
      <c r="M150" s="233" t="str">
        <f>Controle!M150</f>
        <v/>
      </c>
      <c r="N150" s="235" t="str">
        <f>Controle!N150</f>
        <v/>
      </c>
      <c r="O150" s="235" t="str">
        <f>Controle!O150</f>
        <v/>
      </c>
      <c r="P150" s="235" t="str">
        <f>Controle!P150</f>
        <v/>
      </c>
      <c r="Q150" s="235" t="str">
        <f>Controle!Q150</f>
        <v/>
      </c>
      <c r="R150" s="293" t="str">
        <f>Controle!R150</f>
        <v/>
      </c>
      <c r="S150" s="287"/>
      <c r="T150" s="233" t="str">
        <f t="shared" ref="T150:U150" si="153">IF(AND(C150&lt;&gt;"",F150&lt;&gt;"",I150&lt;&gt;""), SUM(I150,F150,C150),"")</f>
        <v/>
      </c>
      <c r="U150" s="233" t="str">
        <f t="shared" si="153"/>
        <v/>
      </c>
      <c r="V150" s="233" t="str">
        <f t="shared" si="6"/>
        <v/>
      </c>
      <c r="W150" s="241" t="str">
        <f t="shared" si="9"/>
        <v/>
      </c>
      <c r="X150" s="241" t="str">
        <f t="shared" si="10"/>
        <v/>
      </c>
      <c r="Y150" s="241" t="str">
        <f t="shared" si="19"/>
        <v/>
      </c>
      <c r="Z150" s="233" t="str">
        <f t="shared" si="7"/>
        <v/>
      </c>
      <c r="AA150" s="294"/>
      <c r="AB150" s="245"/>
      <c r="AC150" s="242" t="str">
        <f>IF(ISTEXT(AB150),VLOOKUP(AB150,'Cadastro dos Ativos'!$A$2:$C$1000,3,0),"")</f>
        <v/>
      </c>
      <c r="AD150" s="242" t="str">
        <f>IF(AB150 &lt;&gt; "",SUMIFS('Alocação'!$O$3:$O$1002,'Alocação'!$C$3:$C$1002,AB150,'Alocação'!$F$3:$F$1002,AB$9,'Alocação'!$B$3:$B$1002,"&lt;="&amp;$B$6), "")</f>
        <v/>
      </c>
      <c r="AE150" s="243" t="str">
        <f>iferror(IF(AC150="Ações Americanas", HLOOKUP(AB150,'Histórico'!$A$1:$DD$990,MATCH($B$6,'Histórico'!$A:$A),FALSE)*HLOOKUP("PTAX",'Histórico'!$A$1:$FG$983,MATCH($B$6,'Histórico'!$A:$A),FALSE),IF(AC150="Ações Europeias", HLOOKUP(AB150,'Histórico'!$A$1:$DD$990,MATCH($B$6,'Histórico'!$A:$A),FALSE)*HLOOKUP("EUR/BRL",'Histórico'!$A$1:$FG$983,MATCH($B$6,'Histórico'!$A:$A),FALSE),  HLOOKUP(AB150,'Histórico'!$A$1:$DD$990,MATCH($B$6,'Histórico'!$A:$A),FALSE))),"")</f>
        <v/>
      </c>
      <c r="AF150" s="243" t="str">
        <f t="shared" si="15"/>
        <v/>
      </c>
      <c r="AG150" s="53"/>
      <c r="AH150" s="245"/>
      <c r="AI150" s="242" t="str">
        <f>IF(ISTEXT(AH150),VLOOKUP(AH150,'Cadastro dos Ativos'!$A$2:$C$1000,3,0),"")</f>
        <v/>
      </c>
      <c r="AJ150" s="242" t="str">
        <f>IF(AH150 &lt;&gt; "",SUMIFS('Alocação'!$O$3:$O$1002,'Alocação'!$C$3:$C$1002,AH150,'Alocação'!$F$3:$F$1002,AH$9,'Alocação'!$B$3:$B$1002,"&lt;="&amp;$B$6), "")</f>
        <v/>
      </c>
      <c r="AK150" s="243" t="str">
        <f>iferror(IF(AI150="Ações Americanas", HLOOKUP(AH150,'Histórico'!$A$1:$DD$990,MATCH($B$6,'Histórico'!$A:$A),FALSE)*HLOOKUP("PTAX",'Histórico'!$A$1:$FG$983,MATCH($B$6,'Histórico'!$A:$A),FALSE),IF(AI150="Ações Europeias", HLOOKUP(AH150,'Histórico'!$A$1:$DD$990,MATCH($B$6,'Histórico'!$A:$A),FALSE)*HLOOKUP("EUR/BRL",'Histórico'!$A$1:$FG$983,MATCH($B$6,'Histórico'!$A:$A),FALSE),  HLOOKUP(AH150,'Histórico'!$A$1:$DD$990,MATCH($B$6,'Histórico'!$A:$A),FALSE))),"")</f>
        <v/>
      </c>
      <c r="AL150" s="243" t="str">
        <f t="shared" si="11"/>
        <v/>
      </c>
      <c r="AM150" s="53"/>
      <c r="AN150" s="245"/>
      <c r="AO150" s="242" t="str">
        <f>IF(ISTEXT(AN150),VLOOKUP(AN150,'Cadastro dos Ativos'!$A$2:$C$1000,3,0),"")</f>
        <v/>
      </c>
      <c r="AP150" s="242" t="str">
        <f>IF(AN150 &lt;&gt; "",SUMIFS('Alocação'!$O$3:$O$1002,'Alocação'!$C$3:$C$1002,AN150,'Alocação'!$F$3:$F$1002,AN$9,'Alocação'!$B$3:$B$1002,"&lt;="&amp;$B$6), "")</f>
        <v/>
      </c>
      <c r="AQ150" s="243" t="str">
        <f>iferror(IF(AO150="Ações Americanas", HLOOKUP(AN150,'Histórico'!$A$1:$DD$990,MATCH($B$6,'Histórico'!$A:$A),FALSE)*HLOOKUP("PTAX",'Histórico'!$A$1:$FG$983,MATCH($B$6,'Histórico'!$A:$A),FALSE),IF(AO150="Ações Europeias", HLOOKUP(AN150,'Histórico'!$A$1:$DD$990,MATCH($B$6,'Histórico'!$A:$A),FALSE)*HLOOKUP("EUR/BRL",'Histórico'!$A$1:$FG$983,MATCH($B$6,'Histórico'!$A:$A),FALSE),  HLOOKUP(AN150,'Histórico'!$A$1:$DD$990,MATCH($B$6,'Histórico'!$A:$A),FALSE))),"")</f>
        <v/>
      </c>
      <c r="AR150" s="243" t="str">
        <f t="shared" si="12"/>
        <v/>
      </c>
      <c r="AS150" s="53"/>
      <c r="AT150" s="245"/>
      <c r="AU150" s="242" t="str">
        <f>IF(ISTEXT(AT150),VLOOKUP(AT150,'Cadastro dos Ativos'!$A$2:$C$1000,3,0),"")</f>
        <v/>
      </c>
      <c r="AV150" s="242" t="str">
        <f>IF(AT150 &lt;&gt; "",SUMIFS('Alocação'!$O$3:$O$1002,'Alocação'!$C$3:$C$1002,AT150,'Alocação'!$F$3:$F$1002,AT$9,'Alocação'!$B$3:$B$1002,"&lt;="&amp;$B$6), "")</f>
        <v/>
      </c>
      <c r="AW150" s="243" t="str">
        <f>iferror(IF(AU150="Ações Americanas", HLOOKUP(AT150,'Histórico'!$A$1:$DD$990,MATCH($B$6,'Histórico'!$A:$A),FALSE)*HLOOKUP("PTAX",'Histórico'!$A$1:$FG$983,MATCH($B$6,'Histórico'!$A:$A),FALSE),IF(AU150="Ações Europeias", HLOOKUP(AT150,'Histórico'!$A$1:$DD$990,MATCH($B$6,'Histórico'!$A:$A),FALSE)*HLOOKUP("EUR/BRL",'Histórico'!$A$1:$FG$983,MATCH($B$6,'Histórico'!$A:$A),FALSE),  HLOOKUP(AT150,'Histórico'!$A$1:$DD$990,MATCH($B$6,'Histórico'!$A:$A),FALSE))),"")</f>
        <v/>
      </c>
      <c r="AX150" s="243" t="str">
        <f t="shared" si="13"/>
        <v/>
      </c>
      <c r="AY150" s="53"/>
    </row>
    <row r="151" ht="15.75" customHeight="1">
      <c r="A151" s="176"/>
      <c r="B151" s="288">
        <f>Controle!B151</f>
        <v>45209</v>
      </c>
      <c r="C151" s="233" t="str">
        <f>Controle!C151</f>
        <v/>
      </c>
      <c r="D151" s="289" t="str">
        <f>Controle!D151</f>
        <v/>
      </c>
      <c r="E151" s="290"/>
      <c r="F151" s="291" t="str">
        <f>Controle!F151</f>
        <v/>
      </c>
      <c r="G151" s="289" t="str">
        <f>Controle!G151</f>
        <v/>
      </c>
      <c r="H151" s="290"/>
      <c r="I151" s="291" t="str">
        <f>Controle!I151</f>
        <v/>
      </c>
      <c r="J151" s="233" t="str">
        <f>Controle!J151</f>
        <v/>
      </c>
      <c r="K151" s="292"/>
      <c r="L151" s="233" t="str">
        <f>Controle!L151</f>
        <v/>
      </c>
      <c r="M151" s="233" t="str">
        <f>Controle!M151</f>
        <v/>
      </c>
      <c r="N151" s="235" t="str">
        <f>Controle!N151</f>
        <v/>
      </c>
      <c r="O151" s="235" t="str">
        <f>Controle!O151</f>
        <v/>
      </c>
      <c r="P151" s="235" t="str">
        <f>Controle!P151</f>
        <v/>
      </c>
      <c r="Q151" s="235" t="str">
        <f>Controle!Q151</f>
        <v/>
      </c>
      <c r="R151" s="293" t="str">
        <f>Controle!R151</f>
        <v/>
      </c>
      <c r="S151" s="287"/>
      <c r="T151" s="233" t="str">
        <f t="shared" ref="T151:U151" si="154">IF(AND(C151&lt;&gt;"",F151&lt;&gt;"",I151&lt;&gt;""), SUM(I151,F151,C151),"")</f>
        <v/>
      </c>
      <c r="U151" s="233" t="str">
        <f t="shared" si="154"/>
        <v/>
      </c>
      <c r="V151" s="233" t="str">
        <f t="shared" si="6"/>
        <v/>
      </c>
      <c r="W151" s="241" t="str">
        <f t="shared" si="9"/>
        <v/>
      </c>
      <c r="X151" s="241" t="str">
        <f t="shared" si="10"/>
        <v/>
      </c>
      <c r="Y151" s="241" t="str">
        <f t="shared" si="19"/>
        <v/>
      </c>
      <c r="Z151" s="233" t="str">
        <f t="shared" si="7"/>
        <v/>
      </c>
      <c r="AA151" s="294"/>
      <c r="AB151" s="245"/>
      <c r="AC151" s="242" t="str">
        <f>IF(ISTEXT(AB151),VLOOKUP(AB151,'Cadastro dos Ativos'!$A$2:$C$1000,3,0),"")</f>
        <v/>
      </c>
      <c r="AD151" s="242" t="str">
        <f>IF(AB151 &lt;&gt; "",SUMIFS('Alocação'!$O$3:$O$1002,'Alocação'!$C$3:$C$1002,AB151,'Alocação'!$F$3:$F$1002,AB$9,'Alocação'!$B$3:$B$1002,"&lt;="&amp;$B$6), "")</f>
        <v/>
      </c>
      <c r="AE151" s="243" t="str">
        <f>iferror(IF(AC151="Ações Americanas", HLOOKUP(AB151,'Histórico'!$A$1:$DD$990,MATCH($B$6,'Histórico'!$A:$A),FALSE)*HLOOKUP("PTAX",'Histórico'!$A$1:$FG$983,MATCH($B$6,'Histórico'!$A:$A),FALSE),IF(AC151="Ações Europeias", HLOOKUP(AB151,'Histórico'!$A$1:$DD$990,MATCH($B$6,'Histórico'!$A:$A),FALSE)*HLOOKUP("EUR/BRL",'Histórico'!$A$1:$FG$983,MATCH($B$6,'Histórico'!$A:$A),FALSE),  HLOOKUP(AB151,'Histórico'!$A$1:$DD$990,MATCH($B$6,'Histórico'!$A:$A),FALSE))),"")</f>
        <v/>
      </c>
      <c r="AF151" s="243" t="str">
        <f t="shared" si="15"/>
        <v/>
      </c>
      <c r="AG151" s="53"/>
      <c r="AH151" s="245"/>
      <c r="AI151" s="242" t="str">
        <f>IF(ISTEXT(AH151),VLOOKUP(AH151,'Cadastro dos Ativos'!$A$2:$C$1000,3,0),"")</f>
        <v/>
      </c>
      <c r="AJ151" s="242" t="str">
        <f>IF(AH151 &lt;&gt; "",SUMIFS('Alocação'!$O$3:$O$1002,'Alocação'!$C$3:$C$1002,AH151,'Alocação'!$F$3:$F$1002,AH$9,'Alocação'!$B$3:$B$1002,"&lt;="&amp;$B$6), "")</f>
        <v/>
      </c>
      <c r="AK151" s="243" t="str">
        <f>iferror(IF(AI151="Ações Americanas", HLOOKUP(AH151,'Histórico'!$A$1:$DD$990,MATCH($B$6,'Histórico'!$A:$A),FALSE)*HLOOKUP("PTAX",'Histórico'!$A$1:$FG$983,MATCH($B$6,'Histórico'!$A:$A),FALSE),IF(AI151="Ações Europeias", HLOOKUP(AH151,'Histórico'!$A$1:$DD$990,MATCH($B$6,'Histórico'!$A:$A),FALSE)*HLOOKUP("EUR/BRL",'Histórico'!$A$1:$FG$983,MATCH($B$6,'Histórico'!$A:$A),FALSE),  HLOOKUP(AH151,'Histórico'!$A$1:$DD$990,MATCH($B$6,'Histórico'!$A:$A),FALSE))),"")</f>
        <v/>
      </c>
      <c r="AL151" s="243" t="str">
        <f t="shared" si="11"/>
        <v/>
      </c>
      <c r="AM151" s="53"/>
      <c r="AN151" s="245"/>
      <c r="AO151" s="242" t="str">
        <f>IF(ISTEXT(AN151),VLOOKUP(AN151,'Cadastro dos Ativos'!$A$2:$C$1000,3,0),"")</f>
        <v/>
      </c>
      <c r="AP151" s="242" t="str">
        <f>IF(AN151 &lt;&gt; "",SUMIFS('Alocação'!$O$3:$O$1002,'Alocação'!$C$3:$C$1002,AN151,'Alocação'!$F$3:$F$1002,AN$9,'Alocação'!$B$3:$B$1002,"&lt;="&amp;$B$6), "")</f>
        <v/>
      </c>
      <c r="AQ151" s="243" t="str">
        <f>iferror(IF(AO151="Ações Americanas", HLOOKUP(AN151,'Histórico'!$A$1:$DD$990,MATCH($B$6,'Histórico'!$A:$A),FALSE)*HLOOKUP("PTAX",'Histórico'!$A$1:$FG$983,MATCH($B$6,'Histórico'!$A:$A),FALSE),IF(AO151="Ações Europeias", HLOOKUP(AN151,'Histórico'!$A$1:$DD$990,MATCH($B$6,'Histórico'!$A:$A),FALSE)*HLOOKUP("EUR/BRL",'Histórico'!$A$1:$FG$983,MATCH($B$6,'Histórico'!$A:$A),FALSE),  HLOOKUP(AN151,'Histórico'!$A$1:$DD$990,MATCH($B$6,'Histórico'!$A:$A),FALSE))),"")</f>
        <v/>
      </c>
      <c r="AR151" s="243" t="str">
        <f t="shared" si="12"/>
        <v/>
      </c>
      <c r="AS151" s="53"/>
      <c r="AT151" s="245"/>
      <c r="AU151" s="242" t="str">
        <f>IF(ISTEXT(AT151),VLOOKUP(AT151,'Cadastro dos Ativos'!$A$2:$C$1000,3,0),"")</f>
        <v/>
      </c>
      <c r="AV151" s="242" t="str">
        <f>IF(AT151 &lt;&gt; "",SUMIFS('Alocação'!$O$3:$O$1002,'Alocação'!$C$3:$C$1002,AT151,'Alocação'!$F$3:$F$1002,AT$9,'Alocação'!$B$3:$B$1002,"&lt;="&amp;$B$6), "")</f>
        <v/>
      </c>
      <c r="AW151" s="243" t="str">
        <f>iferror(IF(AU151="Ações Americanas", HLOOKUP(AT151,'Histórico'!$A$1:$DD$990,MATCH($B$6,'Histórico'!$A:$A),FALSE)*HLOOKUP("PTAX",'Histórico'!$A$1:$FG$983,MATCH($B$6,'Histórico'!$A:$A),FALSE),IF(AU151="Ações Europeias", HLOOKUP(AT151,'Histórico'!$A$1:$DD$990,MATCH($B$6,'Histórico'!$A:$A),FALSE)*HLOOKUP("EUR/BRL",'Histórico'!$A$1:$FG$983,MATCH($B$6,'Histórico'!$A:$A),FALSE),  HLOOKUP(AT151,'Histórico'!$A$1:$DD$990,MATCH($B$6,'Histórico'!$A:$A),FALSE))),"")</f>
        <v/>
      </c>
      <c r="AX151" s="243" t="str">
        <f t="shared" si="13"/>
        <v/>
      </c>
      <c r="AY151" s="53"/>
    </row>
    <row r="152" ht="15.75" customHeight="1">
      <c r="A152" s="176"/>
      <c r="B152" s="288">
        <f>Controle!B152</f>
        <v>45210</v>
      </c>
      <c r="C152" s="233" t="str">
        <f>Controle!C152</f>
        <v/>
      </c>
      <c r="D152" s="289" t="str">
        <f>Controle!D152</f>
        <v/>
      </c>
      <c r="E152" s="290"/>
      <c r="F152" s="291" t="str">
        <f>Controle!F152</f>
        <v/>
      </c>
      <c r="G152" s="289" t="str">
        <f>Controle!G152</f>
        <v/>
      </c>
      <c r="H152" s="290"/>
      <c r="I152" s="291" t="str">
        <f>Controle!I152</f>
        <v/>
      </c>
      <c r="J152" s="233" t="str">
        <f>Controle!J152</f>
        <v/>
      </c>
      <c r="K152" s="292"/>
      <c r="L152" s="233" t="str">
        <f>Controle!L152</f>
        <v/>
      </c>
      <c r="M152" s="233" t="str">
        <f>Controle!M152</f>
        <v/>
      </c>
      <c r="N152" s="235" t="str">
        <f>Controle!N152</f>
        <v/>
      </c>
      <c r="O152" s="235" t="str">
        <f>Controle!O152</f>
        <v/>
      </c>
      <c r="P152" s="235" t="str">
        <f>Controle!P152</f>
        <v/>
      </c>
      <c r="Q152" s="235" t="str">
        <f>Controle!Q152</f>
        <v/>
      </c>
      <c r="R152" s="293" t="str">
        <f>Controle!R152</f>
        <v/>
      </c>
      <c r="S152" s="287"/>
      <c r="T152" s="233" t="str">
        <f t="shared" ref="T152:U152" si="155">IF(AND(C152&lt;&gt;"",F152&lt;&gt;"",I152&lt;&gt;""), SUM(I152,F152,C152),"")</f>
        <v/>
      </c>
      <c r="U152" s="233" t="str">
        <f t="shared" si="155"/>
        <v/>
      </c>
      <c r="V152" s="233" t="str">
        <f t="shared" si="6"/>
        <v/>
      </c>
      <c r="W152" s="241" t="str">
        <f t="shared" si="9"/>
        <v/>
      </c>
      <c r="X152" s="241" t="str">
        <f t="shared" si="10"/>
        <v/>
      </c>
      <c r="Y152" s="241" t="str">
        <f t="shared" si="19"/>
        <v/>
      </c>
      <c r="Z152" s="233" t="str">
        <f t="shared" si="7"/>
        <v/>
      </c>
      <c r="AA152" s="294"/>
      <c r="AB152" s="245"/>
      <c r="AC152" s="242" t="str">
        <f>IF(ISTEXT(AB152),VLOOKUP(AB152,'Cadastro dos Ativos'!$A$2:$C$1000,3,0),"")</f>
        <v/>
      </c>
      <c r="AD152" s="242" t="str">
        <f>IF(AB152 &lt;&gt; "",SUMIFS('Alocação'!$O$3:$O$1002,'Alocação'!$C$3:$C$1002,AB152,'Alocação'!$F$3:$F$1002,AB$9,'Alocação'!$B$3:$B$1002,"&lt;="&amp;$B$6), "")</f>
        <v/>
      </c>
      <c r="AE152" s="243" t="str">
        <f>iferror(IF(AC152="Ações Americanas", HLOOKUP(AB152,'Histórico'!$A$1:$DD$990,MATCH($B$6,'Histórico'!$A:$A),FALSE)*HLOOKUP("PTAX",'Histórico'!$A$1:$FG$983,MATCH($B$6,'Histórico'!$A:$A),FALSE),IF(AC152="Ações Europeias", HLOOKUP(AB152,'Histórico'!$A$1:$DD$990,MATCH($B$6,'Histórico'!$A:$A),FALSE)*HLOOKUP("EUR/BRL",'Histórico'!$A$1:$FG$983,MATCH($B$6,'Histórico'!$A:$A),FALSE),  HLOOKUP(AB152,'Histórico'!$A$1:$DD$990,MATCH($B$6,'Histórico'!$A:$A),FALSE))),"")</f>
        <v/>
      </c>
      <c r="AF152" s="243" t="str">
        <f t="shared" si="15"/>
        <v/>
      </c>
      <c r="AG152" s="53"/>
      <c r="AH152" s="245"/>
      <c r="AI152" s="242" t="str">
        <f>IF(ISTEXT(AH152),VLOOKUP(AH152,'Cadastro dos Ativos'!$A$2:$C$1000,3,0),"")</f>
        <v/>
      </c>
      <c r="AJ152" s="242" t="str">
        <f>IF(AH152 &lt;&gt; "",SUMIFS('Alocação'!$O$3:$O$1002,'Alocação'!$C$3:$C$1002,AH152,'Alocação'!$F$3:$F$1002,AH$9,'Alocação'!$B$3:$B$1002,"&lt;="&amp;$B$6), "")</f>
        <v/>
      </c>
      <c r="AK152" s="243" t="str">
        <f>iferror(IF(AI152="Ações Americanas", HLOOKUP(AH152,'Histórico'!$A$1:$DD$990,MATCH($B$6,'Histórico'!$A:$A),FALSE)*HLOOKUP("PTAX",'Histórico'!$A$1:$FG$983,MATCH($B$6,'Histórico'!$A:$A),FALSE),IF(AI152="Ações Europeias", HLOOKUP(AH152,'Histórico'!$A$1:$DD$990,MATCH($B$6,'Histórico'!$A:$A),FALSE)*HLOOKUP("EUR/BRL",'Histórico'!$A$1:$FG$983,MATCH($B$6,'Histórico'!$A:$A),FALSE),  HLOOKUP(AH152,'Histórico'!$A$1:$DD$990,MATCH($B$6,'Histórico'!$A:$A),FALSE))),"")</f>
        <v/>
      </c>
      <c r="AL152" s="243" t="str">
        <f t="shared" si="11"/>
        <v/>
      </c>
      <c r="AM152" s="53"/>
      <c r="AN152" s="245"/>
      <c r="AO152" s="242" t="str">
        <f>IF(ISTEXT(AN152),VLOOKUP(AN152,'Cadastro dos Ativos'!$A$2:$C$1000,3,0),"")</f>
        <v/>
      </c>
      <c r="AP152" s="242" t="str">
        <f>IF(AN152 &lt;&gt; "",SUMIFS('Alocação'!$O$3:$O$1002,'Alocação'!$C$3:$C$1002,AN152,'Alocação'!$F$3:$F$1002,AN$9,'Alocação'!$B$3:$B$1002,"&lt;="&amp;$B$6), "")</f>
        <v/>
      </c>
      <c r="AQ152" s="243" t="str">
        <f>iferror(IF(AO152="Ações Americanas", HLOOKUP(AN152,'Histórico'!$A$1:$DD$990,MATCH($B$6,'Histórico'!$A:$A),FALSE)*HLOOKUP("PTAX",'Histórico'!$A$1:$FG$983,MATCH($B$6,'Histórico'!$A:$A),FALSE),IF(AO152="Ações Europeias", HLOOKUP(AN152,'Histórico'!$A$1:$DD$990,MATCH($B$6,'Histórico'!$A:$A),FALSE)*HLOOKUP("EUR/BRL",'Histórico'!$A$1:$FG$983,MATCH($B$6,'Histórico'!$A:$A),FALSE),  HLOOKUP(AN152,'Histórico'!$A$1:$DD$990,MATCH($B$6,'Histórico'!$A:$A),FALSE))),"")</f>
        <v/>
      </c>
      <c r="AR152" s="243" t="str">
        <f t="shared" si="12"/>
        <v/>
      </c>
      <c r="AS152" s="53"/>
      <c r="AT152" s="245"/>
      <c r="AU152" s="242" t="str">
        <f>IF(ISTEXT(AT152),VLOOKUP(AT152,'Cadastro dos Ativos'!$A$2:$C$1000,3,0),"")</f>
        <v/>
      </c>
      <c r="AV152" s="242" t="str">
        <f>IF(AT152 &lt;&gt; "",SUMIFS('Alocação'!$O$3:$O$1002,'Alocação'!$C$3:$C$1002,AT152,'Alocação'!$F$3:$F$1002,AT$9,'Alocação'!$B$3:$B$1002,"&lt;="&amp;$B$6), "")</f>
        <v/>
      </c>
      <c r="AW152" s="243" t="str">
        <f>iferror(IF(AU152="Ações Americanas", HLOOKUP(AT152,'Histórico'!$A$1:$DD$990,MATCH($B$6,'Histórico'!$A:$A),FALSE)*HLOOKUP("PTAX",'Histórico'!$A$1:$FG$983,MATCH($B$6,'Histórico'!$A:$A),FALSE),IF(AU152="Ações Europeias", HLOOKUP(AT152,'Histórico'!$A$1:$DD$990,MATCH($B$6,'Histórico'!$A:$A),FALSE)*HLOOKUP("EUR/BRL",'Histórico'!$A$1:$FG$983,MATCH($B$6,'Histórico'!$A:$A),FALSE),  HLOOKUP(AT152,'Histórico'!$A$1:$DD$990,MATCH($B$6,'Histórico'!$A:$A),FALSE))),"")</f>
        <v/>
      </c>
      <c r="AX152" s="243" t="str">
        <f t="shared" si="13"/>
        <v/>
      </c>
      <c r="AY152" s="53"/>
    </row>
    <row r="153" ht="15.75" customHeight="1">
      <c r="A153" s="176"/>
      <c r="B153" s="288">
        <f>Controle!B153</f>
        <v>45212</v>
      </c>
      <c r="C153" s="233" t="str">
        <f>Controle!C153</f>
        <v/>
      </c>
      <c r="D153" s="289" t="str">
        <f>Controle!D153</f>
        <v/>
      </c>
      <c r="E153" s="290"/>
      <c r="F153" s="291" t="str">
        <f>Controle!F153</f>
        <v/>
      </c>
      <c r="G153" s="289" t="str">
        <f>Controle!G153</f>
        <v/>
      </c>
      <c r="H153" s="290"/>
      <c r="I153" s="291" t="str">
        <f>Controle!I153</f>
        <v/>
      </c>
      <c r="J153" s="233" t="str">
        <f>Controle!J153</f>
        <v/>
      </c>
      <c r="K153" s="292"/>
      <c r="L153" s="233" t="str">
        <f>Controle!L153</f>
        <v/>
      </c>
      <c r="M153" s="233" t="str">
        <f>Controle!M153</f>
        <v/>
      </c>
      <c r="N153" s="235" t="str">
        <f>Controle!N153</f>
        <v/>
      </c>
      <c r="O153" s="235" t="str">
        <f>Controle!O153</f>
        <v/>
      </c>
      <c r="P153" s="235" t="str">
        <f>Controle!P153</f>
        <v/>
      </c>
      <c r="Q153" s="235" t="str">
        <f>Controle!Q153</f>
        <v/>
      </c>
      <c r="R153" s="293" t="str">
        <f>Controle!R153</f>
        <v/>
      </c>
      <c r="S153" s="287"/>
      <c r="T153" s="233" t="str">
        <f t="shared" ref="T153:U153" si="156">IF(AND(C153&lt;&gt;"",F153&lt;&gt;"",I153&lt;&gt;""), SUM(I153,F153,C153),"")</f>
        <v/>
      </c>
      <c r="U153" s="233" t="str">
        <f t="shared" si="156"/>
        <v/>
      </c>
      <c r="V153" s="233" t="str">
        <f t="shared" si="6"/>
        <v/>
      </c>
      <c r="W153" s="241" t="str">
        <f t="shared" si="9"/>
        <v/>
      </c>
      <c r="X153" s="241" t="str">
        <f t="shared" si="10"/>
        <v/>
      </c>
      <c r="Y153" s="241" t="str">
        <f t="shared" si="19"/>
        <v/>
      </c>
      <c r="Z153" s="233" t="str">
        <f t="shared" si="7"/>
        <v/>
      </c>
      <c r="AA153" s="294"/>
      <c r="AB153" s="245"/>
      <c r="AC153" s="242" t="str">
        <f>IF(ISTEXT(AB153),VLOOKUP(AB153,'Cadastro dos Ativos'!$A$2:$C$1000,3,0),"")</f>
        <v/>
      </c>
      <c r="AD153" s="242" t="str">
        <f>IF(AB153 &lt;&gt; "",SUMIFS('Alocação'!$O$3:$O$1002,'Alocação'!$C$3:$C$1002,AB153,'Alocação'!$F$3:$F$1002,AB$9,'Alocação'!$B$3:$B$1002,"&lt;="&amp;$B$6), "")</f>
        <v/>
      </c>
      <c r="AE153" s="243" t="str">
        <f>iferror(IF(AC153="Ações Americanas", HLOOKUP(AB153,'Histórico'!$A$1:$DD$990,MATCH($B$6,'Histórico'!$A:$A),FALSE)*HLOOKUP("PTAX",'Histórico'!$A$1:$FG$983,MATCH($B$6,'Histórico'!$A:$A),FALSE),IF(AC153="Ações Europeias", HLOOKUP(AB153,'Histórico'!$A$1:$DD$990,MATCH($B$6,'Histórico'!$A:$A),FALSE)*HLOOKUP("EUR/BRL",'Histórico'!$A$1:$FG$983,MATCH($B$6,'Histórico'!$A:$A),FALSE),  HLOOKUP(AB153,'Histórico'!$A$1:$DD$990,MATCH($B$6,'Histórico'!$A:$A),FALSE))),"")</f>
        <v/>
      </c>
      <c r="AF153" s="243" t="str">
        <f t="shared" si="15"/>
        <v/>
      </c>
      <c r="AG153" s="53"/>
      <c r="AH153" s="245"/>
      <c r="AI153" s="242" t="str">
        <f>IF(ISTEXT(AH153),VLOOKUP(AH153,'Cadastro dos Ativos'!$A$2:$C$1000,3,0),"")</f>
        <v/>
      </c>
      <c r="AJ153" s="242" t="str">
        <f>IF(AH153 &lt;&gt; "",SUMIFS('Alocação'!$O$3:$O$1002,'Alocação'!$C$3:$C$1002,AH153,'Alocação'!$F$3:$F$1002,AH$9,'Alocação'!$B$3:$B$1002,"&lt;="&amp;$B$6), "")</f>
        <v/>
      </c>
      <c r="AK153" s="243" t="str">
        <f>iferror(IF(AI153="Ações Americanas", HLOOKUP(AH153,'Histórico'!$A$1:$DD$990,MATCH($B$6,'Histórico'!$A:$A),FALSE)*HLOOKUP("PTAX",'Histórico'!$A$1:$FG$983,MATCH($B$6,'Histórico'!$A:$A),FALSE),IF(AI153="Ações Europeias", HLOOKUP(AH153,'Histórico'!$A$1:$DD$990,MATCH($B$6,'Histórico'!$A:$A),FALSE)*HLOOKUP("EUR/BRL",'Histórico'!$A$1:$FG$983,MATCH($B$6,'Histórico'!$A:$A),FALSE),  HLOOKUP(AH153,'Histórico'!$A$1:$DD$990,MATCH($B$6,'Histórico'!$A:$A),FALSE))),"")</f>
        <v/>
      </c>
      <c r="AL153" s="243" t="str">
        <f t="shared" si="11"/>
        <v/>
      </c>
      <c r="AM153" s="53"/>
      <c r="AN153" s="245"/>
      <c r="AO153" s="242" t="str">
        <f>IF(ISTEXT(AN153),VLOOKUP(AN153,'Cadastro dos Ativos'!$A$2:$C$1000,3,0),"")</f>
        <v/>
      </c>
      <c r="AP153" s="242" t="str">
        <f>IF(AN153 &lt;&gt; "",SUMIFS('Alocação'!$O$3:$O$1002,'Alocação'!$C$3:$C$1002,AN153,'Alocação'!$F$3:$F$1002,AN$9,'Alocação'!$B$3:$B$1002,"&lt;="&amp;$B$6), "")</f>
        <v/>
      </c>
      <c r="AQ153" s="243" t="str">
        <f>iferror(IF(AO153="Ações Americanas", HLOOKUP(AN153,'Histórico'!$A$1:$DD$990,MATCH($B$6,'Histórico'!$A:$A),FALSE)*HLOOKUP("PTAX",'Histórico'!$A$1:$FG$983,MATCH($B$6,'Histórico'!$A:$A),FALSE),IF(AO153="Ações Europeias", HLOOKUP(AN153,'Histórico'!$A$1:$DD$990,MATCH($B$6,'Histórico'!$A:$A),FALSE)*HLOOKUP("EUR/BRL",'Histórico'!$A$1:$FG$983,MATCH($B$6,'Histórico'!$A:$A),FALSE),  HLOOKUP(AN153,'Histórico'!$A$1:$DD$990,MATCH($B$6,'Histórico'!$A:$A),FALSE))),"")</f>
        <v/>
      </c>
      <c r="AR153" s="243" t="str">
        <f t="shared" si="12"/>
        <v/>
      </c>
      <c r="AS153" s="53"/>
      <c r="AT153" s="245"/>
      <c r="AU153" s="242" t="str">
        <f>IF(ISTEXT(AT153),VLOOKUP(AT153,'Cadastro dos Ativos'!$A$2:$C$1000,3,0),"")</f>
        <v/>
      </c>
      <c r="AV153" s="242" t="str">
        <f>IF(AT153 &lt;&gt; "",SUMIFS('Alocação'!$O$3:$O$1002,'Alocação'!$C$3:$C$1002,AT153,'Alocação'!$F$3:$F$1002,AT$9,'Alocação'!$B$3:$B$1002,"&lt;="&amp;$B$6), "")</f>
        <v/>
      </c>
      <c r="AW153" s="243" t="str">
        <f>iferror(IF(AU153="Ações Americanas", HLOOKUP(AT153,'Histórico'!$A$1:$DD$990,MATCH($B$6,'Histórico'!$A:$A),FALSE)*HLOOKUP("PTAX",'Histórico'!$A$1:$FG$983,MATCH($B$6,'Histórico'!$A:$A),FALSE),IF(AU153="Ações Europeias", HLOOKUP(AT153,'Histórico'!$A$1:$DD$990,MATCH($B$6,'Histórico'!$A:$A),FALSE)*HLOOKUP("EUR/BRL",'Histórico'!$A$1:$FG$983,MATCH($B$6,'Histórico'!$A:$A),FALSE),  HLOOKUP(AT153,'Histórico'!$A$1:$DD$990,MATCH($B$6,'Histórico'!$A:$A),FALSE))),"")</f>
        <v/>
      </c>
      <c r="AX153" s="243" t="str">
        <f t="shared" si="13"/>
        <v/>
      </c>
      <c r="AY153" s="53"/>
    </row>
    <row r="154" ht="15.75" customHeight="1">
      <c r="A154" s="176"/>
      <c r="B154" s="288">
        <f>Controle!B154</f>
        <v>45215</v>
      </c>
      <c r="C154" s="233" t="str">
        <f>Controle!C154</f>
        <v/>
      </c>
      <c r="D154" s="289" t="str">
        <f>Controle!D154</f>
        <v/>
      </c>
      <c r="E154" s="290"/>
      <c r="F154" s="291" t="str">
        <f>Controle!F154</f>
        <v/>
      </c>
      <c r="G154" s="289" t="str">
        <f>Controle!G154</f>
        <v/>
      </c>
      <c r="H154" s="290"/>
      <c r="I154" s="291" t="str">
        <f>Controle!I154</f>
        <v/>
      </c>
      <c r="J154" s="233" t="str">
        <f>Controle!J154</f>
        <v/>
      </c>
      <c r="K154" s="292"/>
      <c r="L154" s="233" t="str">
        <f>Controle!L154</f>
        <v/>
      </c>
      <c r="M154" s="233" t="str">
        <f>Controle!M154</f>
        <v/>
      </c>
      <c r="N154" s="235" t="str">
        <f>Controle!N154</f>
        <v/>
      </c>
      <c r="O154" s="235" t="str">
        <f>Controle!O154</f>
        <v/>
      </c>
      <c r="P154" s="235" t="str">
        <f>Controle!P154</f>
        <v/>
      </c>
      <c r="Q154" s="235" t="str">
        <f>Controle!Q154</f>
        <v/>
      </c>
      <c r="R154" s="293" t="str">
        <f>Controle!R154</f>
        <v/>
      </c>
      <c r="S154" s="287"/>
      <c r="T154" s="233" t="str">
        <f t="shared" ref="T154:U154" si="157">IF(AND(C154&lt;&gt;"",F154&lt;&gt;"",I154&lt;&gt;""), SUM(I154,F154,C154),"")</f>
        <v/>
      </c>
      <c r="U154" s="233" t="str">
        <f t="shared" si="157"/>
        <v/>
      </c>
      <c r="V154" s="233" t="str">
        <f t="shared" si="6"/>
        <v/>
      </c>
      <c r="W154" s="241" t="str">
        <f t="shared" si="9"/>
        <v/>
      </c>
      <c r="X154" s="241" t="str">
        <f t="shared" si="10"/>
        <v/>
      </c>
      <c r="Y154" s="241" t="str">
        <f t="shared" si="19"/>
        <v/>
      </c>
      <c r="Z154" s="233" t="str">
        <f t="shared" si="7"/>
        <v/>
      </c>
      <c r="AA154" s="294"/>
      <c r="AB154" s="245"/>
      <c r="AC154" s="242" t="str">
        <f>IF(ISTEXT(AB154),VLOOKUP(AB154,'Cadastro dos Ativos'!$A$2:$C$1000,3,0),"")</f>
        <v/>
      </c>
      <c r="AD154" s="242" t="str">
        <f>IF(AB154 &lt;&gt; "",SUMIFS('Alocação'!$O$3:$O$1002,'Alocação'!$C$3:$C$1002,AB154,'Alocação'!$F$3:$F$1002,AB$9,'Alocação'!$B$3:$B$1002,"&lt;="&amp;$B$6), "")</f>
        <v/>
      </c>
      <c r="AE154" s="243" t="str">
        <f>iferror(IF(AC154="Ações Americanas", HLOOKUP(AB154,'Histórico'!$A$1:$DD$990,MATCH($B$6,'Histórico'!$A:$A),FALSE)*HLOOKUP("PTAX",'Histórico'!$A$1:$FG$983,MATCH($B$6,'Histórico'!$A:$A),FALSE),IF(AC154="Ações Europeias", HLOOKUP(AB154,'Histórico'!$A$1:$DD$990,MATCH($B$6,'Histórico'!$A:$A),FALSE)*HLOOKUP("EUR/BRL",'Histórico'!$A$1:$FG$983,MATCH($B$6,'Histórico'!$A:$A),FALSE),  HLOOKUP(AB154,'Histórico'!$A$1:$DD$990,MATCH($B$6,'Histórico'!$A:$A),FALSE))),"")</f>
        <v/>
      </c>
      <c r="AF154" s="243" t="str">
        <f t="shared" si="15"/>
        <v/>
      </c>
      <c r="AG154" s="53"/>
      <c r="AH154" s="245"/>
      <c r="AI154" s="242" t="str">
        <f>IF(ISTEXT(AH154),VLOOKUP(AH154,'Cadastro dos Ativos'!$A$2:$C$1000,3,0),"")</f>
        <v/>
      </c>
      <c r="AJ154" s="242" t="str">
        <f>IF(AH154 &lt;&gt; "",SUMIFS('Alocação'!$O$3:$O$1002,'Alocação'!$C$3:$C$1002,AH154,'Alocação'!$F$3:$F$1002,AH$9,'Alocação'!$B$3:$B$1002,"&lt;="&amp;$B$6), "")</f>
        <v/>
      </c>
      <c r="AK154" s="243" t="str">
        <f>iferror(IF(AI154="Ações Americanas", HLOOKUP(AH154,'Histórico'!$A$1:$DD$990,MATCH($B$6,'Histórico'!$A:$A),FALSE)*HLOOKUP("PTAX",'Histórico'!$A$1:$FG$983,MATCH($B$6,'Histórico'!$A:$A),FALSE),IF(AI154="Ações Europeias", HLOOKUP(AH154,'Histórico'!$A$1:$DD$990,MATCH($B$6,'Histórico'!$A:$A),FALSE)*HLOOKUP("EUR/BRL",'Histórico'!$A$1:$FG$983,MATCH($B$6,'Histórico'!$A:$A),FALSE),  HLOOKUP(AH154,'Histórico'!$A$1:$DD$990,MATCH($B$6,'Histórico'!$A:$A),FALSE))),"")</f>
        <v/>
      </c>
      <c r="AL154" s="243" t="str">
        <f t="shared" si="11"/>
        <v/>
      </c>
      <c r="AM154" s="53"/>
      <c r="AN154" s="245"/>
      <c r="AO154" s="242" t="str">
        <f>IF(ISTEXT(AN154),VLOOKUP(AN154,'Cadastro dos Ativos'!$A$2:$C$1000,3,0),"")</f>
        <v/>
      </c>
      <c r="AP154" s="242" t="str">
        <f>IF(AN154 &lt;&gt; "",SUMIFS('Alocação'!$O$3:$O$1002,'Alocação'!$C$3:$C$1002,AN154,'Alocação'!$F$3:$F$1002,AN$9,'Alocação'!$B$3:$B$1002,"&lt;="&amp;$B$6), "")</f>
        <v/>
      </c>
      <c r="AQ154" s="243" t="str">
        <f>iferror(IF(AO154="Ações Americanas", HLOOKUP(AN154,'Histórico'!$A$1:$DD$990,MATCH($B$6,'Histórico'!$A:$A),FALSE)*HLOOKUP("PTAX",'Histórico'!$A$1:$FG$983,MATCH($B$6,'Histórico'!$A:$A),FALSE),IF(AO154="Ações Europeias", HLOOKUP(AN154,'Histórico'!$A$1:$DD$990,MATCH($B$6,'Histórico'!$A:$A),FALSE)*HLOOKUP("EUR/BRL",'Histórico'!$A$1:$FG$983,MATCH($B$6,'Histórico'!$A:$A),FALSE),  HLOOKUP(AN154,'Histórico'!$A$1:$DD$990,MATCH($B$6,'Histórico'!$A:$A),FALSE))),"")</f>
        <v/>
      </c>
      <c r="AR154" s="243" t="str">
        <f t="shared" si="12"/>
        <v/>
      </c>
      <c r="AS154" s="53"/>
      <c r="AT154" s="245"/>
      <c r="AU154" s="242" t="str">
        <f>IF(ISTEXT(AT154),VLOOKUP(AT154,'Cadastro dos Ativos'!$A$2:$C$1000,3,0),"")</f>
        <v/>
      </c>
      <c r="AV154" s="242" t="str">
        <f>IF(AT154 &lt;&gt; "",SUMIFS('Alocação'!$O$3:$O$1002,'Alocação'!$C$3:$C$1002,AT154,'Alocação'!$F$3:$F$1002,AT$9,'Alocação'!$B$3:$B$1002,"&lt;="&amp;$B$6), "")</f>
        <v/>
      </c>
      <c r="AW154" s="243" t="str">
        <f>iferror(IF(AU154="Ações Americanas", HLOOKUP(AT154,'Histórico'!$A$1:$DD$990,MATCH($B$6,'Histórico'!$A:$A),FALSE)*HLOOKUP("PTAX",'Histórico'!$A$1:$FG$983,MATCH($B$6,'Histórico'!$A:$A),FALSE),IF(AU154="Ações Europeias", HLOOKUP(AT154,'Histórico'!$A$1:$DD$990,MATCH($B$6,'Histórico'!$A:$A),FALSE)*HLOOKUP("EUR/BRL",'Histórico'!$A$1:$FG$983,MATCH($B$6,'Histórico'!$A:$A),FALSE),  HLOOKUP(AT154,'Histórico'!$A$1:$DD$990,MATCH($B$6,'Histórico'!$A:$A),FALSE))),"")</f>
        <v/>
      </c>
      <c r="AX154" s="243" t="str">
        <f t="shared" si="13"/>
        <v/>
      </c>
      <c r="AY154" s="53"/>
    </row>
    <row r="155" ht="15.75" customHeight="1">
      <c r="A155" s="176"/>
      <c r="B155" s="288">
        <f>Controle!B155</f>
        <v>45216</v>
      </c>
      <c r="C155" s="233" t="str">
        <f>Controle!C155</f>
        <v/>
      </c>
      <c r="D155" s="289" t="str">
        <f>Controle!D155</f>
        <v/>
      </c>
      <c r="E155" s="290"/>
      <c r="F155" s="291" t="str">
        <f>Controle!F155</f>
        <v/>
      </c>
      <c r="G155" s="289" t="str">
        <f>Controle!G155</f>
        <v/>
      </c>
      <c r="H155" s="290"/>
      <c r="I155" s="291" t="str">
        <f>Controle!I155</f>
        <v/>
      </c>
      <c r="J155" s="233" t="str">
        <f>Controle!J155</f>
        <v/>
      </c>
      <c r="K155" s="292"/>
      <c r="L155" s="233" t="str">
        <f>Controle!L155</f>
        <v/>
      </c>
      <c r="M155" s="233" t="str">
        <f>Controle!M155</f>
        <v/>
      </c>
      <c r="N155" s="235" t="str">
        <f>Controle!N155</f>
        <v/>
      </c>
      <c r="O155" s="235" t="str">
        <f>Controle!O155</f>
        <v/>
      </c>
      <c r="P155" s="235" t="str">
        <f>Controle!P155</f>
        <v/>
      </c>
      <c r="Q155" s="235" t="str">
        <f>Controle!Q155</f>
        <v/>
      </c>
      <c r="R155" s="293" t="str">
        <f>Controle!R155</f>
        <v/>
      </c>
      <c r="S155" s="287"/>
      <c r="T155" s="233" t="str">
        <f t="shared" ref="T155:U155" si="158">IF(AND(C155&lt;&gt;"",F155&lt;&gt;"",I155&lt;&gt;""), SUM(I155,F155,C155),"")</f>
        <v/>
      </c>
      <c r="U155" s="233" t="str">
        <f t="shared" si="158"/>
        <v/>
      </c>
      <c r="V155" s="233" t="str">
        <f t="shared" si="6"/>
        <v/>
      </c>
      <c r="W155" s="241" t="str">
        <f t="shared" si="9"/>
        <v/>
      </c>
      <c r="X155" s="241" t="str">
        <f t="shared" si="10"/>
        <v/>
      </c>
      <c r="Y155" s="241" t="str">
        <f t="shared" si="19"/>
        <v/>
      </c>
      <c r="Z155" s="233" t="str">
        <f t="shared" si="7"/>
        <v/>
      </c>
      <c r="AA155" s="294"/>
      <c r="AB155" s="245"/>
      <c r="AC155" s="242" t="str">
        <f>IF(ISTEXT(AB155),VLOOKUP(AB155,'Cadastro dos Ativos'!$A$2:$C$1000,3,0),"")</f>
        <v/>
      </c>
      <c r="AD155" s="242" t="str">
        <f>IF(AB155 &lt;&gt; "",SUMIFS('Alocação'!$O$3:$O$1002,'Alocação'!$C$3:$C$1002,AB155,'Alocação'!$F$3:$F$1002,AB$9,'Alocação'!$B$3:$B$1002,"&lt;="&amp;$B$6), "")</f>
        <v/>
      </c>
      <c r="AE155" s="243" t="str">
        <f>iferror(IF(AC155="Ações Americanas", HLOOKUP(AB155,'Histórico'!$A$1:$DD$990,MATCH($B$6,'Histórico'!$A:$A),FALSE)*HLOOKUP("PTAX",'Histórico'!$A$1:$FG$983,MATCH($B$6,'Histórico'!$A:$A),FALSE),IF(AC155="Ações Europeias", HLOOKUP(AB155,'Histórico'!$A$1:$DD$990,MATCH($B$6,'Histórico'!$A:$A),FALSE)*HLOOKUP("EUR/BRL",'Histórico'!$A$1:$FG$983,MATCH($B$6,'Histórico'!$A:$A),FALSE),  HLOOKUP(AB155,'Histórico'!$A$1:$DD$990,MATCH($B$6,'Histórico'!$A:$A),FALSE))),"")</f>
        <v/>
      </c>
      <c r="AF155" s="243" t="str">
        <f t="shared" si="15"/>
        <v/>
      </c>
      <c r="AG155" s="53"/>
      <c r="AH155" s="245"/>
      <c r="AI155" s="242" t="str">
        <f>IF(ISTEXT(AH155),VLOOKUP(AH155,'Cadastro dos Ativos'!$A$2:$C$1000,3,0),"")</f>
        <v/>
      </c>
      <c r="AJ155" s="242" t="str">
        <f>IF(AH155 &lt;&gt; "",SUMIFS('Alocação'!$O$3:$O$1002,'Alocação'!$C$3:$C$1002,AH155,'Alocação'!$F$3:$F$1002,AH$9,'Alocação'!$B$3:$B$1002,"&lt;="&amp;$B$6), "")</f>
        <v/>
      </c>
      <c r="AK155" s="243" t="str">
        <f>iferror(IF(AI155="Ações Americanas", HLOOKUP(AH155,'Histórico'!$A$1:$DD$990,MATCH($B$6,'Histórico'!$A:$A),FALSE)*HLOOKUP("PTAX",'Histórico'!$A$1:$FG$983,MATCH($B$6,'Histórico'!$A:$A),FALSE),IF(AI155="Ações Europeias", HLOOKUP(AH155,'Histórico'!$A$1:$DD$990,MATCH($B$6,'Histórico'!$A:$A),FALSE)*HLOOKUP("EUR/BRL",'Histórico'!$A$1:$FG$983,MATCH($B$6,'Histórico'!$A:$A),FALSE),  HLOOKUP(AH155,'Histórico'!$A$1:$DD$990,MATCH($B$6,'Histórico'!$A:$A),FALSE))),"")</f>
        <v/>
      </c>
      <c r="AL155" s="243" t="str">
        <f t="shared" si="11"/>
        <v/>
      </c>
      <c r="AM155" s="53"/>
      <c r="AN155" s="245"/>
      <c r="AO155" s="242" t="str">
        <f>IF(ISTEXT(AN155),VLOOKUP(AN155,'Cadastro dos Ativos'!$A$2:$C$1000,3,0),"")</f>
        <v/>
      </c>
      <c r="AP155" s="242" t="str">
        <f>IF(AN155 &lt;&gt; "",SUMIFS('Alocação'!$O$3:$O$1002,'Alocação'!$C$3:$C$1002,AN155,'Alocação'!$F$3:$F$1002,AN$9,'Alocação'!$B$3:$B$1002,"&lt;="&amp;$B$6), "")</f>
        <v/>
      </c>
      <c r="AQ155" s="243" t="str">
        <f>iferror(IF(AO155="Ações Americanas", HLOOKUP(AN155,'Histórico'!$A$1:$DD$990,MATCH($B$6,'Histórico'!$A:$A),FALSE)*HLOOKUP("PTAX",'Histórico'!$A$1:$FG$983,MATCH($B$6,'Histórico'!$A:$A),FALSE),IF(AO155="Ações Europeias", HLOOKUP(AN155,'Histórico'!$A$1:$DD$990,MATCH($B$6,'Histórico'!$A:$A),FALSE)*HLOOKUP("EUR/BRL",'Histórico'!$A$1:$FG$983,MATCH($B$6,'Histórico'!$A:$A),FALSE),  HLOOKUP(AN155,'Histórico'!$A$1:$DD$990,MATCH($B$6,'Histórico'!$A:$A),FALSE))),"")</f>
        <v/>
      </c>
      <c r="AR155" s="243" t="str">
        <f t="shared" si="12"/>
        <v/>
      </c>
      <c r="AS155" s="53"/>
      <c r="AT155" s="245"/>
      <c r="AU155" s="242" t="str">
        <f>IF(ISTEXT(AT155),VLOOKUP(AT155,'Cadastro dos Ativos'!$A$2:$C$1000,3,0),"")</f>
        <v/>
      </c>
      <c r="AV155" s="242" t="str">
        <f>IF(AT155 &lt;&gt; "",SUMIFS('Alocação'!$O$3:$O$1002,'Alocação'!$C$3:$C$1002,AT155,'Alocação'!$F$3:$F$1002,AT$9,'Alocação'!$B$3:$B$1002,"&lt;="&amp;$B$6), "")</f>
        <v/>
      </c>
      <c r="AW155" s="243" t="str">
        <f>iferror(IF(AU155="Ações Americanas", HLOOKUP(AT155,'Histórico'!$A$1:$DD$990,MATCH($B$6,'Histórico'!$A:$A),FALSE)*HLOOKUP("PTAX",'Histórico'!$A$1:$FG$983,MATCH($B$6,'Histórico'!$A:$A),FALSE),IF(AU155="Ações Europeias", HLOOKUP(AT155,'Histórico'!$A$1:$DD$990,MATCH($B$6,'Histórico'!$A:$A),FALSE)*HLOOKUP("EUR/BRL",'Histórico'!$A$1:$FG$983,MATCH($B$6,'Histórico'!$A:$A),FALSE),  HLOOKUP(AT155,'Histórico'!$A$1:$DD$990,MATCH($B$6,'Histórico'!$A:$A),FALSE))),"")</f>
        <v/>
      </c>
      <c r="AX155" s="243" t="str">
        <f t="shared" si="13"/>
        <v/>
      </c>
      <c r="AY155" s="53"/>
    </row>
    <row r="156" ht="15.75" customHeight="1">
      <c r="A156" s="176"/>
      <c r="B156" s="288">
        <f>Controle!B156</f>
        <v>45217</v>
      </c>
      <c r="C156" s="233" t="str">
        <f>Controle!C156</f>
        <v/>
      </c>
      <c r="D156" s="289" t="str">
        <f>Controle!D156</f>
        <v/>
      </c>
      <c r="E156" s="290"/>
      <c r="F156" s="291" t="str">
        <f>Controle!F156</f>
        <v/>
      </c>
      <c r="G156" s="289" t="str">
        <f>Controle!G156</f>
        <v/>
      </c>
      <c r="H156" s="290"/>
      <c r="I156" s="291" t="str">
        <f>Controle!I156</f>
        <v/>
      </c>
      <c r="J156" s="233" t="str">
        <f>Controle!J156</f>
        <v/>
      </c>
      <c r="K156" s="292"/>
      <c r="L156" s="233" t="str">
        <f>Controle!L156</f>
        <v/>
      </c>
      <c r="M156" s="233" t="str">
        <f>Controle!M156</f>
        <v/>
      </c>
      <c r="N156" s="235" t="str">
        <f>Controle!N156</f>
        <v/>
      </c>
      <c r="O156" s="235" t="str">
        <f>Controle!O156</f>
        <v/>
      </c>
      <c r="P156" s="235" t="str">
        <f>Controle!P156</f>
        <v/>
      </c>
      <c r="Q156" s="235" t="str">
        <f>Controle!Q156</f>
        <v/>
      </c>
      <c r="R156" s="293" t="str">
        <f>Controle!R156</f>
        <v/>
      </c>
      <c r="S156" s="287"/>
      <c r="T156" s="233" t="str">
        <f t="shared" ref="T156:U156" si="159">IF(AND(C156&lt;&gt;"",F156&lt;&gt;"",I156&lt;&gt;""), SUM(I156,F156,C156),"")</f>
        <v/>
      </c>
      <c r="U156" s="233" t="str">
        <f t="shared" si="159"/>
        <v/>
      </c>
      <c r="V156" s="233" t="str">
        <f t="shared" si="6"/>
        <v/>
      </c>
      <c r="W156" s="241" t="str">
        <f t="shared" si="9"/>
        <v/>
      </c>
      <c r="X156" s="241" t="str">
        <f t="shared" si="10"/>
        <v/>
      </c>
      <c r="Y156" s="241" t="str">
        <f t="shared" si="19"/>
        <v/>
      </c>
      <c r="Z156" s="233" t="str">
        <f t="shared" si="7"/>
        <v/>
      </c>
      <c r="AA156" s="294"/>
      <c r="AB156" s="245"/>
      <c r="AC156" s="242" t="str">
        <f>IF(ISTEXT(AB156),VLOOKUP(AB156,'Cadastro dos Ativos'!$A$2:$C$1000,3,0),"")</f>
        <v/>
      </c>
      <c r="AD156" s="242" t="str">
        <f>IF(AB156 &lt;&gt; "",SUMIFS('Alocação'!$O$3:$O$1002,'Alocação'!$C$3:$C$1002,AB156,'Alocação'!$F$3:$F$1002,AB$9,'Alocação'!$B$3:$B$1002,"&lt;="&amp;$B$6), "")</f>
        <v/>
      </c>
      <c r="AE156" s="243" t="str">
        <f>iferror(IF(AC156="Ações Americanas", HLOOKUP(AB156,'Histórico'!$A$1:$DD$990,MATCH($B$6,'Histórico'!$A:$A),FALSE)*HLOOKUP("PTAX",'Histórico'!$A$1:$FG$983,MATCH($B$6,'Histórico'!$A:$A),FALSE),IF(AC156="Ações Europeias", HLOOKUP(AB156,'Histórico'!$A$1:$DD$990,MATCH($B$6,'Histórico'!$A:$A),FALSE)*HLOOKUP("EUR/BRL",'Histórico'!$A$1:$FG$983,MATCH($B$6,'Histórico'!$A:$A),FALSE),  HLOOKUP(AB156,'Histórico'!$A$1:$DD$990,MATCH($B$6,'Histórico'!$A:$A),FALSE))),"")</f>
        <v/>
      </c>
      <c r="AF156" s="243" t="str">
        <f t="shared" si="15"/>
        <v/>
      </c>
      <c r="AG156" s="53"/>
      <c r="AH156" s="245"/>
      <c r="AI156" s="242" t="str">
        <f>IF(ISTEXT(AH156),VLOOKUP(AH156,'Cadastro dos Ativos'!$A$2:$C$1000,3,0),"")</f>
        <v/>
      </c>
      <c r="AJ156" s="242" t="str">
        <f>IF(AH156 &lt;&gt; "",SUMIFS('Alocação'!$O$3:$O$1002,'Alocação'!$C$3:$C$1002,AH156,'Alocação'!$F$3:$F$1002,AH$9,'Alocação'!$B$3:$B$1002,"&lt;="&amp;$B$6), "")</f>
        <v/>
      </c>
      <c r="AK156" s="243" t="str">
        <f>iferror(IF(AI156="Ações Americanas", HLOOKUP(AH156,'Histórico'!$A$1:$DD$990,MATCH($B$6,'Histórico'!$A:$A),FALSE)*HLOOKUP("PTAX",'Histórico'!$A$1:$FG$983,MATCH($B$6,'Histórico'!$A:$A),FALSE),IF(AI156="Ações Europeias", HLOOKUP(AH156,'Histórico'!$A$1:$DD$990,MATCH($B$6,'Histórico'!$A:$A),FALSE)*HLOOKUP("EUR/BRL",'Histórico'!$A$1:$FG$983,MATCH($B$6,'Histórico'!$A:$A),FALSE),  HLOOKUP(AH156,'Histórico'!$A$1:$DD$990,MATCH($B$6,'Histórico'!$A:$A),FALSE))),"")</f>
        <v/>
      </c>
      <c r="AL156" s="243" t="str">
        <f t="shared" si="11"/>
        <v/>
      </c>
      <c r="AM156" s="53"/>
      <c r="AN156" s="245"/>
      <c r="AO156" s="242" t="str">
        <f>IF(ISTEXT(AN156),VLOOKUP(AN156,'Cadastro dos Ativos'!$A$2:$C$1000,3,0),"")</f>
        <v/>
      </c>
      <c r="AP156" s="242" t="str">
        <f>IF(AN156 &lt;&gt; "",SUMIFS('Alocação'!$O$3:$O$1002,'Alocação'!$C$3:$C$1002,AN156,'Alocação'!$F$3:$F$1002,AN$9,'Alocação'!$B$3:$B$1002,"&lt;="&amp;$B$6), "")</f>
        <v/>
      </c>
      <c r="AQ156" s="243" t="str">
        <f>iferror(IF(AO156="Ações Americanas", HLOOKUP(AN156,'Histórico'!$A$1:$DD$990,MATCH($B$6,'Histórico'!$A:$A),FALSE)*HLOOKUP("PTAX",'Histórico'!$A$1:$FG$983,MATCH($B$6,'Histórico'!$A:$A),FALSE),IF(AO156="Ações Europeias", HLOOKUP(AN156,'Histórico'!$A$1:$DD$990,MATCH($B$6,'Histórico'!$A:$A),FALSE)*HLOOKUP("EUR/BRL",'Histórico'!$A$1:$FG$983,MATCH($B$6,'Histórico'!$A:$A),FALSE),  HLOOKUP(AN156,'Histórico'!$A$1:$DD$990,MATCH($B$6,'Histórico'!$A:$A),FALSE))),"")</f>
        <v/>
      </c>
      <c r="AR156" s="243" t="str">
        <f t="shared" si="12"/>
        <v/>
      </c>
      <c r="AS156" s="53"/>
      <c r="AT156" s="245"/>
      <c r="AU156" s="242" t="str">
        <f>IF(ISTEXT(AT156),VLOOKUP(AT156,'Cadastro dos Ativos'!$A$2:$C$1000,3,0),"")</f>
        <v/>
      </c>
      <c r="AV156" s="242" t="str">
        <f>IF(AT156 &lt;&gt; "",SUMIFS('Alocação'!$O$3:$O$1002,'Alocação'!$C$3:$C$1002,AT156,'Alocação'!$F$3:$F$1002,AT$9,'Alocação'!$B$3:$B$1002,"&lt;="&amp;$B$6), "")</f>
        <v/>
      </c>
      <c r="AW156" s="243" t="str">
        <f>iferror(IF(AU156="Ações Americanas", HLOOKUP(AT156,'Histórico'!$A$1:$DD$990,MATCH($B$6,'Histórico'!$A:$A),FALSE)*HLOOKUP("PTAX",'Histórico'!$A$1:$FG$983,MATCH($B$6,'Histórico'!$A:$A),FALSE),IF(AU156="Ações Europeias", HLOOKUP(AT156,'Histórico'!$A$1:$DD$990,MATCH($B$6,'Histórico'!$A:$A),FALSE)*HLOOKUP("EUR/BRL",'Histórico'!$A$1:$FG$983,MATCH($B$6,'Histórico'!$A:$A),FALSE),  HLOOKUP(AT156,'Histórico'!$A$1:$DD$990,MATCH($B$6,'Histórico'!$A:$A),FALSE))),"")</f>
        <v/>
      </c>
      <c r="AX156" s="243" t="str">
        <f t="shared" si="13"/>
        <v/>
      </c>
      <c r="AY156" s="53"/>
    </row>
    <row r="157" ht="15.75" customHeight="1">
      <c r="A157" s="176"/>
      <c r="B157" s="288">
        <f>Controle!B157</f>
        <v>45218</v>
      </c>
      <c r="C157" s="233" t="str">
        <f>Controle!C157</f>
        <v/>
      </c>
      <c r="D157" s="289" t="str">
        <f>Controle!D157</f>
        <v/>
      </c>
      <c r="E157" s="290"/>
      <c r="F157" s="291" t="str">
        <f>Controle!F157</f>
        <v/>
      </c>
      <c r="G157" s="289" t="str">
        <f>Controle!G157</f>
        <v/>
      </c>
      <c r="H157" s="290"/>
      <c r="I157" s="291" t="str">
        <f>Controle!I157</f>
        <v/>
      </c>
      <c r="J157" s="233" t="str">
        <f>Controle!J157</f>
        <v/>
      </c>
      <c r="K157" s="292"/>
      <c r="L157" s="233" t="str">
        <f>Controle!L157</f>
        <v/>
      </c>
      <c r="M157" s="233" t="str">
        <f>Controle!M157</f>
        <v/>
      </c>
      <c r="N157" s="235" t="str">
        <f>Controle!N157</f>
        <v/>
      </c>
      <c r="O157" s="235" t="str">
        <f>Controle!O157</f>
        <v/>
      </c>
      <c r="P157" s="235" t="str">
        <f>Controle!P157</f>
        <v/>
      </c>
      <c r="Q157" s="235" t="str">
        <f>Controle!Q157</f>
        <v/>
      </c>
      <c r="R157" s="293" t="str">
        <f>Controle!R157</f>
        <v/>
      </c>
      <c r="S157" s="287"/>
      <c r="T157" s="233" t="str">
        <f t="shared" ref="T157:U157" si="160">IF(AND(C157&lt;&gt;"",F157&lt;&gt;"",I157&lt;&gt;""), SUM(I157,F157,C157),"")</f>
        <v/>
      </c>
      <c r="U157" s="233" t="str">
        <f t="shared" si="160"/>
        <v/>
      </c>
      <c r="V157" s="233" t="str">
        <f t="shared" si="6"/>
        <v/>
      </c>
      <c r="W157" s="241" t="str">
        <f t="shared" si="9"/>
        <v/>
      </c>
      <c r="X157" s="241" t="str">
        <f t="shared" si="10"/>
        <v/>
      </c>
      <c r="Y157" s="241" t="str">
        <f t="shared" si="19"/>
        <v/>
      </c>
      <c r="Z157" s="233" t="str">
        <f t="shared" si="7"/>
        <v/>
      </c>
      <c r="AA157" s="294"/>
      <c r="AB157" s="245"/>
      <c r="AC157" s="242" t="str">
        <f>IF(ISTEXT(AB157),VLOOKUP(AB157,'Cadastro dos Ativos'!$A$2:$C$1000,3,0),"")</f>
        <v/>
      </c>
      <c r="AD157" s="242" t="str">
        <f>IF(AB157 &lt;&gt; "",SUMIFS('Alocação'!$O$3:$O$1002,'Alocação'!$C$3:$C$1002,AB157,'Alocação'!$F$3:$F$1002,AB$9,'Alocação'!$B$3:$B$1002,"&lt;="&amp;$B$6), "")</f>
        <v/>
      </c>
      <c r="AE157" s="243" t="str">
        <f>iferror(IF(AC157="Ações Americanas", HLOOKUP(AB157,'Histórico'!$A$1:$DD$990,MATCH($B$6,'Histórico'!$A:$A),FALSE)*HLOOKUP("PTAX",'Histórico'!$A$1:$FG$983,MATCH($B$6,'Histórico'!$A:$A),FALSE),IF(AC157="Ações Europeias", HLOOKUP(AB157,'Histórico'!$A$1:$DD$990,MATCH($B$6,'Histórico'!$A:$A),FALSE)*HLOOKUP("EUR/BRL",'Histórico'!$A$1:$FG$983,MATCH($B$6,'Histórico'!$A:$A),FALSE),  HLOOKUP(AB157,'Histórico'!$A$1:$DD$990,MATCH($B$6,'Histórico'!$A:$A),FALSE))),"")</f>
        <v/>
      </c>
      <c r="AF157" s="243" t="str">
        <f t="shared" si="15"/>
        <v/>
      </c>
      <c r="AG157" s="53"/>
      <c r="AH157" s="245"/>
      <c r="AI157" s="242" t="str">
        <f>IF(ISTEXT(AH157),VLOOKUP(AH157,'Cadastro dos Ativos'!$A$2:$C$1000,3,0),"")</f>
        <v/>
      </c>
      <c r="AJ157" s="242" t="str">
        <f>IF(AH157 &lt;&gt; "",SUMIFS('Alocação'!$O$3:$O$1002,'Alocação'!$C$3:$C$1002,AH157,'Alocação'!$F$3:$F$1002,AH$9,'Alocação'!$B$3:$B$1002,"&lt;="&amp;$B$6), "")</f>
        <v/>
      </c>
      <c r="AK157" s="243" t="str">
        <f>iferror(IF(AI157="Ações Americanas", HLOOKUP(AH157,'Histórico'!$A$1:$DD$990,MATCH($B$6,'Histórico'!$A:$A),FALSE)*HLOOKUP("PTAX",'Histórico'!$A$1:$FG$983,MATCH($B$6,'Histórico'!$A:$A),FALSE),IF(AI157="Ações Europeias", HLOOKUP(AH157,'Histórico'!$A$1:$DD$990,MATCH($B$6,'Histórico'!$A:$A),FALSE)*HLOOKUP("EUR/BRL",'Histórico'!$A$1:$FG$983,MATCH($B$6,'Histórico'!$A:$A),FALSE),  HLOOKUP(AH157,'Histórico'!$A$1:$DD$990,MATCH($B$6,'Histórico'!$A:$A),FALSE))),"")</f>
        <v/>
      </c>
      <c r="AL157" s="243" t="str">
        <f t="shared" si="11"/>
        <v/>
      </c>
      <c r="AM157" s="53"/>
      <c r="AN157" s="245"/>
      <c r="AO157" s="242" t="str">
        <f>IF(ISTEXT(AN157),VLOOKUP(AN157,'Cadastro dos Ativos'!$A$2:$C$1000,3,0),"")</f>
        <v/>
      </c>
      <c r="AP157" s="242" t="str">
        <f>IF(AN157 &lt;&gt; "",SUMIFS('Alocação'!$O$3:$O$1002,'Alocação'!$C$3:$C$1002,AN157,'Alocação'!$F$3:$F$1002,AN$9,'Alocação'!$B$3:$B$1002,"&lt;="&amp;$B$6), "")</f>
        <v/>
      </c>
      <c r="AQ157" s="243" t="str">
        <f>iferror(IF(AO157="Ações Americanas", HLOOKUP(AN157,'Histórico'!$A$1:$DD$990,MATCH($B$6,'Histórico'!$A:$A),FALSE)*HLOOKUP("PTAX",'Histórico'!$A$1:$FG$983,MATCH($B$6,'Histórico'!$A:$A),FALSE),IF(AO157="Ações Europeias", HLOOKUP(AN157,'Histórico'!$A$1:$DD$990,MATCH($B$6,'Histórico'!$A:$A),FALSE)*HLOOKUP("EUR/BRL",'Histórico'!$A$1:$FG$983,MATCH($B$6,'Histórico'!$A:$A),FALSE),  HLOOKUP(AN157,'Histórico'!$A$1:$DD$990,MATCH($B$6,'Histórico'!$A:$A),FALSE))),"")</f>
        <v/>
      </c>
      <c r="AR157" s="243" t="str">
        <f t="shared" si="12"/>
        <v/>
      </c>
      <c r="AS157" s="53"/>
      <c r="AT157" s="245"/>
      <c r="AU157" s="242" t="str">
        <f>IF(ISTEXT(AT157),VLOOKUP(AT157,'Cadastro dos Ativos'!$A$2:$C$1000,3,0),"")</f>
        <v/>
      </c>
      <c r="AV157" s="242" t="str">
        <f>IF(AT157 &lt;&gt; "",SUMIFS('Alocação'!$O$3:$O$1002,'Alocação'!$C$3:$C$1002,AT157,'Alocação'!$F$3:$F$1002,AT$9,'Alocação'!$B$3:$B$1002,"&lt;="&amp;$B$6), "")</f>
        <v/>
      </c>
      <c r="AW157" s="243" t="str">
        <f>iferror(IF(AU157="Ações Americanas", HLOOKUP(AT157,'Histórico'!$A$1:$DD$990,MATCH($B$6,'Histórico'!$A:$A),FALSE)*HLOOKUP("PTAX",'Histórico'!$A$1:$FG$983,MATCH($B$6,'Histórico'!$A:$A),FALSE),IF(AU157="Ações Europeias", HLOOKUP(AT157,'Histórico'!$A$1:$DD$990,MATCH($B$6,'Histórico'!$A:$A),FALSE)*HLOOKUP("EUR/BRL",'Histórico'!$A$1:$FG$983,MATCH($B$6,'Histórico'!$A:$A),FALSE),  HLOOKUP(AT157,'Histórico'!$A$1:$DD$990,MATCH($B$6,'Histórico'!$A:$A),FALSE))),"")</f>
        <v/>
      </c>
      <c r="AX157" s="243" t="str">
        <f t="shared" si="13"/>
        <v/>
      </c>
      <c r="AY157" s="53"/>
    </row>
    <row r="158" ht="15.75" customHeight="1">
      <c r="A158" s="176"/>
      <c r="B158" s="288">
        <f>Controle!B158</f>
        <v>45219</v>
      </c>
      <c r="C158" s="233" t="str">
        <f>Controle!C158</f>
        <v/>
      </c>
      <c r="D158" s="289" t="str">
        <f>Controle!D158</f>
        <v/>
      </c>
      <c r="E158" s="290"/>
      <c r="F158" s="291" t="str">
        <f>Controle!F158</f>
        <v/>
      </c>
      <c r="G158" s="289" t="str">
        <f>Controle!G158</f>
        <v/>
      </c>
      <c r="H158" s="290"/>
      <c r="I158" s="291" t="str">
        <f>Controle!I158</f>
        <v/>
      </c>
      <c r="J158" s="233" t="str">
        <f>Controle!J158</f>
        <v/>
      </c>
      <c r="K158" s="292"/>
      <c r="L158" s="233" t="str">
        <f>Controle!L158</f>
        <v/>
      </c>
      <c r="M158" s="233" t="str">
        <f>Controle!M158</f>
        <v/>
      </c>
      <c r="N158" s="235" t="str">
        <f>Controle!N158</f>
        <v/>
      </c>
      <c r="O158" s="235" t="str">
        <f>Controle!O158</f>
        <v/>
      </c>
      <c r="P158" s="235" t="str">
        <f>Controle!P158</f>
        <v/>
      </c>
      <c r="Q158" s="235" t="str">
        <f>Controle!Q158</f>
        <v/>
      </c>
      <c r="R158" s="293" t="str">
        <f>Controle!R158</f>
        <v/>
      </c>
      <c r="S158" s="287"/>
      <c r="T158" s="233" t="str">
        <f t="shared" ref="T158:U158" si="161">IF(AND(C158&lt;&gt;"",F158&lt;&gt;"",I158&lt;&gt;""), SUM(I158,F158,C158),"")</f>
        <v/>
      </c>
      <c r="U158" s="233" t="str">
        <f t="shared" si="161"/>
        <v/>
      </c>
      <c r="V158" s="233" t="str">
        <f t="shared" si="6"/>
        <v/>
      </c>
      <c r="W158" s="241" t="str">
        <f t="shared" si="9"/>
        <v/>
      </c>
      <c r="X158" s="241" t="str">
        <f t="shared" si="10"/>
        <v/>
      </c>
      <c r="Y158" s="241" t="str">
        <f t="shared" si="19"/>
        <v/>
      </c>
      <c r="Z158" s="233" t="str">
        <f t="shared" si="7"/>
        <v/>
      </c>
      <c r="AA158" s="294"/>
      <c r="AB158" s="245"/>
      <c r="AC158" s="242" t="str">
        <f>IF(ISTEXT(AB158),VLOOKUP(AB158,'Cadastro dos Ativos'!$A$2:$C$1000,3,0),"")</f>
        <v/>
      </c>
      <c r="AD158" s="242" t="str">
        <f>IF(AB158 &lt;&gt; "",SUMIFS('Alocação'!$O$3:$O$1002,'Alocação'!$C$3:$C$1002,AB158,'Alocação'!$F$3:$F$1002,AB$9,'Alocação'!$B$3:$B$1002,"&lt;="&amp;$B$6), "")</f>
        <v/>
      </c>
      <c r="AE158" s="243" t="str">
        <f>iferror(IF(AC158="Ações Americanas", HLOOKUP(AB158,'Histórico'!$A$1:$DD$990,MATCH($B$6,'Histórico'!$A:$A),FALSE)*HLOOKUP("PTAX",'Histórico'!$A$1:$FG$983,MATCH($B$6,'Histórico'!$A:$A),FALSE),IF(AC158="Ações Europeias", HLOOKUP(AB158,'Histórico'!$A$1:$DD$990,MATCH($B$6,'Histórico'!$A:$A),FALSE)*HLOOKUP("EUR/BRL",'Histórico'!$A$1:$FG$983,MATCH($B$6,'Histórico'!$A:$A),FALSE),  HLOOKUP(AB158,'Histórico'!$A$1:$DD$990,MATCH($B$6,'Histórico'!$A:$A),FALSE))),"")</f>
        <v/>
      </c>
      <c r="AF158" s="243" t="str">
        <f t="shared" si="15"/>
        <v/>
      </c>
      <c r="AG158" s="53"/>
      <c r="AH158" s="245"/>
      <c r="AI158" s="242" t="str">
        <f>IF(ISTEXT(AH158),VLOOKUP(AH158,'Cadastro dos Ativos'!$A$2:$C$1000,3,0),"")</f>
        <v/>
      </c>
      <c r="AJ158" s="242" t="str">
        <f>IF(AH158 &lt;&gt; "",SUMIFS('Alocação'!$O$3:$O$1002,'Alocação'!$C$3:$C$1002,AH158,'Alocação'!$F$3:$F$1002,AH$9,'Alocação'!$B$3:$B$1002,"&lt;="&amp;$B$6), "")</f>
        <v/>
      </c>
      <c r="AK158" s="243" t="str">
        <f>iferror(IF(AI158="Ações Americanas", HLOOKUP(AH158,'Histórico'!$A$1:$DD$990,MATCH($B$6,'Histórico'!$A:$A),FALSE)*HLOOKUP("PTAX",'Histórico'!$A$1:$FG$983,MATCH($B$6,'Histórico'!$A:$A),FALSE),IF(AI158="Ações Europeias", HLOOKUP(AH158,'Histórico'!$A$1:$DD$990,MATCH($B$6,'Histórico'!$A:$A),FALSE)*HLOOKUP("EUR/BRL",'Histórico'!$A$1:$FG$983,MATCH($B$6,'Histórico'!$A:$A),FALSE),  HLOOKUP(AH158,'Histórico'!$A$1:$DD$990,MATCH($B$6,'Histórico'!$A:$A),FALSE))),"")</f>
        <v/>
      </c>
      <c r="AL158" s="243" t="str">
        <f t="shared" si="11"/>
        <v/>
      </c>
      <c r="AM158" s="53"/>
      <c r="AN158" s="245"/>
      <c r="AO158" s="242" t="str">
        <f>IF(ISTEXT(AN158),VLOOKUP(AN158,'Cadastro dos Ativos'!$A$2:$C$1000,3,0),"")</f>
        <v/>
      </c>
      <c r="AP158" s="242" t="str">
        <f>IF(AN158 &lt;&gt; "",SUMIFS('Alocação'!$O$3:$O$1002,'Alocação'!$C$3:$C$1002,AN158,'Alocação'!$F$3:$F$1002,AN$9,'Alocação'!$B$3:$B$1002,"&lt;="&amp;$B$6), "")</f>
        <v/>
      </c>
      <c r="AQ158" s="243" t="str">
        <f>iferror(IF(AO158="Ações Americanas", HLOOKUP(AN158,'Histórico'!$A$1:$DD$990,MATCH($B$6,'Histórico'!$A:$A),FALSE)*HLOOKUP("PTAX",'Histórico'!$A$1:$FG$983,MATCH($B$6,'Histórico'!$A:$A),FALSE),IF(AO158="Ações Europeias", HLOOKUP(AN158,'Histórico'!$A$1:$DD$990,MATCH($B$6,'Histórico'!$A:$A),FALSE)*HLOOKUP("EUR/BRL",'Histórico'!$A$1:$FG$983,MATCH($B$6,'Histórico'!$A:$A),FALSE),  HLOOKUP(AN158,'Histórico'!$A$1:$DD$990,MATCH($B$6,'Histórico'!$A:$A),FALSE))),"")</f>
        <v/>
      </c>
      <c r="AR158" s="243" t="str">
        <f t="shared" si="12"/>
        <v/>
      </c>
      <c r="AS158" s="53"/>
      <c r="AT158" s="245"/>
      <c r="AU158" s="242" t="str">
        <f>IF(ISTEXT(AT158),VLOOKUP(AT158,'Cadastro dos Ativos'!$A$2:$C$1000,3,0),"")</f>
        <v/>
      </c>
      <c r="AV158" s="242" t="str">
        <f>IF(AT158 &lt;&gt; "",SUMIFS('Alocação'!$O$3:$O$1002,'Alocação'!$C$3:$C$1002,AT158,'Alocação'!$F$3:$F$1002,AT$9,'Alocação'!$B$3:$B$1002,"&lt;="&amp;$B$6), "")</f>
        <v/>
      </c>
      <c r="AW158" s="243" t="str">
        <f>iferror(IF(AU158="Ações Americanas", HLOOKUP(AT158,'Histórico'!$A$1:$DD$990,MATCH($B$6,'Histórico'!$A:$A),FALSE)*HLOOKUP("PTAX",'Histórico'!$A$1:$FG$983,MATCH($B$6,'Histórico'!$A:$A),FALSE),IF(AU158="Ações Europeias", HLOOKUP(AT158,'Histórico'!$A$1:$DD$990,MATCH($B$6,'Histórico'!$A:$A),FALSE)*HLOOKUP("EUR/BRL",'Histórico'!$A$1:$FG$983,MATCH($B$6,'Histórico'!$A:$A),FALSE),  HLOOKUP(AT158,'Histórico'!$A$1:$DD$990,MATCH($B$6,'Histórico'!$A:$A),FALSE))),"")</f>
        <v/>
      </c>
      <c r="AX158" s="243" t="str">
        <f t="shared" si="13"/>
        <v/>
      </c>
      <c r="AY158" s="53"/>
    </row>
    <row r="159" ht="15.75" customHeight="1">
      <c r="A159" s="176"/>
      <c r="B159" s="288">
        <f>Controle!B159</f>
        <v>45222</v>
      </c>
      <c r="C159" s="233" t="str">
        <f>Controle!C159</f>
        <v/>
      </c>
      <c r="D159" s="289" t="str">
        <f>Controle!D159</f>
        <v/>
      </c>
      <c r="E159" s="290"/>
      <c r="F159" s="291" t="str">
        <f>Controle!F159</f>
        <v/>
      </c>
      <c r="G159" s="289" t="str">
        <f>Controle!G159</f>
        <v/>
      </c>
      <c r="H159" s="290"/>
      <c r="I159" s="291" t="str">
        <f>Controle!I159</f>
        <v/>
      </c>
      <c r="J159" s="233" t="str">
        <f>Controle!J159</f>
        <v/>
      </c>
      <c r="K159" s="292"/>
      <c r="L159" s="233" t="str">
        <f>Controle!L159</f>
        <v/>
      </c>
      <c r="M159" s="233" t="str">
        <f>Controle!M159</f>
        <v/>
      </c>
      <c r="N159" s="235" t="str">
        <f>Controle!N159</f>
        <v/>
      </c>
      <c r="O159" s="235" t="str">
        <f>Controle!O159</f>
        <v/>
      </c>
      <c r="P159" s="235" t="str">
        <f>Controle!P159</f>
        <v/>
      </c>
      <c r="Q159" s="235" t="str">
        <f>Controle!Q159</f>
        <v/>
      </c>
      <c r="R159" s="293" t="str">
        <f>Controle!R159</f>
        <v/>
      </c>
      <c r="S159" s="287"/>
      <c r="T159" s="233" t="str">
        <f t="shared" ref="T159:U159" si="162">IF(AND(C159&lt;&gt;"",F159&lt;&gt;"",I159&lt;&gt;""), SUM(I159,F159,C159),"")</f>
        <v/>
      </c>
      <c r="U159" s="233" t="str">
        <f t="shared" si="162"/>
        <v/>
      </c>
      <c r="V159" s="233" t="str">
        <f t="shared" si="6"/>
        <v/>
      </c>
      <c r="W159" s="241" t="str">
        <f t="shared" si="9"/>
        <v/>
      </c>
      <c r="X159" s="241" t="str">
        <f t="shared" si="10"/>
        <v/>
      </c>
      <c r="Y159" s="241" t="str">
        <f t="shared" si="19"/>
        <v/>
      </c>
      <c r="Z159" s="233" t="str">
        <f t="shared" si="7"/>
        <v/>
      </c>
      <c r="AA159" s="294"/>
      <c r="AB159" s="245"/>
      <c r="AC159" s="242" t="str">
        <f>IF(ISTEXT(AB159),VLOOKUP(AB159,'Cadastro dos Ativos'!$A$2:$C$1000,3,0),"")</f>
        <v/>
      </c>
      <c r="AD159" s="242" t="str">
        <f>IF(AB159 &lt;&gt; "",SUMIFS('Alocação'!$O$3:$O$1002,'Alocação'!$C$3:$C$1002,AB159,'Alocação'!$F$3:$F$1002,AB$9,'Alocação'!$B$3:$B$1002,"&lt;="&amp;$B$6), "")</f>
        <v/>
      </c>
      <c r="AE159" s="243" t="str">
        <f>iferror(IF(AC159="Ações Americanas", HLOOKUP(AB159,'Histórico'!$A$1:$DD$990,MATCH($B$6,'Histórico'!$A:$A),FALSE)*HLOOKUP("PTAX",'Histórico'!$A$1:$FG$983,MATCH($B$6,'Histórico'!$A:$A),FALSE),IF(AC159="Ações Europeias", HLOOKUP(AB159,'Histórico'!$A$1:$DD$990,MATCH($B$6,'Histórico'!$A:$A),FALSE)*HLOOKUP("EUR/BRL",'Histórico'!$A$1:$FG$983,MATCH($B$6,'Histórico'!$A:$A),FALSE),  HLOOKUP(AB159,'Histórico'!$A$1:$DD$990,MATCH($B$6,'Histórico'!$A:$A),FALSE))),"")</f>
        <v/>
      </c>
      <c r="AF159" s="243" t="str">
        <f t="shared" si="15"/>
        <v/>
      </c>
      <c r="AG159" s="53"/>
      <c r="AH159" s="245"/>
      <c r="AI159" s="242" t="str">
        <f>IF(ISTEXT(AH159),VLOOKUP(AH159,'Cadastro dos Ativos'!$A$2:$C$1000,3,0),"")</f>
        <v/>
      </c>
      <c r="AJ159" s="242" t="str">
        <f>IF(AH159 &lt;&gt; "",SUMIFS('Alocação'!$O$3:$O$1002,'Alocação'!$C$3:$C$1002,AH159,'Alocação'!$F$3:$F$1002,AH$9,'Alocação'!$B$3:$B$1002,"&lt;="&amp;$B$6), "")</f>
        <v/>
      </c>
      <c r="AK159" s="243" t="str">
        <f>iferror(IF(AI159="Ações Americanas", HLOOKUP(AH159,'Histórico'!$A$1:$DD$990,MATCH($B$6,'Histórico'!$A:$A),FALSE)*HLOOKUP("PTAX",'Histórico'!$A$1:$FG$983,MATCH($B$6,'Histórico'!$A:$A),FALSE),IF(AI159="Ações Europeias", HLOOKUP(AH159,'Histórico'!$A$1:$DD$990,MATCH($B$6,'Histórico'!$A:$A),FALSE)*HLOOKUP("EUR/BRL",'Histórico'!$A$1:$FG$983,MATCH($B$6,'Histórico'!$A:$A),FALSE),  HLOOKUP(AH159,'Histórico'!$A$1:$DD$990,MATCH($B$6,'Histórico'!$A:$A),FALSE))),"")</f>
        <v/>
      </c>
      <c r="AL159" s="243" t="str">
        <f t="shared" si="11"/>
        <v/>
      </c>
      <c r="AM159" s="53"/>
      <c r="AN159" s="245"/>
      <c r="AO159" s="242" t="str">
        <f>IF(ISTEXT(AN159),VLOOKUP(AN159,'Cadastro dos Ativos'!$A$2:$C$1000,3,0),"")</f>
        <v/>
      </c>
      <c r="AP159" s="242" t="str">
        <f>IF(AN159 &lt;&gt; "",SUMIFS('Alocação'!$O$3:$O$1002,'Alocação'!$C$3:$C$1002,AN159,'Alocação'!$F$3:$F$1002,AN$9,'Alocação'!$B$3:$B$1002,"&lt;="&amp;$B$6), "")</f>
        <v/>
      </c>
      <c r="AQ159" s="243" t="str">
        <f>iferror(IF(AO159="Ações Americanas", HLOOKUP(AN159,'Histórico'!$A$1:$DD$990,MATCH($B$6,'Histórico'!$A:$A),FALSE)*HLOOKUP("PTAX",'Histórico'!$A$1:$FG$983,MATCH($B$6,'Histórico'!$A:$A),FALSE),IF(AO159="Ações Europeias", HLOOKUP(AN159,'Histórico'!$A$1:$DD$990,MATCH($B$6,'Histórico'!$A:$A),FALSE)*HLOOKUP("EUR/BRL",'Histórico'!$A$1:$FG$983,MATCH($B$6,'Histórico'!$A:$A),FALSE),  HLOOKUP(AN159,'Histórico'!$A$1:$DD$990,MATCH($B$6,'Histórico'!$A:$A),FALSE))),"")</f>
        <v/>
      </c>
      <c r="AR159" s="243" t="str">
        <f t="shared" si="12"/>
        <v/>
      </c>
      <c r="AS159" s="53"/>
      <c r="AT159" s="245"/>
      <c r="AU159" s="242" t="str">
        <f>IF(ISTEXT(AT159),VLOOKUP(AT159,'Cadastro dos Ativos'!$A$2:$C$1000,3,0),"")</f>
        <v/>
      </c>
      <c r="AV159" s="242" t="str">
        <f>IF(AT159 &lt;&gt; "",SUMIFS('Alocação'!$O$3:$O$1002,'Alocação'!$C$3:$C$1002,AT159,'Alocação'!$F$3:$F$1002,AT$9,'Alocação'!$B$3:$B$1002,"&lt;="&amp;$B$6), "")</f>
        <v/>
      </c>
      <c r="AW159" s="243" t="str">
        <f>iferror(IF(AU159="Ações Americanas", HLOOKUP(AT159,'Histórico'!$A$1:$DD$990,MATCH($B$6,'Histórico'!$A:$A),FALSE)*HLOOKUP("PTAX",'Histórico'!$A$1:$FG$983,MATCH($B$6,'Histórico'!$A:$A),FALSE),IF(AU159="Ações Europeias", HLOOKUP(AT159,'Histórico'!$A$1:$DD$990,MATCH($B$6,'Histórico'!$A:$A),FALSE)*HLOOKUP("EUR/BRL",'Histórico'!$A$1:$FG$983,MATCH($B$6,'Histórico'!$A:$A),FALSE),  HLOOKUP(AT159,'Histórico'!$A$1:$DD$990,MATCH($B$6,'Histórico'!$A:$A),FALSE))),"")</f>
        <v/>
      </c>
      <c r="AX159" s="243" t="str">
        <f t="shared" si="13"/>
        <v/>
      </c>
      <c r="AY159" s="53"/>
    </row>
    <row r="160" ht="15.75" customHeight="1">
      <c r="A160" s="176"/>
      <c r="B160" s="288">
        <f>Controle!B160</f>
        <v>45223</v>
      </c>
      <c r="C160" s="233" t="str">
        <f>Controle!C160</f>
        <v/>
      </c>
      <c r="D160" s="289" t="str">
        <f>Controle!D160</f>
        <v/>
      </c>
      <c r="E160" s="290"/>
      <c r="F160" s="291" t="str">
        <f>Controle!F160</f>
        <v/>
      </c>
      <c r="G160" s="289" t="str">
        <f>Controle!G160</f>
        <v/>
      </c>
      <c r="H160" s="290"/>
      <c r="I160" s="291" t="str">
        <f>Controle!I160</f>
        <v/>
      </c>
      <c r="J160" s="233" t="str">
        <f>Controle!J160</f>
        <v/>
      </c>
      <c r="K160" s="292"/>
      <c r="L160" s="233" t="str">
        <f>Controle!L160</f>
        <v/>
      </c>
      <c r="M160" s="233" t="str">
        <f>Controle!M160</f>
        <v/>
      </c>
      <c r="N160" s="235" t="str">
        <f>Controle!N160</f>
        <v/>
      </c>
      <c r="O160" s="235" t="str">
        <f>Controle!O160</f>
        <v/>
      </c>
      <c r="P160" s="235" t="str">
        <f>Controle!P160</f>
        <v/>
      </c>
      <c r="Q160" s="235" t="str">
        <f>Controle!Q160</f>
        <v/>
      </c>
      <c r="R160" s="293" t="str">
        <f>Controle!R160</f>
        <v/>
      </c>
      <c r="S160" s="287"/>
      <c r="T160" s="233" t="str">
        <f t="shared" ref="T160:U160" si="163">IF(AND(C160&lt;&gt;"",F160&lt;&gt;"",I160&lt;&gt;""), SUM(I160,F160,C160),"")</f>
        <v/>
      </c>
      <c r="U160" s="233" t="str">
        <f t="shared" si="163"/>
        <v/>
      </c>
      <c r="V160" s="233" t="str">
        <f t="shared" si="6"/>
        <v/>
      </c>
      <c r="W160" s="241" t="str">
        <f t="shared" si="9"/>
        <v/>
      </c>
      <c r="X160" s="241" t="str">
        <f t="shared" si="10"/>
        <v/>
      </c>
      <c r="Y160" s="241" t="str">
        <f t="shared" si="19"/>
        <v/>
      </c>
      <c r="Z160" s="233" t="str">
        <f t="shared" si="7"/>
        <v/>
      </c>
      <c r="AA160" s="294"/>
      <c r="AB160" s="245"/>
      <c r="AC160" s="242" t="str">
        <f>IF(ISTEXT(AB160),VLOOKUP(AB160,'Cadastro dos Ativos'!$A$2:$C$1000,3,0),"")</f>
        <v/>
      </c>
      <c r="AD160" s="242" t="str">
        <f>IF(AB160 &lt;&gt; "",SUMIFS('Alocação'!$O$3:$O$1002,'Alocação'!$C$3:$C$1002,AB160,'Alocação'!$F$3:$F$1002,AB$9,'Alocação'!$B$3:$B$1002,"&lt;="&amp;$B$6), "")</f>
        <v/>
      </c>
      <c r="AE160" s="243" t="str">
        <f>iferror(IF(AC160="Ações Americanas", HLOOKUP(AB160,'Histórico'!$A$1:$DD$990,MATCH($B$6,'Histórico'!$A:$A),FALSE)*HLOOKUP("PTAX",'Histórico'!$A$1:$FG$983,MATCH($B$6,'Histórico'!$A:$A),FALSE),IF(AC160="Ações Europeias", HLOOKUP(AB160,'Histórico'!$A$1:$DD$990,MATCH($B$6,'Histórico'!$A:$A),FALSE)*HLOOKUP("EUR/BRL",'Histórico'!$A$1:$FG$983,MATCH($B$6,'Histórico'!$A:$A),FALSE),  HLOOKUP(AB160,'Histórico'!$A$1:$DD$990,MATCH($B$6,'Histórico'!$A:$A),FALSE))),"")</f>
        <v/>
      </c>
      <c r="AF160" s="243" t="str">
        <f t="shared" si="15"/>
        <v/>
      </c>
      <c r="AG160" s="53"/>
      <c r="AH160" s="245"/>
      <c r="AI160" s="242" t="str">
        <f>IF(ISTEXT(AH160),VLOOKUP(AH160,'Cadastro dos Ativos'!$A$2:$C$1000,3,0),"")</f>
        <v/>
      </c>
      <c r="AJ160" s="242" t="str">
        <f>IF(AH160 &lt;&gt; "",SUMIFS('Alocação'!$O$3:$O$1002,'Alocação'!$C$3:$C$1002,AH160,'Alocação'!$F$3:$F$1002,AH$9,'Alocação'!$B$3:$B$1002,"&lt;="&amp;$B$6), "")</f>
        <v/>
      </c>
      <c r="AK160" s="243" t="str">
        <f>iferror(IF(AI160="Ações Americanas", HLOOKUP(AH160,'Histórico'!$A$1:$DD$990,MATCH($B$6,'Histórico'!$A:$A),FALSE)*HLOOKUP("PTAX",'Histórico'!$A$1:$FG$983,MATCH($B$6,'Histórico'!$A:$A),FALSE),IF(AI160="Ações Europeias", HLOOKUP(AH160,'Histórico'!$A$1:$DD$990,MATCH($B$6,'Histórico'!$A:$A),FALSE)*HLOOKUP("EUR/BRL",'Histórico'!$A$1:$FG$983,MATCH($B$6,'Histórico'!$A:$A),FALSE),  HLOOKUP(AH160,'Histórico'!$A$1:$DD$990,MATCH($B$6,'Histórico'!$A:$A),FALSE))),"")</f>
        <v/>
      </c>
      <c r="AL160" s="243" t="str">
        <f t="shared" si="11"/>
        <v/>
      </c>
      <c r="AM160" s="53"/>
      <c r="AN160" s="245"/>
      <c r="AO160" s="242" t="str">
        <f>IF(ISTEXT(AN160),VLOOKUP(AN160,'Cadastro dos Ativos'!$A$2:$C$1000,3,0),"")</f>
        <v/>
      </c>
      <c r="AP160" s="242" t="str">
        <f>IF(AN160 &lt;&gt; "",SUMIFS('Alocação'!$O$3:$O$1002,'Alocação'!$C$3:$C$1002,AN160,'Alocação'!$F$3:$F$1002,AN$9,'Alocação'!$B$3:$B$1002,"&lt;="&amp;$B$6), "")</f>
        <v/>
      </c>
      <c r="AQ160" s="243" t="str">
        <f>iferror(IF(AO160="Ações Americanas", HLOOKUP(AN160,'Histórico'!$A$1:$DD$990,MATCH($B$6,'Histórico'!$A:$A),FALSE)*HLOOKUP("PTAX",'Histórico'!$A$1:$FG$983,MATCH($B$6,'Histórico'!$A:$A),FALSE),IF(AO160="Ações Europeias", HLOOKUP(AN160,'Histórico'!$A$1:$DD$990,MATCH($B$6,'Histórico'!$A:$A),FALSE)*HLOOKUP("EUR/BRL",'Histórico'!$A$1:$FG$983,MATCH($B$6,'Histórico'!$A:$A),FALSE),  HLOOKUP(AN160,'Histórico'!$A$1:$DD$990,MATCH($B$6,'Histórico'!$A:$A),FALSE))),"")</f>
        <v/>
      </c>
      <c r="AR160" s="243" t="str">
        <f t="shared" si="12"/>
        <v/>
      </c>
      <c r="AS160" s="53"/>
      <c r="AT160" s="245"/>
      <c r="AU160" s="242" t="str">
        <f>IF(ISTEXT(AT160),VLOOKUP(AT160,'Cadastro dos Ativos'!$A$2:$C$1000,3,0),"")</f>
        <v/>
      </c>
      <c r="AV160" s="242" t="str">
        <f>IF(AT160 &lt;&gt; "",SUMIFS('Alocação'!$O$3:$O$1002,'Alocação'!$C$3:$C$1002,AT160,'Alocação'!$F$3:$F$1002,AT$9,'Alocação'!$B$3:$B$1002,"&lt;="&amp;$B$6), "")</f>
        <v/>
      </c>
      <c r="AW160" s="243" t="str">
        <f>iferror(IF(AU160="Ações Americanas", HLOOKUP(AT160,'Histórico'!$A$1:$DD$990,MATCH($B$6,'Histórico'!$A:$A),FALSE)*HLOOKUP("PTAX",'Histórico'!$A$1:$FG$983,MATCH($B$6,'Histórico'!$A:$A),FALSE),IF(AU160="Ações Europeias", HLOOKUP(AT160,'Histórico'!$A$1:$DD$990,MATCH($B$6,'Histórico'!$A:$A),FALSE)*HLOOKUP("EUR/BRL",'Histórico'!$A$1:$FG$983,MATCH($B$6,'Histórico'!$A:$A),FALSE),  HLOOKUP(AT160,'Histórico'!$A$1:$DD$990,MATCH($B$6,'Histórico'!$A:$A),FALSE))),"")</f>
        <v/>
      </c>
      <c r="AX160" s="243" t="str">
        <f t="shared" si="13"/>
        <v/>
      </c>
      <c r="AY160" s="53"/>
    </row>
    <row r="161" ht="15.75" customHeight="1">
      <c r="A161" s="176"/>
      <c r="B161" s="288">
        <f>Controle!B161</f>
        <v>45224</v>
      </c>
      <c r="C161" s="233" t="str">
        <f>Controle!C161</f>
        <v/>
      </c>
      <c r="D161" s="289" t="str">
        <f>Controle!D161</f>
        <v/>
      </c>
      <c r="E161" s="290"/>
      <c r="F161" s="291" t="str">
        <f>Controle!F161</f>
        <v/>
      </c>
      <c r="G161" s="289" t="str">
        <f>Controle!G161</f>
        <v/>
      </c>
      <c r="H161" s="290"/>
      <c r="I161" s="291" t="str">
        <f>Controle!I161</f>
        <v/>
      </c>
      <c r="J161" s="233" t="str">
        <f>Controle!J161</f>
        <v/>
      </c>
      <c r="K161" s="292"/>
      <c r="L161" s="233" t="str">
        <f>Controle!L161</f>
        <v/>
      </c>
      <c r="M161" s="233" t="str">
        <f>Controle!M161</f>
        <v/>
      </c>
      <c r="N161" s="235" t="str">
        <f>Controle!N161</f>
        <v/>
      </c>
      <c r="O161" s="235" t="str">
        <f>Controle!O161</f>
        <v/>
      </c>
      <c r="P161" s="235" t="str">
        <f>Controle!P161</f>
        <v/>
      </c>
      <c r="Q161" s="235" t="str">
        <f>Controle!Q161</f>
        <v/>
      </c>
      <c r="R161" s="293" t="str">
        <f>Controle!R161</f>
        <v/>
      </c>
      <c r="S161" s="287"/>
      <c r="T161" s="233" t="str">
        <f t="shared" ref="T161:U161" si="164">IF(AND(C161&lt;&gt;"",F161&lt;&gt;"",I161&lt;&gt;""), SUM(I161,F161,C161),"")</f>
        <v/>
      </c>
      <c r="U161" s="233" t="str">
        <f t="shared" si="164"/>
        <v/>
      </c>
      <c r="V161" s="233" t="str">
        <f t="shared" si="6"/>
        <v/>
      </c>
      <c r="W161" s="241" t="str">
        <f t="shared" si="9"/>
        <v/>
      </c>
      <c r="X161" s="241" t="str">
        <f t="shared" si="10"/>
        <v/>
      </c>
      <c r="Y161" s="241" t="str">
        <f t="shared" si="19"/>
        <v/>
      </c>
      <c r="Z161" s="233" t="str">
        <f t="shared" si="7"/>
        <v/>
      </c>
      <c r="AA161" s="294"/>
      <c r="AB161" s="245"/>
      <c r="AC161" s="242" t="str">
        <f>IF(ISTEXT(AB161),VLOOKUP(AB161,'Cadastro dos Ativos'!$A$2:$C$1000,3,0),"")</f>
        <v/>
      </c>
      <c r="AD161" s="242" t="str">
        <f>IF(AB161 &lt;&gt; "",SUMIFS('Alocação'!$O$3:$O$1002,'Alocação'!$C$3:$C$1002,AB161,'Alocação'!$F$3:$F$1002,AB$9,'Alocação'!$B$3:$B$1002,"&lt;="&amp;$B$6), "")</f>
        <v/>
      </c>
      <c r="AE161" s="243" t="str">
        <f>iferror(IF(AC161="Ações Americanas", HLOOKUP(AB161,'Histórico'!$A$1:$DD$990,MATCH($B$6,'Histórico'!$A:$A),FALSE)*HLOOKUP("PTAX",'Histórico'!$A$1:$FG$983,MATCH($B$6,'Histórico'!$A:$A),FALSE),IF(AC161="Ações Europeias", HLOOKUP(AB161,'Histórico'!$A$1:$DD$990,MATCH($B$6,'Histórico'!$A:$A),FALSE)*HLOOKUP("EUR/BRL",'Histórico'!$A$1:$FG$983,MATCH($B$6,'Histórico'!$A:$A),FALSE),  HLOOKUP(AB161,'Histórico'!$A$1:$DD$990,MATCH($B$6,'Histórico'!$A:$A),FALSE))),"")</f>
        <v/>
      </c>
      <c r="AF161" s="243" t="str">
        <f t="shared" si="15"/>
        <v/>
      </c>
      <c r="AG161" s="53"/>
      <c r="AH161" s="245"/>
      <c r="AI161" s="242" t="str">
        <f>IF(ISTEXT(AH161),VLOOKUP(AH161,'Cadastro dos Ativos'!$A$2:$C$1000,3,0),"")</f>
        <v/>
      </c>
      <c r="AJ161" s="242" t="str">
        <f>IF(AH161 &lt;&gt; "",SUMIFS('Alocação'!$O$3:$O$1002,'Alocação'!$C$3:$C$1002,AH161,'Alocação'!$F$3:$F$1002,AH$9,'Alocação'!$B$3:$B$1002,"&lt;="&amp;$B$6), "")</f>
        <v/>
      </c>
      <c r="AK161" s="243" t="str">
        <f>iferror(IF(AI161="Ações Americanas", HLOOKUP(AH161,'Histórico'!$A$1:$DD$990,MATCH($B$6,'Histórico'!$A:$A),FALSE)*HLOOKUP("PTAX",'Histórico'!$A$1:$FG$983,MATCH($B$6,'Histórico'!$A:$A),FALSE),IF(AI161="Ações Europeias", HLOOKUP(AH161,'Histórico'!$A$1:$DD$990,MATCH($B$6,'Histórico'!$A:$A),FALSE)*HLOOKUP("EUR/BRL",'Histórico'!$A$1:$FG$983,MATCH($B$6,'Histórico'!$A:$A),FALSE),  HLOOKUP(AH161,'Histórico'!$A$1:$DD$990,MATCH($B$6,'Histórico'!$A:$A),FALSE))),"")</f>
        <v/>
      </c>
      <c r="AL161" s="243" t="str">
        <f t="shared" si="11"/>
        <v/>
      </c>
      <c r="AM161" s="53"/>
      <c r="AN161" s="245"/>
      <c r="AO161" s="242" t="str">
        <f>IF(ISTEXT(AN161),VLOOKUP(AN161,'Cadastro dos Ativos'!$A$2:$C$1000,3,0),"")</f>
        <v/>
      </c>
      <c r="AP161" s="242" t="str">
        <f>IF(AN161 &lt;&gt; "",SUMIFS('Alocação'!$O$3:$O$1002,'Alocação'!$C$3:$C$1002,AN161,'Alocação'!$F$3:$F$1002,AN$9,'Alocação'!$B$3:$B$1002,"&lt;="&amp;$B$6), "")</f>
        <v/>
      </c>
      <c r="AQ161" s="243" t="str">
        <f>iferror(IF(AO161="Ações Americanas", HLOOKUP(AN161,'Histórico'!$A$1:$DD$990,MATCH($B$6,'Histórico'!$A:$A),FALSE)*HLOOKUP("PTAX",'Histórico'!$A$1:$FG$983,MATCH($B$6,'Histórico'!$A:$A),FALSE),IF(AO161="Ações Europeias", HLOOKUP(AN161,'Histórico'!$A$1:$DD$990,MATCH($B$6,'Histórico'!$A:$A),FALSE)*HLOOKUP("EUR/BRL",'Histórico'!$A$1:$FG$983,MATCH($B$6,'Histórico'!$A:$A),FALSE),  HLOOKUP(AN161,'Histórico'!$A$1:$DD$990,MATCH($B$6,'Histórico'!$A:$A),FALSE))),"")</f>
        <v/>
      </c>
      <c r="AR161" s="243" t="str">
        <f t="shared" si="12"/>
        <v/>
      </c>
      <c r="AS161" s="53"/>
      <c r="AT161" s="245"/>
      <c r="AU161" s="242" t="str">
        <f>IF(ISTEXT(AT161),VLOOKUP(AT161,'Cadastro dos Ativos'!$A$2:$C$1000,3,0),"")</f>
        <v/>
      </c>
      <c r="AV161" s="242" t="str">
        <f>IF(AT161 &lt;&gt; "",SUMIFS('Alocação'!$O$3:$O$1002,'Alocação'!$C$3:$C$1002,AT161,'Alocação'!$F$3:$F$1002,AT$9,'Alocação'!$B$3:$B$1002,"&lt;="&amp;$B$6), "")</f>
        <v/>
      </c>
      <c r="AW161" s="243" t="str">
        <f>iferror(IF(AU161="Ações Americanas", HLOOKUP(AT161,'Histórico'!$A$1:$DD$990,MATCH($B$6,'Histórico'!$A:$A),FALSE)*HLOOKUP("PTAX",'Histórico'!$A$1:$FG$983,MATCH($B$6,'Histórico'!$A:$A),FALSE),IF(AU161="Ações Europeias", HLOOKUP(AT161,'Histórico'!$A$1:$DD$990,MATCH($B$6,'Histórico'!$A:$A),FALSE)*HLOOKUP("EUR/BRL",'Histórico'!$A$1:$FG$983,MATCH($B$6,'Histórico'!$A:$A),FALSE),  HLOOKUP(AT161,'Histórico'!$A$1:$DD$990,MATCH($B$6,'Histórico'!$A:$A),FALSE))),"")</f>
        <v/>
      </c>
      <c r="AX161" s="243" t="str">
        <f t="shared" si="13"/>
        <v/>
      </c>
      <c r="AY161" s="53"/>
    </row>
    <row r="162" ht="15.75" customHeight="1">
      <c r="A162" s="176"/>
      <c r="B162" s="288">
        <f>Controle!B162</f>
        <v>45225</v>
      </c>
      <c r="C162" s="233" t="str">
        <f>Controle!C162</f>
        <v/>
      </c>
      <c r="D162" s="289" t="str">
        <f>Controle!D162</f>
        <v/>
      </c>
      <c r="E162" s="290"/>
      <c r="F162" s="291" t="str">
        <f>Controle!F162</f>
        <v/>
      </c>
      <c r="G162" s="289" t="str">
        <f>Controle!G162</f>
        <v/>
      </c>
      <c r="H162" s="290"/>
      <c r="I162" s="291" t="str">
        <f>Controle!I162</f>
        <v/>
      </c>
      <c r="J162" s="233" t="str">
        <f>Controle!J162</f>
        <v/>
      </c>
      <c r="K162" s="292"/>
      <c r="L162" s="233" t="str">
        <f>Controle!L162</f>
        <v/>
      </c>
      <c r="M162" s="233" t="str">
        <f>Controle!M162</f>
        <v/>
      </c>
      <c r="N162" s="235" t="str">
        <f>Controle!N162</f>
        <v/>
      </c>
      <c r="O162" s="235" t="str">
        <f>Controle!O162</f>
        <v/>
      </c>
      <c r="P162" s="235" t="str">
        <f>Controle!P162</f>
        <v/>
      </c>
      <c r="Q162" s="235" t="str">
        <f>Controle!Q162</f>
        <v/>
      </c>
      <c r="R162" s="293" t="str">
        <f>Controle!R162</f>
        <v/>
      </c>
      <c r="S162" s="287"/>
      <c r="T162" s="233" t="str">
        <f t="shared" ref="T162:U162" si="165">IF(AND(C162&lt;&gt;"",F162&lt;&gt;"",I162&lt;&gt;""), SUM(I162,F162,C162),"")</f>
        <v/>
      </c>
      <c r="U162" s="233" t="str">
        <f t="shared" si="165"/>
        <v/>
      </c>
      <c r="V162" s="233" t="str">
        <f t="shared" si="6"/>
        <v/>
      </c>
      <c r="W162" s="241" t="str">
        <f t="shared" si="9"/>
        <v/>
      </c>
      <c r="X162" s="241" t="str">
        <f t="shared" si="10"/>
        <v/>
      </c>
      <c r="Y162" s="241" t="str">
        <f t="shared" si="19"/>
        <v/>
      </c>
      <c r="Z162" s="233" t="str">
        <f t="shared" si="7"/>
        <v/>
      </c>
      <c r="AA162" s="294"/>
      <c r="AB162" s="245"/>
      <c r="AC162" s="242" t="str">
        <f>IF(ISTEXT(AB162),VLOOKUP(AB162,'Cadastro dos Ativos'!$A$2:$C$1000,3,0),"")</f>
        <v/>
      </c>
      <c r="AD162" s="242" t="str">
        <f>IF(AB162 &lt;&gt; "",SUMIFS('Alocação'!$O$3:$O$1002,'Alocação'!$C$3:$C$1002,AB162,'Alocação'!$F$3:$F$1002,AB$9,'Alocação'!$B$3:$B$1002,"&lt;="&amp;$B$6), "")</f>
        <v/>
      </c>
      <c r="AE162" s="243" t="str">
        <f>iferror(IF(AC162="Ações Americanas", HLOOKUP(AB162,'Histórico'!$A$1:$DD$990,MATCH($B$6,'Histórico'!$A:$A),FALSE)*HLOOKUP("PTAX",'Histórico'!$A$1:$FG$983,MATCH($B$6,'Histórico'!$A:$A),FALSE),IF(AC162="Ações Europeias", HLOOKUP(AB162,'Histórico'!$A$1:$DD$990,MATCH($B$6,'Histórico'!$A:$A),FALSE)*HLOOKUP("EUR/BRL",'Histórico'!$A$1:$FG$983,MATCH($B$6,'Histórico'!$A:$A),FALSE),  HLOOKUP(AB162,'Histórico'!$A$1:$DD$990,MATCH($B$6,'Histórico'!$A:$A),FALSE))),"")</f>
        <v/>
      </c>
      <c r="AF162" s="243" t="str">
        <f t="shared" si="15"/>
        <v/>
      </c>
      <c r="AG162" s="53"/>
      <c r="AH162" s="245"/>
      <c r="AI162" s="242" t="str">
        <f>IF(ISTEXT(AH162),VLOOKUP(AH162,'Cadastro dos Ativos'!$A$2:$C$1000,3,0),"")</f>
        <v/>
      </c>
      <c r="AJ162" s="242" t="str">
        <f>IF(AH162 &lt;&gt; "",SUMIFS('Alocação'!$O$3:$O$1002,'Alocação'!$C$3:$C$1002,AH162,'Alocação'!$F$3:$F$1002,AH$9,'Alocação'!$B$3:$B$1002,"&lt;="&amp;$B$6), "")</f>
        <v/>
      </c>
      <c r="AK162" s="243" t="str">
        <f>iferror(IF(AI162="Ações Americanas", HLOOKUP(AH162,'Histórico'!$A$1:$DD$990,MATCH($B$6,'Histórico'!$A:$A),FALSE)*HLOOKUP("PTAX",'Histórico'!$A$1:$FG$983,MATCH($B$6,'Histórico'!$A:$A),FALSE),IF(AI162="Ações Europeias", HLOOKUP(AH162,'Histórico'!$A$1:$DD$990,MATCH($B$6,'Histórico'!$A:$A),FALSE)*HLOOKUP("EUR/BRL",'Histórico'!$A$1:$FG$983,MATCH($B$6,'Histórico'!$A:$A),FALSE),  HLOOKUP(AH162,'Histórico'!$A$1:$DD$990,MATCH($B$6,'Histórico'!$A:$A),FALSE))),"")</f>
        <v/>
      </c>
      <c r="AL162" s="243" t="str">
        <f t="shared" si="11"/>
        <v/>
      </c>
      <c r="AM162" s="53"/>
      <c r="AN162" s="245"/>
      <c r="AO162" s="242" t="str">
        <f>IF(ISTEXT(AN162),VLOOKUP(AN162,'Cadastro dos Ativos'!$A$2:$C$1000,3,0),"")</f>
        <v/>
      </c>
      <c r="AP162" s="242" t="str">
        <f>IF(AN162 &lt;&gt; "",SUMIFS('Alocação'!$O$3:$O$1002,'Alocação'!$C$3:$C$1002,AN162,'Alocação'!$F$3:$F$1002,AN$9,'Alocação'!$B$3:$B$1002,"&lt;="&amp;$B$6), "")</f>
        <v/>
      </c>
      <c r="AQ162" s="243" t="str">
        <f>iferror(IF(AO162="Ações Americanas", HLOOKUP(AN162,'Histórico'!$A$1:$DD$990,MATCH($B$6,'Histórico'!$A:$A),FALSE)*HLOOKUP("PTAX",'Histórico'!$A$1:$FG$983,MATCH($B$6,'Histórico'!$A:$A),FALSE),IF(AO162="Ações Europeias", HLOOKUP(AN162,'Histórico'!$A$1:$DD$990,MATCH($B$6,'Histórico'!$A:$A),FALSE)*HLOOKUP("EUR/BRL",'Histórico'!$A$1:$FG$983,MATCH($B$6,'Histórico'!$A:$A),FALSE),  HLOOKUP(AN162,'Histórico'!$A$1:$DD$990,MATCH($B$6,'Histórico'!$A:$A),FALSE))),"")</f>
        <v/>
      </c>
      <c r="AR162" s="243" t="str">
        <f t="shared" si="12"/>
        <v/>
      </c>
      <c r="AS162" s="53"/>
      <c r="AT162" s="245"/>
      <c r="AU162" s="242" t="str">
        <f>IF(ISTEXT(AT162),VLOOKUP(AT162,'Cadastro dos Ativos'!$A$2:$C$1000,3,0),"")</f>
        <v/>
      </c>
      <c r="AV162" s="242" t="str">
        <f>IF(AT162 &lt;&gt; "",SUMIFS('Alocação'!$O$3:$O$1002,'Alocação'!$C$3:$C$1002,AT162,'Alocação'!$F$3:$F$1002,AT$9,'Alocação'!$B$3:$B$1002,"&lt;="&amp;$B$6), "")</f>
        <v/>
      </c>
      <c r="AW162" s="243" t="str">
        <f>iferror(IF(AU162="Ações Americanas", HLOOKUP(AT162,'Histórico'!$A$1:$DD$990,MATCH($B$6,'Histórico'!$A:$A),FALSE)*HLOOKUP("PTAX",'Histórico'!$A$1:$FG$983,MATCH($B$6,'Histórico'!$A:$A),FALSE),IF(AU162="Ações Europeias", HLOOKUP(AT162,'Histórico'!$A$1:$DD$990,MATCH($B$6,'Histórico'!$A:$A),FALSE)*HLOOKUP("EUR/BRL",'Histórico'!$A$1:$FG$983,MATCH($B$6,'Histórico'!$A:$A),FALSE),  HLOOKUP(AT162,'Histórico'!$A$1:$DD$990,MATCH($B$6,'Histórico'!$A:$A),FALSE))),"")</f>
        <v/>
      </c>
      <c r="AX162" s="243" t="str">
        <f t="shared" si="13"/>
        <v/>
      </c>
      <c r="AY162" s="53"/>
    </row>
    <row r="163" ht="15.75" customHeight="1">
      <c r="A163" s="176"/>
      <c r="B163" s="288">
        <f>Controle!B163</f>
        <v>45226</v>
      </c>
      <c r="C163" s="233" t="str">
        <f>Controle!C163</f>
        <v/>
      </c>
      <c r="D163" s="289" t="str">
        <f>Controle!D163</f>
        <v/>
      </c>
      <c r="E163" s="290"/>
      <c r="F163" s="291" t="str">
        <f>Controle!F163</f>
        <v/>
      </c>
      <c r="G163" s="289" t="str">
        <f>Controle!G163</f>
        <v/>
      </c>
      <c r="H163" s="290"/>
      <c r="I163" s="291" t="str">
        <f>Controle!I163</f>
        <v/>
      </c>
      <c r="J163" s="233" t="str">
        <f>Controle!J163</f>
        <v/>
      </c>
      <c r="K163" s="292"/>
      <c r="L163" s="233" t="str">
        <f>Controle!L163</f>
        <v/>
      </c>
      <c r="M163" s="233" t="str">
        <f>Controle!M163</f>
        <v/>
      </c>
      <c r="N163" s="235" t="str">
        <f>Controle!N163</f>
        <v/>
      </c>
      <c r="O163" s="235" t="str">
        <f>Controle!O163</f>
        <v/>
      </c>
      <c r="P163" s="235" t="str">
        <f>Controle!P163</f>
        <v/>
      </c>
      <c r="Q163" s="235" t="str">
        <f>Controle!Q163</f>
        <v/>
      </c>
      <c r="R163" s="293" t="str">
        <f>Controle!R163</f>
        <v/>
      </c>
      <c r="S163" s="287"/>
      <c r="T163" s="233" t="str">
        <f t="shared" ref="T163:U163" si="166">IF(AND(C163&lt;&gt;"",F163&lt;&gt;"",I163&lt;&gt;""), SUM(I163,F163,C163),"")</f>
        <v/>
      </c>
      <c r="U163" s="233" t="str">
        <f t="shared" si="166"/>
        <v/>
      </c>
      <c r="V163" s="233" t="str">
        <f t="shared" si="6"/>
        <v/>
      </c>
      <c r="W163" s="241" t="str">
        <f t="shared" si="9"/>
        <v/>
      </c>
      <c r="X163" s="241" t="str">
        <f t="shared" si="10"/>
        <v/>
      </c>
      <c r="Y163" s="241" t="str">
        <f t="shared" si="19"/>
        <v/>
      </c>
      <c r="Z163" s="233" t="str">
        <f t="shared" si="7"/>
        <v/>
      </c>
      <c r="AA163" s="294"/>
      <c r="AB163" s="245"/>
      <c r="AC163" s="242" t="str">
        <f>IF(ISTEXT(AB163),VLOOKUP(AB163,'Cadastro dos Ativos'!$A$2:$C$1000,3,0),"")</f>
        <v/>
      </c>
      <c r="AD163" s="242" t="str">
        <f>IF(AB163 &lt;&gt; "",SUMIFS('Alocação'!$O$3:$O$1002,'Alocação'!$C$3:$C$1002,AB163,'Alocação'!$F$3:$F$1002,AB$9,'Alocação'!$B$3:$B$1002,"&lt;="&amp;$B$6), "")</f>
        <v/>
      </c>
      <c r="AE163" s="243" t="str">
        <f>iferror(IF(AC163="Ações Americanas", HLOOKUP(AB163,'Histórico'!$A$1:$DD$990,MATCH($B$6,'Histórico'!$A:$A),FALSE)*HLOOKUP("PTAX",'Histórico'!$A$1:$FG$983,MATCH($B$6,'Histórico'!$A:$A),FALSE),IF(AC163="Ações Europeias", HLOOKUP(AB163,'Histórico'!$A$1:$DD$990,MATCH($B$6,'Histórico'!$A:$A),FALSE)*HLOOKUP("EUR/BRL",'Histórico'!$A$1:$FG$983,MATCH($B$6,'Histórico'!$A:$A),FALSE),  HLOOKUP(AB163,'Histórico'!$A$1:$DD$990,MATCH($B$6,'Histórico'!$A:$A),FALSE))),"")</f>
        <v/>
      </c>
      <c r="AF163" s="243" t="str">
        <f t="shared" si="15"/>
        <v/>
      </c>
      <c r="AG163" s="53"/>
      <c r="AH163" s="245"/>
      <c r="AI163" s="242" t="str">
        <f>IF(ISTEXT(AH163),VLOOKUP(AH163,'Cadastro dos Ativos'!$A$2:$C$1000,3,0),"")</f>
        <v/>
      </c>
      <c r="AJ163" s="242" t="str">
        <f>IF(AH163 &lt;&gt; "",SUMIFS('Alocação'!$O$3:$O$1002,'Alocação'!$C$3:$C$1002,AH163,'Alocação'!$F$3:$F$1002,AH$9,'Alocação'!$B$3:$B$1002,"&lt;="&amp;$B$6), "")</f>
        <v/>
      </c>
      <c r="AK163" s="243" t="str">
        <f>iferror(IF(AI163="Ações Americanas", HLOOKUP(AH163,'Histórico'!$A$1:$DD$990,MATCH($B$6,'Histórico'!$A:$A),FALSE)*HLOOKUP("PTAX",'Histórico'!$A$1:$FG$983,MATCH($B$6,'Histórico'!$A:$A),FALSE),IF(AI163="Ações Europeias", HLOOKUP(AH163,'Histórico'!$A$1:$DD$990,MATCH($B$6,'Histórico'!$A:$A),FALSE)*HLOOKUP("EUR/BRL",'Histórico'!$A$1:$FG$983,MATCH($B$6,'Histórico'!$A:$A),FALSE),  HLOOKUP(AH163,'Histórico'!$A$1:$DD$990,MATCH($B$6,'Histórico'!$A:$A),FALSE))),"")</f>
        <v/>
      </c>
      <c r="AL163" s="243" t="str">
        <f t="shared" si="11"/>
        <v/>
      </c>
      <c r="AM163" s="53"/>
      <c r="AN163" s="245"/>
      <c r="AO163" s="242" t="str">
        <f>IF(ISTEXT(AN163),VLOOKUP(AN163,'Cadastro dos Ativos'!$A$2:$C$1000,3,0),"")</f>
        <v/>
      </c>
      <c r="AP163" s="242" t="str">
        <f>IF(AN163 &lt;&gt; "",SUMIFS('Alocação'!$O$3:$O$1002,'Alocação'!$C$3:$C$1002,AN163,'Alocação'!$F$3:$F$1002,AN$9,'Alocação'!$B$3:$B$1002,"&lt;="&amp;$B$6), "")</f>
        <v/>
      </c>
      <c r="AQ163" s="243" t="str">
        <f>iferror(IF(AO163="Ações Americanas", HLOOKUP(AN163,'Histórico'!$A$1:$DD$990,MATCH($B$6,'Histórico'!$A:$A),FALSE)*HLOOKUP("PTAX",'Histórico'!$A$1:$FG$983,MATCH($B$6,'Histórico'!$A:$A),FALSE),IF(AO163="Ações Europeias", HLOOKUP(AN163,'Histórico'!$A$1:$DD$990,MATCH($B$6,'Histórico'!$A:$A),FALSE)*HLOOKUP("EUR/BRL",'Histórico'!$A$1:$FG$983,MATCH($B$6,'Histórico'!$A:$A),FALSE),  HLOOKUP(AN163,'Histórico'!$A$1:$DD$990,MATCH($B$6,'Histórico'!$A:$A),FALSE))),"")</f>
        <v/>
      </c>
      <c r="AR163" s="243" t="str">
        <f t="shared" si="12"/>
        <v/>
      </c>
      <c r="AS163" s="53"/>
      <c r="AT163" s="245"/>
      <c r="AU163" s="242" t="str">
        <f>IF(ISTEXT(AT163),VLOOKUP(AT163,'Cadastro dos Ativos'!$A$2:$C$1000,3,0),"")</f>
        <v/>
      </c>
      <c r="AV163" s="242" t="str">
        <f>IF(AT163 &lt;&gt; "",SUMIFS('Alocação'!$O$3:$O$1002,'Alocação'!$C$3:$C$1002,AT163,'Alocação'!$F$3:$F$1002,AT$9,'Alocação'!$B$3:$B$1002,"&lt;="&amp;$B$6), "")</f>
        <v/>
      </c>
      <c r="AW163" s="243" t="str">
        <f>iferror(IF(AU163="Ações Americanas", HLOOKUP(AT163,'Histórico'!$A$1:$DD$990,MATCH($B$6,'Histórico'!$A:$A),FALSE)*HLOOKUP("PTAX",'Histórico'!$A$1:$FG$983,MATCH($B$6,'Histórico'!$A:$A),FALSE),IF(AU163="Ações Europeias", HLOOKUP(AT163,'Histórico'!$A$1:$DD$990,MATCH($B$6,'Histórico'!$A:$A),FALSE)*HLOOKUP("EUR/BRL",'Histórico'!$A$1:$FG$983,MATCH($B$6,'Histórico'!$A:$A),FALSE),  HLOOKUP(AT163,'Histórico'!$A$1:$DD$990,MATCH($B$6,'Histórico'!$A:$A),FALSE))),"")</f>
        <v/>
      </c>
      <c r="AX163" s="243" t="str">
        <f t="shared" si="13"/>
        <v/>
      </c>
      <c r="AY163" s="53"/>
    </row>
    <row r="164" ht="15.75" customHeight="1">
      <c r="A164" s="176"/>
      <c r="B164" s="288">
        <f>Controle!B164</f>
        <v>45229</v>
      </c>
      <c r="C164" s="233" t="str">
        <f>Controle!C164</f>
        <v/>
      </c>
      <c r="D164" s="289" t="str">
        <f>Controle!D164</f>
        <v/>
      </c>
      <c r="E164" s="290"/>
      <c r="F164" s="291" t="str">
        <f>Controle!F164</f>
        <v/>
      </c>
      <c r="G164" s="289" t="str">
        <f>Controle!G164</f>
        <v/>
      </c>
      <c r="H164" s="290"/>
      <c r="I164" s="291" t="str">
        <f>Controle!I164</f>
        <v/>
      </c>
      <c r="J164" s="233" t="str">
        <f>Controle!J164</f>
        <v/>
      </c>
      <c r="K164" s="292"/>
      <c r="L164" s="233" t="str">
        <f>Controle!L164</f>
        <v/>
      </c>
      <c r="M164" s="233" t="str">
        <f>Controle!M164</f>
        <v/>
      </c>
      <c r="N164" s="235" t="str">
        <f>Controle!N164</f>
        <v/>
      </c>
      <c r="O164" s="235" t="str">
        <f>Controle!O164</f>
        <v/>
      </c>
      <c r="P164" s="235" t="str">
        <f>Controle!P164</f>
        <v/>
      </c>
      <c r="Q164" s="235" t="str">
        <f>Controle!Q164</f>
        <v/>
      </c>
      <c r="R164" s="293" t="str">
        <f>Controle!R164</f>
        <v/>
      </c>
      <c r="S164" s="287"/>
      <c r="T164" s="233" t="str">
        <f t="shared" ref="T164:U164" si="167">IF(AND(C164&lt;&gt;"",F164&lt;&gt;"",I164&lt;&gt;""), SUM(I164,F164,C164),"")</f>
        <v/>
      </c>
      <c r="U164" s="233" t="str">
        <f t="shared" si="167"/>
        <v/>
      </c>
      <c r="V164" s="233" t="str">
        <f t="shared" si="6"/>
        <v/>
      </c>
      <c r="W164" s="241" t="str">
        <f t="shared" si="9"/>
        <v/>
      </c>
      <c r="X164" s="241" t="str">
        <f t="shared" si="10"/>
        <v/>
      </c>
      <c r="Y164" s="241" t="str">
        <f t="shared" si="19"/>
        <v/>
      </c>
      <c r="Z164" s="233" t="str">
        <f t="shared" si="7"/>
        <v/>
      </c>
      <c r="AA164" s="294"/>
      <c r="AB164" s="245"/>
      <c r="AC164" s="242" t="str">
        <f>IF(ISTEXT(AB164),VLOOKUP(AB164,'Cadastro dos Ativos'!$A$2:$C$1000,3,0),"")</f>
        <v/>
      </c>
      <c r="AD164" s="242" t="str">
        <f>IF(AB164 &lt;&gt; "",SUMIFS('Alocação'!$O$3:$O$1002,'Alocação'!$C$3:$C$1002,AB164,'Alocação'!$F$3:$F$1002,AB$9,'Alocação'!$B$3:$B$1002,"&lt;="&amp;$B$6), "")</f>
        <v/>
      </c>
      <c r="AE164" s="243" t="str">
        <f>iferror(IF(AC164="Ações Americanas", HLOOKUP(AB164,'Histórico'!$A$1:$DD$990,MATCH($B$6,'Histórico'!$A:$A),FALSE)*HLOOKUP("PTAX",'Histórico'!$A$1:$FG$983,MATCH($B$6,'Histórico'!$A:$A),FALSE),IF(AC164="Ações Europeias", HLOOKUP(AB164,'Histórico'!$A$1:$DD$990,MATCH($B$6,'Histórico'!$A:$A),FALSE)*HLOOKUP("EUR/BRL",'Histórico'!$A$1:$FG$983,MATCH($B$6,'Histórico'!$A:$A),FALSE),  HLOOKUP(AB164,'Histórico'!$A$1:$DD$990,MATCH($B$6,'Histórico'!$A:$A),FALSE))),"")</f>
        <v/>
      </c>
      <c r="AF164" s="243" t="str">
        <f t="shared" si="15"/>
        <v/>
      </c>
      <c r="AG164" s="53"/>
      <c r="AH164" s="245"/>
      <c r="AI164" s="242" t="str">
        <f>IF(ISTEXT(AH164),VLOOKUP(AH164,'Cadastro dos Ativos'!$A$2:$C$1000,3,0),"")</f>
        <v/>
      </c>
      <c r="AJ164" s="242" t="str">
        <f>IF(AH164 &lt;&gt; "",SUMIFS('Alocação'!$O$3:$O$1002,'Alocação'!$C$3:$C$1002,AH164,'Alocação'!$F$3:$F$1002,AH$9,'Alocação'!$B$3:$B$1002,"&lt;="&amp;$B$6), "")</f>
        <v/>
      </c>
      <c r="AK164" s="243" t="str">
        <f>iferror(IF(AI164="Ações Americanas", HLOOKUP(AH164,'Histórico'!$A$1:$DD$990,MATCH($B$6,'Histórico'!$A:$A),FALSE)*HLOOKUP("PTAX",'Histórico'!$A$1:$FG$983,MATCH($B$6,'Histórico'!$A:$A),FALSE),IF(AI164="Ações Europeias", HLOOKUP(AH164,'Histórico'!$A$1:$DD$990,MATCH($B$6,'Histórico'!$A:$A),FALSE)*HLOOKUP("EUR/BRL",'Histórico'!$A$1:$FG$983,MATCH($B$6,'Histórico'!$A:$A),FALSE),  HLOOKUP(AH164,'Histórico'!$A$1:$DD$990,MATCH($B$6,'Histórico'!$A:$A),FALSE))),"")</f>
        <v/>
      </c>
      <c r="AL164" s="243" t="str">
        <f t="shared" si="11"/>
        <v/>
      </c>
      <c r="AM164" s="53"/>
      <c r="AN164" s="245"/>
      <c r="AO164" s="242" t="str">
        <f>IF(ISTEXT(AN164),VLOOKUP(AN164,'Cadastro dos Ativos'!$A$2:$C$1000,3,0),"")</f>
        <v/>
      </c>
      <c r="AP164" s="242" t="str">
        <f>IF(AN164 &lt;&gt; "",SUMIFS('Alocação'!$O$3:$O$1002,'Alocação'!$C$3:$C$1002,AN164,'Alocação'!$F$3:$F$1002,AN$9,'Alocação'!$B$3:$B$1002,"&lt;="&amp;$B$6), "")</f>
        <v/>
      </c>
      <c r="AQ164" s="243" t="str">
        <f>iferror(IF(AO164="Ações Americanas", HLOOKUP(AN164,'Histórico'!$A$1:$DD$990,MATCH($B$6,'Histórico'!$A:$A),FALSE)*HLOOKUP("PTAX",'Histórico'!$A$1:$FG$983,MATCH($B$6,'Histórico'!$A:$A),FALSE),IF(AO164="Ações Europeias", HLOOKUP(AN164,'Histórico'!$A$1:$DD$990,MATCH($B$6,'Histórico'!$A:$A),FALSE)*HLOOKUP("EUR/BRL",'Histórico'!$A$1:$FG$983,MATCH($B$6,'Histórico'!$A:$A),FALSE),  HLOOKUP(AN164,'Histórico'!$A$1:$DD$990,MATCH($B$6,'Histórico'!$A:$A),FALSE))),"")</f>
        <v/>
      </c>
      <c r="AR164" s="243" t="str">
        <f t="shared" si="12"/>
        <v/>
      </c>
      <c r="AS164" s="53"/>
      <c r="AT164" s="245"/>
      <c r="AU164" s="242" t="str">
        <f>IF(ISTEXT(AT164),VLOOKUP(AT164,'Cadastro dos Ativos'!$A$2:$C$1000,3,0),"")</f>
        <v/>
      </c>
      <c r="AV164" s="242" t="str">
        <f>IF(AT164 &lt;&gt; "",SUMIFS('Alocação'!$O$3:$O$1002,'Alocação'!$C$3:$C$1002,AT164,'Alocação'!$F$3:$F$1002,AT$9,'Alocação'!$B$3:$B$1002,"&lt;="&amp;$B$6), "")</f>
        <v/>
      </c>
      <c r="AW164" s="243" t="str">
        <f>iferror(IF(AU164="Ações Americanas", HLOOKUP(AT164,'Histórico'!$A$1:$DD$990,MATCH($B$6,'Histórico'!$A:$A),FALSE)*HLOOKUP("PTAX",'Histórico'!$A$1:$FG$983,MATCH($B$6,'Histórico'!$A:$A),FALSE),IF(AU164="Ações Europeias", HLOOKUP(AT164,'Histórico'!$A$1:$DD$990,MATCH($B$6,'Histórico'!$A:$A),FALSE)*HLOOKUP("EUR/BRL",'Histórico'!$A$1:$FG$983,MATCH($B$6,'Histórico'!$A:$A),FALSE),  HLOOKUP(AT164,'Histórico'!$A$1:$DD$990,MATCH($B$6,'Histórico'!$A:$A),FALSE))),"")</f>
        <v/>
      </c>
      <c r="AX164" s="243" t="str">
        <f t="shared" si="13"/>
        <v/>
      </c>
      <c r="AY164" s="53"/>
    </row>
    <row r="165" ht="15.75" customHeight="1">
      <c r="A165" s="176"/>
      <c r="B165" s="288">
        <f>Controle!B165</f>
        <v>45230</v>
      </c>
      <c r="C165" s="233" t="str">
        <f>Controle!C165</f>
        <v/>
      </c>
      <c r="D165" s="289" t="str">
        <f>Controle!D165</f>
        <v/>
      </c>
      <c r="E165" s="290"/>
      <c r="F165" s="291" t="str">
        <f>Controle!F165</f>
        <v/>
      </c>
      <c r="G165" s="289" t="str">
        <f>Controle!G165</f>
        <v/>
      </c>
      <c r="H165" s="290"/>
      <c r="I165" s="291" t="str">
        <f>Controle!I165</f>
        <v/>
      </c>
      <c r="J165" s="233" t="str">
        <f>Controle!J165</f>
        <v/>
      </c>
      <c r="K165" s="292"/>
      <c r="L165" s="233" t="str">
        <f>Controle!L165</f>
        <v/>
      </c>
      <c r="M165" s="233" t="str">
        <f>Controle!M165</f>
        <v/>
      </c>
      <c r="N165" s="235" t="str">
        <f>Controle!N165</f>
        <v/>
      </c>
      <c r="O165" s="235" t="str">
        <f>Controle!O165</f>
        <v/>
      </c>
      <c r="P165" s="235" t="str">
        <f>Controle!P165</f>
        <v/>
      </c>
      <c r="Q165" s="235" t="str">
        <f>Controle!Q165</f>
        <v/>
      </c>
      <c r="R165" s="293" t="str">
        <f>Controle!R165</f>
        <v/>
      </c>
      <c r="S165" s="287"/>
      <c r="T165" s="233" t="str">
        <f t="shared" ref="T165:U165" si="168">IF(AND(C165&lt;&gt;"",F165&lt;&gt;"",I165&lt;&gt;""), SUM(I165,F165,C165),"")</f>
        <v/>
      </c>
      <c r="U165" s="233" t="str">
        <f t="shared" si="168"/>
        <v/>
      </c>
      <c r="V165" s="233" t="str">
        <f t="shared" si="6"/>
        <v/>
      </c>
      <c r="W165" s="241" t="str">
        <f t="shared" si="9"/>
        <v/>
      </c>
      <c r="X165" s="241" t="str">
        <f t="shared" si="10"/>
        <v/>
      </c>
      <c r="Y165" s="241" t="str">
        <f t="shared" si="19"/>
        <v/>
      </c>
      <c r="Z165" s="233" t="str">
        <f t="shared" si="7"/>
        <v/>
      </c>
      <c r="AA165" s="294"/>
      <c r="AB165" s="245"/>
      <c r="AC165" s="242" t="str">
        <f>IF(ISTEXT(AB165),VLOOKUP(AB165,'Cadastro dos Ativos'!$A$2:$C$1000,3,0),"")</f>
        <v/>
      </c>
      <c r="AD165" s="242" t="str">
        <f>IF(AB165 &lt;&gt; "",SUMIFS('Alocação'!$O$3:$O$1002,'Alocação'!$C$3:$C$1002,AB165,'Alocação'!$F$3:$F$1002,AB$9,'Alocação'!$B$3:$B$1002,"&lt;="&amp;$B$6), "")</f>
        <v/>
      </c>
      <c r="AE165" s="243" t="str">
        <f>iferror(IF(AC165="Ações Americanas", HLOOKUP(AB165,'Histórico'!$A$1:$DD$990,MATCH($B$6,'Histórico'!$A:$A),FALSE)*HLOOKUP("PTAX",'Histórico'!$A$1:$FG$983,MATCH($B$6,'Histórico'!$A:$A),FALSE),IF(AC165="Ações Europeias", HLOOKUP(AB165,'Histórico'!$A$1:$DD$990,MATCH($B$6,'Histórico'!$A:$A),FALSE)*HLOOKUP("EUR/BRL",'Histórico'!$A$1:$FG$983,MATCH($B$6,'Histórico'!$A:$A),FALSE),  HLOOKUP(AB165,'Histórico'!$A$1:$DD$990,MATCH($B$6,'Histórico'!$A:$A),FALSE))),"")</f>
        <v/>
      </c>
      <c r="AF165" s="243" t="str">
        <f t="shared" si="15"/>
        <v/>
      </c>
      <c r="AG165" s="53"/>
      <c r="AH165" s="245"/>
      <c r="AI165" s="242" t="str">
        <f>IF(ISTEXT(AH165),VLOOKUP(AH165,'Cadastro dos Ativos'!$A$2:$C$1000,3,0),"")</f>
        <v/>
      </c>
      <c r="AJ165" s="242" t="str">
        <f>IF(AH165 &lt;&gt; "",SUMIFS('Alocação'!$O$3:$O$1002,'Alocação'!$C$3:$C$1002,AH165,'Alocação'!$F$3:$F$1002,AH$9,'Alocação'!$B$3:$B$1002,"&lt;="&amp;$B$6), "")</f>
        <v/>
      </c>
      <c r="AK165" s="243" t="str">
        <f>iferror(IF(AI165="Ações Americanas", HLOOKUP(AH165,'Histórico'!$A$1:$DD$990,MATCH($B$6,'Histórico'!$A:$A),FALSE)*HLOOKUP("PTAX",'Histórico'!$A$1:$FG$983,MATCH($B$6,'Histórico'!$A:$A),FALSE),IF(AI165="Ações Europeias", HLOOKUP(AH165,'Histórico'!$A$1:$DD$990,MATCH($B$6,'Histórico'!$A:$A),FALSE)*HLOOKUP("EUR/BRL",'Histórico'!$A$1:$FG$983,MATCH($B$6,'Histórico'!$A:$A),FALSE),  HLOOKUP(AH165,'Histórico'!$A$1:$DD$990,MATCH($B$6,'Histórico'!$A:$A),FALSE))),"")</f>
        <v/>
      </c>
      <c r="AL165" s="243" t="str">
        <f t="shared" si="11"/>
        <v/>
      </c>
      <c r="AM165" s="53"/>
      <c r="AN165" s="245"/>
      <c r="AO165" s="242" t="str">
        <f>IF(ISTEXT(AN165),VLOOKUP(AN165,'Cadastro dos Ativos'!$A$2:$C$1000,3,0),"")</f>
        <v/>
      </c>
      <c r="AP165" s="242" t="str">
        <f>IF(AN165 &lt;&gt; "",SUMIFS('Alocação'!$O$3:$O$1002,'Alocação'!$C$3:$C$1002,AN165,'Alocação'!$F$3:$F$1002,AN$9,'Alocação'!$B$3:$B$1002,"&lt;="&amp;$B$6), "")</f>
        <v/>
      </c>
      <c r="AQ165" s="243" t="str">
        <f>iferror(IF(AO165="Ações Americanas", HLOOKUP(AN165,'Histórico'!$A$1:$DD$990,MATCH($B$6,'Histórico'!$A:$A),FALSE)*HLOOKUP("PTAX",'Histórico'!$A$1:$FG$983,MATCH($B$6,'Histórico'!$A:$A),FALSE),IF(AO165="Ações Europeias", HLOOKUP(AN165,'Histórico'!$A$1:$DD$990,MATCH($B$6,'Histórico'!$A:$A),FALSE)*HLOOKUP("EUR/BRL",'Histórico'!$A$1:$FG$983,MATCH($B$6,'Histórico'!$A:$A),FALSE),  HLOOKUP(AN165,'Histórico'!$A$1:$DD$990,MATCH($B$6,'Histórico'!$A:$A),FALSE))),"")</f>
        <v/>
      </c>
      <c r="AR165" s="243" t="str">
        <f t="shared" si="12"/>
        <v/>
      </c>
      <c r="AS165" s="53"/>
      <c r="AT165" s="245"/>
      <c r="AU165" s="242" t="str">
        <f>IF(ISTEXT(AT165),VLOOKUP(AT165,'Cadastro dos Ativos'!$A$2:$C$1000,3,0),"")</f>
        <v/>
      </c>
      <c r="AV165" s="242" t="str">
        <f>IF(AT165 &lt;&gt; "",SUMIFS('Alocação'!$O$3:$O$1002,'Alocação'!$C$3:$C$1002,AT165,'Alocação'!$F$3:$F$1002,AT$9,'Alocação'!$B$3:$B$1002,"&lt;="&amp;$B$6), "")</f>
        <v/>
      </c>
      <c r="AW165" s="243" t="str">
        <f>iferror(IF(AU165="Ações Americanas", HLOOKUP(AT165,'Histórico'!$A$1:$DD$990,MATCH($B$6,'Histórico'!$A:$A),FALSE)*HLOOKUP("PTAX",'Histórico'!$A$1:$FG$983,MATCH($B$6,'Histórico'!$A:$A),FALSE),IF(AU165="Ações Europeias", HLOOKUP(AT165,'Histórico'!$A$1:$DD$990,MATCH($B$6,'Histórico'!$A:$A),FALSE)*HLOOKUP("EUR/BRL",'Histórico'!$A$1:$FG$983,MATCH($B$6,'Histórico'!$A:$A),FALSE),  HLOOKUP(AT165,'Histórico'!$A$1:$DD$990,MATCH($B$6,'Histórico'!$A:$A),FALSE))),"")</f>
        <v/>
      </c>
      <c r="AX165" s="243" t="str">
        <f t="shared" si="13"/>
        <v/>
      </c>
      <c r="AY165" s="53"/>
    </row>
    <row r="166" ht="15.75" customHeight="1">
      <c r="A166" s="176"/>
      <c r="B166" s="288">
        <f>Controle!B166</f>
        <v>45231</v>
      </c>
      <c r="C166" s="233" t="str">
        <f>Controle!C166</f>
        <v/>
      </c>
      <c r="D166" s="289" t="str">
        <f>Controle!D166</f>
        <v/>
      </c>
      <c r="E166" s="290"/>
      <c r="F166" s="291" t="str">
        <f>Controle!F166</f>
        <v/>
      </c>
      <c r="G166" s="289" t="str">
        <f>Controle!G166</f>
        <v/>
      </c>
      <c r="H166" s="290"/>
      <c r="I166" s="291" t="str">
        <f>Controle!I166</f>
        <v/>
      </c>
      <c r="J166" s="233" t="str">
        <f>Controle!J166</f>
        <v/>
      </c>
      <c r="K166" s="292"/>
      <c r="L166" s="233" t="str">
        <f>Controle!L166</f>
        <v/>
      </c>
      <c r="M166" s="233" t="str">
        <f>Controle!M166</f>
        <v/>
      </c>
      <c r="N166" s="235" t="str">
        <f>Controle!N166</f>
        <v/>
      </c>
      <c r="O166" s="235" t="str">
        <f>Controle!O166</f>
        <v/>
      </c>
      <c r="P166" s="235" t="str">
        <f>Controle!P166</f>
        <v/>
      </c>
      <c r="Q166" s="235" t="str">
        <f>Controle!Q166</f>
        <v/>
      </c>
      <c r="R166" s="293" t="str">
        <f>Controle!R166</f>
        <v/>
      </c>
      <c r="S166" s="287"/>
      <c r="T166" s="233" t="str">
        <f t="shared" ref="T166:U166" si="169">IF(AND(C166&lt;&gt;"",F166&lt;&gt;"",I166&lt;&gt;""), SUM(I166,F166,C166),"")</f>
        <v/>
      </c>
      <c r="U166" s="233" t="str">
        <f t="shared" si="169"/>
        <v/>
      </c>
      <c r="V166" s="233" t="str">
        <f t="shared" si="6"/>
        <v/>
      </c>
      <c r="W166" s="241" t="str">
        <f t="shared" si="9"/>
        <v/>
      </c>
      <c r="X166" s="241" t="str">
        <f t="shared" si="10"/>
        <v/>
      </c>
      <c r="Y166" s="241" t="str">
        <f t="shared" si="19"/>
        <v/>
      </c>
      <c r="Z166" s="233" t="str">
        <f t="shared" si="7"/>
        <v/>
      </c>
      <c r="AA166" s="294"/>
      <c r="AB166" s="245"/>
      <c r="AC166" s="242" t="str">
        <f>IF(ISTEXT(AB166),VLOOKUP(AB166,'Cadastro dos Ativos'!$A$2:$C$1000,3,0),"")</f>
        <v/>
      </c>
      <c r="AD166" s="242" t="str">
        <f>IF(AB166 &lt;&gt; "",SUMIFS('Alocação'!$O$3:$O$1002,'Alocação'!$C$3:$C$1002,AB166,'Alocação'!$F$3:$F$1002,AB$9,'Alocação'!$B$3:$B$1002,"&lt;="&amp;$B$6), "")</f>
        <v/>
      </c>
      <c r="AE166" s="243" t="str">
        <f>iferror(IF(AC166="Ações Americanas", HLOOKUP(AB166,'Histórico'!$A$1:$DD$990,MATCH($B$6,'Histórico'!$A:$A),FALSE)*HLOOKUP("PTAX",'Histórico'!$A$1:$FG$983,MATCH($B$6,'Histórico'!$A:$A),FALSE),IF(AC166="Ações Europeias", HLOOKUP(AB166,'Histórico'!$A$1:$DD$990,MATCH($B$6,'Histórico'!$A:$A),FALSE)*HLOOKUP("EUR/BRL",'Histórico'!$A$1:$FG$983,MATCH($B$6,'Histórico'!$A:$A),FALSE),  HLOOKUP(AB166,'Histórico'!$A$1:$DD$990,MATCH($B$6,'Histórico'!$A:$A),FALSE))),"")</f>
        <v/>
      </c>
      <c r="AF166" s="243" t="str">
        <f t="shared" si="15"/>
        <v/>
      </c>
      <c r="AG166" s="53"/>
      <c r="AH166" s="245"/>
      <c r="AI166" s="242" t="str">
        <f>IF(ISTEXT(AH166),VLOOKUP(AH166,'Cadastro dos Ativos'!$A$2:$C$1000,3,0),"")</f>
        <v/>
      </c>
      <c r="AJ166" s="242" t="str">
        <f>IF(AH166 &lt;&gt; "",SUMIFS('Alocação'!$O$3:$O$1002,'Alocação'!$C$3:$C$1002,AH166,'Alocação'!$F$3:$F$1002,AH$9,'Alocação'!$B$3:$B$1002,"&lt;="&amp;$B$6), "")</f>
        <v/>
      </c>
      <c r="AK166" s="243" t="str">
        <f>iferror(IF(AI166="Ações Americanas", HLOOKUP(AH166,'Histórico'!$A$1:$DD$990,MATCH($B$6,'Histórico'!$A:$A),FALSE)*HLOOKUP("PTAX",'Histórico'!$A$1:$FG$983,MATCH($B$6,'Histórico'!$A:$A),FALSE),IF(AI166="Ações Europeias", HLOOKUP(AH166,'Histórico'!$A$1:$DD$990,MATCH($B$6,'Histórico'!$A:$A),FALSE)*HLOOKUP("EUR/BRL",'Histórico'!$A$1:$FG$983,MATCH($B$6,'Histórico'!$A:$A),FALSE),  HLOOKUP(AH166,'Histórico'!$A$1:$DD$990,MATCH($B$6,'Histórico'!$A:$A),FALSE))),"")</f>
        <v/>
      </c>
      <c r="AL166" s="243" t="str">
        <f t="shared" si="11"/>
        <v/>
      </c>
      <c r="AM166" s="53"/>
      <c r="AN166" s="245"/>
      <c r="AO166" s="242" t="str">
        <f>IF(ISTEXT(AN166),VLOOKUP(AN166,'Cadastro dos Ativos'!$A$2:$C$1000,3,0),"")</f>
        <v/>
      </c>
      <c r="AP166" s="242" t="str">
        <f>IF(AN166 &lt;&gt; "",SUMIFS('Alocação'!$O$3:$O$1002,'Alocação'!$C$3:$C$1002,AN166,'Alocação'!$F$3:$F$1002,AN$9,'Alocação'!$B$3:$B$1002,"&lt;="&amp;$B$6), "")</f>
        <v/>
      </c>
      <c r="AQ166" s="243" t="str">
        <f>iferror(IF(AO166="Ações Americanas", HLOOKUP(AN166,'Histórico'!$A$1:$DD$990,MATCH($B$6,'Histórico'!$A:$A),FALSE)*HLOOKUP("PTAX",'Histórico'!$A$1:$FG$983,MATCH($B$6,'Histórico'!$A:$A),FALSE),IF(AO166="Ações Europeias", HLOOKUP(AN166,'Histórico'!$A$1:$DD$990,MATCH($B$6,'Histórico'!$A:$A),FALSE)*HLOOKUP("EUR/BRL",'Histórico'!$A$1:$FG$983,MATCH($B$6,'Histórico'!$A:$A),FALSE),  HLOOKUP(AN166,'Histórico'!$A$1:$DD$990,MATCH($B$6,'Histórico'!$A:$A),FALSE))),"")</f>
        <v/>
      </c>
      <c r="AR166" s="243" t="str">
        <f t="shared" si="12"/>
        <v/>
      </c>
      <c r="AS166" s="53"/>
      <c r="AT166" s="245"/>
      <c r="AU166" s="242" t="str">
        <f>IF(ISTEXT(AT166),VLOOKUP(AT166,'Cadastro dos Ativos'!$A$2:$C$1000,3,0),"")</f>
        <v/>
      </c>
      <c r="AV166" s="242" t="str">
        <f>IF(AT166 &lt;&gt; "",SUMIFS('Alocação'!$O$3:$O$1002,'Alocação'!$C$3:$C$1002,AT166,'Alocação'!$F$3:$F$1002,AT$9,'Alocação'!$B$3:$B$1002,"&lt;="&amp;$B$6), "")</f>
        <v/>
      </c>
      <c r="AW166" s="243" t="str">
        <f>iferror(IF(AU166="Ações Americanas", HLOOKUP(AT166,'Histórico'!$A$1:$DD$990,MATCH($B$6,'Histórico'!$A:$A),FALSE)*HLOOKUP("PTAX",'Histórico'!$A$1:$FG$983,MATCH($B$6,'Histórico'!$A:$A),FALSE),IF(AU166="Ações Europeias", HLOOKUP(AT166,'Histórico'!$A$1:$DD$990,MATCH($B$6,'Histórico'!$A:$A),FALSE)*HLOOKUP("EUR/BRL",'Histórico'!$A$1:$FG$983,MATCH($B$6,'Histórico'!$A:$A),FALSE),  HLOOKUP(AT166,'Histórico'!$A$1:$DD$990,MATCH($B$6,'Histórico'!$A:$A),FALSE))),"")</f>
        <v/>
      </c>
      <c r="AX166" s="243" t="str">
        <f t="shared" si="13"/>
        <v/>
      </c>
      <c r="AY166" s="53"/>
    </row>
    <row r="167" ht="15.75" customHeight="1">
      <c r="A167" s="176"/>
      <c r="B167" s="288">
        <f>Controle!B167</f>
        <v>45233</v>
      </c>
      <c r="C167" s="233" t="str">
        <f>Controle!C167</f>
        <v/>
      </c>
      <c r="D167" s="289" t="str">
        <f>Controle!D167</f>
        <v/>
      </c>
      <c r="E167" s="290"/>
      <c r="F167" s="291" t="str">
        <f>Controle!F167</f>
        <v/>
      </c>
      <c r="G167" s="289" t="str">
        <f>Controle!G167</f>
        <v/>
      </c>
      <c r="H167" s="290"/>
      <c r="I167" s="291" t="str">
        <f>Controle!I167</f>
        <v/>
      </c>
      <c r="J167" s="233" t="str">
        <f>Controle!J167</f>
        <v/>
      </c>
      <c r="K167" s="292"/>
      <c r="L167" s="233" t="str">
        <f>Controle!L167</f>
        <v/>
      </c>
      <c r="M167" s="233" t="str">
        <f>Controle!M167</f>
        <v/>
      </c>
      <c r="N167" s="235" t="str">
        <f>Controle!N167</f>
        <v/>
      </c>
      <c r="O167" s="235" t="str">
        <f>Controle!O167</f>
        <v/>
      </c>
      <c r="P167" s="235" t="str">
        <f>Controle!P167</f>
        <v/>
      </c>
      <c r="Q167" s="235" t="str">
        <f>Controle!Q167</f>
        <v/>
      </c>
      <c r="R167" s="293" t="str">
        <f>Controle!R167</f>
        <v/>
      </c>
      <c r="S167" s="287"/>
      <c r="T167" s="233" t="str">
        <f t="shared" ref="T167:U167" si="170">IF(AND(C167&lt;&gt;"",F167&lt;&gt;"",I167&lt;&gt;""), SUM(I167,F167,C167),"")</f>
        <v/>
      </c>
      <c r="U167" s="233" t="str">
        <f t="shared" si="170"/>
        <v/>
      </c>
      <c r="V167" s="233" t="str">
        <f t="shared" si="6"/>
        <v/>
      </c>
      <c r="W167" s="241" t="str">
        <f t="shared" si="9"/>
        <v/>
      </c>
      <c r="X167" s="241" t="str">
        <f t="shared" si="10"/>
        <v/>
      </c>
      <c r="Y167" s="241" t="str">
        <f t="shared" si="19"/>
        <v/>
      </c>
      <c r="Z167" s="233" t="str">
        <f t="shared" si="7"/>
        <v/>
      </c>
      <c r="AA167" s="294"/>
      <c r="AB167" s="245"/>
      <c r="AC167" s="242" t="str">
        <f>IF(ISTEXT(AB167),VLOOKUP(AB167,'Cadastro dos Ativos'!$A$2:$C$1000,3,0),"")</f>
        <v/>
      </c>
      <c r="AD167" s="242" t="str">
        <f>IF(AB167 &lt;&gt; "",SUMIFS('Alocação'!$O$3:$O$1002,'Alocação'!$C$3:$C$1002,AB167,'Alocação'!$F$3:$F$1002,AB$9,'Alocação'!$B$3:$B$1002,"&lt;="&amp;$B$6), "")</f>
        <v/>
      </c>
      <c r="AE167" s="243" t="str">
        <f>iferror(IF(AC167="Ações Americanas", HLOOKUP(AB167,'Histórico'!$A$1:$DD$990,MATCH($B$6,'Histórico'!$A:$A),FALSE)*HLOOKUP("PTAX",'Histórico'!$A$1:$FG$983,MATCH($B$6,'Histórico'!$A:$A),FALSE),IF(AC167="Ações Europeias", HLOOKUP(AB167,'Histórico'!$A$1:$DD$990,MATCH($B$6,'Histórico'!$A:$A),FALSE)*HLOOKUP("EUR/BRL",'Histórico'!$A$1:$FG$983,MATCH($B$6,'Histórico'!$A:$A),FALSE),  HLOOKUP(AB167,'Histórico'!$A$1:$DD$990,MATCH($B$6,'Histórico'!$A:$A),FALSE))),"")</f>
        <v/>
      </c>
      <c r="AF167" s="243" t="str">
        <f t="shared" si="15"/>
        <v/>
      </c>
      <c r="AG167" s="53"/>
      <c r="AH167" s="245"/>
      <c r="AI167" s="242" t="str">
        <f>IF(ISTEXT(AH167),VLOOKUP(AH167,'Cadastro dos Ativos'!$A$2:$C$1000,3,0),"")</f>
        <v/>
      </c>
      <c r="AJ167" s="242" t="str">
        <f>IF(AH167 &lt;&gt; "",SUMIFS('Alocação'!$O$3:$O$1002,'Alocação'!$C$3:$C$1002,AH167,'Alocação'!$F$3:$F$1002,AH$9,'Alocação'!$B$3:$B$1002,"&lt;="&amp;$B$6), "")</f>
        <v/>
      </c>
      <c r="AK167" s="243" t="str">
        <f>iferror(IF(AI167="Ações Americanas", HLOOKUP(AH167,'Histórico'!$A$1:$DD$990,MATCH($B$6,'Histórico'!$A:$A),FALSE)*HLOOKUP("PTAX",'Histórico'!$A$1:$FG$983,MATCH($B$6,'Histórico'!$A:$A),FALSE),IF(AI167="Ações Europeias", HLOOKUP(AH167,'Histórico'!$A$1:$DD$990,MATCH($B$6,'Histórico'!$A:$A),FALSE)*HLOOKUP("EUR/BRL",'Histórico'!$A$1:$FG$983,MATCH($B$6,'Histórico'!$A:$A),FALSE),  HLOOKUP(AH167,'Histórico'!$A$1:$DD$990,MATCH($B$6,'Histórico'!$A:$A),FALSE))),"")</f>
        <v/>
      </c>
      <c r="AL167" s="243" t="str">
        <f t="shared" si="11"/>
        <v/>
      </c>
      <c r="AM167" s="53"/>
      <c r="AN167" s="245"/>
      <c r="AO167" s="242" t="str">
        <f>IF(ISTEXT(AN167),VLOOKUP(AN167,'Cadastro dos Ativos'!$A$2:$C$1000,3,0),"")</f>
        <v/>
      </c>
      <c r="AP167" s="242" t="str">
        <f>IF(AN167 &lt;&gt; "",SUMIFS('Alocação'!$O$3:$O$1002,'Alocação'!$C$3:$C$1002,AN167,'Alocação'!$F$3:$F$1002,AN$9,'Alocação'!$B$3:$B$1002,"&lt;="&amp;$B$6), "")</f>
        <v/>
      </c>
      <c r="AQ167" s="243" t="str">
        <f>iferror(IF(AO167="Ações Americanas", HLOOKUP(AN167,'Histórico'!$A$1:$DD$990,MATCH($B$6,'Histórico'!$A:$A),FALSE)*HLOOKUP("PTAX",'Histórico'!$A$1:$FG$983,MATCH($B$6,'Histórico'!$A:$A),FALSE),IF(AO167="Ações Europeias", HLOOKUP(AN167,'Histórico'!$A$1:$DD$990,MATCH($B$6,'Histórico'!$A:$A),FALSE)*HLOOKUP("EUR/BRL",'Histórico'!$A$1:$FG$983,MATCH($B$6,'Histórico'!$A:$A),FALSE),  HLOOKUP(AN167,'Histórico'!$A$1:$DD$990,MATCH($B$6,'Histórico'!$A:$A),FALSE))),"")</f>
        <v/>
      </c>
      <c r="AR167" s="243" t="str">
        <f t="shared" si="12"/>
        <v/>
      </c>
      <c r="AS167" s="53"/>
      <c r="AT167" s="245"/>
      <c r="AU167" s="242" t="str">
        <f>IF(ISTEXT(AT167),VLOOKUP(AT167,'Cadastro dos Ativos'!$A$2:$C$1000,3,0),"")</f>
        <v/>
      </c>
      <c r="AV167" s="242" t="str">
        <f>IF(AT167 &lt;&gt; "",SUMIFS('Alocação'!$O$3:$O$1002,'Alocação'!$C$3:$C$1002,AT167,'Alocação'!$F$3:$F$1002,AT$9,'Alocação'!$B$3:$B$1002,"&lt;="&amp;$B$6), "")</f>
        <v/>
      </c>
      <c r="AW167" s="243" t="str">
        <f>iferror(IF(AU167="Ações Americanas", HLOOKUP(AT167,'Histórico'!$A$1:$DD$990,MATCH($B$6,'Histórico'!$A:$A),FALSE)*HLOOKUP("PTAX",'Histórico'!$A$1:$FG$983,MATCH($B$6,'Histórico'!$A:$A),FALSE),IF(AU167="Ações Europeias", HLOOKUP(AT167,'Histórico'!$A$1:$DD$990,MATCH($B$6,'Histórico'!$A:$A),FALSE)*HLOOKUP("EUR/BRL",'Histórico'!$A$1:$FG$983,MATCH($B$6,'Histórico'!$A:$A),FALSE),  HLOOKUP(AT167,'Histórico'!$A$1:$DD$990,MATCH($B$6,'Histórico'!$A:$A),FALSE))),"")</f>
        <v/>
      </c>
      <c r="AX167" s="243" t="str">
        <f t="shared" si="13"/>
        <v/>
      </c>
      <c r="AY167" s="53"/>
    </row>
    <row r="168" ht="15.75" customHeight="1">
      <c r="A168" s="176"/>
      <c r="B168" s="288">
        <f>Controle!B168</f>
        <v>45236</v>
      </c>
      <c r="C168" s="233" t="str">
        <f>Controle!C168</f>
        <v/>
      </c>
      <c r="D168" s="289" t="str">
        <f>Controle!D168</f>
        <v/>
      </c>
      <c r="E168" s="290"/>
      <c r="F168" s="291" t="str">
        <f>Controle!F168</f>
        <v/>
      </c>
      <c r="G168" s="289" t="str">
        <f>Controle!G168</f>
        <v/>
      </c>
      <c r="H168" s="290"/>
      <c r="I168" s="291" t="str">
        <f>Controle!I168</f>
        <v/>
      </c>
      <c r="J168" s="233" t="str">
        <f>Controle!J168</f>
        <v/>
      </c>
      <c r="K168" s="292"/>
      <c r="L168" s="233" t="str">
        <f>Controle!L168</f>
        <v/>
      </c>
      <c r="M168" s="233" t="str">
        <f>Controle!M168</f>
        <v/>
      </c>
      <c r="N168" s="235" t="str">
        <f>Controle!N168</f>
        <v/>
      </c>
      <c r="O168" s="235" t="str">
        <f>Controle!O168</f>
        <v/>
      </c>
      <c r="P168" s="235" t="str">
        <f>Controle!P168</f>
        <v/>
      </c>
      <c r="Q168" s="235" t="str">
        <f>Controle!Q168</f>
        <v/>
      </c>
      <c r="R168" s="293" t="str">
        <f>Controle!R168</f>
        <v/>
      </c>
      <c r="S168" s="287"/>
      <c r="T168" s="233" t="str">
        <f t="shared" ref="T168:U168" si="171">IF(AND(C168&lt;&gt;"",F168&lt;&gt;"",I168&lt;&gt;""), SUM(I168,F168,C168),"")</f>
        <v/>
      </c>
      <c r="U168" s="233" t="str">
        <f t="shared" si="171"/>
        <v/>
      </c>
      <c r="V168" s="233" t="str">
        <f t="shared" si="6"/>
        <v/>
      </c>
      <c r="W168" s="241" t="str">
        <f t="shared" si="9"/>
        <v/>
      </c>
      <c r="X168" s="241" t="str">
        <f t="shared" si="10"/>
        <v/>
      </c>
      <c r="Y168" s="241" t="str">
        <f t="shared" si="19"/>
        <v/>
      </c>
      <c r="Z168" s="233" t="str">
        <f t="shared" si="7"/>
        <v/>
      </c>
      <c r="AA168" s="294"/>
      <c r="AB168" s="245"/>
      <c r="AC168" s="242" t="str">
        <f>IF(ISTEXT(AB168),VLOOKUP(AB168,'Cadastro dos Ativos'!$A$2:$C$1000,3,0),"")</f>
        <v/>
      </c>
      <c r="AD168" s="242" t="str">
        <f>IF(AB168 &lt;&gt; "",SUMIFS('Alocação'!$O$3:$O$1002,'Alocação'!$C$3:$C$1002,AB168,'Alocação'!$F$3:$F$1002,AB$9,'Alocação'!$B$3:$B$1002,"&lt;="&amp;$B$6), "")</f>
        <v/>
      </c>
      <c r="AE168" s="243" t="str">
        <f>iferror(IF(AC168="Ações Americanas", HLOOKUP(AB168,'Histórico'!$A$1:$DD$990,MATCH($B$6,'Histórico'!$A:$A),FALSE)*HLOOKUP("PTAX",'Histórico'!$A$1:$FG$983,MATCH($B$6,'Histórico'!$A:$A),FALSE),IF(AC168="Ações Europeias", HLOOKUP(AB168,'Histórico'!$A$1:$DD$990,MATCH($B$6,'Histórico'!$A:$A),FALSE)*HLOOKUP("EUR/BRL",'Histórico'!$A$1:$FG$983,MATCH($B$6,'Histórico'!$A:$A),FALSE),  HLOOKUP(AB168,'Histórico'!$A$1:$DD$990,MATCH($B$6,'Histórico'!$A:$A),FALSE))),"")</f>
        <v/>
      </c>
      <c r="AF168" s="243" t="str">
        <f t="shared" si="15"/>
        <v/>
      </c>
      <c r="AG168" s="53"/>
      <c r="AH168" s="245"/>
      <c r="AI168" s="242" t="str">
        <f>IF(ISTEXT(AH168),VLOOKUP(AH168,'Cadastro dos Ativos'!$A$2:$C$1000,3,0),"")</f>
        <v/>
      </c>
      <c r="AJ168" s="242" t="str">
        <f>IF(AH168 &lt;&gt; "",SUMIFS('Alocação'!$O$3:$O$1002,'Alocação'!$C$3:$C$1002,AH168,'Alocação'!$F$3:$F$1002,AH$9,'Alocação'!$B$3:$B$1002,"&lt;="&amp;$B$6), "")</f>
        <v/>
      </c>
      <c r="AK168" s="243" t="str">
        <f>iferror(IF(AI168="Ações Americanas", HLOOKUP(AH168,'Histórico'!$A$1:$DD$990,MATCH($B$6,'Histórico'!$A:$A),FALSE)*HLOOKUP("PTAX",'Histórico'!$A$1:$FG$983,MATCH($B$6,'Histórico'!$A:$A),FALSE),IF(AI168="Ações Europeias", HLOOKUP(AH168,'Histórico'!$A$1:$DD$990,MATCH($B$6,'Histórico'!$A:$A),FALSE)*HLOOKUP("EUR/BRL",'Histórico'!$A$1:$FG$983,MATCH($B$6,'Histórico'!$A:$A),FALSE),  HLOOKUP(AH168,'Histórico'!$A$1:$DD$990,MATCH($B$6,'Histórico'!$A:$A),FALSE))),"")</f>
        <v/>
      </c>
      <c r="AL168" s="243" t="str">
        <f t="shared" si="11"/>
        <v/>
      </c>
      <c r="AM168" s="53"/>
      <c r="AN168" s="245"/>
      <c r="AO168" s="242" t="str">
        <f>IF(ISTEXT(AN168),VLOOKUP(AN168,'Cadastro dos Ativos'!$A$2:$C$1000,3,0),"")</f>
        <v/>
      </c>
      <c r="AP168" s="242" t="str">
        <f>IF(AN168 &lt;&gt; "",SUMIFS('Alocação'!$O$3:$O$1002,'Alocação'!$C$3:$C$1002,AN168,'Alocação'!$F$3:$F$1002,AN$9,'Alocação'!$B$3:$B$1002,"&lt;="&amp;$B$6), "")</f>
        <v/>
      </c>
      <c r="AQ168" s="243" t="str">
        <f>iferror(IF(AO168="Ações Americanas", HLOOKUP(AN168,'Histórico'!$A$1:$DD$990,MATCH($B$6,'Histórico'!$A:$A),FALSE)*HLOOKUP("PTAX",'Histórico'!$A$1:$FG$983,MATCH($B$6,'Histórico'!$A:$A),FALSE),IF(AO168="Ações Europeias", HLOOKUP(AN168,'Histórico'!$A$1:$DD$990,MATCH($B$6,'Histórico'!$A:$A),FALSE)*HLOOKUP("EUR/BRL",'Histórico'!$A$1:$FG$983,MATCH($B$6,'Histórico'!$A:$A),FALSE),  HLOOKUP(AN168,'Histórico'!$A$1:$DD$990,MATCH($B$6,'Histórico'!$A:$A),FALSE))),"")</f>
        <v/>
      </c>
      <c r="AR168" s="243" t="str">
        <f t="shared" si="12"/>
        <v/>
      </c>
      <c r="AS168" s="53"/>
      <c r="AT168" s="245"/>
      <c r="AU168" s="242" t="str">
        <f>IF(ISTEXT(AT168),VLOOKUP(AT168,'Cadastro dos Ativos'!$A$2:$C$1000,3,0),"")</f>
        <v/>
      </c>
      <c r="AV168" s="242" t="str">
        <f>IF(AT168 &lt;&gt; "",SUMIFS('Alocação'!$O$3:$O$1002,'Alocação'!$C$3:$C$1002,AT168,'Alocação'!$F$3:$F$1002,AT$9,'Alocação'!$B$3:$B$1002,"&lt;="&amp;$B$6), "")</f>
        <v/>
      </c>
      <c r="AW168" s="243" t="str">
        <f>iferror(IF(AU168="Ações Americanas", HLOOKUP(AT168,'Histórico'!$A$1:$DD$990,MATCH($B$6,'Histórico'!$A:$A),FALSE)*HLOOKUP("PTAX",'Histórico'!$A$1:$FG$983,MATCH($B$6,'Histórico'!$A:$A),FALSE),IF(AU168="Ações Europeias", HLOOKUP(AT168,'Histórico'!$A$1:$DD$990,MATCH($B$6,'Histórico'!$A:$A),FALSE)*HLOOKUP("EUR/BRL",'Histórico'!$A$1:$FG$983,MATCH($B$6,'Histórico'!$A:$A),FALSE),  HLOOKUP(AT168,'Histórico'!$A$1:$DD$990,MATCH($B$6,'Histórico'!$A:$A),FALSE))),"")</f>
        <v/>
      </c>
      <c r="AX168" s="243" t="str">
        <f t="shared" si="13"/>
        <v/>
      </c>
      <c r="AY168" s="53"/>
    </row>
    <row r="169" ht="15.75" customHeight="1">
      <c r="A169" s="176"/>
      <c r="B169" s="288">
        <f>Controle!B169</f>
        <v>45237</v>
      </c>
      <c r="C169" s="233" t="str">
        <f>Controle!C169</f>
        <v/>
      </c>
      <c r="D169" s="289" t="str">
        <f>Controle!D169</f>
        <v/>
      </c>
      <c r="E169" s="290"/>
      <c r="F169" s="291" t="str">
        <f>Controle!F169</f>
        <v/>
      </c>
      <c r="G169" s="289" t="str">
        <f>Controle!G169</f>
        <v/>
      </c>
      <c r="H169" s="290"/>
      <c r="I169" s="291" t="str">
        <f>Controle!I169</f>
        <v/>
      </c>
      <c r="J169" s="233" t="str">
        <f>Controle!J169</f>
        <v/>
      </c>
      <c r="K169" s="292"/>
      <c r="L169" s="233" t="str">
        <f>Controle!L169</f>
        <v/>
      </c>
      <c r="M169" s="233" t="str">
        <f>Controle!M169</f>
        <v/>
      </c>
      <c r="N169" s="235" t="str">
        <f>Controle!N169</f>
        <v/>
      </c>
      <c r="O169" s="235" t="str">
        <f>Controle!O169</f>
        <v/>
      </c>
      <c r="P169" s="235" t="str">
        <f>Controle!P169</f>
        <v/>
      </c>
      <c r="Q169" s="235" t="str">
        <f>Controle!Q169</f>
        <v/>
      </c>
      <c r="R169" s="293" t="str">
        <f>Controle!R169</f>
        <v/>
      </c>
      <c r="S169" s="287"/>
      <c r="T169" s="233" t="str">
        <f t="shared" ref="T169:U169" si="172">IF(AND(C169&lt;&gt;"",F169&lt;&gt;"",I169&lt;&gt;""), SUM(I169,F169,C169),"")</f>
        <v/>
      </c>
      <c r="U169" s="233" t="str">
        <f t="shared" si="172"/>
        <v/>
      </c>
      <c r="V169" s="233" t="str">
        <f t="shared" si="6"/>
        <v/>
      </c>
      <c r="W169" s="241" t="str">
        <f t="shared" si="9"/>
        <v/>
      </c>
      <c r="X169" s="241" t="str">
        <f t="shared" si="10"/>
        <v/>
      </c>
      <c r="Y169" s="241" t="str">
        <f t="shared" si="19"/>
        <v/>
      </c>
      <c r="Z169" s="233" t="str">
        <f t="shared" si="7"/>
        <v/>
      </c>
      <c r="AA169" s="294"/>
      <c r="AB169" s="245"/>
      <c r="AC169" s="242" t="str">
        <f>IF(ISTEXT(AB169),VLOOKUP(AB169,'Cadastro dos Ativos'!$A$2:$C$1000,3,0),"")</f>
        <v/>
      </c>
      <c r="AD169" s="242" t="str">
        <f>IF(AB169 &lt;&gt; "",SUMIFS('Alocação'!$O$3:$O$1002,'Alocação'!$C$3:$C$1002,AB169,'Alocação'!$F$3:$F$1002,AB$9,'Alocação'!$B$3:$B$1002,"&lt;="&amp;$B$6), "")</f>
        <v/>
      </c>
      <c r="AE169" s="243" t="str">
        <f>iferror(IF(AC169="Ações Americanas", HLOOKUP(AB169,'Histórico'!$A$1:$DD$990,MATCH($B$6,'Histórico'!$A:$A),FALSE)*HLOOKUP("PTAX",'Histórico'!$A$1:$FG$983,MATCH($B$6,'Histórico'!$A:$A),FALSE),IF(AC169="Ações Europeias", HLOOKUP(AB169,'Histórico'!$A$1:$DD$990,MATCH($B$6,'Histórico'!$A:$A),FALSE)*HLOOKUP("EUR/BRL",'Histórico'!$A$1:$FG$983,MATCH($B$6,'Histórico'!$A:$A),FALSE),  HLOOKUP(AB169,'Histórico'!$A$1:$DD$990,MATCH($B$6,'Histórico'!$A:$A),FALSE))),"")</f>
        <v/>
      </c>
      <c r="AF169" s="243" t="str">
        <f t="shared" si="15"/>
        <v/>
      </c>
      <c r="AG169" s="53"/>
      <c r="AH169" s="245"/>
      <c r="AI169" s="242" t="str">
        <f>IF(ISTEXT(AH169),VLOOKUP(AH169,'Cadastro dos Ativos'!$A$2:$C$1000,3,0),"")</f>
        <v/>
      </c>
      <c r="AJ169" s="242" t="str">
        <f>IF(AH169 &lt;&gt; "",SUMIFS('Alocação'!$O$3:$O$1002,'Alocação'!$C$3:$C$1002,AH169,'Alocação'!$F$3:$F$1002,AH$9,'Alocação'!$B$3:$B$1002,"&lt;="&amp;$B$6), "")</f>
        <v/>
      </c>
      <c r="AK169" s="243" t="str">
        <f>iferror(IF(AI169="Ações Americanas", HLOOKUP(AH169,'Histórico'!$A$1:$DD$990,MATCH($B$6,'Histórico'!$A:$A),FALSE)*HLOOKUP("PTAX",'Histórico'!$A$1:$FG$983,MATCH($B$6,'Histórico'!$A:$A),FALSE),IF(AI169="Ações Europeias", HLOOKUP(AH169,'Histórico'!$A$1:$DD$990,MATCH($B$6,'Histórico'!$A:$A),FALSE)*HLOOKUP("EUR/BRL",'Histórico'!$A$1:$FG$983,MATCH($B$6,'Histórico'!$A:$A),FALSE),  HLOOKUP(AH169,'Histórico'!$A$1:$DD$990,MATCH($B$6,'Histórico'!$A:$A),FALSE))),"")</f>
        <v/>
      </c>
      <c r="AL169" s="243" t="str">
        <f t="shared" si="11"/>
        <v/>
      </c>
      <c r="AM169" s="53"/>
      <c r="AN169" s="245"/>
      <c r="AO169" s="242" t="str">
        <f>IF(ISTEXT(AN169),VLOOKUP(AN169,'Cadastro dos Ativos'!$A$2:$C$1000,3,0),"")</f>
        <v/>
      </c>
      <c r="AP169" s="242" t="str">
        <f>IF(AN169 &lt;&gt; "",SUMIFS('Alocação'!$O$3:$O$1002,'Alocação'!$C$3:$C$1002,AN169,'Alocação'!$F$3:$F$1002,AN$9,'Alocação'!$B$3:$B$1002,"&lt;="&amp;$B$6), "")</f>
        <v/>
      </c>
      <c r="AQ169" s="243" t="str">
        <f>iferror(IF(AO169="Ações Americanas", HLOOKUP(AN169,'Histórico'!$A$1:$DD$990,MATCH($B$6,'Histórico'!$A:$A),FALSE)*HLOOKUP("PTAX",'Histórico'!$A$1:$FG$983,MATCH($B$6,'Histórico'!$A:$A),FALSE),IF(AO169="Ações Europeias", HLOOKUP(AN169,'Histórico'!$A$1:$DD$990,MATCH($B$6,'Histórico'!$A:$A),FALSE)*HLOOKUP("EUR/BRL",'Histórico'!$A$1:$FG$983,MATCH($B$6,'Histórico'!$A:$A),FALSE),  HLOOKUP(AN169,'Histórico'!$A$1:$DD$990,MATCH($B$6,'Histórico'!$A:$A),FALSE))),"")</f>
        <v/>
      </c>
      <c r="AR169" s="243" t="str">
        <f t="shared" si="12"/>
        <v/>
      </c>
      <c r="AS169" s="53"/>
      <c r="AT169" s="245"/>
      <c r="AU169" s="242" t="str">
        <f>IF(ISTEXT(AT169),VLOOKUP(AT169,'Cadastro dos Ativos'!$A$2:$C$1000,3,0),"")</f>
        <v/>
      </c>
      <c r="AV169" s="242" t="str">
        <f>IF(AT169 &lt;&gt; "",SUMIFS('Alocação'!$O$3:$O$1002,'Alocação'!$C$3:$C$1002,AT169,'Alocação'!$F$3:$F$1002,AT$9,'Alocação'!$B$3:$B$1002,"&lt;="&amp;$B$6), "")</f>
        <v/>
      </c>
      <c r="AW169" s="243" t="str">
        <f>iferror(IF(AU169="Ações Americanas", HLOOKUP(AT169,'Histórico'!$A$1:$DD$990,MATCH($B$6,'Histórico'!$A:$A),FALSE)*HLOOKUP("PTAX",'Histórico'!$A$1:$FG$983,MATCH($B$6,'Histórico'!$A:$A),FALSE),IF(AU169="Ações Europeias", HLOOKUP(AT169,'Histórico'!$A$1:$DD$990,MATCH($B$6,'Histórico'!$A:$A),FALSE)*HLOOKUP("EUR/BRL",'Histórico'!$A$1:$FG$983,MATCH($B$6,'Histórico'!$A:$A),FALSE),  HLOOKUP(AT169,'Histórico'!$A$1:$DD$990,MATCH($B$6,'Histórico'!$A:$A),FALSE))),"")</f>
        <v/>
      </c>
      <c r="AX169" s="243" t="str">
        <f t="shared" si="13"/>
        <v/>
      </c>
      <c r="AY169" s="53"/>
    </row>
    <row r="170" ht="15.75" customHeight="1">
      <c r="A170" s="176"/>
      <c r="B170" s="288">
        <f>Controle!B170</f>
        <v>45238</v>
      </c>
      <c r="C170" s="233" t="str">
        <f>Controle!C170</f>
        <v/>
      </c>
      <c r="D170" s="289" t="str">
        <f>Controle!D170</f>
        <v/>
      </c>
      <c r="E170" s="290"/>
      <c r="F170" s="291" t="str">
        <f>Controle!F170</f>
        <v/>
      </c>
      <c r="G170" s="289" t="str">
        <f>Controle!G170</f>
        <v/>
      </c>
      <c r="H170" s="290"/>
      <c r="I170" s="291" t="str">
        <f>Controle!I170</f>
        <v/>
      </c>
      <c r="J170" s="233" t="str">
        <f>Controle!J170</f>
        <v/>
      </c>
      <c r="K170" s="292"/>
      <c r="L170" s="233" t="str">
        <f>Controle!L170</f>
        <v/>
      </c>
      <c r="M170" s="233" t="str">
        <f>Controle!M170</f>
        <v/>
      </c>
      <c r="N170" s="235" t="str">
        <f>Controle!N170</f>
        <v/>
      </c>
      <c r="O170" s="235" t="str">
        <f>Controle!O170</f>
        <v/>
      </c>
      <c r="P170" s="235" t="str">
        <f>Controle!P170</f>
        <v/>
      </c>
      <c r="Q170" s="235" t="str">
        <f>Controle!Q170</f>
        <v/>
      </c>
      <c r="R170" s="293" t="str">
        <f>Controle!R170</f>
        <v/>
      </c>
      <c r="S170" s="287"/>
      <c r="T170" s="233" t="str">
        <f t="shared" ref="T170:U170" si="173">IF(AND(C170&lt;&gt;"",F170&lt;&gt;"",I170&lt;&gt;""), SUM(I170,F170,C170),"")</f>
        <v/>
      </c>
      <c r="U170" s="233" t="str">
        <f t="shared" si="173"/>
        <v/>
      </c>
      <c r="V170" s="233" t="str">
        <f t="shared" si="6"/>
        <v/>
      </c>
      <c r="W170" s="241" t="str">
        <f t="shared" si="9"/>
        <v/>
      </c>
      <c r="X170" s="241" t="str">
        <f t="shared" si="10"/>
        <v/>
      </c>
      <c r="Y170" s="241" t="str">
        <f t="shared" si="19"/>
        <v/>
      </c>
      <c r="Z170" s="233" t="str">
        <f t="shared" si="7"/>
        <v/>
      </c>
      <c r="AA170" s="294"/>
      <c r="AB170" s="245"/>
      <c r="AC170" s="242" t="str">
        <f>IF(ISTEXT(AB170),VLOOKUP(AB170,'Cadastro dos Ativos'!$A$2:$C$1000,3,0),"")</f>
        <v/>
      </c>
      <c r="AD170" s="242" t="str">
        <f>IF(AB170 &lt;&gt; "",SUMIFS('Alocação'!$O$3:$O$1002,'Alocação'!$C$3:$C$1002,AB170,'Alocação'!$F$3:$F$1002,AB$9,'Alocação'!$B$3:$B$1002,"&lt;="&amp;$B$6), "")</f>
        <v/>
      </c>
      <c r="AE170" s="243" t="str">
        <f>iferror(IF(AC170="Ações Americanas", HLOOKUP(AB170,'Histórico'!$A$1:$DD$990,MATCH($B$6,'Histórico'!$A:$A),FALSE)*HLOOKUP("PTAX",'Histórico'!$A$1:$FG$983,MATCH($B$6,'Histórico'!$A:$A),FALSE),IF(AC170="Ações Europeias", HLOOKUP(AB170,'Histórico'!$A$1:$DD$990,MATCH($B$6,'Histórico'!$A:$A),FALSE)*HLOOKUP("EUR/BRL",'Histórico'!$A$1:$FG$983,MATCH($B$6,'Histórico'!$A:$A),FALSE),  HLOOKUP(AB170,'Histórico'!$A$1:$DD$990,MATCH($B$6,'Histórico'!$A:$A),FALSE))),"")</f>
        <v/>
      </c>
      <c r="AF170" s="243" t="str">
        <f t="shared" si="15"/>
        <v/>
      </c>
      <c r="AG170" s="53"/>
      <c r="AH170" s="245"/>
      <c r="AI170" s="242" t="str">
        <f>IF(ISTEXT(AH170),VLOOKUP(AH170,'Cadastro dos Ativos'!$A$2:$C$1000,3,0),"")</f>
        <v/>
      </c>
      <c r="AJ170" s="242" t="str">
        <f>IF(AH170 &lt;&gt; "",SUMIFS('Alocação'!$O$3:$O$1002,'Alocação'!$C$3:$C$1002,AH170,'Alocação'!$F$3:$F$1002,AH$9,'Alocação'!$B$3:$B$1002,"&lt;="&amp;$B$6), "")</f>
        <v/>
      </c>
      <c r="AK170" s="243" t="str">
        <f>iferror(IF(AI170="Ações Americanas", HLOOKUP(AH170,'Histórico'!$A$1:$DD$990,MATCH($B$6,'Histórico'!$A:$A),FALSE)*HLOOKUP("PTAX",'Histórico'!$A$1:$FG$983,MATCH($B$6,'Histórico'!$A:$A),FALSE),IF(AI170="Ações Europeias", HLOOKUP(AH170,'Histórico'!$A$1:$DD$990,MATCH($B$6,'Histórico'!$A:$A),FALSE)*HLOOKUP("EUR/BRL",'Histórico'!$A$1:$FG$983,MATCH($B$6,'Histórico'!$A:$A),FALSE),  HLOOKUP(AH170,'Histórico'!$A$1:$DD$990,MATCH($B$6,'Histórico'!$A:$A),FALSE))),"")</f>
        <v/>
      </c>
      <c r="AL170" s="243" t="str">
        <f t="shared" si="11"/>
        <v/>
      </c>
      <c r="AM170" s="53"/>
      <c r="AN170" s="245"/>
      <c r="AO170" s="242" t="str">
        <f>IF(ISTEXT(AN170),VLOOKUP(AN170,'Cadastro dos Ativos'!$A$2:$C$1000,3,0),"")</f>
        <v/>
      </c>
      <c r="AP170" s="242" t="str">
        <f>IF(AN170 &lt;&gt; "",SUMIFS('Alocação'!$O$3:$O$1002,'Alocação'!$C$3:$C$1002,AN170,'Alocação'!$F$3:$F$1002,AN$9,'Alocação'!$B$3:$B$1002,"&lt;="&amp;$B$6), "")</f>
        <v/>
      </c>
      <c r="AQ170" s="243" t="str">
        <f>iferror(IF(AO170="Ações Americanas", HLOOKUP(AN170,'Histórico'!$A$1:$DD$990,MATCH($B$6,'Histórico'!$A:$A),FALSE)*HLOOKUP("PTAX",'Histórico'!$A$1:$FG$983,MATCH($B$6,'Histórico'!$A:$A),FALSE),IF(AO170="Ações Europeias", HLOOKUP(AN170,'Histórico'!$A$1:$DD$990,MATCH($B$6,'Histórico'!$A:$A),FALSE)*HLOOKUP("EUR/BRL",'Histórico'!$A$1:$FG$983,MATCH($B$6,'Histórico'!$A:$A),FALSE),  HLOOKUP(AN170,'Histórico'!$A$1:$DD$990,MATCH($B$6,'Histórico'!$A:$A),FALSE))),"")</f>
        <v/>
      </c>
      <c r="AR170" s="243" t="str">
        <f t="shared" si="12"/>
        <v/>
      </c>
      <c r="AS170" s="53"/>
      <c r="AT170" s="245"/>
      <c r="AU170" s="242" t="str">
        <f>IF(ISTEXT(AT170),VLOOKUP(AT170,'Cadastro dos Ativos'!$A$2:$C$1000,3,0),"")</f>
        <v/>
      </c>
      <c r="AV170" s="242" t="str">
        <f>IF(AT170 &lt;&gt; "",SUMIFS('Alocação'!$O$3:$O$1002,'Alocação'!$C$3:$C$1002,AT170,'Alocação'!$F$3:$F$1002,AT$9,'Alocação'!$B$3:$B$1002,"&lt;="&amp;$B$6), "")</f>
        <v/>
      </c>
      <c r="AW170" s="243" t="str">
        <f>iferror(IF(AU170="Ações Americanas", HLOOKUP(AT170,'Histórico'!$A$1:$DD$990,MATCH($B$6,'Histórico'!$A:$A),FALSE)*HLOOKUP("PTAX",'Histórico'!$A$1:$FG$983,MATCH($B$6,'Histórico'!$A:$A),FALSE),IF(AU170="Ações Europeias", HLOOKUP(AT170,'Histórico'!$A$1:$DD$990,MATCH($B$6,'Histórico'!$A:$A),FALSE)*HLOOKUP("EUR/BRL",'Histórico'!$A$1:$FG$983,MATCH($B$6,'Histórico'!$A:$A),FALSE),  HLOOKUP(AT170,'Histórico'!$A$1:$DD$990,MATCH($B$6,'Histórico'!$A:$A),FALSE))),"")</f>
        <v/>
      </c>
      <c r="AX170" s="243" t="str">
        <f t="shared" si="13"/>
        <v/>
      </c>
      <c r="AY170" s="53"/>
    </row>
    <row r="171" ht="15.75" customHeight="1">
      <c r="A171" s="176"/>
      <c r="B171" s="288">
        <f>Controle!B171</f>
        <v>45239</v>
      </c>
      <c r="C171" s="233" t="str">
        <f>Controle!C171</f>
        <v/>
      </c>
      <c r="D171" s="289" t="str">
        <f>Controle!D171</f>
        <v/>
      </c>
      <c r="E171" s="290"/>
      <c r="F171" s="291" t="str">
        <f>Controle!F171</f>
        <v/>
      </c>
      <c r="G171" s="289" t="str">
        <f>Controle!G171</f>
        <v/>
      </c>
      <c r="H171" s="290"/>
      <c r="I171" s="291" t="str">
        <f>Controle!I171</f>
        <v/>
      </c>
      <c r="J171" s="233" t="str">
        <f>Controle!J171</f>
        <v/>
      </c>
      <c r="K171" s="292"/>
      <c r="L171" s="233" t="str">
        <f>Controle!L171</f>
        <v/>
      </c>
      <c r="M171" s="233" t="str">
        <f>Controle!M171</f>
        <v/>
      </c>
      <c r="N171" s="235" t="str">
        <f>Controle!N171</f>
        <v/>
      </c>
      <c r="O171" s="235" t="str">
        <f>Controle!O171</f>
        <v/>
      </c>
      <c r="P171" s="235" t="str">
        <f>Controle!P171</f>
        <v/>
      </c>
      <c r="Q171" s="235" t="str">
        <f>Controle!Q171</f>
        <v/>
      </c>
      <c r="R171" s="293" t="str">
        <f>Controle!R171</f>
        <v/>
      </c>
      <c r="S171" s="287"/>
      <c r="T171" s="233" t="str">
        <f t="shared" ref="T171:U171" si="174">IF(AND(C171&lt;&gt;"",F171&lt;&gt;"",I171&lt;&gt;""), SUM(I171,F171,C171),"")</f>
        <v/>
      </c>
      <c r="U171" s="233" t="str">
        <f t="shared" si="174"/>
        <v/>
      </c>
      <c r="V171" s="233" t="str">
        <f t="shared" si="6"/>
        <v/>
      </c>
      <c r="W171" s="241" t="str">
        <f t="shared" si="9"/>
        <v/>
      </c>
      <c r="X171" s="241" t="str">
        <f t="shared" si="10"/>
        <v/>
      </c>
      <c r="Y171" s="241" t="str">
        <f t="shared" si="19"/>
        <v/>
      </c>
      <c r="Z171" s="233" t="str">
        <f t="shared" si="7"/>
        <v/>
      </c>
      <c r="AA171" s="294"/>
      <c r="AB171" s="245"/>
      <c r="AC171" s="242" t="str">
        <f>IF(ISTEXT(AB171),VLOOKUP(AB171,'Cadastro dos Ativos'!$A$2:$C$1000,3,0),"")</f>
        <v/>
      </c>
      <c r="AD171" s="242" t="str">
        <f>IF(AB171 &lt;&gt; "",SUMIFS('Alocação'!$O$3:$O$1002,'Alocação'!$C$3:$C$1002,AB171,'Alocação'!$F$3:$F$1002,AB$9,'Alocação'!$B$3:$B$1002,"&lt;="&amp;$B$6), "")</f>
        <v/>
      </c>
      <c r="AE171" s="243" t="str">
        <f>iferror(IF(AC171="Ações Americanas", HLOOKUP(AB171,'Histórico'!$A$1:$DD$990,MATCH($B$6,'Histórico'!$A:$A),FALSE)*HLOOKUP("PTAX",'Histórico'!$A$1:$FG$983,MATCH($B$6,'Histórico'!$A:$A),FALSE),IF(AC171="Ações Europeias", HLOOKUP(AB171,'Histórico'!$A$1:$DD$990,MATCH($B$6,'Histórico'!$A:$A),FALSE)*HLOOKUP("EUR/BRL",'Histórico'!$A$1:$FG$983,MATCH($B$6,'Histórico'!$A:$A),FALSE),  HLOOKUP(AB171,'Histórico'!$A$1:$DD$990,MATCH($B$6,'Histórico'!$A:$A),FALSE))),"")</f>
        <v/>
      </c>
      <c r="AF171" s="243" t="str">
        <f t="shared" si="15"/>
        <v/>
      </c>
      <c r="AG171" s="53"/>
      <c r="AH171" s="245"/>
      <c r="AI171" s="242" t="str">
        <f>IF(ISTEXT(AH171),VLOOKUP(AH171,'Cadastro dos Ativos'!$A$2:$C$1000,3,0),"")</f>
        <v/>
      </c>
      <c r="AJ171" s="242" t="str">
        <f>IF(AH171 &lt;&gt; "",SUMIFS('Alocação'!$O$3:$O$1002,'Alocação'!$C$3:$C$1002,AH171,'Alocação'!$F$3:$F$1002,AH$9,'Alocação'!$B$3:$B$1002,"&lt;="&amp;$B$6), "")</f>
        <v/>
      </c>
      <c r="AK171" s="243" t="str">
        <f>iferror(IF(AI171="Ações Americanas", HLOOKUP(AH171,'Histórico'!$A$1:$DD$990,MATCH($B$6,'Histórico'!$A:$A),FALSE)*HLOOKUP("PTAX",'Histórico'!$A$1:$FG$983,MATCH($B$6,'Histórico'!$A:$A),FALSE),IF(AI171="Ações Europeias", HLOOKUP(AH171,'Histórico'!$A$1:$DD$990,MATCH($B$6,'Histórico'!$A:$A),FALSE)*HLOOKUP("EUR/BRL",'Histórico'!$A$1:$FG$983,MATCH($B$6,'Histórico'!$A:$A),FALSE),  HLOOKUP(AH171,'Histórico'!$A$1:$DD$990,MATCH($B$6,'Histórico'!$A:$A),FALSE))),"")</f>
        <v/>
      </c>
      <c r="AL171" s="243" t="str">
        <f t="shared" si="11"/>
        <v/>
      </c>
      <c r="AM171" s="53"/>
      <c r="AN171" s="245"/>
      <c r="AO171" s="242" t="str">
        <f>IF(ISTEXT(AN171),VLOOKUP(AN171,'Cadastro dos Ativos'!$A$2:$C$1000,3,0),"")</f>
        <v/>
      </c>
      <c r="AP171" s="242" t="str">
        <f>IF(AN171 &lt;&gt; "",SUMIFS('Alocação'!$O$3:$O$1002,'Alocação'!$C$3:$C$1002,AN171,'Alocação'!$F$3:$F$1002,AN$9,'Alocação'!$B$3:$B$1002,"&lt;="&amp;$B$6), "")</f>
        <v/>
      </c>
      <c r="AQ171" s="243" t="str">
        <f>iferror(IF(AO171="Ações Americanas", HLOOKUP(AN171,'Histórico'!$A$1:$DD$990,MATCH($B$6,'Histórico'!$A:$A),FALSE)*HLOOKUP("PTAX",'Histórico'!$A$1:$FG$983,MATCH($B$6,'Histórico'!$A:$A),FALSE),IF(AO171="Ações Europeias", HLOOKUP(AN171,'Histórico'!$A$1:$DD$990,MATCH($B$6,'Histórico'!$A:$A),FALSE)*HLOOKUP("EUR/BRL",'Histórico'!$A$1:$FG$983,MATCH($B$6,'Histórico'!$A:$A),FALSE),  HLOOKUP(AN171,'Histórico'!$A$1:$DD$990,MATCH($B$6,'Histórico'!$A:$A),FALSE))),"")</f>
        <v/>
      </c>
      <c r="AR171" s="243" t="str">
        <f t="shared" si="12"/>
        <v/>
      </c>
      <c r="AS171" s="53"/>
      <c r="AT171" s="245"/>
      <c r="AU171" s="242" t="str">
        <f>IF(ISTEXT(AT171),VLOOKUP(AT171,'Cadastro dos Ativos'!$A$2:$C$1000,3,0),"")</f>
        <v/>
      </c>
      <c r="AV171" s="242" t="str">
        <f>IF(AT171 &lt;&gt; "",SUMIFS('Alocação'!$O$3:$O$1002,'Alocação'!$C$3:$C$1002,AT171,'Alocação'!$F$3:$F$1002,AT$9,'Alocação'!$B$3:$B$1002,"&lt;="&amp;$B$6), "")</f>
        <v/>
      </c>
      <c r="AW171" s="243" t="str">
        <f>iferror(IF(AU171="Ações Americanas", HLOOKUP(AT171,'Histórico'!$A$1:$DD$990,MATCH($B$6,'Histórico'!$A:$A),FALSE)*HLOOKUP("PTAX",'Histórico'!$A$1:$FG$983,MATCH($B$6,'Histórico'!$A:$A),FALSE),IF(AU171="Ações Europeias", HLOOKUP(AT171,'Histórico'!$A$1:$DD$990,MATCH($B$6,'Histórico'!$A:$A),FALSE)*HLOOKUP("EUR/BRL",'Histórico'!$A$1:$FG$983,MATCH($B$6,'Histórico'!$A:$A),FALSE),  HLOOKUP(AT171,'Histórico'!$A$1:$DD$990,MATCH($B$6,'Histórico'!$A:$A),FALSE))),"")</f>
        <v/>
      </c>
      <c r="AX171" s="243" t="str">
        <f t="shared" si="13"/>
        <v/>
      </c>
      <c r="AY171" s="53"/>
    </row>
    <row r="172" ht="15.75" customHeight="1">
      <c r="A172" s="176"/>
      <c r="B172" s="288">
        <f>Controle!B172</f>
        <v>45240</v>
      </c>
      <c r="C172" s="233" t="str">
        <f>Controle!C172</f>
        <v/>
      </c>
      <c r="D172" s="289" t="str">
        <f>Controle!D172</f>
        <v/>
      </c>
      <c r="E172" s="290"/>
      <c r="F172" s="291" t="str">
        <f>Controle!F172</f>
        <v/>
      </c>
      <c r="G172" s="289" t="str">
        <f>Controle!G172</f>
        <v/>
      </c>
      <c r="H172" s="290"/>
      <c r="I172" s="291" t="str">
        <f>Controle!I172</f>
        <v/>
      </c>
      <c r="J172" s="233" t="str">
        <f>Controle!J172</f>
        <v/>
      </c>
      <c r="K172" s="292"/>
      <c r="L172" s="233" t="str">
        <f>Controle!L172</f>
        <v/>
      </c>
      <c r="M172" s="233" t="str">
        <f>Controle!M172</f>
        <v/>
      </c>
      <c r="N172" s="235" t="str">
        <f>Controle!N172</f>
        <v/>
      </c>
      <c r="O172" s="235" t="str">
        <f>Controle!O172</f>
        <v/>
      </c>
      <c r="P172" s="235" t="str">
        <f>Controle!P172</f>
        <v/>
      </c>
      <c r="Q172" s="235" t="str">
        <f>Controle!Q172</f>
        <v/>
      </c>
      <c r="R172" s="293" t="str">
        <f>Controle!R172</f>
        <v/>
      </c>
      <c r="S172" s="287"/>
      <c r="T172" s="233" t="str">
        <f t="shared" ref="T172:U172" si="175">IF(AND(C172&lt;&gt;"",F172&lt;&gt;"",I172&lt;&gt;""), SUM(I172,F172,C172),"")</f>
        <v/>
      </c>
      <c r="U172" s="233" t="str">
        <f t="shared" si="175"/>
        <v/>
      </c>
      <c r="V172" s="233" t="str">
        <f t="shared" si="6"/>
        <v/>
      </c>
      <c r="W172" s="241" t="str">
        <f t="shared" si="9"/>
        <v/>
      </c>
      <c r="X172" s="241" t="str">
        <f t="shared" si="10"/>
        <v/>
      </c>
      <c r="Y172" s="241" t="str">
        <f t="shared" si="19"/>
        <v/>
      </c>
      <c r="Z172" s="233" t="str">
        <f t="shared" si="7"/>
        <v/>
      </c>
      <c r="AA172" s="294"/>
      <c r="AB172" s="245"/>
      <c r="AC172" s="242" t="str">
        <f>IF(ISTEXT(AB172),VLOOKUP(AB172,'Cadastro dos Ativos'!$A$2:$C$1000,3,0),"")</f>
        <v/>
      </c>
      <c r="AD172" s="242" t="str">
        <f>IF(AB172 &lt;&gt; "",SUMIFS('Alocação'!$O$3:$O$1002,'Alocação'!$C$3:$C$1002,AB172,'Alocação'!$F$3:$F$1002,AB$9,'Alocação'!$B$3:$B$1002,"&lt;="&amp;$B$6), "")</f>
        <v/>
      </c>
      <c r="AE172" s="243" t="str">
        <f>iferror(IF(AC172="Ações Americanas", HLOOKUP(AB172,'Histórico'!$A$1:$DD$990,MATCH($B$6,'Histórico'!$A:$A),FALSE)*HLOOKUP("PTAX",'Histórico'!$A$1:$FG$983,MATCH($B$6,'Histórico'!$A:$A),FALSE),IF(AC172="Ações Europeias", HLOOKUP(AB172,'Histórico'!$A$1:$DD$990,MATCH($B$6,'Histórico'!$A:$A),FALSE)*HLOOKUP("EUR/BRL",'Histórico'!$A$1:$FG$983,MATCH($B$6,'Histórico'!$A:$A),FALSE),  HLOOKUP(AB172,'Histórico'!$A$1:$DD$990,MATCH($B$6,'Histórico'!$A:$A),FALSE))),"")</f>
        <v/>
      </c>
      <c r="AF172" s="243" t="str">
        <f t="shared" si="15"/>
        <v/>
      </c>
      <c r="AG172" s="53"/>
      <c r="AH172" s="245"/>
      <c r="AI172" s="242" t="str">
        <f>IF(ISTEXT(AH172),VLOOKUP(AH172,'Cadastro dos Ativos'!$A$2:$C$1000,3,0),"")</f>
        <v/>
      </c>
      <c r="AJ172" s="242" t="str">
        <f>IF(AH172 &lt;&gt; "",SUMIFS('Alocação'!$O$3:$O$1002,'Alocação'!$C$3:$C$1002,AH172,'Alocação'!$F$3:$F$1002,AH$9,'Alocação'!$B$3:$B$1002,"&lt;="&amp;$B$6), "")</f>
        <v/>
      </c>
      <c r="AK172" s="243" t="str">
        <f>iferror(IF(AI172="Ações Americanas", HLOOKUP(AH172,'Histórico'!$A$1:$DD$990,MATCH($B$6,'Histórico'!$A:$A),FALSE)*HLOOKUP("PTAX",'Histórico'!$A$1:$FG$983,MATCH($B$6,'Histórico'!$A:$A),FALSE),IF(AI172="Ações Europeias", HLOOKUP(AH172,'Histórico'!$A$1:$DD$990,MATCH($B$6,'Histórico'!$A:$A),FALSE)*HLOOKUP("EUR/BRL",'Histórico'!$A$1:$FG$983,MATCH($B$6,'Histórico'!$A:$A),FALSE),  HLOOKUP(AH172,'Histórico'!$A$1:$DD$990,MATCH($B$6,'Histórico'!$A:$A),FALSE))),"")</f>
        <v/>
      </c>
      <c r="AL172" s="243" t="str">
        <f t="shared" si="11"/>
        <v/>
      </c>
      <c r="AM172" s="53"/>
      <c r="AN172" s="245"/>
      <c r="AO172" s="242" t="str">
        <f>IF(ISTEXT(AN172),VLOOKUP(AN172,'Cadastro dos Ativos'!$A$2:$C$1000,3,0),"")</f>
        <v/>
      </c>
      <c r="AP172" s="242" t="str">
        <f>IF(AN172 &lt;&gt; "",SUMIFS('Alocação'!$O$3:$O$1002,'Alocação'!$C$3:$C$1002,AN172,'Alocação'!$F$3:$F$1002,AN$9,'Alocação'!$B$3:$B$1002,"&lt;="&amp;$B$6), "")</f>
        <v/>
      </c>
      <c r="AQ172" s="243" t="str">
        <f>iferror(IF(AO172="Ações Americanas", HLOOKUP(AN172,'Histórico'!$A$1:$DD$990,MATCH($B$6,'Histórico'!$A:$A),FALSE)*HLOOKUP("PTAX",'Histórico'!$A$1:$FG$983,MATCH($B$6,'Histórico'!$A:$A),FALSE),IF(AO172="Ações Europeias", HLOOKUP(AN172,'Histórico'!$A$1:$DD$990,MATCH($B$6,'Histórico'!$A:$A),FALSE)*HLOOKUP("EUR/BRL",'Histórico'!$A$1:$FG$983,MATCH($B$6,'Histórico'!$A:$A),FALSE),  HLOOKUP(AN172,'Histórico'!$A$1:$DD$990,MATCH($B$6,'Histórico'!$A:$A),FALSE))),"")</f>
        <v/>
      </c>
      <c r="AR172" s="243" t="str">
        <f t="shared" si="12"/>
        <v/>
      </c>
      <c r="AS172" s="53"/>
      <c r="AT172" s="245"/>
      <c r="AU172" s="242" t="str">
        <f>IF(ISTEXT(AT172),VLOOKUP(AT172,'Cadastro dos Ativos'!$A$2:$C$1000,3,0),"")</f>
        <v/>
      </c>
      <c r="AV172" s="242" t="str">
        <f>IF(AT172 &lt;&gt; "",SUMIFS('Alocação'!$O$3:$O$1002,'Alocação'!$C$3:$C$1002,AT172,'Alocação'!$F$3:$F$1002,AT$9,'Alocação'!$B$3:$B$1002,"&lt;="&amp;$B$6), "")</f>
        <v/>
      </c>
      <c r="AW172" s="243" t="str">
        <f>iferror(IF(AU172="Ações Americanas", HLOOKUP(AT172,'Histórico'!$A$1:$DD$990,MATCH($B$6,'Histórico'!$A:$A),FALSE)*HLOOKUP("PTAX",'Histórico'!$A$1:$FG$983,MATCH($B$6,'Histórico'!$A:$A),FALSE),IF(AU172="Ações Europeias", HLOOKUP(AT172,'Histórico'!$A$1:$DD$990,MATCH($B$6,'Histórico'!$A:$A),FALSE)*HLOOKUP("EUR/BRL",'Histórico'!$A$1:$FG$983,MATCH($B$6,'Histórico'!$A:$A),FALSE),  HLOOKUP(AT172,'Histórico'!$A$1:$DD$990,MATCH($B$6,'Histórico'!$A:$A),FALSE))),"")</f>
        <v/>
      </c>
      <c r="AX172" s="243" t="str">
        <f t="shared" si="13"/>
        <v/>
      </c>
      <c r="AY172" s="53"/>
    </row>
    <row r="173" ht="15.75" customHeight="1">
      <c r="A173" s="176"/>
      <c r="B173" s="288">
        <f>Controle!B173</f>
        <v>45243</v>
      </c>
      <c r="C173" s="233" t="str">
        <f>Controle!C173</f>
        <v/>
      </c>
      <c r="D173" s="289" t="str">
        <f>Controle!D173</f>
        <v/>
      </c>
      <c r="E173" s="290"/>
      <c r="F173" s="291" t="str">
        <f>Controle!F173</f>
        <v/>
      </c>
      <c r="G173" s="289" t="str">
        <f>Controle!G173</f>
        <v/>
      </c>
      <c r="H173" s="290"/>
      <c r="I173" s="291" t="str">
        <f>Controle!I173</f>
        <v/>
      </c>
      <c r="J173" s="233" t="str">
        <f>Controle!J173</f>
        <v/>
      </c>
      <c r="K173" s="292"/>
      <c r="L173" s="233" t="str">
        <f>Controle!L173</f>
        <v/>
      </c>
      <c r="M173" s="233" t="str">
        <f>Controle!M173</f>
        <v/>
      </c>
      <c r="N173" s="235" t="str">
        <f>Controle!N173</f>
        <v/>
      </c>
      <c r="O173" s="235" t="str">
        <f>Controle!O173</f>
        <v/>
      </c>
      <c r="P173" s="235" t="str">
        <f>Controle!P173</f>
        <v/>
      </c>
      <c r="Q173" s="235" t="str">
        <f>Controle!Q173</f>
        <v/>
      </c>
      <c r="R173" s="293" t="str">
        <f>Controle!R173</f>
        <v/>
      </c>
      <c r="S173" s="287"/>
      <c r="T173" s="233" t="str">
        <f t="shared" ref="T173:U173" si="176">IF(AND(C173&lt;&gt;"",F173&lt;&gt;"",I173&lt;&gt;""), SUM(I173,F173,C173),"")</f>
        <v/>
      </c>
      <c r="U173" s="233" t="str">
        <f t="shared" si="176"/>
        <v/>
      </c>
      <c r="V173" s="233" t="str">
        <f t="shared" si="6"/>
        <v/>
      </c>
      <c r="W173" s="241" t="str">
        <f t="shared" si="9"/>
        <v/>
      </c>
      <c r="X173" s="241" t="str">
        <f t="shared" si="10"/>
        <v/>
      </c>
      <c r="Y173" s="241" t="str">
        <f t="shared" si="19"/>
        <v/>
      </c>
      <c r="Z173" s="233" t="str">
        <f t="shared" si="7"/>
        <v/>
      </c>
      <c r="AA173" s="294"/>
      <c r="AB173" s="245"/>
      <c r="AC173" s="242" t="str">
        <f>IF(ISTEXT(AB173),VLOOKUP(AB173,'Cadastro dos Ativos'!$A$2:$C$1000,3,0),"")</f>
        <v/>
      </c>
      <c r="AD173" s="242" t="str">
        <f>IF(AB173 &lt;&gt; "",SUMIFS('Alocação'!$O$3:$O$1002,'Alocação'!$C$3:$C$1002,AB173,'Alocação'!$F$3:$F$1002,AB$9,'Alocação'!$B$3:$B$1002,"&lt;="&amp;$B$6), "")</f>
        <v/>
      </c>
      <c r="AE173" s="243" t="str">
        <f>iferror(IF(AC173="Ações Americanas", HLOOKUP(AB173,'Histórico'!$A$1:$DD$990,MATCH($B$6,'Histórico'!$A:$A),FALSE)*HLOOKUP("PTAX",'Histórico'!$A$1:$FG$983,MATCH($B$6,'Histórico'!$A:$A),FALSE),IF(AC173="Ações Europeias", HLOOKUP(AB173,'Histórico'!$A$1:$DD$990,MATCH($B$6,'Histórico'!$A:$A),FALSE)*HLOOKUP("EUR/BRL",'Histórico'!$A$1:$FG$983,MATCH($B$6,'Histórico'!$A:$A),FALSE),  HLOOKUP(AB173,'Histórico'!$A$1:$DD$990,MATCH($B$6,'Histórico'!$A:$A),FALSE))),"")</f>
        <v/>
      </c>
      <c r="AF173" s="243" t="str">
        <f t="shared" si="15"/>
        <v/>
      </c>
      <c r="AG173" s="53"/>
      <c r="AH173" s="245"/>
      <c r="AI173" s="242" t="str">
        <f>IF(ISTEXT(AH173),VLOOKUP(AH173,'Cadastro dos Ativos'!$A$2:$C$1000,3,0),"")</f>
        <v/>
      </c>
      <c r="AJ173" s="242" t="str">
        <f>IF(AH173 &lt;&gt; "",SUMIFS('Alocação'!$O$3:$O$1002,'Alocação'!$C$3:$C$1002,AH173,'Alocação'!$F$3:$F$1002,AH$9,'Alocação'!$B$3:$B$1002,"&lt;="&amp;$B$6), "")</f>
        <v/>
      </c>
      <c r="AK173" s="243" t="str">
        <f>iferror(IF(AI173="Ações Americanas", HLOOKUP(AH173,'Histórico'!$A$1:$DD$990,MATCH($B$6,'Histórico'!$A:$A),FALSE)*HLOOKUP("PTAX",'Histórico'!$A$1:$FG$983,MATCH($B$6,'Histórico'!$A:$A),FALSE),IF(AI173="Ações Europeias", HLOOKUP(AH173,'Histórico'!$A$1:$DD$990,MATCH($B$6,'Histórico'!$A:$A),FALSE)*HLOOKUP("EUR/BRL",'Histórico'!$A$1:$FG$983,MATCH($B$6,'Histórico'!$A:$A),FALSE),  HLOOKUP(AH173,'Histórico'!$A$1:$DD$990,MATCH($B$6,'Histórico'!$A:$A),FALSE))),"")</f>
        <v/>
      </c>
      <c r="AL173" s="243" t="str">
        <f t="shared" si="11"/>
        <v/>
      </c>
      <c r="AM173" s="53"/>
      <c r="AN173" s="245"/>
      <c r="AO173" s="242" t="str">
        <f>IF(ISTEXT(AN173),VLOOKUP(AN173,'Cadastro dos Ativos'!$A$2:$C$1000,3,0),"")</f>
        <v/>
      </c>
      <c r="AP173" s="242" t="str">
        <f>IF(AN173 &lt;&gt; "",SUMIFS('Alocação'!$O$3:$O$1002,'Alocação'!$C$3:$C$1002,AN173,'Alocação'!$F$3:$F$1002,AN$9,'Alocação'!$B$3:$B$1002,"&lt;="&amp;$B$6), "")</f>
        <v/>
      </c>
      <c r="AQ173" s="243" t="str">
        <f>iferror(IF(AO173="Ações Americanas", HLOOKUP(AN173,'Histórico'!$A$1:$DD$990,MATCH($B$6,'Histórico'!$A:$A),FALSE)*HLOOKUP("PTAX",'Histórico'!$A$1:$FG$983,MATCH($B$6,'Histórico'!$A:$A),FALSE),IF(AO173="Ações Europeias", HLOOKUP(AN173,'Histórico'!$A$1:$DD$990,MATCH($B$6,'Histórico'!$A:$A),FALSE)*HLOOKUP("EUR/BRL",'Histórico'!$A$1:$FG$983,MATCH($B$6,'Histórico'!$A:$A),FALSE),  HLOOKUP(AN173,'Histórico'!$A$1:$DD$990,MATCH($B$6,'Histórico'!$A:$A),FALSE))),"")</f>
        <v/>
      </c>
      <c r="AR173" s="243" t="str">
        <f t="shared" si="12"/>
        <v/>
      </c>
      <c r="AS173" s="53"/>
      <c r="AT173" s="245"/>
      <c r="AU173" s="242" t="str">
        <f>IF(ISTEXT(AT173),VLOOKUP(AT173,'Cadastro dos Ativos'!$A$2:$C$1000,3,0),"")</f>
        <v/>
      </c>
      <c r="AV173" s="242" t="str">
        <f>IF(AT173 &lt;&gt; "",SUMIFS('Alocação'!$O$3:$O$1002,'Alocação'!$C$3:$C$1002,AT173,'Alocação'!$F$3:$F$1002,AT$9,'Alocação'!$B$3:$B$1002,"&lt;="&amp;$B$6), "")</f>
        <v/>
      </c>
      <c r="AW173" s="243" t="str">
        <f>iferror(IF(AU173="Ações Americanas", HLOOKUP(AT173,'Histórico'!$A$1:$DD$990,MATCH($B$6,'Histórico'!$A:$A),FALSE)*HLOOKUP("PTAX",'Histórico'!$A$1:$FG$983,MATCH($B$6,'Histórico'!$A:$A),FALSE),IF(AU173="Ações Europeias", HLOOKUP(AT173,'Histórico'!$A$1:$DD$990,MATCH($B$6,'Histórico'!$A:$A),FALSE)*HLOOKUP("EUR/BRL",'Histórico'!$A$1:$FG$983,MATCH($B$6,'Histórico'!$A:$A),FALSE),  HLOOKUP(AT173,'Histórico'!$A$1:$DD$990,MATCH($B$6,'Histórico'!$A:$A),FALSE))),"")</f>
        <v/>
      </c>
      <c r="AX173" s="243" t="str">
        <f t="shared" si="13"/>
        <v/>
      </c>
      <c r="AY173" s="53"/>
    </row>
    <row r="174" ht="15.75" customHeight="1">
      <c r="A174" s="176"/>
      <c r="B174" s="288">
        <f>Controle!B174</f>
        <v>45244</v>
      </c>
      <c r="C174" s="233" t="str">
        <f>Controle!C174</f>
        <v/>
      </c>
      <c r="D174" s="289" t="str">
        <f>Controle!D174</f>
        <v/>
      </c>
      <c r="E174" s="290"/>
      <c r="F174" s="291" t="str">
        <f>Controle!F174</f>
        <v/>
      </c>
      <c r="G174" s="289" t="str">
        <f>Controle!G174</f>
        <v/>
      </c>
      <c r="H174" s="290"/>
      <c r="I174" s="291" t="str">
        <f>Controle!I174</f>
        <v/>
      </c>
      <c r="J174" s="233" t="str">
        <f>Controle!J174</f>
        <v/>
      </c>
      <c r="K174" s="292"/>
      <c r="L174" s="233" t="str">
        <f>Controle!L174</f>
        <v/>
      </c>
      <c r="M174" s="233" t="str">
        <f>Controle!M174</f>
        <v/>
      </c>
      <c r="N174" s="235" t="str">
        <f>Controle!N174</f>
        <v/>
      </c>
      <c r="O174" s="235" t="str">
        <f>Controle!O174</f>
        <v/>
      </c>
      <c r="P174" s="235" t="str">
        <f>Controle!P174</f>
        <v/>
      </c>
      <c r="Q174" s="235" t="str">
        <f>Controle!Q174</f>
        <v/>
      </c>
      <c r="R174" s="293" t="str">
        <f>Controle!R174</f>
        <v/>
      </c>
      <c r="S174" s="287"/>
      <c r="T174" s="233" t="str">
        <f t="shared" ref="T174:U174" si="177">IF(AND(C174&lt;&gt;"",F174&lt;&gt;"",I174&lt;&gt;""), SUM(I174,F174,C174),"")</f>
        <v/>
      </c>
      <c r="U174" s="233" t="str">
        <f t="shared" si="177"/>
        <v/>
      </c>
      <c r="V174" s="233" t="str">
        <f t="shared" si="6"/>
        <v/>
      </c>
      <c r="W174" s="241" t="str">
        <f t="shared" si="9"/>
        <v/>
      </c>
      <c r="X174" s="241" t="str">
        <f t="shared" si="10"/>
        <v/>
      </c>
      <c r="Y174" s="241" t="str">
        <f t="shared" si="19"/>
        <v/>
      </c>
      <c r="Z174" s="233" t="str">
        <f t="shared" si="7"/>
        <v/>
      </c>
      <c r="AA174" s="294"/>
      <c r="AB174" s="245"/>
      <c r="AC174" s="242" t="str">
        <f>IF(ISTEXT(AB174),VLOOKUP(AB174,'Cadastro dos Ativos'!$A$2:$C$1000,3,0),"")</f>
        <v/>
      </c>
      <c r="AD174" s="242" t="str">
        <f>IF(AB174 &lt;&gt; "",SUMIFS('Alocação'!$O$3:$O$1002,'Alocação'!$C$3:$C$1002,AB174,'Alocação'!$F$3:$F$1002,AB$9,'Alocação'!$B$3:$B$1002,"&lt;="&amp;$B$6), "")</f>
        <v/>
      </c>
      <c r="AE174" s="243" t="str">
        <f>iferror(IF(AC174="Ações Americanas", HLOOKUP(AB174,'Histórico'!$A$1:$DD$990,MATCH($B$6,'Histórico'!$A:$A),FALSE)*HLOOKUP("PTAX",'Histórico'!$A$1:$FG$983,MATCH($B$6,'Histórico'!$A:$A),FALSE),IF(AC174="Ações Europeias", HLOOKUP(AB174,'Histórico'!$A$1:$DD$990,MATCH($B$6,'Histórico'!$A:$A),FALSE)*HLOOKUP("EUR/BRL",'Histórico'!$A$1:$FG$983,MATCH($B$6,'Histórico'!$A:$A),FALSE),  HLOOKUP(AB174,'Histórico'!$A$1:$DD$990,MATCH($B$6,'Histórico'!$A:$A),FALSE))),"")</f>
        <v/>
      </c>
      <c r="AF174" s="243" t="str">
        <f t="shared" si="15"/>
        <v/>
      </c>
      <c r="AG174" s="53"/>
      <c r="AH174" s="245"/>
      <c r="AI174" s="242" t="str">
        <f>IF(ISTEXT(AH174),VLOOKUP(AH174,'Cadastro dos Ativos'!$A$2:$C$1000,3,0),"")</f>
        <v/>
      </c>
      <c r="AJ174" s="242" t="str">
        <f>IF(AH174 &lt;&gt; "",SUMIFS('Alocação'!$O$3:$O$1002,'Alocação'!$C$3:$C$1002,AH174,'Alocação'!$F$3:$F$1002,AH$9,'Alocação'!$B$3:$B$1002,"&lt;="&amp;$B$6), "")</f>
        <v/>
      </c>
      <c r="AK174" s="243" t="str">
        <f>iferror(IF(AI174="Ações Americanas", HLOOKUP(AH174,'Histórico'!$A$1:$DD$990,MATCH($B$6,'Histórico'!$A:$A),FALSE)*HLOOKUP("PTAX",'Histórico'!$A$1:$FG$983,MATCH($B$6,'Histórico'!$A:$A),FALSE),IF(AI174="Ações Europeias", HLOOKUP(AH174,'Histórico'!$A$1:$DD$990,MATCH($B$6,'Histórico'!$A:$A),FALSE)*HLOOKUP("EUR/BRL",'Histórico'!$A$1:$FG$983,MATCH($B$6,'Histórico'!$A:$A),FALSE),  HLOOKUP(AH174,'Histórico'!$A$1:$DD$990,MATCH($B$6,'Histórico'!$A:$A),FALSE))),"")</f>
        <v/>
      </c>
      <c r="AL174" s="243" t="str">
        <f t="shared" si="11"/>
        <v/>
      </c>
      <c r="AM174" s="53"/>
      <c r="AN174" s="245"/>
      <c r="AO174" s="242" t="str">
        <f>IF(ISTEXT(AN174),VLOOKUP(AN174,'Cadastro dos Ativos'!$A$2:$C$1000,3,0),"")</f>
        <v/>
      </c>
      <c r="AP174" s="242" t="str">
        <f>IF(AN174 &lt;&gt; "",SUMIFS('Alocação'!$O$3:$O$1002,'Alocação'!$C$3:$C$1002,AN174,'Alocação'!$F$3:$F$1002,AN$9,'Alocação'!$B$3:$B$1002,"&lt;="&amp;$B$6), "")</f>
        <v/>
      </c>
      <c r="AQ174" s="243" t="str">
        <f>iferror(IF(AO174="Ações Americanas", HLOOKUP(AN174,'Histórico'!$A$1:$DD$990,MATCH($B$6,'Histórico'!$A:$A),FALSE)*HLOOKUP("PTAX",'Histórico'!$A$1:$FG$983,MATCH($B$6,'Histórico'!$A:$A),FALSE),IF(AO174="Ações Europeias", HLOOKUP(AN174,'Histórico'!$A$1:$DD$990,MATCH($B$6,'Histórico'!$A:$A),FALSE)*HLOOKUP("EUR/BRL",'Histórico'!$A$1:$FG$983,MATCH($B$6,'Histórico'!$A:$A),FALSE),  HLOOKUP(AN174,'Histórico'!$A$1:$DD$990,MATCH($B$6,'Histórico'!$A:$A),FALSE))),"")</f>
        <v/>
      </c>
      <c r="AR174" s="243" t="str">
        <f t="shared" si="12"/>
        <v/>
      </c>
      <c r="AS174" s="53"/>
      <c r="AT174" s="245"/>
      <c r="AU174" s="242" t="str">
        <f>IF(ISTEXT(AT174),VLOOKUP(AT174,'Cadastro dos Ativos'!$A$2:$C$1000,3,0),"")</f>
        <v/>
      </c>
      <c r="AV174" s="242" t="str">
        <f>IF(AT174 &lt;&gt; "",SUMIFS('Alocação'!$O$3:$O$1002,'Alocação'!$C$3:$C$1002,AT174,'Alocação'!$F$3:$F$1002,AT$9,'Alocação'!$B$3:$B$1002,"&lt;="&amp;$B$6), "")</f>
        <v/>
      </c>
      <c r="AW174" s="243" t="str">
        <f>iferror(IF(AU174="Ações Americanas", HLOOKUP(AT174,'Histórico'!$A$1:$DD$990,MATCH($B$6,'Histórico'!$A:$A),FALSE)*HLOOKUP("PTAX",'Histórico'!$A$1:$FG$983,MATCH($B$6,'Histórico'!$A:$A),FALSE),IF(AU174="Ações Europeias", HLOOKUP(AT174,'Histórico'!$A$1:$DD$990,MATCH($B$6,'Histórico'!$A:$A),FALSE)*HLOOKUP("EUR/BRL",'Histórico'!$A$1:$FG$983,MATCH($B$6,'Histórico'!$A:$A),FALSE),  HLOOKUP(AT174,'Histórico'!$A$1:$DD$990,MATCH($B$6,'Histórico'!$A:$A),FALSE))),"")</f>
        <v/>
      </c>
      <c r="AX174" s="243" t="str">
        <f t="shared" si="13"/>
        <v/>
      </c>
      <c r="AY174" s="53"/>
    </row>
    <row r="175" ht="15.75" customHeight="1">
      <c r="A175" s="176"/>
      <c r="B175" s="288">
        <f>Controle!B175</f>
        <v>45246</v>
      </c>
      <c r="C175" s="233" t="str">
        <f>Controle!C175</f>
        <v/>
      </c>
      <c r="D175" s="289" t="str">
        <f>Controle!D175</f>
        <v/>
      </c>
      <c r="E175" s="290"/>
      <c r="F175" s="291" t="str">
        <f>Controle!F175</f>
        <v/>
      </c>
      <c r="G175" s="289" t="str">
        <f>Controle!G175</f>
        <v/>
      </c>
      <c r="H175" s="290"/>
      <c r="I175" s="291" t="str">
        <f>Controle!I175</f>
        <v/>
      </c>
      <c r="J175" s="233" t="str">
        <f>Controle!J175</f>
        <v/>
      </c>
      <c r="K175" s="292"/>
      <c r="L175" s="233" t="str">
        <f>Controle!L175</f>
        <v/>
      </c>
      <c r="M175" s="233" t="str">
        <f>Controle!M175</f>
        <v/>
      </c>
      <c r="N175" s="235" t="str">
        <f>Controle!N175</f>
        <v/>
      </c>
      <c r="O175" s="235" t="str">
        <f>Controle!O175</f>
        <v/>
      </c>
      <c r="P175" s="235" t="str">
        <f>Controle!P175</f>
        <v/>
      </c>
      <c r="Q175" s="235" t="str">
        <f>Controle!Q175</f>
        <v/>
      </c>
      <c r="R175" s="293" t="str">
        <f>Controle!R175</f>
        <v/>
      </c>
      <c r="S175" s="287"/>
      <c r="T175" s="233" t="str">
        <f t="shared" ref="T175:U175" si="178">IF(AND(C175&lt;&gt;"",F175&lt;&gt;"",I175&lt;&gt;""), SUM(I175,F175,C175),"")</f>
        <v/>
      </c>
      <c r="U175" s="233" t="str">
        <f t="shared" si="178"/>
        <v/>
      </c>
      <c r="V175" s="233" t="str">
        <f t="shared" si="6"/>
        <v/>
      </c>
      <c r="W175" s="241" t="str">
        <f t="shared" si="9"/>
        <v/>
      </c>
      <c r="X175" s="241" t="str">
        <f t="shared" si="10"/>
        <v/>
      </c>
      <c r="Y175" s="241" t="str">
        <f t="shared" si="19"/>
        <v/>
      </c>
      <c r="Z175" s="233" t="str">
        <f t="shared" si="7"/>
        <v/>
      </c>
      <c r="AA175" s="294"/>
      <c r="AB175" s="245"/>
      <c r="AC175" s="242" t="str">
        <f>IF(ISTEXT(AB175),VLOOKUP(AB175,'Cadastro dos Ativos'!$A$2:$C$1000,3,0),"")</f>
        <v/>
      </c>
      <c r="AD175" s="242" t="str">
        <f>IF(AB175 &lt;&gt; "",SUMIFS('Alocação'!$O$3:$O$1002,'Alocação'!$C$3:$C$1002,AB175,'Alocação'!$F$3:$F$1002,AB$9,'Alocação'!$B$3:$B$1002,"&lt;="&amp;$B$6), "")</f>
        <v/>
      </c>
      <c r="AE175" s="243" t="str">
        <f>iferror(IF(AC175="Ações Americanas", HLOOKUP(AB175,'Histórico'!$A$1:$DD$990,MATCH($B$6,'Histórico'!$A:$A),FALSE)*HLOOKUP("PTAX",'Histórico'!$A$1:$FG$983,MATCH($B$6,'Histórico'!$A:$A),FALSE),IF(AC175="Ações Europeias", HLOOKUP(AB175,'Histórico'!$A$1:$DD$990,MATCH($B$6,'Histórico'!$A:$A),FALSE)*HLOOKUP("EUR/BRL",'Histórico'!$A$1:$FG$983,MATCH($B$6,'Histórico'!$A:$A),FALSE),  HLOOKUP(AB175,'Histórico'!$A$1:$DD$990,MATCH($B$6,'Histórico'!$A:$A),FALSE))),"")</f>
        <v/>
      </c>
      <c r="AF175" s="243" t="str">
        <f t="shared" si="15"/>
        <v/>
      </c>
      <c r="AG175" s="53"/>
      <c r="AH175" s="245"/>
      <c r="AI175" s="242" t="str">
        <f>IF(ISTEXT(AH175),VLOOKUP(AH175,'Cadastro dos Ativos'!$A$2:$C$1000,3,0),"")</f>
        <v/>
      </c>
      <c r="AJ175" s="242" t="str">
        <f>IF(AH175 &lt;&gt; "",SUMIFS('Alocação'!$O$3:$O$1002,'Alocação'!$C$3:$C$1002,AH175,'Alocação'!$F$3:$F$1002,AH$9,'Alocação'!$B$3:$B$1002,"&lt;="&amp;$B$6), "")</f>
        <v/>
      </c>
      <c r="AK175" s="243" t="str">
        <f>iferror(IF(AI175="Ações Americanas", HLOOKUP(AH175,'Histórico'!$A$1:$DD$990,MATCH($B$6,'Histórico'!$A:$A),FALSE)*HLOOKUP("PTAX",'Histórico'!$A$1:$FG$983,MATCH($B$6,'Histórico'!$A:$A),FALSE),IF(AI175="Ações Europeias", HLOOKUP(AH175,'Histórico'!$A$1:$DD$990,MATCH($B$6,'Histórico'!$A:$A),FALSE)*HLOOKUP("EUR/BRL",'Histórico'!$A$1:$FG$983,MATCH($B$6,'Histórico'!$A:$A),FALSE),  HLOOKUP(AH175,'Histórico'!$A$1:$DD$990,MATCH($B$6,'Histórico'!$A:$A),FALSE))),"")</f>
        <v/>
      </c>
      <c r="AL175" s="243" t="str">
        <f t="shared" si="11"/>
        <v/>
      </c>
      <c r="AM175" s="53"/>
      <c r="AN175" s="245"/>
      <c r="AO175" s="242" t="str">
        <f>IF(ISTEXT(AN175),VLOOKUP(AN175,'Cadastro dos Ativos'!$A$2:$C$1000,3,0),"")</f>
        <v/>
      </c>
      <c r="AP175" s="242" t="str">
        <f>IF(AN175 &lt;&gt; "",SUMIFS('Alocação'!$O$3:$O$1002,'Alocação'!$C$3:$C$1002,AN175,'Alocação'!$F$3:$F$1002,AN$9,'Alocação'!$B$3:$B$1002,"&lt;="&amp;$B$6), "")</f>
        <v/>
      </c>
      <c r="AQ175" s="243" t="str">
        <f>iferror(IF(AO175="Ações Americanas", HLOOKUP(AN175,'Histórico'!$A$1:$DD$990,MATCH($B$6,'Histórico'!$A:$A),FALSE)*HLOOKUP("PTAX",'Histórico'!$A$1:$FG$983,MATCH($B$6,'Histórico'!$A:$A),FALSE),IF(AO175="Ações Europeias", HLOOKUP(AN175,'Histórico'!$A$1:$DD$990,MATCH($B$6,'Histórico'!$A:$A),FALSE)*HLOOKUP("EUR/BRL",'Histórico'!$A$1:$FG$983,MATCH($B$6,'Histórico'!$A:$A),FALSE),  HLOOKUP(AN175,'Histórico'!$A$1:$DD$990,MATCH($B$6,'Histórico'!$A:$A),FALSE))),"")</f>
        <v/>
      </c>
      <c r="AR175" s="243" t="str">
        <f t="shared" si="12"/>
        <v/>
      </c>
      <c r="AS175" s="53"/>
      <c r="AT175" s="245"/>
      <c r="AU175" s="242" t="str">
        <f>IF(ISTEXT(AT175),VLOOKUP(AT175,'Cadastro dos Ativos'!$A$2:$C$1000,3,0),"")</f>
        <v/>
      </c>
      <c r="AV175" s="242" t="str">
        <f>IF(AT175 &lt;&gt; "",SUMIFS('Alocação'!$O$3:$O$1002,'Alocação'!$C$3:$C$1002,AT175,'Alocação'!$F$3:$F$1002,AT$9,'Alocação'!$B$3:$B$1002,"&lt;="&amp;$B$6), "")</f>
        <v/>
      </c>
      <c r="AW175" s="243" t="str">
        <f>iferror(IF(AU175="Ações Americanas", HLOOKUP(AT175,'Histórico'!$A$1:$DD$990,MATCH($B$6,'Histórico'!$A:$A),FALSE)*HLOOKUP("PTAX",'Histórico'!$A$1:$FG$983,MATCH($B$6,'Histórico'!$A:$A),FALSE),IF(AU175="Ações Europeias", HLOOKUP(AT175,'Histórico'!$A$1:$DD$990,MATCH($B$6,'Histórico'!$A:$A),FALSE)*HLOOKUP("EUR/BRL",'Histórico'!$A$1:$FG$983,MATCH($B$6,'Histórico'!$A:$A),FALSE),  HLOOKUP(AT175,'Histórico'!$A$1:$DD$990,MATCH($B$6,'Histórico'!$A:$A),FALSE))),"")</f>
        <v/>
      </c>
      <c r="AX175" s="243" t="str">
        <f t="shared" si="13"/>
        <v/>
      </c>
      <c r="AY175" s="53"/>
    </row>
    <row r="176" ht="15.75" customHeight="1">
      <c r="A176" s="176"/>
      <c r="B176" s="288">
        <f>Controle!B176</f>
        <v>45247</v>
      </c>
      <c r="C176" s="233" t="str">
        <f>Controle!C176</f>
        <v/>
      </c>
      <c r="D176" s="289" t="str">
        <f>Controle!D176</f>
        <v/>
      </c>
      <c r="E176" s="290"/>
      <c r="F176" s="291" t="str">
        <f>Controle!F176</f>
        <v/>
      </c>
      <c r="G176" s="289" t="str">
        <f>Controle!G176</f>
        <v/>
      </c>
      <c r="H176" s="290"/>
      <c r="I176" s="291" t="str">
        <f>Controle!I176</f>
        <v/>
      </c>
      <c r="J176" s="233" t="str">
        <f>Controle!J176</f>
        <v/>
      </c>
      <c r="K176" s="292"/>
      <c r="L176" s="233" t="str">
        <f>Controle!L176</f>
        <v/>
      </c>
      <c r="M176" s="233" t="str">
        <f>Controle!M176</f>
        <v/>
      </c>
      <c r="N176" s="235" t="str">
        <f>Controle!N176</f>
        <v/>
      </c>
      <c r="O176" s="235" t="str">
        <f>Controle!O176</f>
        <v/>
      </c>
      <c r="P176" s="235" t="str">
        <f>Controle!P176</f>
        <v/>
      </c>
      <c r="Q176" s="235" t="str">
        <f>Controle!Q176</f>
        <v/>
      </c>
      <c r="R176" s="293" t="str">
        <f>Controle!R176</f>
        <v/>
      </c>
      <c r="S176" s="287"/>
      <c r="T176" s="233" t="str">
        <f t="shared" ref="T176:U176" si="179">IF(AND(C176&lt;&gt;"",F176&lt;&gt;"",I176&lt;&gt;""), SUM(I176,F176,C176),"")</f>
        <v/>
      </c>
      <c r="U176" s="233" t="str">
        <f t="shared" si="179"/>
        <v/>
      </c>
      <c r="V176" s="233" t="str">
        <f t="shared" si="6"/>
        <v/>
      </c>
      <c r="W176" s="241" t="str">
        <f t="shared" si="9"/>
        <v/>
      </c>
      <c r="X176" s="241" t="str">
        <f t="shared" si="10"/>
        <v/>
      </c>
      <c r="Y176" s="241" t="str">
        <f t="shared" si="19"/>
        <v/>
      </c>
      <c r="Z176" s="233" t="str">
        <f t="shared" si="7"/>
        <v/>
      </c>
      <c r="AA176" s="294"/>
      <c r="AB176" s="245"/>
      <c r="AC176" s="242" t="str">
        <f>IF(ISTEXT(AB176),VLOOKUP(AB176,'Cadastro dos Ativos'!$A$2:$C$1000,3,0),"")</f>
        <v/>
      </c>
      <c r="AD176" s="242" t="str">
        <f>IF(AB176 &lt;&gt; "",SUMIFS('Alocação'!$O$3:$O$1002,'Alocação'!$C$3:$C$1002,AB176,'Alocação'!$F$3:$F$1002,AB$9,'Alocação'!$B$3:$B$1002,"&lt;="&amp;$B$6), "")</f>
        <v/>
      </c>
      <c r="AE176" s="243" t="str">
        <f>iferror(IF(AC176="Ações Americanas", HLOOKUP(AB176,'Histórico'!$A$1:$DD$990,MATCH($B$6,'Histórico'!$A:$A),FALSE)*HLOOKUP("PTAX",'Histórico'!$A$1:$FG$983,MATCH($B$6,'Histórico'!$A:$A),FALSE),IF(AC176="Ações Europeias", HLOOKUP(AB176,'Histórico'!$A$1:$DD$990,MATCH($B$6,'Histórico'!$A:$A),FALSE)*HLOOKUP("EUR/BRL",'Histórico'!$A$1:$FG$983,MATCH($B$6,'Histórico'!$A:$A),FALSE),  HLOOKUP(AB176,'Histórico'!$A$1:$DD$990,MATCH($B$6,'Histórico'!$A:$A),FALSE))),"")</f>
        <v/>
      </c>
      <c r="AF176" s="243" t="str">
        <f t="shared" si="15"/>
        <v/>
      </c>
      <c r="AG176" s="53"/>
      <c r="AH176" s="245"/>
      <c r="AI176" s="242" t="str">
        <f>IF(ISTEXT(AH176),VLOOKUP(AH176,'Cadastro dos Ativos'!$A$2:$C$1000,3,0),"")</f>
        <v/>
      </c>
      <c r="AJ176" s="242" t="str">
        <f>IF(AH176 &lt;&gt; "",SUMIFS('Alocação'!$O$3:$O$1002,'Alocação'!$C$3:$C$1002,AH176,'Alocação'!$F$3:$F$1002,AH$9,'Alocação'!$B$3:$B$1002,"&lt;="&amp;$B$6), "")</f>
        <v/>
      </c>
      <c r="AK176" s="243" t="str">
        <f>iferror(IF(AI176="Ações Americanas", HLOOKUP(AH176,'Histórico'!$A$1:$DD$990,MATCH($B$6,'Histórico'!$A:$A),FALSE)*HLOOKUP("PTAX",'Histórico'!$A$1:$FG$983,MATCH($B$6,'Histórico'!$A:$A),FALSE),IF(AI176="Ações Europeias", HLOOKUP(AH176,'Histórico'!$A$1:$DD$990,MATCH($B$6,'Histórico'!$A:$A),FALSE)*HLOOKUP("EUR/BRL",'Histórico'!$A$1:$FG$983,MATCH($B$6,'Histórico'!$A:$A),FALSE),  HLOOKUP(AH176,'Histórico'!$A$1:$DD$990,MATCH($B$6,'Histórico'!$A:$A),FALSE))),"")</f>
        <v/>
      </c>
      <c r="AL176" s="243" t="str">
        <f t="shared" si="11"/>
        <v/>
      </c>
      <c r="AM176" s="53"/>
      <c r="AN176" s="245"/>
      <c r="AO176" s="242" t="str">
        <f>IF(ISTEXT(AN176),VLOOKUP(AN176,'Cadastro dos Ativos'!$A$2:$C$1000,3,0),"")</f>
        <v/>
      </c>
      <c r="AP176" s="242" t="str">
        <f>IF(AN176 &lt;&gt; "",SUMIFS('Alocação'!$O$3:$O$1002,'Alocação'!$C$3:$C$1002,AN176,'Alocação'!$F$3:$F$1002,AN$9,'Alocação'!$B$3:$B$1002,"&lt;="&amp;$B$6), "")</f>
        <v/>
      </c>
      <c r="AQ176" s="243" t="str">
        <f>iferror(IF(AO176="Ações Americanas", HLOOKUP(AN176,'Histórico'!$A$1:$DD$990,MATCH($B$6,'Histórico'!$A:$A),FALSE)*HLOOKUP("PTAX",'Histórico'!$A$1:$FG$983,MATCH($B$6,'Histórico'!$A:$A),FALSE),IF(AO176="Ações Europeias", HLOOKUP(AN176,'Histórico'!$A$1:$DD$990,MATCH($B$6,'Histórico'!$A:$A),FALSE)*HLOOKUP("EUR/BRL",'Histórico'!$A$1:$FG$983,MATCH($B$6,'Histórico'!$A:$A),FALSE),  HLOOKUP(AN176,'Histórico'!$A$1:$DD$990,MATCH($B$6,'Histórico'!$A:$A),FALSE))),"")</f>
        <v/>
      </c>
      <c r="AR176" s="243" t="str">
        <f t="shared" si="12"/>
        <v/>
      </c>
      <c r="AS176" s="53"/>
      <c r="AT176" s="245"/>
      <c r="AU176" s="242" t="str">
        <f>IF(ISTEXT(AT176),VLOOKUP(AT176,'Cadastro dos Ativos'!$A$2:$C$1000,3,0),"")</f>
        <v/>
      </c>
      <c r="AV176" s="242" t="str">
        <f>IF(AT176 &lt;&gt; "",SUMIFS('Alocação'!$O$3:$O$1002,'Alocação'!$C$3:$C$1002,AT176,'Alocação'!$F$3:$F$1002,AT$9,'Alocação'!$B$3:$B$1002,"&lt;="&amp;$B$6), "")</f>
        <v/>
      </c>
      <c r="AW176" s="243" t="str">
        <f>iferror(IF(AU176="Ações Americanas", HLOOKUP(AT176,'Histórico'!$A$1:$DD$990,MATCH($B$6,'Histórico'!$A:$A),FALSE)*HLOOKUP("PTAX",'Histórico'!$A$1:$FG$983,MATCH($B$6,'Histórico'!$A:$A),FALSE),IF(AU176="Ações Europeias", HLOOKUP(AT176,'Histórico'!$A$1:$DD$990,MATCH($B$6,'Histórico'!$A:$A),FALSE)*HLOOKUP("EUR/BRL",'Histórico'!$A$1:$FG$983,MATCH($B$6,'Histórico'!$A:$A),FALSE),  HLOOKUP(AT176,'Histórico'!$A$1:$DD$990,MATCH($B$6,'Histórico'!$A:$A),FALSE))),"")</f>
        <v/>
      </c>
      <c r="AX176" s="243" t="str">
        <f t="shared" si="13"/>
        <v/>
      </c>
      <c r="AY176" s="53"/>
    </row>
    <row r="177" ht="15.75" customHeight="1">
      <c r="A177" s="176"/>
      <c r="B177" s="288">
        <f>Controle!B177</f>
        <v>45250</v>
      </c>
      <c r="C177" s="233" t="str">
        <f>Controle!C177</f>
        <v/>
      </c>
      <c r="D177" s="289" t="str">
        <f>Controle!D177</f>
        <v/>
      </c>
      <c r="E177" s="290"/>
      <c r="F177" s="291" t="str">
        <f>Controle!F177</f>
        <v/>
      </c>
      <c r="G177" s="289" t="str">
        <f>Controle!G177</f>
        <v/>
      </c>
      <c r="H177" s="290"/>
      <c r="I177" s="291" t="str">
        <f>Controle!I177</f>
        <v/>
      </c>
      <c r="J177" s="233" t="str">
        <f>Controle!J177</f>
        <v/>
      </c>
      <c r="K177" s="292"/>
      <c r="L177" s="233" t="str">
        <f>Controle!L177</f>
        <v/>
      </c>
      <c r="M177" s="233" t="str">
        <f>Controle!M177</f>
        <v/>
      </c>
      <c r="N177" s="235" t="str">
        <f>Controle!N177</f>
        <v/>
      </c>
      <c r="O177" s="235" t="str">
        <f>Controle!O177</f>
        <v/>
      </c>
      <c r="P177" s="235" t="str">
        <f>Controle!P177</f>
        <v/>
      </c>
      <c r="Q177" s="235" t="str">
        <f>Controle!Q177</f>
        <v/>
      </c>
      <c r="R177" s="293" t="str">
        <f>Controle!R177</f>
        <v/>
      </c>
      <c r="S177" s="287"/>
      <c r="T177" s="233" t="str">
        <f t="shared" ref="T177:U177" si="180">IF(AND(C177&lt;&gt;"",F177&lt;&gt;"",I177&lt;&gt;""), SUM(I177,F177,C177),"")</f>
        <v/>
      </c>
      <c r="U177" s="233" t="str">
        <f t="shared" si="180"/>
        <v/>
      </c>
      <c r="V177" s="233" t="str">
        <f t="shared" si="6"/>
        <v/>
      </c>
      <c r="W177" s="241" t="str">
        <f t="shared" si="9"/>
        <v/>
      </c>
      <c r="X177" s="241" t="str">
        <f t="shared" si="10"/>
        <v/>
      </c>
      <c r="Y177" s="241" t="str">
        <f t="shared" si="19"/>
        <v/>
      </c>
      <c r="Z177" s="233" t="str">
        <f t="shared" si="7"/>
        <v/>
      </c>
      <c r="AA177" s="294"/>
      <c r="AB177" s="245"/>
      <c r="AC177" s="242" t="str">
        <f>IF(ISTEXT(AB177),VLOOKUP(AB177,'Cadastro dos Ativos'!$A$2:$C$1000,3,0),"")</f>
        <v/>
      </c>
      <c r="AD177" s="242" t="str">
        <f>IF(AB177 &lt;&gt; "",SUMIFS('Alocação'!$O$3:$O$1002,'Alocação'!$C$3:$C$1002,AB177,'Alocação'!$F$3:$F$1002,AB$9,'Alocação'!$B$3:$B$1002,"&lt;="&amp;$B$6), "")</f>
        <v/>
      </c>
      <c r="AE177" s="243" t="str">
        <f>iferror(IF(AC177="Ações Americanas", HLOOKUP(AB177,'Histórico'!$A$1:$DD$990,MATCH($B$6,'Histórico'!$A:$A),FALSE)*HLOOKUP("PTAX",'Histórico'!$A$1:$FG$983,MATCH($B$6,'Histórico'!$A:$A),FALSE),IF(AC177="Ações Europeias", HLOOKUP(AB177,'Histórico'!$A$1:$DD$990,MATCH($B$6,'Histórico'!$A:$A),FALSE)*HLOOKUP("EUR/BRL",'Histórico'!$A$1:$FG$983,MATCH($B$6,'Histórico'!$A:$A),FALSE),  HLOOKUP(AB177,'Histórico'!$A$1:$DD$990,MATCH($B$6,'Histórico'!$A:$A),FALSE))),"")</f>
        <v/>
      </c>
      <c r="AF177" s="243" t="str">
        <f t="shared" si="15"/>
        <v/>
      </c>
      <c r="AG177" s="53"/>
      <c r="AH177" s="245"/>
      <c r="AI177" s="242" t="str">
        <f>IF(ISTEXT(AH177),VLOOKUP(AH177,'Cadastro dos Ativos'!$A$2:$C$1000,3,0),"")</f>
        <v/>
      </c>
      <c r="AJ177" s="242" t="str">
        <f>IF(AH177 &lt;&gt; "",SUMIFS('Alocação'!$O$3:$O$1002,'Alocação'!$C$3:$C$1002,AH177,'Alocação'!$F$3:$F$1002,AH$9,'Alocação'!$B$3:$B$1002,"&lt;="&amp;$B$6), "")</f>
        <v/>
      </c>
      <c r="AK177" s="243" t="str">
        <f>iferror(IF(AI177="Ações Americanas", HLOOKUP(AH177,'Histórico'!$A$1:$DD$990,MATCH($B$6,'Histórico'!$A:$A),FALSE)*HLOOKUP("PTAX",'Histórico'!$A$1:$FG$983,MATCH($B$6,'Histórico'!$A:$A),FALSE),IF(AI177="Ações Europeias", HLOOKUP(AH177,'Histórico'!$A$1:$DD$990,MATCH($B$6,'Histórico'!$A:$A),FALSE)*HLOOKUP("EUR/BRL",'Histórico'!$A$1:$FG$983,MATCH($B$6,'Histórico'!$A:$A),FALSE),  HLOOKUP(AH177,'Histórico'!$A$1:$DD$990,MATCH($B$6,'Histórico'!$A:$A),FALSE))),"")</f>
        <v/>
      </c>
      <c r="AL177" s="243" t="str">
        <f t="shared" si="11"/>
        <v/>
      </c>
      <c r="AM177" s="53"/>
      <c r="AN177" s="245"/>
      <c r="AO177" s="242" t="str">
        <f>IF(ISTEXT(AN177),VLOOKUP(AN177,'Cadastro dos Ativos'!$A$2:$C$1000,3,0),"")</f>
        <v/>
      </c>
      <c r="AP177" s="242" t="str">
        <f>IF(AN177 &lt;&gt; "",SUMIFS('Alocação'!$O$3:$O$1002,'Alocação'!$C$3:$C$1002,AN177,'Alocação'!$F$3:$F$1002,AN$9,'Alocação'!$B$3:$B$1002,"&lt;="&amp;$B$6), "")</f>
        <v/>
      </c>
      <c r="AQ177" s="243" t="str">
        <f>iferror(IF(AO177="Ações Americanas", HLOOKUP(AN177,'Histórico'!$A$1:$DD$990,MATCH($B$6,'Histórico'!$A:$A),FALSE)*HLOOKUP("PTAX",'Histórico'!$A$1:$FG$983,MATCH($B$6,'Histórico'!$A:$A),FALSE),IF(AO177="Ações Europeias", HLOOKUP(AN177,'Histórico'!$A$1:$DD$990,MATCH($B$6,'Histórico'!$A:$A),FALSE)*HLOOKUP("EUR/BRL",'Histórico'!$A$1:$FG$983,MATCH($B$6,'Histórico'!$A:$A),FALSE),  HLOOKUP(AN177,'Histórico'!$A$1:$DD$990,MATCH($B$6,'Histórico'!$A:$A),FALSE))),"")</f>
        <v/>
      </c>
      <c r="AR177" s="243" t="str">
        <f t="shared" si="12"/>
        <v/>
      </c>
      <c r="AS177" s="53"/>
      <c r="AT177" s="245"/>
      <c r="AU177" s="242" t="str">
        <f>IF(ISTEXT(AT177),VLOOKUP(AT177,'Cadastro dos Ativos'!$A$2:$C$1000,3,0),"")</f>
        <v/>
      </c>
      <c r="AV177" s="242" t="str">
        <f>IF(AT177 &lt;&gt; "",SUMIFS('Alocação'!$O$3:$O$1002,'Alocação'!$C$3:$C$1002,AT177,'Alocação'!$F$3:$F$1002,AT$9,'Alocação'!$B$3:$B$1002,"&lt;="&amp;$B$6), "")</f>
        <v/>
      </c>
      <c r="AW177" s="243" t="str">
        <f>iferror(IF(AU177="Ações Americanas", HLOOKUP(AT177,'Histórico'!$A$1:$DD$990,MATCH($B$6,'Histórico'!$A:$A),FALSE)*HLOOKUP("PTAX",'Histórico'!$A$1:$FG$983,MATCH($B$6,'Histórico'!$A:$A),FALSE),IF(AU177="Ações Europeias", HLOOKUP(AT177,'Histórico'!$A$1:$DD$990,MATCH($B$6,'Histórico'!$A:$A),FALSE)*HLOOKUP("EUR/BRL",'Histórico'!$A$1:$FG$983,MATCH($B$6,'Histórico'!$A:$A),FALSE),  HLOOKUP(AT177,'Histórico'!$A$1:$DD$990,MATCH($B$6,'Histórico'!$A:$A),FALSE))),"")</f>
        <v/>
      </c>
      <c r="AX177" s="243" t="str">
        <f t="shared" si="13"/>
        <v/>
      </c>
      <c r="AY177" s="53"/>
    </row>
    <row r="178" ht="15.75" customHeight="1">
      <c r="A178" s="176"/>
      <c r="B178" s="288">
        <f>Controle!B178</f>
        <v>45251</v>
      </c>
      <c r="C178" s="233" t="str">
        <f>Controle!C178</f>
        <v/>
      </c>
      <c r="D178" s="289" t="str">
        <f>Controle!D178</f>
        <v/>
      </c>
      <c r="E178" s="290"/>
      <c r="F178" s="291" t="str">
        <f>Controle!F178</f>
        <v/>
      </c>
      <c r="G178" s="289" t="str">
        <f>Controle!G178</f>
        <v/>
      </c>
      <c r="H178" s="290"/>
      <c r="I178" s="291" t="str">
        <f>Controle!I178</f>
        <v/>
      </c>
      <c r="J178" s="233" t="str">
        <f>Controle!J178</f>
        <v/>
      </c>
      <c r="K178" s="292"/>
      <c r="L178" s="233" t="str">
        <f>Controle!L178</f>
        <v/>
      </c>
      <c r="M178" s="233" t="str">
        <f>Controle!M178</f>
        <v/>
      </c>
      <c r="N178" s="235" t="str">
        <f>Controle!N178</f>
        <v/>
      </c>
      <c r="O178" s="235" t="str">
        <f>Controle!O178</f>
        <v/>
      </c>
      <c r="P178" s="235" t="str">
        <f>Controle!P178</f>
        <v/>
      </c>
      <c r="Q178" s="235" t="str">
        <f>Controle!Q178</f>
        <v/>
      </c>
      <c r="R178" s="293" t="str">
        <f>Controle!R178</f>
        <v/>
      </c>
      <c r="S178" s="287"/>
      <c r="T178" s="233" t="str">
        <f t="shared" ref="T178:U178" si="181">IF(AND(C178&lt;&gt;"",F178&lt;&gt;"",I178&lt;&gt;""), SUM(I178,F178,C178),"")</f>
        <v/>
      </c>
      <c r="U178" s="233" t="str">
        <f t="shared" si="181"/>
        <v/>
      </c>
      <c r="V178" s="233" t="str">
        <f t="shared" si="6"/>
        <v/>
      </c>
      <c r="W178" s="241" t="str">
        <f t="shared" si="9"/>
        <v/>
      </c>
      <c r="X178" s="241" t="str">
        <f t="shared" si="10"/>
        <v/>
      </c>
      <c r="Y178" s="241" t="str">
        <f t="shared" si="19"/>
        <v/>
      </c>
      <c r="Z178" s="233" t="str">
        <f t="shared" si="7"/>
        <v/>
      </c>
      <c r="AA178" s="294"/>
      <c r="AB178" s="245"/>
      <c r="AC178" s="242" t="str">
        <f>IF(ISTEXT(AB178),VLOOKUP(AB178,'Cadastro dos Ativos'!$A$2:$C$1000,3,0),"")</f>
        <v/>
      </c>
      <c r="AD178" s="242" t="str">
        <f>IF(AB178 &lt;&gt; "",SUMIFS('Alocação'!$O$3:$O$1002,'Alocação'!$C$3:$C$1002,AB178,'Alocação'!$F$3:$F$1002,AB$9,'Alocação'!$B$3:$B$1002,"&lt;="&amp;$B$6), "")</f>
        <v/>
      </c>
      <c r="AE178" s="243" t="str">
        <f>iferror(IF(AC178="Ações Americanas", HLOOKUP(AB178,'Histórico'!$A$1:$DD$990,MATCH($B$6,'Histórico'!$A:$A),FALSE)*HLOOKUP("PTAX",'Histórico'!$A$1:$FG$983,MATCH($B$6,'Histórico'!$A:$A),FALSE),IF(AC178="Ações Europeias", HLOOKUP(AB178,'Histórico'!$A$1:$DD$990,MATCH($B$6,'Histórico'!$A:$A),FALSE)*HLOOKUP("EUR/BRL",'Histórico'!$A$1:$FG$983,MATCH($B$6,'Histórico'!$A:$A),FALSE),  HLOOKUP(AB178,'Histórico'!$A$1:$DD$990,MATCH($B$6,'Histórico'!$A:$A),FALSE))),"")</f>
        <v/>
      </c>
      <c r="AF178" s="243" t="str">
        <f t="shared" si="15"/>
        <v/>
      </c>
      <c r="AG178" s="53"/>
      <c r="AH178" s="245"/>
      <c r="AI178" s="242" t="str">
        <f>IF(ISTEXT(AH178),VLOOKUP(AH178,'Cadastro dos Ativos'!$A$2:$C$1000,3,0),"")</f>
        <v/>
      </c>
      <c r="AJ178" s="242" t="str">
        <f>IF(AH178 &lt;&gt; "",SUMIFS('Alocação'!$O$3:$O$1002,'Alocação'!$C$3:$C$1002,AH178,'Alocação'!$F$3:$F$1002,AH$9,'Alocação'!$B$3:$B$1002,"&lt;="&amp;$B$6), "")</f>
        <v/>
      </c>
      <c r="AK178" s="243" t="str">
        <f>iferror(IF(AI178="Ações Americanas", HLOOKUP(AH178,'Histórico'!$A$1:$DD$990,MATCH($B$6,'Histórico'!$A:$A),FALSE)*HLOOKUP("PTAX",'Histórico'!$A$1:$FG$983,MATCH($B$6,'Histórico'!$A:$A),FALSE),IF(AI178="Ações Europeias", HLOOKUP(AH178,'Histórico'!$A$1:$DD$990,MATCH($B$6,'Histórico'!$A:$A),FALSE)*HLOOKUP("EUR/BRL",'Histórico'!$A$1:$FG$983,MATCH($B$6,'Histórico'!$A:$A),FALSE),  HLOOKUP(AH178,'Histórico'!$A$1:$DD$990,MATCH($B$6,'Histórico'!$A:$A),FALSE))),"")</f>
        <v/>
      </c>
      <c r="AL178" s="243" t="str">
        <f t="shared" si="11"/>
        <v/>
      </c>
      <c r="AM178" s="53"/>
      <c r="AN178" s="245"/>
      <c r="AO178" s="242" t="str">
        <f>IF(ISTEXT(AN178),VLOOKUP(AN178,'Cadastro dos Ativos'!$A$2:$C$1000,3,0),"")</f>
        <v/>
      </c>
      <c r="AP178" s="242" t="str">
        <f>IF(AN178 &lt;&gt; "",SUMIFS('Alocação'!$O$3:$O$1002,'Alocação'!$C$3:$C$1002,AN178,'Alocação'!$F$3:$F$1002,AN$9,'Alocação'!$B$3:$B$1002,"&lt;="&amp;$B$6), "")</f>
        <v/>
      </c>
      <c r="AQ178" s="243" t="str">
        <f>iferror(IF(AO178="Ações Americanas", HLOOKUP(AN178,'Histórico'!$A$1:$DD$990,MATCH($B$6,'Histórico'!$A:$A),FALSE)*HLOOKUP("PTAX",'Histórico'!$A$1:$FG$983,MATCH($B$6,'Histórico'!$A:$A),FALSE),IF(AO178="Ações Europeias", HLOOKUP(AN178,'Histórico'!$A$1:$DD$990,MATCH($B$6,'Histórico'!$A:$A),FALSE)*HLOOKUP("EUR/BRL",'Histórico'!$A$1:$FG$983,MATCH($B$6,'Histórico'!$A:$A),FALSE),  HLOOKUP(AN178,'Histórico'!$A$1:$DD$990,MATCH($B$6,'Histórico'!$A:$A),FALSE))),"")</f>
        <v/>
      </c>
      <c r="AR178" s="243" t="str">
        <f t="shared" si="12"/>
        <v/>
      </c>
      <c r="AS178" s="53"/>
      <c r="AT178" s="245"/>
      <c r="AU178" s="242" t="str">
        <f>IF(ISTEXT(AT178),VLOOKUP(AT178,'Cadastro dos Ativos'!$A$2:$C$1000,3,0),"")</f>
        <v/>
      </c>
      <c r="AV178" s="242" t="str">
        <f>IF(AT178 &lt;&gt; "",SUMIFS('Alocação'!$O$3:$O$1002,'Alocação'!$C$3:$C$1002,AT178,'Alocação'!$F$3:$F$1002,AT$9,'Alocação'!$B$3:$B$1002,"&lt;="&amp;$B$6), "")</f>
        <v/>
      </c>
      <c r="AW178" s="243" t="str">
        <f>iferror(IF(AU178="Ações Americanas", HLOOKUP(AT178,'Histórico'!$A$1:$DD$990,MATCH($B$6,'Histórico'!$A:$A),FALSE)*HLOOKUP("PTAX",'Histórico'!$A$1:$FG$983,MATCH($B$6,'Histórico'!$A:$A),FALSE),IF(AU178="Ações Europeias", HLOOKUP(AT178,'Histórico'!$A$1:$DD$990,MATCH($B$6,'Histórico'!$A:$A),FALSE)*HLOOKUP("EUR/BRL",'Histórico'!$A$1:$FG$983,MATCH($B$6,'Histórico'!$A:$A),FALSE),  HLOOKUP(AT178,'Histórico'!$A$1:$DD$990,MATCH($B$6,'Histórico'!$A:$A),FALSE))),"")</f>
        <v/>
      </c>
      <c r="AX178" s="243" t="str">
        <f t="shared" si="13"/>
        <v/>
      </c>
      <c r="AY178" s="53"/>
    </row>
    <row r="179" ht="15.75" customHeight="1">
      <c r="A179" s="176"/>
      <c r="B179" s="288">
        <f>Controle!B179</f>
        <v>45252</v>
      </c>
      <c r="C179" s="233" t="str">
        <f>Controle!C179</f>
        <v/>
      </c>
      <c r="D179" s="289" t="str">
        <f>Controle!D179</f>
        <v/>
      </c>
      <c r="E179" s="290"/>
      <c r="F179" s="291" t="str">
        <f>Controle!F179</f>
        <v/>
      </c>
      <c r="G179" s="289" t="str">
        <f>Controle!G179</f>
        <v/>
      </c>
      <c r="H179" s="290"/>
      <c r="I179" s="291" t="str">
        <f>Controle!I179</f>
        <v/>
      </c>
      <c r="J179" s="233" t="str">
        <f>Controle!J179</f>
        <v/>
      </c>
      <c r="K179" s="292"/>
      <c r="L179" s="233" t="str">
        <f>Controle!L179</f>
        <v/>
      </c>
      <c r="M179" s="233" t="str">
        <f>Controle!M179</f>
        <v/>
      </c>
      <c r="N179" s="235" t="str">
        <f>Controle!N179</f>
        <v/>
      </c>
      <c r="O179" s="235" t="str">
        <f>Controle!O179</f>
        <v/>
      </c>
      <c r="P179" s="235" t="str">
        <f>Controle!P179</f>
        <v/>
      </c>
      <c r="Q179" s="235" t="str">
        <f>Controle!Q179</f>
        <v/>
      </c>
      <c r="R179" s="293" t="str">
        <f>Controle!R179</f>
        <v/>
      </c>
      <c r="S179" s="287"/>
      <c r="T179" s="233" t="str">
        <f t="shared" ref="T179:U179" si="182">IF(AND(C179&lt;&gt;"",F179&lt;&gt;"",I179&lt;&gt;""), SUM(I179,F179,C179),"")</f>
        <v/>
      </c>
      <c r="U179" s="233" t="str">
        <f t="shared" si="182"/>
        <v/>
      </c>
      <c r="V179" s="233" t="str">
        <f t="shared" si="6"/>
        <v/>
      </c>
      <c r="W179" s="241" t="str">
        <f t="shared" si="9"/>
        <v/>
      </c>
      <c r="X179" s="241" t="str">
        <f t="shared" si="10"/>
        <v/>
      </c>
      <c r="Y179" s="241" t="str">
        <f t="shared" si="19"/>
        <v/>
      </c>
      <c r="Z179" s="233" t="str">
        <f t="shared" si="7"/>
        <v/>
      </c>
      <c r="AA179" s="294"/>
      <c r="AB179" s="245"/>
      <c r="AC179" s="242" t="str">
        <f>IF(ISTEXT(AB179),VLOOKUP(AB179,'Cadastro dos Ativos'!$A$2:$C$1000,3,0),"")</f>
        <v/>
      </c>
      <c r="AD179" s="242" t="str">
        <f>IF(AB179 &lt;&gt; "",SUMIFS('Alocação'!$O$3:$O$1002,'Alocação'!$C$3:$C$1002,AB179,'Alocação'!$F$3:$F$1002,AB$9,'Alocação'!$B$3:$B$1002,"&lt;="&amp;$B$6), "")</f>
        <v/>
      </c>
      <c r="AE179" s="243" t="str">
        <f>iferror(IF(AC179="Ações Americanas", HLOOKUP(AB179,'Histórico'!$A$1:$DD$990,MATCH($B$6,'Histórico'!$A:$A),FALSE)*HLOOKUP("PTAX",'Histórico'!$A$1:$FG$983,MATCH($B$6,'Histórico'!$A:$A),FALSE),IF(AC179="Ações Europeias", HLOOKUP(AB179,'Histórico'!$A$1:$DD$990,MATCH($B$6,'Histórico'!$A:$A),FALSE)*HLOOKUP("EUR/BRL",'Histórico'!$A$1:$FG$983,MATCH($B$6,'Histórico'!$A:$A),FALSE),  HLOOKUP(AB179,'Histórico'!$A$1:$DD$990,MATCH($B$6,'Histórico'!$A:$A),FALSE))),"")</f>
        <v/>
      </c>
      <c r="AF179" s="243" t="str">
        <f t="shared" si="15"/>
        <v/>
      </c>
      <c r="AG179" s="53"/>
      <c r="AH179" s="245"/>
      <c r="AI179" s="242" t="str">
        <f>IF(ISTEXT(AH179),VLOOKUP(AH179,'Cadastro dos Ativos'!$A$2:$C$1000,3,0),"")</f>
        <v/>
      </c>
      <c r="AJ179" s="242" t="str">
        <f>IF(AH179 &lt;&gt; "",SUMIFS('Alocação'!$O$3:$O$1002,'Alocação'!$C$3:$C$1002,AH179,'Alocação'!$F$3:$F$1002,AH$9,'Alocação'!$B$3:$B$1002,"&lt;="&amp;$B$6), "")</f>
        <v/>
      </c>
      <c r="AK179" s="243" t="str">
        <f>iferror(IF(AI179="Ações Americanas", HLOOKUP(AH179,'Histórico'!$A$1:$DD$990,MATCH($B$6,'Histórico'!$A:$A),FALSE)*HLOOKUP("PTAX",'Histórico'!$A$1:$FG$983,MATCH($B$6,'Histórico'!$A:$A),FALSE),IF(AI179="Ações Europeias", HLOOKUP(AH179,'Histórico'!$A$1:$DD$990,MATCH($B$6,'Histórico'!$A:$A),FALSE)*HLOOKUP("EUR/BRL",'Histórico'!$A$1:$FG$983,MATCH($B$6,'Histórico'!$A:$A),FALSE),  HLOOKUP(AH179,'Histórico'!$A$1:$DD$990,MATCH($B$6,'Histórico'!$A:$A),FALSE))),"")</f>
        <v/>
      </c>
      <c r="AL179" s="243" t="str">
        <f t="shared" si="11"/>
        <v/>
      </c>
      <c r="AM179" s="53"/>
      <c r="AN179" s="245"/>
      <c r="AO179" s="242" t="str">
        <f>IF(ISTEXT(AN179),VLOOKUP(AN179,'Cadastro dos Ativos'!$A$2:$C$1000,3,0),"")</f>
        <v/>
      </c>
      <c r="AP179" s="242" t="str">
        <f>IF(AN179 &lt;&gt; "",SUMIFS('Alocação'!$O$3:$O$1002,'Alocação'!$C$3:$C$1002,AN179,'Alocação'!$F$3:$F$1002,AN$9,'Alocação'!$B$3:$B$1002,"&lt;="&amp;$B$6), "")</f>
        <v/>
      </c>
      <c r="AQ179" s="243" t="str">
        <f>iferror(IF(AO179="Ações Americanas", HLOOKUP(AN179,'Histórico'!$A$1:$DD$990,MATCH($B$6,'Histórico'!$A:$A),FALSE)*HLOOKUP("PTAX",'Histórico'!$A$1:$FG$983,MATCH($B$6,'Histórico'!$A:$A),FALSE),IF(AO179="Ações Europeias", HLOOKUP(AN179,'Histórico'!$A$1:$DD$990,MATCH($B$6,'Histórico'!$A:$A),FALSE)*HLOOKUP("EUR/BRL",'Histórico'!$A$1:$FG$983,MATCH($B$6,'Histórico'!$A:$A),FALSE),  HLOOKUP(AN179,'Histórico'!$A$1:$DD$990,MATCH($B$6,'Histórico'!$A:$A),FALSE))),"")</f>
        <v/>
      </c>
      <c r="AR179" s="243" t="str">
        <f t="shared" si="12"/>
        <v/>
      </c>
      <c r="AS179" s="53"/>
      <c r="AT179" s="245"/>
      <c r="AU179" s="242" t="str">
        <f>IF(ISTEXT(AT179),VLOOKUP(AT179,'Cadastro dos Ativos'!$A$2:$C$1000,3,0),"")</f>
        <v/>
      </c>
      <c r="AV179" s="242" t="str">
        <f>IF(AT179 &lt;&gt; "",SUMIFS('Alocação'!$O$3:$O$1002,'Alocação'!$C$3:$C$1002,AT179,'Alocação'!$F$3:$F$1002,AT$9,'Alocação'!$B$3:$B$1002,"&lt;="&amp;$B$6), "")</f>
        <v/>
      </c>
      <c r="AW179" s="243" t="str">
        <f>iferror(IF(AU179="Ações Americanas", HLOOKUP(AT179,'Histórico'!$A$1:$DD$990,MATCH($B$6,'Histórico'!$A:$A),FALSE)*HLOOKUP("PTAX",'Histórico'!$A$1:$FG$983,MATCH($B$6,'Histórico'!$A:$A),FALSE),IF(AU179="Ações Europeias", HLOOKUP(AT179,'Histórico'!$A$1:$DD$990,MATCH($B$6,'Histórico'!$A:$A),FALSE)*HLOOKUP("EUR/BRL",'Histórico'!$A$1:$FG$983,MATCH($B$6,'Histórico'!$A:$A),FALSE),  HLOOKUP(AT179,'Histórico'!$A$1:$DD$990,MATCH($B$6,'Histórico'!$A:$A),FALSE))),"")</f>
        <v/>
      </c>
      <c r="AX179" s="243" t="str">
        <f t="shared" si="13"/>
        <v/>
      </c>
      <c r="AY179" s="53"/>
    </row>
    <row r="180" ht="15.75" customHeight="1">
      <c r="A180" s="176"/>
      <c r="B180" s="288">
        <f>Controle!B180</f>
        <v>45253</v>
      </c>
      <c r="C180" s="233" t="str">
        <f>Controle!C180</f>
        <v/>
      </c>
      <c r="D180" s="289" t="str">
        <f>Controle!D180</f>
        <v/>
      </c>
      <c r="E180" s="290"/>
      <c r="F180" s="291" t="str">
        <f>Controle!F180</f>
        <v/>
      </c>
      <c r="G180" s="289" t="str">
        <f>Controle!G180</f>
        <v/>
      </c>
      <c r="H180" s="290"/>
      <c r="I180" s="291" t="str">
        <f>Controle!I180</f>
        <v/>
      </c>
      <c r="J180" s="233" t="str">
        <f>Controle!J180</f>
        <v/>
      </c>
      <c r="K180" s="292"/>
      <c r="L180" s="233" t="str">
        <f>Controle!L180</f>
        <v/>
      </c>
      <c r="M180" s="233" t="str">
        <f>Controle!M180</f>
        <v/>
      </c>
      <c r="N180" s="235" t="str">
        <f>Controle!N180</f>
        <v/>
      </c>
      <c r="O180" s="235" t="str">
        <f>Controle!O180</f>
        <v/>
      </c>
      <c r="P180" s="235" t="str">
        <f>Controle!P180</f>
        <v/>
      </c>
      <c r="Q180" s="235" t="str">
        <f>Controle!Q180</f>
        <v/>
      </c>
      <c r="R180" s="293" t="str">
        <f>Controle!R180</f>
        <v/>
      </c>
      <c r="S180" s="287"/>
      <c r="T180" s="233" t="str">
        <f t="shared" ref="T180:U180" si="183">IF(AND(C180&lt;&gt;"",F180&lt;&gt;"",I180&lt;&gt;""), SUM(I180,F180,C180),"")</f>
        <v/>
      </c>
      <c r="U180" s="233" t="str">
        <f t="shared" si="183"/>
        <v/>
      </c>
      <c r="V180" s="233" t="str">
        <f t="shared" si="6"/>
        <v/>
      </c>
      <c r="W180" s="241" t="str">
        <f t="shared" si="9"/>
        <v/>
      </c>
      <c r="X180" s="241" t="str">
        <f t="shared" si="10"/>
        <v/>
      </c>
      <c r="Y180" s="241" t="str">
        <f t="shared" si="19"/>
        <v/>
      </c>
      <c r="Z180" s="233" t="str">
        <f t="shared" si="7"/>
        <v/>
      </c>
      <c r="AA180" s="294"/>
      <c r="AB180" s="245"/>
      <c r="AC180" s="242" t="str">
        <f>IF(ISTEXT(AB180),VLOOKUP(AB180,'Cadastro dos Ativos'!$A$2:$C$1000,3,0),"")</f>
        <v/>
      </c>
      <c r="AD180" s="242" t="str">
        <f>IF(AB180 &lt;&gt; "",SUMIFS('Alocação'!$O$3:$O$1002,'Alocação'!$C$3:$C$1002,AB180,'Alocação'!$F$3:$F$1002,AB$9,'Alocação'!$B$3:$B$1002,"&lt;="&amp;$B$6), "")</f>
        <v/>
      </c>
      <c r="AE180" s="243" t="str">
        <f>iferror(IF(AC180="Ações Americanas", HLOOKUP(AB180,'Histórico'!$A$1:$DD$990,MATCH($B$6,'Histórico'!$A:$A),FALSE)*HLOOKUP("PTAX",'Histórico'!$A$1:$FG$983,MATCH($B$6,'Histórico'!$A:$A),FALSE),IF(AC180="Ações Europeias", HLOOKUP(AB180,'Histórico'!$A$1:$DD$990,MATCH($B$6,'Histórico'!$A:$A),FALSE)*HLOOKUP("EUR/BRL",'Histórico'!$A$1:$FG$983,MATCH($B$6,'Histórico'!$A:$A),FALSE),  HLOOKUP(AB180,'Histórico'!$A$1:$DD$990,MATCH($B$6,'Histórico'!$A:$A),FALSE))),"")</f>
        <v/>
      </c>
      <c r="AF180" s="243" t="str">
        <f t="shared" si="15"/>
        <v/>
      </c>
      <c r="AG180" s="53"/>
      <c r="AH180" s="245"/>
      <c r="AI180" s="242" t="str">
        <f>IF(ISTEXT(AH180),VLOOKUP(AH180,'Cadastro dos Ativos'!$A$2:$C$1000,3,0),"")</f>
        <v/>
      </c>
      <c r="AJ180" s="242" t="str">
        <f>IF(AH180 &lt;&gt; "",SUMIFS('Alocação'!$O$3:$O$1002,'Alocação'!$C$3:$C$1002,AH180,'Alocação'!$F$3:$F$1002,AH$9,'Alocação'!$B$3:$B$1002,"&lt;="&amp;$B$6), "")</f>
        <v/>
      </c>
      <c r="AK180" s="243" t="str">
        <f>iferror(IF(AI180="Ações Americanas", HLOOKUP(AH180,'Histórico'!$A$1:$DD$990,MATCH($B$6,'Histórico'!$A:$A),FALSE)*HLOOKUP("PTAX",'Histórico'!$A$1:$FG$983,MATCH($B$6,'Histórico'!$A:$A),FALSE),IF(AI180="Ações Europeias", HLOOKUP(AH180,'Histórico'!$A$1:$DD$990,MATCH($B$6,'Histórico'!$A:$A),FALSE)*HLOOKUP("EUR/BRL",'Histórico'!$A$1:$FG$983,MATCH($B$6,'Histórico'!$A:$A),FALSE),  HLOOKUP(AH180,'Histórico'!$A$1:$DD$990,MATCH($B$6,'Histórico'!$A:$A),FALSE))),"")</f>
        <v/>
      </c>
      <c r="AL180" s="243" t="str">
        <f t="shared" si="11"/>
        <v/>
      </c>
      <c r="AM180" s="53"/>
      <c r="AN180" s="245"/>
      <c r="AO180" s="242" t="str">
        <f>IF(ISTEXT(AN180),VLOOKUP(AN180,'Cadastro dos Ativos'!$A$2:$C$1000,3,0),"")</f>
        <v/>
      </c>
      <c r="AP180" s="242" t="str">
        <f>IF(AN180 &lt;&gt; "",SUMIFS('Alocação'!$O$3:$O$1002,'Alocação'!$C$3:$C$1002,AN180,'Alocação'!$F$3:$F$1002,AN$9,'Alocação'!$B$3:$B$1002,"&lt;="&amp;$B$6), "")</f>
        <v/>
      </c>
      <c r="AQ180" s="243" t="str">
        <f>iferror(IF(AO180="Ações Americanas", HLOOKUP(AN180,'Histórico'!$A$1:$DD$990,MATCH($B$6,'Histórico'!$A:$A),FALSE)*HLOOKUP("PTAX",'Histórico'!$A$1:$FG$983,MATCH($B$6,'Histórico'!$A:$A),FALSE),IF(AO180="Ações Europeias", HLOOKUP(AN180,'Histórico'!$A$1:$DD$990,MATCH($B$6,'Histórico'!$A:$A),FALSE)*HLOOKUP("EUR/BRL",'Histórico'!$A$1:$FG$983,MATCH($B$6,'Histórico'!$A:$A),FALSE),  HLOOKUP(AN180,'Histórico'!$A$1:$DD$990,MATCH($B$6,'Histórico'!$A:$A),FALSE))),"")</f>
        <v/>
      </c>
      <c r="AR180" s="243" t="str">
        <f t="shared" si="12"/>
        <v/>
      </c>
      <c r="AS180" s="53"/>
      <c r="AT180" s="245"/>
      <c r="AU180" s="242" t="str">
        <f>IF(ISTEXT(AT180),VLOOKUP(AT180,'Cadastro dos Ativos'!$A$2:$C$1000,3,0),"")</f>
        <v/>
      </c>
      <c r="AV180" s="242" t="str">
        <f>IF(AT180 &lt;&gt; "",SUMIFS('Alocação'!$O$3:$O$1002,'Alocação'!$C$3:$C$1002,AT180,'Alocação'!$F$3:$F$1002,AT$9,'Alocação'!$B$3:$B$1002,"&lt;="&amp;$B$6), "")</f>
        <v/>
      </c>
      <c r="AW180" s="243" t="str">
        <f>iferror(IF(AU180="Ações Americanas", HLOOKUP(AT180,'Histórico'!$A$1:$DD$990,MATCH($B$6,'Histórico'!$A:$A),FALSE)*HLOOKUP("PTAX",'Histórico'!$A$1:$FG$983,MATCH($B$6,'Histórico'!$A:$A),FALSE),IF(AU180="Ações Europeias", HLOOKUP(AT180,'Histórico'!$A$1:$DD$990,MATCH($B$6,'Histórico'!$A:$A),FALSE)*HLOOKUP("EUR/BRL",'Histórico'!$A$1:$FG$983,MATCH($B$6,'Histórico'!$A:$A),FALSE),  HLOOKUP(AT180,'Histórico'!$A$1:$DD$990,MATCH($B$6,'Histórico'!$A:$A),FALSE))),"")</f>
        <v/>
      </c>
      <c r="AX180" s="243" t="str">
        <f t="shared" si="13"/>
        <v/>
      </c>
      <c r="AY180" s="53"/>
    </row>
    <row r="181" ht="15.75" customHeight="1">
      <c r="A181" s="176"/>
      <c r="B181" s="288">
        <f>Controle!B181</f>
        <v>45254</v>
      </c>
      <c r="C181" s="233" t="str">
        <f>Controle!C181</f>
        <v/>
      </c>
      <c r="D181" s="289" t="str">
        <f>Controle!D181</f>
        <v/>
      </c>
      <c r="E181" s="290"/>
      <c r="F181" s="291" t="str">
        <f>Controle!F181</f>
        <v/>
      </c>
      <c r="G181" s="289" t="str">
        <f>Controle!G181</f>
        <v/>
      </c>
      <c r="H181" s="290"/>
      <c r="I181" s="291" t="str">
        <f>Controle!I181</f>
        <v/>
      </c>
      <c r="J181" s="233" t="str">
        <f>Controle!J181</f>
        <v/>
      </c>
      <c r="K181" s="292"/>
      <c r="L181" s="233" t="str">
        <f>Controle!L181</f>
        <v/>
      </c>
      <c r="M181" s="233" t="str">
        <f>Controle!M181</f>
        <v/>
      </c>
      <c r="N181" s="235" t="str">
        <f>Controle!N181</f>
        <v/>
      </c>
      <c r="O181" s="235" t="str">
        <f>Controle!O181</f>
        <v/>
      </c>
      <c r="P181" s="235" t="str">
        <f>Controle!P181</f>
        <v/>
      </c>
      <c r="Q181" s="235" t="str">
        <f>Controle!Q181</f>
        <v/>
      </c>
      <c r="R181" s="293" t="str">
        <f>Controle!R181</f>
        <v/>
      </c>
      <c r="S181" s="287"/>
      <c r="T181" s="233" t="str">
        <f t="shared" ref="T181:U181" si="184">IF(AND(C181&lt;&gt;"",F181&lt;&gt;"",I181&lt;&gt;""), SUM(I181,F181,C181),"")</f>
        <v/>
      </c>
      <c r="U181" s="233" t="str">
        <f t="shared" si="184"/>
        <v/>
      </c>
      <c r="V181" s="233" t="str">
        <f t="shared" si="6"/>
        <v/>
      </c>
      <c r="W181" s="241" t="str">
        <f t="shared" si="9"/>
        <v/>
      </c>
      <c r="X181" s="241" t="str">
        <f t="shared" si="10"/>
        <v/>
      </c>
      <c r="Y181" s="241" t="str">
        <f t="shared" si="19"/>
        <v/>
      </c>
      <c r="Z181" s="233" t="str">
        <f t="shared" si="7"/>
        <v/>
      </c>
      <c r="AA181" s="294"/>
      <c r="AB181" s="245"/>
      <c r="AC181" s="242" t="str">
        <f>IF(ISTEXT(AB181),VLOOKUP(AB181,'Cadastro dos Ativos'!$A$2:$C$1000,3,0),"")</f>
        <v/>
      </c>
      <c r="AD181" s="242" t="str">
        <f>IF(AB181 &lt;&gt; "",SUMIFS('Alocação'!$O$3:$O$1002,'Alocação'!$C$3:$C$1002,AB181,'Alocação'!$F$3:$F$1002,AB$9,'Alocação'!$B$3:$B$1002,"&lt;="&amp;$B$6), "")</f>
        <v/>
      </c>
      <c r="AE181" s="243" t="str">
        <f>iferror(IF(AC181="Ações Americanas", HLOOKUP(AB181,'Histórico'!$A$1:$DD$990,MATCH($B$6,'Histórico'!$A:$A),FALSE)*HLOOKUP("PTAX",'Histórico'!$A$1:$FG$983,MATCH($B$6,'Histórico'!$A:$A),FALSE),IF(AC181="Ações Europeias", HLOOKUP(AB181,'Histórico'!$A$1:$DD$990,MATCH($B$6,'Histórico'!$A:$A),FALSE)*HLOOKUP("EUR/BRL",'Histórico'!$A$1:$FG$983,MATCH($B$6,'Histórico'!$A:$A),FALSE),  HLOOKUP(AB181,'Histórico'!$A$1:$DD$990,MATCH($B$6,'Histórico'!$A:$A),FALSE))),"")</f>
        <v/>
      </c>
      <c r="AF181" s="243" t="str">
        <f t="shared" si="15"/>
        <v/>
      </c>
      <c r="AG181" s="53"/>
      <c r="AH181" s="245"/>
      <c r="AI181" s="242" t="str">
        <f>IF(ISTEXT(AH181),VLOOKUP(AH181,'Cadastro dos Ativos'!$A$2:$C$1000,3,0),"")</f>
        <v/>
      </c>
      <c r="AJ181" s="242" t="str">
        <f>IF(AH181 &lt;&gt; "",SUMIFS('Alocação'!$O$3:$O$1002,'Alocação'!$C$3:$C$1002,AH181,'Alocação'!$F$3:$F$1002,AH$9,'Alocação'!$B$3:$B$1002,"&lt;="&amp;$B$6), "")</f>
        <v/>
      </c>
      <c r="AK181" s="243" t="str">
        <f>iferror(IF(AI181="Ações Americanas", HLOOKUP(AH181,'Histórico'!$A$1:$DD$990,MATCH($B$6,'Histórico'!$A:$A),FALSE)*HLOOKUP("PTAX",'Histórico'!$A$1:$FG$983,MATCH($B$6,'Histórico'!$A:$A),FALSE),IF(AI181="Ações Europeias", HLOOKUP(AH181,'Histórico'!$A$1:$DD$990,MATCH($B$6,'Histórico'!$A:$A),FALSE)*HLOOKUP("EUR/BRL",'Histórico'!$A$1:$FG$983,MATCH($B$6,'Histórico'!$A:$A),FALSE),  HLOOKUP(AH181,'Histórico'!$A$1:$DD$990,MATCH($B$6,'Histórico'!$A:$A),FALSE))),"")</f>
        <v/>
      </c>
      <c r="AL181" s="243" t="str">
        <f t="shared" si="11"/>
        <v/>
      </c>
      <c r="AM181" s="53"/>
      <c r="AN181" s="245"/>
      <c r="AO181" s="242" t="str">
        <f>IF(ISTEXT(AN181),VLOOKUP(AN181,'Cadastro dos Ativos'!$A$2:$C$1000,3,0),"")</f>
        <v/>
      </c>
      <c r="AP181" s="242" t="str">
        <f>IF(AN181 &lt;&gt; "",SUMIFS('Alocação'!$O$3:$O$1002,'Alocação'!$C$3:$C$1002,AN181,'Alocação'!$F$3:$F$1002,AN$9,'Alocação'!$B$3:$B$1002,"&lt;="&amp;$B$6), "")</f>
        <v/>
      </c>
      <c r="AQ181" s="243" t="str">
        <f>iferror(IF(AO181="Ações Americanas", HLOOKUP(AN181,'Histórico'!$A$1:$DD$990,MATCH($B$6,'Histórico'!$A:$A),FALSE)*HLOOKUP("PTAX",'Histórico'!$A$1:$FG$983,MATCH($B$6,'Histórico'!$A:$A),FALSE),IF(AO181="Ações Europeias", HLOOKUP(AN181,'Histórico'!$A$1:$DD$990,MATCH($B$6,'Histórico'!$A:$A),FALSE)*HLOOKUP("EUR/BRL",'Histórico'!$A$1:$FG$983,MATCH($B$6,'Histórico'!$A:$A),FALSE),  HLOOKUP(AN181,'Histórico'!$A$1:$DD$990,MATCH($B$6,'Histórico'!$A:$A),FALSE))),"")</f>
        <v/>
      </c>
      <c r="AR181" s="243" t="str">
        <f t="shared" si="12"/>
        <v/>
      </c>
      <c r="AS181" s="53"/>
      <c r="AT181" s="245"/>
      <c r="AU181" s="242" t="str">
        <f>IF(ISTEXT(AT181),VLOOKUP(AT181,'Cadastro dos Ativos'!$A$2:$C$1000,3,0),"")</f>
        <v/>
      </c>
      <c r="AV181" s="242" t="str">
        <f>IF(AT181 &lt;&gt; "",SUMIFS('Alocação'!$O$3:$O$1002,'Alocação'!$C$3:$C$1002,AT181,'Alocação'!$F$3:$F$1002,AT$9,'Alocação'!$B$3:$B$1002,"&lt;="&amp;$B$6), "")</f>
        <v/>
      </c>
      <c r="AW181" s="243" t="str">
        <f>iferror(IF(AU181="Ações Americanas", HLOOKUP(AT181,'Histórico'!$A$1:$DD$990,MATCH($B$6,'Histórico'!$A:$A),FALSE)*HLOOKUP("PTAX",'Histórico'!$A$1:$FG$983,MATCH($B$6,'Histórico'!$A:$A),FALSE),IF(AU181="Ações Europeias", HLOOKUP(AT181,'Histórico'!$A$1:$DD$990,MATCH($B$6,'Histórico'!$A:$A),FALSE)*HLOOKUP("EUR/BRL",'Histórico'!$A$1:$FG$983,MATCH($B$6,'Histórico'!$A:$A),FALSE),  HLOOKUP(AT181,'Histórico'!$A$1:$DD$990,MATCH($B$6,'Histórico'!$A:$A),FALSE))),"")</f>
        <v/>
      </c>
      <c r="AX181" s="243" t="str">
        <f t="shared" si="13"/>
        <v/>
      </c>
      <c r="AY181" s="53"/>
    </row>
    <row r="182" ht="15.75" customHeight="1">
      <c r="A182" s="176"/>
      <c r="B182" s="288">
        <f>Controle!B182</f>
        <v>45257</v>
      </c>
      <c r="C182" s="233" t="str">
        <f>Controle!C182</f>
        <v/>
      </c>
      <c r="D182" s="289" t="str">
        <f>Controle!D182</f>
        <v/>
      </c>
      <c r="E182" s="290"/>
      <c r="F182" s="291" t="str">
        <f>Controle!F182</f>
        <v/>
      </c>
      <c r="G182" s="289" t="str">
        <f>Controle!G182</f>
        <v/>
      </c>
      <c r="H182" s="290"/>
      <c r="I182" s="291" t="str">
        <f>Controle!I182</f>
        <v/>
      </c>
      <c r="J182" s="233" t="str">
        <f>Controle!J182</f>
        <v/>
      </c>
      <c r="K182" s="292"/>
      <c r="L182" s="233" t="str">
        <f>Controle!L182</f>
        <v/>
      </c>
      <c r="M182" s="233" t="str">
        <f>Controle!M182</f>
        <v/>
      </c>
      <c r="N182" s="235" t="str">
        <f>Controle!N182</f>
        <v/>
      </c>
      <c r="O182" s="235" t="str">
        <f>Controle!O182</f>
        <v/>
      </c>
      <c r="P182" s="235" t="str">
        <f>Controle!P182</f>
        <v/>
      </c>
      <c r="Q182" s="235" t="str">
        <f>Controle!Q182</f>
        <v/>
      </c>
      <c r="R182" s="293" t="str">
        <f>Controle!R182</f>
        <v/>
      </c>
      <c r="S182" s="287"/>
      <c r="T182" s="233" t="str">
        <f t="shared" ref="T182:U182" si="185">IF(AND(C182&lt;&gt;"",F182&lt;&gt;"",I182&lt;&gt;""), SUM(I182,F182,C182),"")</f>
        <v/>
      </c>
      <c r="U182" s="233" t="str">
        <f t="shared" si="185"/>
        <v/>
      </c>
      <c r="V182" s="233" t="str">
        <f t="shared" si="6"/>
        <v/>
      </c>
      <c r="W182" s="241" t="str">
        <f t="shared" si="9"/>
        <v/>
      </c>
      <c r="X182" s="241" t="str">
        <f t="shared" si="10"/>
        <v/>
      </c>
      <c r="Y182" s="241" t="str">
        <f t="shared" si="19"/>
        <v/>
      </c>
      <c r="Z182" s="233" t="str">
        <f t="shared" si="7"/>
        <v/>
      </c>
      <c r="AA182" s="294"/>
      <c r="AB182" s="245"/>
      <c r="AC182" s="242" t="str">
        <f>IF(ISTEXT(AB182),VLOOKUP(AB182,'Cadastro dos Ativos'!$A$2:$C$1000,3,0),"")</f>
        <v/>
      </c>
      <c r="AD182" s="242" t="str">
        <f>IF(AB182 &lt;&gt; "",SUMIFS('Alocação'!$O$3:$O$1002,'Alocação'!$C$3:$C$1002,AB182,'Alocação'!$F$3:$F$1002,AB$9,'Alocação'!$B$3:$B$1002,"&lt;="&amp;$B$6), "")</f>
        <v/>
      </c>
      <c r="AE182" s="243" t="str">
        <f>iferror(IF(AC182="Ações Americanas", HLOOKUP(AB182,'Histórico'!$A$1:$DD$990,MATCH($B$6,'Histórico'!$A:$A),FALSE)*HLOOKUP("PTAX",'Histórico'!$A$1:$FG$983,MATCH($B$6,'Histórico'!$A:$A),FALSE),IF(AC182="Ações Europeias", HLOOKUP(AB182,'Histórico'!$A$1:$DD$990,MATCH($B$6,'Histórico'!$A:$A),FALSE)*HLOOKUP("EUR/BRL",'Histórico'!$A$1:$FG$983,MATCH($B$6,'Histórico'!$A:$A),FALSE),  HLOOKUP(AB182,'Histórico'!$A$1:$DD$990,MATCH($B$6,'Histórico'!$A:$A),FALSE))),"")</f>
        <v/>
      </c>
      <c r="AF182" s="243" t="str">
        <f t="shared" si="15"/>
        <v/>
      </c>
      <c r="AG182" s="53"/>
      <c r="AH182" s="245"/>
      <c r="AI182" s="242" t="str">
        <f>IF(ISTEXT(AH182),VLOOKUP(AH182,'Cadastro dos Ativos'!$A$2:$C$1000,3,0),"")</f>
        <v/>
      </c>
      <c r="AJ182" s="242" t="str">
        <f>IF(AH182 &lt;&gt; "",SUMIFS('Alocação'!$O$3:$O$1002,'Alocação'!$C$3:$C$1002,AH182,'Alocação'!$F$3:$F$1002,AH$9,'Alocação'!$B$3:$B$1002,"&lt;="&amp;$B$6), "")</f>
        <v/>
      </c>
      <c r="AK182" s="243" t="str">
        <f>iferror(IF(AI182="Ações Americanas", HLOOKUP(AH182,'Histórico'!$A$1:$DD$990,MATCH($B$6,'Histórico'!$A:$A),FALSE)*HLOOKUP("PTAX",'Histórico'!$A$1:$FG$983,MATCH($B$6,'Histórico'!$A:$A),FALSE),IF(AI182="Ações Europeias", HLOOKUP(AH182,'Histórico'!$A$1:$DD$990,MATCH($B$6,'Histórico'!$A:$A),FALSE)*HLOOKUP("EUR/BRL",'Histórico'!$A$1:$FG$983,MATCH($B$6,'Histórico'!$A:$A),FALSE),  HLOOKUP(AH182,'Histórico'!$A$1:$DD$990,MATCH($B$6,'Histórico'!$A:$A),FALSE))),"")</f>
        <v/>
      </c>
      <c r="AL182" s="243" t="str">
        <f t="shared" si="11"/>
        <v/>
      </c>
      <c r="AM182" s="53"/>
      <c r="AN182" s="245"/>
      <c r="AO182" s="242" t="str">
        <f>IF(ISTEXT(AN182),VLOOKUP(AN182,'Cadastro dos Ativos'!$A$2:$C$1000,3,0),"")</f>
        <v/>
      </c>
      <c r="AP182" s="242" t="str">
        <f>IF(AN182 &lt;&gt; "",SUMIFS('Alocação'!$O$3:$O$1002,'Alocação'!$C$3:$C$1002,AN182,'Alocação'!$F$3:$F$1002,AN$9,'Alocação'!$B$3:$B$1002,"&lt;="&amp;$B$6), "")</f>
        <v/>
      </c>
      <c r="AQ182" s="243" t="str">
        <f>iferror(IF(AO182="Ações Americanas", HLOOKUP(AN182,'Histórico'!$A$1:$DD$990,MATCH($B$6,'Histórico'!$A:$A),FALSE)*HLOOKUP("PTAX",'Histórico'!$A$1:$FG$983,MATCH($B$6,'Histórico'!$A:$A),FALSE),IF(AO182="Ações Europeias", HLOOKUP(AN182,'Histórico'!$A$1:$DD$990,MATCH($B$6,'Histórico'!$A:$A),FALSE)*HLOOKUP("EUR/BRL",'Histórico'!$A$1:$FG$983,MATCH($B$6,'Histórico'!$A:$A),FALSE),  HLOOKUP(AN182,'Histórico'!$A$1:$DD$990,MATCH($B$6,'Histórico'!$A:$A),FALSE))),"")</f>
        <v/>
      </c>
      <c r="AR182" s="243" t="str">
        <f t="shared" si="12"/>
        <v/>
      </c>
      <c r="AS182" s="53"/>
      <c r="AT182" s="245"/>
      <c r="AU182" s="242" t="str">
        <f>IF(ISTEXT(AT182),VLOOKUP(AT182,'Cadastro dos Ativos'!$A$2:$C$1000,3,0),"")</f>
        <v/>
      </c>
      <c r="AV182" s="242" t="str">
        <f>IF(AT182 &lt;&gt; "",SUMIFS('Alocação'!$O$3:$O$1002,'Alocação'!$C$3:$C$1002,AT182,'Alocação'!$F$3:$F$1002,AT$9,'Alocação'!$B$3:$B$1002,"&lt;="&amp;$B$6), "")</f>
        <v/>
      </c>
      <c r="AW182" s="243" t="str">
        <f>iferror(IF(AU182="Ações Americanas", HLOOKUP(AT182,'Histórico'!$A$1:$DD$990,MATCH($B$6,'Histórico'!$A:$A),FALSE)*HLOOKUP("PTAX",'Histórico'!$A$1:$FG$983,MATCH($B$6,'Histórico'!$A:$A),FALSE),IF(AU182="Ações Europeias", HLOOKUP(AT182,'Histórico'!$A$1:$DD$990,MATCH($B$6,'Histórico'!$A:$A),FALSE)*HLOOKUP("EUR/BRL",'Histórico'!$A$1:$FG$983,MATCH($B$6,'Histórico'!$A:$A),FALSE),  HLOOKUP(AT182,'Histórico'!$A$1:$DD$990,MATCH($B$6,'Histórico'!$A:$A),FALSE))),"")</f>
        <v/>
      </c>
      <c r="AX182" s="243" t="str">
        <f t="shared" si="13"/>
        <v/>
      </c>
      <c r="AY182" s="53"/>
    </row>
    <row r="183" ht="15.75" customHeight="1">
      <c r="A183" s="176"/>
      <c r="B183" s="288">
        <f>Controle!B183</f>
        <v>45258</v>
      </c>
      <c r="C183" s="233" t="str">
        <f>Controle!C183</f>
        <v/>
      </c>
      <c r="D183" s="289" t="str">
        <f>Controle!D183</f>
        <v/>
      </c>
      <c r="E183" s="290"/>
      <c r="F183" s="291" t="str">
        <f>Controle!F183</f>
        <v/>
      </c>
      <c r="G183" s="289" t="str">
        <f>Controle!G183</f>
        <v/>
      </c>
      <c r="H183" s="290"/>
      <c r="I183" s="291" t="str">
        <f>Controle!I183</f>
        <v/>
      </c>
      <c r="J183" s="233" t="str">
        <f>Controle!J183</f>
        <v/>
      </c>
      <c r="K183" s="292"/>
      <c r="L183" s="233" t="str">
        <f>Controle!L183</f>
        <v/>
      </c>
      <c r="M183" s="233" t="str">
        <f>Controle!M183</f>
        <v/>
      </c>
      <c r="N183" s="235" t="str">
        <f>Controle!N183</f>
        <v/>
      </c>
      <c r="O183" s="235" t="str">
        <f>Controle!O183</f>
        <v/>
      </c>
      <c r="P183" s="235" t="str">
        <f>Controle!P183</f>
        <v/>
      </c>
      <c r="Q183" s="235" t="str">
        <f>Controle!Q183</f>
        <v/>
      </c>
      <c r="R183" s="293" t="str">
        <f>Controle!R183</f>
        <v/>
      </c>
      <c r="S183" s="287"/>
      <c r="T183" s="233" t="str">
        <f t="shared" ref="T183:U183" si="186">IF(AND(C183&lt;&gt;"",F183&lt;&gt;"",I183&lt;&gt;""), SUM(I183,F183,C183),"")</f>
        <v/>
      </c>
      <c r="U183" s="233" t="str">
        <f t="shared" si="186"/>
        <v/>
      </c>
      <c r="V183" s="233" t="str">
        <f t="shared" si="6"/>
        <v/>
      </c>
      <c r="W183" s="241" t="str">
        <f t="shared" si="9"/>
        <v/>
      </c>
      <c r="X183" s="241" t="str">
        <f t="shared" si="10"/>
        <v/>
      </c>
      <c r="Y183" s="241" t="str">
        <f t="shared" si="19"/>
        <v/>
      </c>
      <c r="Z183" s="233" t="str">
        <f t="shared" si="7"/>
        <v/>
      </c>
      <c r="AA183" s="294"/>
      <c r="AB183" s="245"/>
      <c r="AC183" s="242" t="str">
        <f>IF(ISTEXT(AB183),VLOOKUP(AB183,'Cadastro dos Ativos'!$A$2:$C$1000,3,0),"")</f>
        <v/>
      </c>
      <c r="AD183" s="242" t="str">
        <f>IF(AB183 &lt;&gt; "",SUMIFS('Alocação'!$O$3:$O$1002,'Alocação'!$C$3:$C$1002,AB183,'Alocação'!$F$3:$F$1002,AB$9,'Alocação'!$B$3:$B$1002,"&lt;="&amp;$B$6), "")</f>
        <v/>
      </c>
      <c r="AE183" s="243" t="str">
        <f>iferror(IF(AC183="Ações Americanas", HLOOKUP(AB183,'Histórico'!$A$1:$DD$990,MATCH($B$6,'Histórico'!$A:$A),FALSE)*HLOOKUP("PTAX",'Histórico'!$A$1:$FG$983,MATCH($B$6,'Histórico'!$A:$A),FALSE),IF(AC183="Ações Europeias", HLOOKUP(AB183,'Histórico'!$A$1:$DD$990,MATCH($B$6,'Histórico'!$A:$A),FALSE)*HLOOKUP("EUR/BRL",'Histórico'!$A$1:$FG$983,MATCH($B$6,'Histórico'!$A:$A),FALSE),  HLOOKUP(AB183,'Histórico'!$A$1:$DD$990,MATCH($B$6,'Histórico'!$A:$A),FALSE))),"")</f>
        <v/>
      </c>
      <c r="AF183" s="243" t="str">
        <f t="shared" si="15"/>
        <v/>
      </c>
      <c r="AG183" s="53"/>
      <c r="AH183" s="245"/>
      <c r="AI183" s="242" t="str">
        <f>IF(ISTEXT(AH183),VLOOKUP(AH183,'Cadastro dos Ativos'!$A$2:$C$1000,3,0),"")</f>
        <v/>
      </c>
      <c r="AJ183" s="242" t="str">
        <f>IF(AH183 &lt;&gt; "",SUMIFS('Alocação'!$O$3:$O$1002,'Alocação'!$C$3:$C$1002,AH183,'Alocação'!$F$3:$F$1002,AH$9,'Alocação'!$B$3:$B$1002,"&lt;="&amp;$B$6), "")</f>
        <v/>
      </c>
      <c r="AK183" s="243" t="str">
        <f>iferror(IF(AI183="Ações Americanas", HLOOKUP(AH183,'Histórico'!$A$1:$DD$990,MATCH($B$6,'Histórico'!$A:$A),FALSE)*HLOOKUP("PTAX",'Histórico'!$A$1:$FG$983,MATCH($B$6,'Histórico'!$A:$A),FALSE),IF(AI183="Ações Europeias", HLOOKUP(AH183,'Histórico'!$A$1:$DD$990,MATCH($B$6,'Histórico'!$A:$A),FALSE)*HLOOKUP("EUR/BRL",'Histórico'!$A$1:$FG$983,MATCH($B$6,'Histórico'!$A:$A),FALSE),  HLOOKUP(AH183,'Histórico'!$A$1:$DD$990,MATCH($B$6,'Histórico'!$A:$A),FALSE))),"")</f>
        <v/>
      </c>
      <c r="AL183" s="243" t="str">
        <f t="shared" si="11"/>
        <v/>
      </c>
      <c r="AM183" s="53"/>
      <c r="AN183" s="245"/>
      <c r="AO183" s="242" t="str">
        <f>IF(ISTEXT(AN183),VLOOKUP(AN183,'Cadastro dos Ativos'!$A$2:$C$1000,3,0),"")</f>
        <v/>
      </c>
      <c r="AP183" s="242" t="str">
        <f>IF(AN183 &lt;&gt; "",SUMIFS('Alocação'!$O$3:$O$1002,'Alocação'!$C$3:$C$1002,AN183,'Alocação'!$F$3:$F$1002,AN$9,'Alocação'!$B$3:$B$1002,"&lt;="&amp;$B$6), "")</f>
        <v/>
      </c>
      <c r="AQ183" s="243" t="str">
        <f>iferror(IF(AO183="Ações Americanas", HLOOKUP(AN183,'Histórico'!$A$1:$DD$990,MATCH($B$6,'Histórico'!$A:$A),FALSE)*HLOOKUP("PTAX",'Histórico'!$A$1:$FG$983,MATCH($B$6,'Histórico'!$A:$A),FALSE),IF(AO183="Ações Europeias", HLOOKUP(AN183,'Histórico'!$A$1:$DD$990,MATCH($B$6,'Histórico'!$A:$A),FALSE)*HLOOKUP("EUR/BRL",'Histórico'!$A$1:$FG$983,MATCH($B$6,'Histórico'!$A:$A),FALSE),  HLOOKUP(AN183,'Histórico'!$A$1:$DD$990,MATCH($B$6,'Histórico'!$A:$A),FALSE))),"")</f>
        <v/>
      </c>
      <c r="AR183" s="243" t="str">
        <f t="shared" si="12"/>
        <v/>
      </c>
      <c r="AS183" s="53"/>
      <c r="AT183" s="245"/>
      <c r="AU183" s="242" t="str">
        <f>IF(ISTEXT(AT183),VLOOKUP(AT183,'Cadastro dos Ativos'!$A$2:$C$1000,3,0),"")</f>
        <v/>
      </c>
      <c r="AV183" s="242" t="str">
        <f>IF(AT183 &lt;&gt; "",SUMIFS('Alocação'!$O$3:$O$1002,'Alocação'!$C$3:$C$1002,AT183,'Alocação'!$F$3:$F$1002,AT$9,'Alocação'!$B$3:$B$1002,"&lt;="&amp;$B$6), "")</f>
        <v/>
      </c>
      <c r="AW183" s="243" t="str">
        <f>iferror(IF(AU183="Ações Americanas", HLOOKUP(AT183,'Histórico'!$A$1:$DD$990,MATCH($B$6,'Histórico'!$A:$A),FALSE)*HLOOKUP("PTAX",'Histórico'!$A$1:$FG$983,MATCH($B$6,'Histórico'!$A:$A),FALSE),IF(AU183="Ações Europeias", HLOOKUP(AT183,'Histórico'!$A$1:$DD$990,MATCH($B$6,'Histórico'!$A:$A),FALSE)*HLOOKUP("EUR/BRL",'Histórico'!$A$1:$FG$983,MATCH($B$6,'Histórico'!$A:$A),FALSE),  HLOOKUP(AT183,'Histórico'!$A$1:$DD$990,MATCH($B$6,'Histórico'!$A:$A),FALSE))),"")</f>
        <v/>
      </c>
      <c r="AX183" s="243" t="str">
        <f t="shared" si="13"/>
        <v/>
      </c>
      <c r="AY183" s="53"/>
    </row>
    <row r="184" ht="15.75" customHeight="1">
      <c r="A184" s="176"/>
      <c r="B184" s="288">
        <f>Controle!B184</f>
        <v>45259</v>
      </c>
      <c r="C184" s="233" t="str">
        <f>Controle!C184</f>
        <v/>
      </c>
      <c r="D184" s="289" t="str">
        <f>Controle!D184</f>
        <v/>
      </c>
      <c r="E184" s="290"/>
      <c r="F184" s="291" t="str">
        <f>Controle!F184</f>
        <v/>
      </c>
      <c r="G184" s="289" t="str">
        <f>Controle!G184</f>
        <v/>
      </c>
      <c r="H184" s="290"/>
      <c r="I184" s="291" t="str">
        <f>Controle!I184</f>
        <v/>
      </c>
      <c r="J184" s="233" t="str">
        <f>Controle!J184</f>
        <v/>
      </c>
      <c r="K184" s="292"/>
      <c r="L184" s="233" t="str">
        <f>Controle!L184</f>
        <v/>
      </c>
      <c r="M184" s="233" t="str">
        <f>Controle!M184</f>
        <v/>
      </c>
      <c r="N184" s="235" t="str">
        <f>Controle!N184</f>
        <v/>
      </c>
      <c r="O184" s="235" t="str">
        <f>Controle!O184</f>
        <v/>
      </c>
      <c r="P184" s="235" t="str">
        <f>Controle!P184</f>
        <v/>
      </c>
      <c r="Q184" s="235" t="str">
        <f>Controle!Q184</f>
        <v/>
      </c>
      <c r="R184" s="293" t="str">
        <f>Controle!R184</f>
        <v/>
      </c>
      <c r="S184" s="287"/>
      <c r="T184" s="233" t="str">
        <f t="shared" ref="T184:U184" si="187">IF(AND(C184&lt;&gt;"",F184&lt;&gt;"",I184&lt;&gt;""), SUM(I184,F184,C184),"")</f>
        <v/>
      </c>
      <c r="U184" s="233" t="str">
        <f t="shared" si="187"/>
        <v/>
      </c>
      <c r="V184" s="233" t="str">
        <f t="shared" si="6"/>
        <v/>
      </c>
      <c r="W184" s="241" t="str">
        <f t="shared" si="9"/>
        <v/>
      </c>
      <c r="X184" s="241" t="str">
        <f t="shared" si="10"/>
        <v/>
      </c>
      <c r="Y184" s="241" t="str">
        <f t="shared" si="19"/>
        <v/>
      </c>
      <c r="Z184" s="233" t="str">
        <f t="shared" si="7"/>
        <v/>
      </c>
      <c r="AA184" s="294"/>
      <c r="AB184" s="245"/>
      <c r="AC184" s="242" t="str">
        <f>IF(ISTEXT(AB184),VLOOKUP(AB184,'Cadastro dos Ativos'!$A$2:$C$1000,3,0),"")</f>
        <v/>
      </c>
      <c r="AD184" s="242" t="str">
        <f>IF(AB184 &lt;&gt; "",SUMIFS('Alocação'!$O$3:$O$1002,'Alocação'!$C$3:$C$1002,AB184,'Alocação'!$F$3:$F$1002,AB$9,'Alocação'!$B$3:$B$1002,"&lt;="&amp;$B$6), "")</f>
        <v/>
      </c>
      <c r="AE184" s="243" t="str">
        <f>iferror(IF(AC184="Ações Americanas", HLOOKUP(AB184,'Histórico'!$A$1:$DD$990,MATCH($B$6,'Histórico'!$A:$A),FALSE)*HLOOKUP("PTAX",'Histórico'!$A$1:$FG$983,MATCH($B$6,'Histórico'!$A:$A),FALSE),IF(AC184="Ações Europeias", HLOOKUP(AB184,'Histórico'!$A$1:$DD$990,MATCH($B$6,'Histórico'!$A:$A),FALSE)*HLOOKUP("EUR/BRL",'Histórico'!$A$1:$FG$983,MATCH($B$6,'Histórico'!$A:$A),FALSE),  HLOOKUP(AB184,'Histórico'!$A$1:$DD$990,MATCH($B$6,'Histórico'!$A:$A),FALSE))),"")</f>
        <v/>
      </c>
      <c r="AF184" s="243" t="str">
        <f t="shared" si="15"/>
        <v/>
      </c>
      <c r="AG184" s="53"/>
      <c r="AH184" s="245"/>
      <c r="AI184" s="242" t="str">
        <f>IF(ISTEXT(AH184),VLOOKUP(AH184,'Cadastro dos Ativos'!$A$2:$C$1000,3,0),"")</f>
        <v/>
      </c>
      <c r="AJ184" s="242" t="str">
        <f>IF(AH184 &lt;&gt; "",SUMIFS('Alocação'!$O$3:$O$1002,'Alocação'!$C$3:$C$1002,AH184,'Alocação'!$F$3:$F$1002,AH$9,'Alocação'!$B$3:$B$1002,"&lt;="&amp;$B$6), "")</f>
        <v/>
      </c>
      <c r="AK184" s="243" t="str">
        <f>iferror(IF(AI184="Ações Americanas", HLOOKUP(AH184,'Histórico'!$A$1:$DD$990,MATCH($B$6,'Histórico'!$A:$A),FALSE)*HLOOKUP("PTAX",'Histórico'!$A$1:$FG$983,MATCH($B$6,'Histórico'!$A:$A),FALSE),IF(AI184="Ações Europeias", HLOOKUP(AH184,'Histórico'!$A$1:$DD$990,MATCH($B$6,'Histórico'!$A:$A),FALSE)*HLOOKUP("EUR/BRL",'Histórico'!$A$1:$FG$983,MATCH($B$6,'Histórico'!$A:$A),FALSE),  HLOOKUP(AH184,'Histórico'!$A$1:$DD$990,MATCH($B$6,'Histórico'!$A:$A),FALSE))),"")</f>
        <v/>
      </c>
      <c r="AL184" s="243" t="str">
        <f t="shared" si="11"/>
        <v/>
      </c>
      <c r="AM184" s="53"/>
      <c r="AN184" s="245"/>
      <c r="AO184" s="242" t="str">
        <f>IF(ISTEXT(AN184),VLOOKUP(AN184,'Cadastro dos Ativos'!$A$2:$C$1000,3,0),"")</f>
        <v/>
      </c>
      <c r="AP184" s="242" t="str">
        <f>IF(AN184 &lt;&gt; "",SUMIFS('Alocação'!$O$3:$O$1002,'Alocação'!$C$3:$C$1002,AN184,'Alocação'!$F$3:$F$1002,AN$9,'Alocação'!$B$3:$B$1002,"&lt;="&amp;$B$6), "")</f>
        <v/>
      </c>
      <c r="AQ184" s="243" t="str">
        <f>iferror(IF(AO184="Ações Americanas", HLOOKUP(AN184,'Histórico'!$A$1:$DD$990,MATCH($B$6,'Histórico'!$A:$A),FALSE)*HLOOKUP("PTAX",'Histórico'!$A$1:$FG$983,MATCH($B$6,'Histórico'!$A:$A),FALSE),IF(AO184="Ações Europeias", HLOOKUP(AN184,'Histórico'!$A$1:$DD$990,MATCH($B$6,'Histórico'!$A:$A),FALSE)*HLOOKUP("EUR/BRL",'Histórico'!$A$1:$FG$983,MATCH($B$6,'Histórico'!$A:$A),FALSE),  HLOOKUP(AN184,'Histórico'!$A$1:$DD$990,MATCH($B$6,'Histórico'!$A:$A),FALSE))),"")</f>
        <v/>
      </c>
      <c r="AR184" s="243" t="str">
        <f t="shared" si="12"/>
        <v/>
      </c>
      <c r="AS184" s="53"/>
      <c r="AT184" s="245"/>
      <c r="AU184" s="242" t="str">
        <f>IF(ISTEXT(AT184),VLOOKUP(AT184,'Cadastro dos Ativos'!$A$2:$C$1000,3,0),"")</f>
        <v/>
      </c>
      <c r="AV184" s="242" t="str">
        <f>IF(AT184 &lt;&gt; "",SUMIFS('Alocação'!$O$3:$O$1002,'Alocação'!$C$3:$C$1002,AT184,'Alocação'!$F$3:$F$1002,AT$9,'Alocação'!$B$3:$B$1002,"&lt;="&amp;$B$6), "")</f>
        <v/>
      </c>
      <c r="AW184" s="243" t="str">
        <f>iferror(IF(AU184="Ações Americanas", HLOOKUP(AT184,'Histórico'!$A$1:$DD$990,MATCH($B$6,'Histórico'!$A:$A),FALSE)*HLOOKUP("PTAX",'Histórico'!$A$1:$FG$983,MATCH($B$6,'Histórico'!$A:$A),FALSE),IF(AU184="Ações Europeias", HLOOKUP(AT184,'Histórico'!$A$1:$DD$990,MATCH($B$6,'Histórico'!$A:$A),FALSE)*HLOOKUP("EUR/BRL",'Histórico'!$A$1:$FG$983,MATCH($B$6,'Histórico'!$A:$A),FALSE),  HLOOKUP(AT184,'Histórico'!$A$1:$DD$990,MATCH($B$6,'Histórico'!$A:$A),FALSE))),"")</f>
        <v/>
      </c>
      <c r="AX184" s="243" t="str">
        <f t="shared" si="13"/>
        <v/>
      </c>
      <c r="AY184" s="53"/>
    </row>
    <row r="185" ht="15.75" customHeight="1">
      <c r="A185" s="176"/>
      <c r="B185" s="288">
        <f>Controle!B185</f>
        <v>45260</v>
      </c>
      <c r="C185" s="233" t="str">
        <f>Controle!C185</f>
        <v/>
      </c>
      <c r="D185" s="289" t="str">
        <f>Controle!D185</f>
        <v/>
      </c>
      <c r="E185" s="290"/>
      <c r="F185" s="291" t="str">
        <f>Controle!F185</f>
        <v/>
      </c>
      <c r="G185" s="289" t="str">
        <f>Controle!G185</f>
        <v/>
      </c>
      <c r="H185" s="290"/>
      <c r="I185" s="291" t="str">
        <f>Controle!I185</f>
        <v/>
      </c>
      <c r="J185" s="233" t="str">
        <f>Controle!J185</f>
        <v/>
      </c>
      <c r="K185" s="292"/>
      <c r="L185" s="233" t="str">
        <f>Controle!L185</f>
        <v/>
      </c>
      <c r="M185" s="233" t="str">
        <f>Controle!M185</f>
        <v/>
      </c>
      <c r="N185" s="235" t="str">
        <f>Controle!N185</f>
        <v/>
      </c>
      <c r="O185" s="235" t="str">
        <f>Controle!O185</f>
        <v/>
      </c>
      <c r="P185" s="235" t="str">
        <f>Controle!P185</f>
        <v/>
      </c>
      <c r="Q185" s="235" t="str">
        <f>Controle!Q185</f>
        <v/>
      </c>
      <c r="R185" s="293" t="str">
        <f>Controle!R185</f>
        <v/>
      </c>
      <c r="S185" s="287"/>
      <c r="T185" s="233" t="str">
        <f t="shared" ref="T185:U185" si="188">IF(AND(C185&lt;&gt;"",F185&lt;&gt;"",I185&lt;&gt;""), SUM(I185,F185,C185),"")</f>
        <v/>
      </c>
      <c r="U185" s="233" t="str">
        <f t="shared" si="188"/>
        <v/>
      </c>
      <c r="V185" s="233" t="str">
        <f t="shared" si="6"/>
        <v/>
      </c>
      <c r="W185" s="241" t="str">
        <f t="shared" si="9"/>
        <v/>
      </c>
      <c r="X185" s="241" t="str">
        <f t="shared" si="10"/>
        <v/>
      </c>
      <c r="Y185" s="241" t="str">
        <f t="shared" si="19"/>
        <v/>
      </c>
      <c r="Z185" s="233" t="str">
        <f t="shared" si="7"/>
        <v/>
      </c>
      <c r="AA185" s="294"/>
      <c r="AB185" s="245"/>
      <c r="AC185" s="242" t="str">
        <f>IF(ISTEXT(AB185),VLOOKUP(AB185,'Cadastro dos Ativos'!$A$2:$C$1000,3,0),"")</f>
        <v/>
      </c>
      <c r="AD185" s="242" t="str">
        <f>IF(AB185 &lt;&gt; "",SUMIFS('Alocação'!$O$3:$O$1002,'Alocação'!$C$3:$C$1002,AB185,'Alocação'!$F$3:$F$1002,AB$9,'Alocação'!$B$3:$B$1002,"&lt;="&amp;$B$6), "")</f>
        <v/>
      </c>
      <c r="AE185" s="243" t="str">
        <f>iferror(IF(AC185="Ações Americanas", HLOOKUP(AB185,'Histórico'!$A$1:$DD$990,MATCH($B$6,'Histórico'!$A:$A),FALSE)*HLOOKUP("PTAX",'Histórico'!$A$1:$FG$983,MATCH($B$6,'Histórico'!$A:$A),FALSE),IF(AC185="Ações Europeias", HLOOKUP(AB185,'Histórico'!$A$1:$DD$990,MATCH($B$6,'Histórico'!$A:$A),FALSE)*HLOOKUP("EUR/BRL",'Histórico'!$A$1:$FG$983,MATCH($B$6,'Histórico'!$A:$A),FALSE),  HLOOKUP(AB185,'Histórico'!$A$1:$DD$990,MATCH($B$6,'Histórico'!$A:$A),FALSE))),"")</f>
        <v/>
      </c>
      <c r="AF185" s="243" t="str">
        <f t="shared" si="15"/>
        <v/>
      </c>
      <c r="AG185" s="53"/>
      <c r="AH185" s="245"/>
      <c r="AI185" s="242" t="str">
        <f>IF(ISTEXT(AH185),VLOOKUP(AH185,'Cadastro dos Ativos'!$A$2:$C$1000,3,0),"")</f>
        <v/>
      </c>
      <c r="AJ185" s="242" t="str">
        <f>IF(AH185 &lt;&gt; "",SUMIFS('Alocação'!$O$3:$O$1002,'Alocação'!$C$3:$C$1002,AH185,'Alocação'!$F$3:$F$1002,AH$9,'Alocação'!$B$3:$B$1002,"&lt;="&amp;$B$6), "")</f>
        <v/>
      </c>
      <c r="AK185" s="243" t="str">
        <f>iferror(IF(AI185="Ações Americanas", HLOOKUP(AH185,'Histórico'!$A$1:$DD$990,MATCH($B$6,'Histórico'!$A:$A),FALSE)*HLOOKUP("PTAX",'Histórico'!$A$1:$FG$983,MATCH($B$6,'Histórico'!$A:$A),FALSE),IF(AI185="Ações Europeias", HLOOKUP(AH185,'Histórico'!$A$1:$DD$990,MATCH($B$6,'Histórico'!$A:$A),FALSE)*HLOOKUP("EUR/BRL",'Histórico'!$A$1:$FG$983,MATCH($B$6,'Histórico'!$A:$A),FALSE),  HLOOKUP(AH185,'Histórico'!$A$1:$DD$990,MATCH($B$6,'Histórico'!$A:$A),FALSE))),"")</f>
        <v/>
      </c>
      <c r="AL185" s="243" t="str">
        <f t="shared" si="11"/>
        <v/>
      </c>
      <c r="AM185" s="53"/>
      <c r="AN185" s="245"/>
      <c r="AO185" s="242" t="str">
        <f>IF(ISTEXT(AN185),VLOOKUP(AN185,'Cadastro dos Ativos'!$A$2:$C$1000,3,0),"")</f>
        <v/>
      </c>
      <c r="AP185" s="242" t="str">
        <f>IF(AN185 &lt;&gt; "",SUMIFS('Alocação'!$O$3:$O$1002,'Alocação'!$C$3:$C$1002,AN185,'Alocação'!$F$3:$F$1002,AN$9,'Alocação'!$B$3:$B$1002,"&lt;="&amp;$B$6), "")</f>
        <v/>
      </c>
      <c r="AQ185" s="243" t="str">
        <f>iferror(IF(AO185="Ações Americanas", HLOOKUP(AN185,'Histórico'!$A$1:$DD$990,MATCH($B$6,'Histórico'!$A:$A),FALSE)*HLOOKUP("PTAX",'Histórico'!$A$1:$FG$983,MATCH($B$6,'Histórico'!$A:$A),FALSE),IF(AO185="Ações Europeias", HLOOKUP(AN185,'Histórico'!$A$1:$DD$990,MATCH($B$6,'Histórico'!$A:$A),FALSE)*HLOOKUP("EUR/BRL",'Histórico'!$A$1:$FG$983,MATCH($B$6,'Histórico'!$A:$A),FALSE),  HLOOKUP(AN185,'Histórico'!$A$1:$DD$990,MATCH($B$6,'Histórico'!$A:$A),FALSE))),"")</f>
        <v/>
      </c>
      <c r="AR185" s="243" t="str">
        <f t="shared" si="12"/>
        <v/>
      </c>
      <c r="AS185" s="53"/>
      <c r="AT185" s="245"/>
      <c r="AU185" s="242" t="str">
        <f>IF(ISTEXT(AT185),VLOOKUP(AT185,'Cadastro dos Ativos'!$A$2:$C$1000,3,0),"")</f>
        <v/>
      </c>
      <c r="AV185" s="242" t="str">
        <f>IF(AT185 &lt;&gt; "",SUMIFS('Alocação'!$O$3:$O$1002,'Alocação'!$C$3:$C$1002,AT185,'Alocação'!$F$3:$F$1002,AT$9,'Alocação'!$B$3:$B$1002,"&lt;="&amp;$B$6), "")</f>
        <v/>
      </c>
      <c r="AW185" s="243" t="str">
        <f>iferror(IF(AU185="Ações Americanas", HLOOKUP(AT185,'Histórico'!$A$1:$DD$990,MATCH($B$6,'Histórico'!$A:$A),FALSE)*HLOOKUP("PTAX",'Histórico'!$A$1:$FG$983,MATCH($B$6,'Histórico'!$A:$A),FALSE),IF(AU185="Ações Europeias", HLOOKUP(AT185,'Histórico'!$A$1:$DD$990,MATCH($B$6,'Histórico'!$A:$A),FALSE)*HLOOKUP("EUR/BRL",'Histórico'!$A$1:$FG$983,MATCH($B$6,'Histórico'!$A:$A),FALSE),  HLOOKUP(AT185,'Histórico'!$A$1:$DD$990,MATCH($B$6,'Histórico'!$A:$A),FALSE))),"")</f>
        <v/>
      </c>
      <c r="AX185" s="243" t="str">
        <f t="shared" si="13"/>
        <v/>
      </c>
      <c r="AY185" s="53"/>
    </row>
    <row r="186" ht="15.75" customHeight="1">
      <c r="A186" s="176"/>
      <c r="B186" s="288">
        <f>Controle!B186</f>
        <v>45261</v>
      </c>
      <c r="C186" s="233" t="str">
        <f>Controle!C186</f>
        <v/>
      </c>
      <c r="D186" s="289" t="str">
        <f>Controle!D186</f>
        <v/>
      </c>
      <c r="E186" s="290"/>
      <c r="F186" s="291" t="str">
        <f>Controle!F186</f>
        <v/>
      </c>
      <c r="G186" s="289" t="str">
        <f>Controle!G186</f>
        <v/>
      </c>
      <c r="H186" s="290"/>
      <c r="I186" s="291" t="str">
        <f>Controle!I186</f>
        <v/>
      </c>
      <c r="J186" s="233" t="str">
        <f>Controle!J186</f>
        <v/>
      </c>
      <c r="K186" s="292"/>
      <c r="L186" s="233" t="str">
        <f>Controle!L186</f>
        <v/>
      </c>
      <c r="M186" s="233" t="str">
        <f>Controle!M186</f>
        <v/>
      </c>
      <c r="N186" s="235" t="str">
        <f>Controle!N186</f>
        <v/>
      </c>
      <c r="O186" s="235" t="str">
        <f>Controle!O186</f>
        <v/>
      </c>
      <c r="P186" s="235" t="str">
        <f>Controle!P186</f>
        <v/>
      </c>
      <c r="Q186" s="235" t="str">
        <f>Controle!Q186</f>
        <v/>
      </c>
      <c r="R186" s="293" t="str">
        <f>Controle!R186</f>
        <v/>
      </c>
      <c r="S186" s="287"/>
      <c r="T186" s="233" t="str">
        <f t="shared" ref="T186:U186" si="189">IF(AND(C186&lt;&gt;"",F186&lt;&gt;"",I186&lt;&gt;""), SUM(I186,F186,C186),"")</f>
        <v/>
      </c>
      <c r="U186" s="233" t="str">
        <f t="shared" si="189"/>
        <v/>
      </c>
      <c r="V186" s="233" t="str">
        <f t="shared" si="6"/>
        <v/>
      </c>
      <c r="W186" s="241" t="str">
        <f t="shared" si="9"/>
        <v/>
      </c>
      <c r="X186" s="241" t="str">
        <f t="shared" si="10"/>
        <v/>
      </c>
      <c r="Y186" s="241" t="str">
        <f t="shared" si="19"/>
        <v/>
      </c>
      <c r="Z186" s="233" t="str">
        <f t="shared" si="7"/>
        <v/>
      </c>
      <c r="AA186" s="294"/>
      <c r="AB186" s="245"/>
      <c r="AC186" s="242" t="str">
        <f>IF(ISTEXT(AB186),VLOOKUP(AB186,'Cadastro dos Ativos'!$A$2:$C$1000,3,0),"")</f>
        <v/>
      </c>
      <c r="AD186" s="242" t="str">
        <f>IF(AB186 &lt;&gt; "",SUMIFS('Alocação'!$O$3:$O$1002,'Alocação'!$C$3:$C$1002,AB186,'Alocação'!$F$3:$F$1002,AB$9,'Alocação'!$B$3:$B$1002,"&lt;="&amp;$B$6), "")</f>
        <v/>
      </c>
      <c r="AE186" s="243" t="str">
        <f>iferror(IF(AC186="Ações Americanas", HLOOKUP(AB186,'Histórico'!$A$1:$DD$990,MATCH($B$6,'Histórico'!$A:$A),FALSE)*HLOOKUP("PTAX",'Histórico'!$A$1:$FG$983,MATCH($B$6,'Histórico'!$A:$A),FALSE),IF(AC186="Ações Europeias", HLOOKUP(AB186,'Histórico'!$A$1:$DD$990,MATCH($B$6,'Histórico'!$A:$A),FALSE)*HLOOKUP("EUR/BRL",'Histórico'!$A$1:$FG$983,MATCH($B$6,'Histórico'!$A:$A),FALSE),  HLOOKUP(AB186,'Histórico'!$A$1:$DD$990,MATCH($B$6,'Histórico'!$A:$A),FALSE))),"")</f>
        <v/>
      </c>
      <c r="AF186" s="243" t="str">
        <f t="shared" si="15"/>
        <v/>
      </c>
      <c r="AG186" s="53"/>
      <c r="AH186" s="245"/>
      <c r="AI186" s="242" t="str">
        <f>IF(ISTEXT(AH186),VLOOKUP(AH186,'Cadastro dos Ativos'!$A$2:$C$1000,3,0),"")</f>
        <v/>
      </c>
      <c r="AJ186" s="242" t="str">
        <f>IF(AH186 &lt;&gt; "",SUMIFS('Alocação'!$O$3:$O$1002,'Alocação'!$C$3:$C$1002,AH186,'Alocação'!$F$3:$F$1002,AH$9,'Alocação'!$B$3:$B$1002,"&lt;="&amp;$B$6), "")</f>
        <v/>
      </c>
      <c r="AK186" s="243" t="str">
        <f>iferror(IF(AI186="Ações Americanas", HLOOKUP(AH186,'Histórico'!$A$1:$DD$990,MATCH($B$6,'Histórico'!$A:$A),FALSE)*HLOOKUP("PTAX",'Histórico'!$A$1:$FG$983,MATCH($B$6,'Histórico'!$A:$A),FALSE),IF(AI186="Ações Europeias", HLOOKUP(AH186,'Histórico'!$A$1:$DD$990,MATCH($B$6,'Histórico'!$A:$A),FALSE)*HLOOKUP("EUR/BRL",'Histórico'!$A$1:$FG$983,MATCH($B$6,'Histórico'!$A:$A),FALSE),  HLOOKUP(AH186,'Histórico'!$A$1:$DD$990,MATCH($B$6,'Histórico'!$A:$A),FALSE))),"")</f>
        <v/>
      </c>
      <c r="AL186" s="243" t="str">
        <f t="shared" si="11"/>
        <v/>
      </c>
      <c r="AM186" s="53"/>
      <c r="AN186" s="245"/>
      <c r="AO186" s="242" t="str">
        <f>IF(ISTEXT(AN186),VLOOKUP(AN186,'Cadastro dos Ativos'!$A$2:$C$1000,3,0),"")</f>
        <v/>
      </c>
      <c r="AP186" s="242" t="str">
        <f>IF(AN186 &lt;&gt; "",SUMIFS('Alocação'!$O$3:$O$1002,'Alocação'!$C$3:$C$1002,AN186,'Alocação'!$F$3:$F$1002,AN$9,'Alocação'!$B$3:$B$1002,"&lt;="&amp;$B$6), "")</f>
        <v/>
      </c>
      <c r="AQ186" s="243" t="str">
        <f>iferror(IF(AO186="Ações Americanas", HLOOKUP(AN186,'Histórico'!$A$1:$DD$990,MATCH($B$6,'Histórico'!$A:$A),FALSE)*HLOOKUP("PTAX",'Histórico'!$A$1:$FG$983,MATCH($B$6,'Histórico'!$A:$A),FALSE),IF(AO186="Ações Europeias", HLOOKUP(AN186,'Histórico'!$A$1:$DD$990,MATCH($B$6,'Histórico'!$A:$A),FALSE)*HLOOKUP("EUR/BRL",'Histórico'!$A$1:$FG$983,MATCH($B$6,'Histórico'!$A:$A),FALSE),  HLOOKUP(AN186,'Histórico'!$A$1:$DD$990,MATCH($B$6,'Histórico'!$A:$A),FALSE))),"")</f>
        <v/>
      </c>
      <c r="AR186" s="243" t="str">
        <f t="shared" si="12"/>
        <v/>
      </c>
      <c r="AS186" s="53"/>
      <c r="AT186" s="245"/>
      <c r="AU186" s="242" t="str">
        <f>IF(ISTEXT(AT186),VLOOKUP(AT186,'Cadastro dos Ativos'!$A$2:$C$1000,3,0),"")</f>
        <v/>
      </c>
      <c r="AV186" s="242" t="str">
        <f>IF(AT186 &lt;&gt; "",SUMIFS('Alocação'!$O$3:$O$1002,'Alocação'!$C$3:$C$1002,AT186,'Alocação'!$F$3:$F$1002,AT$9,'Alocação'!$B$3:$B$1002,"&lt;="&amp;$B$6), "")</f>
        <v/>
      </c>
      <c r="AW186" s="243" t="str">
        <f>iferror(IF(AU186="Ações Americanas", HLOOKUP(AT186,'Histórico'!$A$1:$DD$990,MATCH($B$6,'Histórico'!$A:$A),FALSE)*HLOOKUP("PTAX",'Histórico'!$A$1:$FG$983,MATCH($B$6,'Histórico'!$A:$A),FALSE),IF(AU186="Ações Europeias", HLOOKUP(AT186,'Histórico'!$A$1:$DD$990,MATCH($B$6,'Histórico'!$A:$A),FALSE)*HLOOKUP("EUR/BRL",'Histórico'!$A$1:$FG$983,MATCH($B$6,'Histórico'!$A:$A),FALSE),  HLOOKUP(AT186,'Histórico'!$A$1:$DD$990,MATCH($B$6,'Histórico'!$A:$A),FALSE))),"")</f>
        <v/>
      </c>
      <c r="AX186" s="243" t="str">
        <f t="shared" si="13"/>
        <v/>
      </c>
      <c r="AY186" s="53"/>
    </row>
    <row r="187" ht="15.75" customHeight="1">
      <c r="A187" s="176"/>
      <c r="B187" s="288">
        <f>Controle!B187</f>
        <v>45264</v>
      </c>
      <c r="C187" s="233" t="str">
        <f>Controle!C187</f>
        <v/>
      </c>
      <c r="D187" s="289" t="str">
        <f>Controle!D187</f>
        <v/>
      </c>
      <c r="E187" s="290"/>
      <c r="F187" s="291" t="str">
        <f>Controle!F187</f>
        <v/>
      </c>
      <c r="G187" s="289" t="str">
        <f>Controle!G187</f>
        <v/>
      </c>
      <c r="H187" s="290"/>
      <c r="I187" s="291" t="str">
        <f>Controle!I187</f>
        <v/>
      </c>
      <c r="J187" s="233" t="str">
        <f>Controle!J187</f>
        <v/>
      </c>
      <c r="K187" s="292"/>
      <c r="L187" s="233" t="str">
        <f>Controle!L187</f>
        <v/>
      </c>
      <c r="M187" s="233" t="str">
        <f>Controle!M187</f>
        <v/>
      </c>
      <c r="N187" s="235" t="str">
        <f>Controle!N187</f>
        <v/>
      </c>
      <c r="O187" s="235" t="str">
        <f>Controle!O187</f>
        <v/>
      </c>
      <c r="P187" s="235" t="str">
        <f>Controle!P187</f>
        <v/>
      </c>
      <c r="Q187" s="235" t="str">
        <f>Controle!Q187</f>
        <v/>
      </c>
      <c r="R187" s="293" t="str">
        <f>Controle!R187</f>
        <v/>
      </c>
      <c r="S187" s="287"/>
      <c r="T187" s="233" t="str">
        <f t="shared" ref="T187:U187" si="190">IF(AND(C187&lt;&gt;"",F187&lt;&gt;"",I187&lt;&gt;""), SUM(I187,F187,C187),"")</f>
        <v/>
      </c>
      <c r="U187" s="233" t="str">
        <f t="shared" si="190"/>
        <v/>
      </c>
      <c r="V187" s="233" t="str">
        <f t="shared" si="6"/>
        <v/>
      </c>
      <c r="W187" s="241" t="str">
        <f t="shared" si="9"/>
        <v/>
      </c>
      <c r="X187" s="241" t="str">
        <f t="shared" si="10"/>
        <v/>
      </c>
      <c r="Y187" s="241" t="str">
        <f t="shared" si="19"/>
        <v/>
      </c>
      <c r="Z187" s="233" t="str">
        <f t="shared" si="7"/>
        <v/>
      </c>
      <c r="AA187" s="294"/>
      <c r="AB187" s="245"/>
      <c r="AC187" s="242" t="str">
        <f>IF(ISTEXT(AB187),VLOOKUP(AB187,'Cadastro dos Ativos'!$A$2:$C$1000,3,0),"")</f>
        <v/>
      </c>
      <c r="AD187" s="242" t="str">
        <f>IF(AB187 &lt;&gt; "",SUMIFS('Alocação'!$O$3:$O$1002,'Alocação'!$C$3:$C$1002,AB187,'Alocação'!$F$3:$F$1002,AB$9,'Alocação'!$B$3:$B$1002,"&lt;="&amp;$B$6), "")</f>
        <v/>
      </c>
      <c r="AE187" s="243" t="str">
        <f>iferror(IF(AC187="Ações Americanas", HLOOKUP(AB187,'Histórico'!$A$1:$DD$990,MATCH($B$6,'Histórico'!$A:$A),FALSE)*HLOOKUP("PTAX",'Histórico'!$A$1:$FG$983,MATCH($B$6,'Histórico'!$A:$A),FALSE),IF(AC187="Ações Europeias", HLOOKUP(AB187,'Histórico'!$A$1:$DD$990,MATCH($B$6,'Histórico'!$A:$A),FALSE)*HLOOKUP("EUR/BRL",'Histórico'!$A$1:$FG$983,MATCH($B$6,'Histórico'!$A:$A),FALSE),  HLOOKUP(AB187,'Histórico'!$A$1:$DD$990,MATCH($B$6,'Histórico'!$A:$A),FALSE))),"")</f>
        <v/>
      </c>
      <c r="AF187" s="243" t="str">
        <f t="shared" si="15"/>
        <v/>
      </c>
      <c r="AG187" s="53"/>
      <c r="AH187" s="245"/>
      <c r="AI187" s="242" t="str">
        <f>IF(ISTEXT(AH187),VLOOKUP(AH187,'Cadastro dos Ativos'!$A$2:$C$1000,3,0),"")</f>
        <v/>
      </c>
      <c r="AJ187" s="242" t="str">
        <f>IF(AH187 &lt;&gt; "",SUMIFS('Alocação'!$O$3:$O$1002,'Alocação'!$C$3:$C$1002,AH187,'Alocação'!$F$3:$F$1002,AH$9,'Alocação'!$B$3:$B$1002,"&lt;="&amp;$B$6), "")</f>
        <v/>
      </c>
      <c r="AK187" s="243" t="str">
        <f>iferror(IF(AI187="Ações Americanas", HLOOKUP(AH187,'Histórico'!$A$1:$DD$990,MATCH($B$6,'Histórico'!$A:$A),FALSE)*HLOOKUP("PTAX",'Histórico'!$A$1:$FG$983,MATCH($B$6,'Histórico'!$A:$A),FALSE),IF(AI187="Ações Europeias", HLOOKUP(AH187,'Histórico'!$A$1:$DD$990,MATCH($B$6,'Histórico'!$A:$A),FALSE)*HLOOKUP("EUR/BRL",'Histórico'!$A$1:$FG$983,MATCH($B$6,'Histórico'!$A:$A),FALSE),  HLOOKUP(AH187,'Histórico'!$A$1:$DD$990,MATCH($B$6,'Histórico'!$A:$A),FALSE))),"")</f>
        <v/>
      </c>
      <c r="AL187" s="243" t="str">
        <f t="shared" si="11"/>
        <v/>
      </c>
      <c r="AM187" s="53"/>
      <c r="AN187" s="245"/>
      <c r="AO187" s="242" t="str">
        <f>IF(ISTEXT(AN187),VLOOKUP(AN187,'Cadastro dos Ativos'!$A$2:$C$1000,3,0),"")</f>
        <v/>
      </c>
      <c r="AP187" s="242" t="str">
        <f>IF(AN187 &lt;&gt; "",SUMIFS('Alocação'!$O$3:$O$1002,'Alocação'!$C$3:$C$1002,AN187,'Alocação'!$F$3:$F$1002,AN$9,'Alocação'!$B$3:$B$1002,"&lt;="&amp;$B$6), "")</f>
        <v/>
      </c>
      <c r="AQ187" s="243" t="str">
        <f>iferror(IF(AO187="Ações Americanas", HLOOKUP(AN187,'Histórico'!$A$1:$DD$990,MATCH($B$6,'Histórico'!$A:$A),FALSE)*HLOOKUP("PTAX",'Histórico'!$A$1:$FG$983,MATCH($B$6,'Histórico'!$A:$A),FALSE),IF(AO187="Ações Europeias", HLOOKUP(AN187,'Histórico'!$A$1:$DD$990,MATCH($B$6,'Histórico'!$A:$A),FALSE)*HLOOKUP("EUR/BRL",'Histórico'!$A$1:$FG$983,MATCH($B$6,'Histórico'!$A:$A),FALSE),  HLOOKUP(AN187,'Histórico'!$A$1:$DD$990,MATCH($B$6,'Histórico'!$A:$A),FALSE))),"")</f>
        <v/>
      </c>
      <c r="AR187" s="243" t="str">
        <f t="shared" si="12"/>
        <v/>
      </c>
      <c r="AS187" s="53"/>
      <c r="AT187" s="245"/>
      <c r="AU187" s="242" t="str">
        <f>IF(ISTEXT(AT187),VLOOKUP(AT187,'Cadastro dos Ativos'!$A$2:$C$1000,3,0),"")</f>
        <v/>
      </c>
      <c r="AV187" s="242" t="str">
        <f>IF(AT187 &lt;&gt; "",SUMIFS('Alocação'!$O$3:$O$1002,'Alocação'!$C$3:$C$1002,AT187,'Alocação'!$F$3:$F$1002,AT$9,'Alocação'!$B$3:$B$1002,"&lt;="&amp;$B$6), "")</f>
        <v/>
      </c>
      <c r="AW187" s="243" t="str">
        <f>iferror(IF(AU187="Ações Americanas", HLOOKUP(AT187,'Histórico'!$A$1:$DD$990,MATCH($B$6,'Histórico'!$A:$A),FALSE)*HLOOKUP("PTAX",'Histórico'!$A$1:$FG$983,MATCH($B$6,'Histórico'!$A:$A),FALSE),IF(AU187="Ações Europeias", HLOOKUP(AT187,'Histórico'!$A$1:$DD$990,MATCH($B$6,'Histórico'!$A:$A),FALSE)*HLOOKUP("EUR/BRL",'Histórico'!$A$1:$FG$983,MATCH($B$6,'Histórico'!$A:$A),FALSE),  HLOOKUP(AT187,'Histórico'!$A$1:$DD$990,MATCH($B$6,'Histórico'!$A:$A),FALSE))),"")</f>
        <v/>
      </c>
      <c r="AX187" s="243" t="str">
        <f t="shared" si="13"/>
        <v/>
      </c>
      <c r="AY187" s="53"/>
    </row>
    <row r="188" ht="15.75" customHeight="1">
      <c r="A188" s="176"/>
      <c r="B188" s="288">
        <f>Controle!B188</f>
        <v>45265</v>
      </c>
      <c r="C188" s="233" t="str">
        <f>Controle!C188</f>
        <v/>
      </c>
      <c r="D188" s="289" t="str">
        <f>Controle!D188</f>
        <v/>
      </c>
      <c r="E188" s="290"/>
      <c r="F188" s="291" t="str">
        <f>Controle!F188</f>
        <v/>
      </c>
      <c r="G188" s="289" t="str">
        <f>Controle!G188</f>
        <v/>
      </c>
      <c r="H188" s="290"/>
      <c r="I188" s="291" t="str">
        <f>Controle!I188</f>
        <v/>
      </c>
      <c r="J188" s="233" t="str">
        <f>Controle!J188</f>
        <v/>
      </c>
      <c r="K188" s="292"/>
      <c r="L188" s="233" t="str">
        <f>Controle!L188</f>
        <v/>
      </c>
      <c r="M188" s="233" t="str">
        <f>Controle!M188</f>
        <v/>
      </c>
      <c r="N188" s="235" t="str">
        <f>Controle!N188</f>
        <v/>
      </c>
      <c r="O188" s="235" t="str">
        <f>Controle!O188</f>
        <v/>
      </c>
      <c r="P188" s="235" t="str">
        <f>Controle!P188</f>
        <v/>
      </c>
      <c r="Q188" s="235" t="str">
        <f>Controle!Q188</f>
        <v/>
      </c>
      <c r="R188" s="293" t="str">
        <f>Controle!R188</f>
        <v/>
      </c>
      <c r="S188" s="287"/>
      <c r="T188" s="233" t="str">
        <f t="shared" ref="T188:U188" si="191">IF(AND(C188&lt;&gt;"",F188&lt;&gt;"",I188&lt;&gt;""), SUM(I188,F188,C188),"")</f>
        <v/>
      </c>
      <c r="U188" s="233" t="str">
        <f t="shared" si="191"/>
        <v/>
      </c>
      <c r="V188" s="233" t="str">
        <f t="shared" si="6"/>
        <v/>
      </c>
      <c r="W188" s="241" t="str">
        <f t="shared" si="9"/>
        <v/>
      </c>
      <c r="X188" s="241" t="str">
        <f t="shared" si="10"/>
        <v/>
      </c>
      <c r="Y188" s="241" t="str">
        <f t="shared" si="19"/>
        <v/>
      </c>
      <c r="Z188" s="233" t="str">
        <f t="shared" si="7"/>
        <v/>
      </c>
      <c r="AA188" s="294"/>
      <c r="AB188" s="245"/>
      <c r="AC188" s="242" t="str">
        <f>IF(ISTEXT(AB188),VLOOKUP(AB188,'Cadastro dos Ativos'!$A$2:$C$1000,3,0),"")</f>
        <v/>
      </c>
      <c r="AD188" s="242" t="str">
        <f>IF(AB188 &lt;&gt; "",SUMIFS('Alocação'!$O$3:$O$1002,'Alocação'!$C$3:$C$1002,AB188,'Alocação'!$F$3:$F$1002,AB$9,'Alocação'!$B$3:$B$1002,"&lt;="&amp;$B$6), "")</f>
        <v/>
      </c>
      <c r="AE188" s="243" t="str">
        <f>iferror(IF(AC188="Ações Americanas", HLOOKUP(AB188,'Histórico'!$A$1:$DD$990,MATCH($B$6,'Histórico'!$A:$A),FALSE)*HLOOKUP("PTAX",'Histórico'!$A$1:$FG$983,MATCH($B$6,'Histórico'!$A:$A),FALSE),IF(AC188="Ações Europeias", HLOOKUP(AB188,'Histórico'!$A$1:$DD$990,MATCH($B$6,'Histórico'!$A:$A),FALSE)*HLOOKUP("EUR/BRL",'Histórico'!$A$1:$FG$983,MATCH($B$6,'Histórico'!$A:$A),FALSE),  HLOOKUP(AB188,'Histórico'!$A$1:$DD$990,MATCH($B$6,'Histórico'!$A:$A),FALSE))),"")</f>
        <v/>
      </c>
      <c r="AF188" s="243" t="str">
        <f t="shared" si="15"/>
        <v/>
      </c>
      <c r="AG188" s="53"/>
      <c r="AH188" s="245"/>
      <c r="AI188" s="242" t="str">
        <f>IF(ISTEXT(AH188),VLOOKUP(AH188,'Cadastro dos Ativos'!$A$2:$C$1000,3,0),"")</f>
        <v/>
      </c>
      <c r="AJ188" s="242" t="str">
        <f>IF(AH188 &lt;&gt; "",SUMIFS('Alocação'!$O$3:$O$1002,'Alocação'!$C$3:$C$1002,AH188,'Alocação'!$F$3:$F$1002,AH$9,'Alocação'!$B$3:$B$1002,"&lt;="&amp;$B$6), "")</f>
        <v/>
      </c>
      <c r="AK188" s="243" t="str">
        <f>iferror(IF(AI188="Ações Americanas", HLOOKUP(AH188,'Histórico'!$A$1:$DD$990,MATCH($B$6,'Histórico'!$A:$A),FALSE)*HLOOKUP("PTAX",'Histórico'!$A$1:$FG$983,MATCH($B$6,'Histórico'!$A:$A),FALSE),IF(AI188="Ações Europeias", HLOOKUP(AH188,'Histórico'!$A$1:$DD$990,MATCH($B$6,'Histórico'!$A:$A),FALSE)*HLOOKUP("EUR/BRL",'Histórico'!$A$1:$FG$983,MATCH($B$6,'Histórico'!$A:$A),FALSE),  HLOOKUP(AH188,'Histórico'!$A$1:$DD$990,MATCH($B$6,'Histórico'!$A:$A),FALSE))),"")</f>
        <v/>
      </c>
      <c r="AL188" s="243" t="str">
        <f t="shared" si="11"/>
        <v/>
      </c>
      <c r="AM188" s="53"/>
      <c r="AN188" s="245"/>
      <c r="AO188" s="242" t="str">
        <f>IF(ISTEXT(AN188),VLOOKUP(AN188,'Cadastro dos Ativos'!$A$2:$C$1000,3,0),"")</f>
        <v/>
      </c>
      <c r="AP188" s="242" t="str">
        <f>IF(AN188 &lt;&gt; "",SUMIFS('Alocação'!$O$3:$O$1002,'Alocação'!$C$3:$C$1002,AN188,'Alocação'!$F$3:$F$1002,AN$9,'Alocação'!$B$3:$B$1002,"&lt;="&amp;$B$6), "")</f>
        <v/>
      </c>
      <c r="AQ188" s="243" t="str">
        <f>iferror(IF(AO188="Ações Americanas", HLOOKUP(AN188,'Histórico'!$A$1:$DD$990,MATCH($B$6,'Histórico'!$A:$A),FALSE)*HLOOKUP("PTAX",'Histórico'!$A$1:$FG$983,MATCH($B$6,'Histórico'!$A:$A),FALSE),IF(AO188="Ações Europeias", HLOOKUP(AN188,'Histórico'!$A$1:$DD$990,MATCH($B$6,'Histórico'!$A:$A),FALSE)*HLOOKUP("EUR/BRL",'Histórico'!$A$1:$FG$983,MATCH($B$6,'Histórico'!$A:$A),FALSE),  HLOOKUP(AN188,'Histórico'!$A$1:$DD$990,MATCH($B$6,'Histórico'!$A:$A),FALSE))),"")</f>
        <v/>
      </c>
      <c r="AR188" s="243" t="str">
        <f t="shared" si="12"/>
        <v/>
      </c>
      <c r="AS188" s="53"/>
      <c r="AT188" s="245"/>
      <c r="AU188" s="242" t="str">
        <f>IF(ISTEXT(AT188),VLOOKUP(AT188,'Cadastro dos Ativos'!$A$2:$C$1000,3,0),"")</f>
        <v/>
      </c>
      <c r="AV188" s="242" t="str">
        <f>IF(AT188 &lt;&gt; "",SUMIFS('Alocação'!$O$3:$O$1002,'Alocação'!$C$3:$C$1002,AT188,'Alocação'!$F$3:$F$1002,AT$9,'Alocação'!$B$3:$B$1002,"&lt;="&amp;$B$6), "")</f>
        <v/>
      </c>
      <c r="AW188" s="243" t="str">
        <f>iferror(IF(AU188="Ações Americanas", HLOOKUP(AT188,'Histórico'!$A$1:$DD$990,MATCH($B$6,'Histórico'!$A:$A),FALSE)*HLOOKUP("PTAX",'Histórico'!$A$1:$FG$983,MATCH($B$6,'Histórico'!$A:$A),FALSE),IF(AU188="Ações Europeias", HLOOKUP(AT188,'Histórico'!$A$1:$DD$990,MATCH($B$6,'Histórico'!$A:$A),FALSE)*HLOOKUP("EUR/BRL",'Histórico'!$A$1:$FG$983,MATCH($B$6,'Histórico'!$A:$A),FALSE),  HLOOKUP(AT188,'Histórico'!$A$1:$DD$990,MATCH($B$6,'Histórico'!$A:$A),FALSE))),"")</f>
        <v/>
      </c>
      <c r="AX188" s="243" t="str">
        <f t="shared" si="13"/>
        <v/>
      </c>
      <c r="AY188" s="53"/>
    </row>
    <row r="189" ht="15.75" customHeight="1">
      <c r="A189" s="176"/>
      <c r="B189" s="288">
        <f>Controle!B189</f>
        <v>45266</v>
      </c>
      <c r="C189" s="233" t="str">
        <f>Controle!C189</f>
        <v/>
      </c>
      <c r="D189" s="289" t="str">
        <f>Controle!D189</f>
        <v/>
      </c>
      <c r="E189" s="290"/>
      <c r="F189" s="291" t="str">
        <f>Controle!F189</f>
        <v/>
      </c>
      <c r="G189" s="289" t="str">
        <f>Controle!G189</f>
        <v/>
      </c>
      <c r="H189" s="290"/>
      <c r="I189" s="291" t="str">
        <f>Controle!I189</f>
        <v/>
      </c>
      <c r="J189" s="233" t="str">
        <f>Controle!J189</f>
        <v/>
      </c>
      <c r="K189" s="292"/>
      <c r="L189" s="233" t="str">
        <f>Controle!L189</f>
        <v/>
      </c>
      <c r="M189" s="233" t="str">
        <f>Controle!M189</f>
        <v/>
      </c>
      <c r="N189" s="235" t="str">
        <f>Controle!N189</f>
        <v/>
      </c>
      <c r="O189" s="235" t="str">
        <f>Controle!O189</f>
        <v/>
      </c>
      <c r="P189" s="235" t="str">
        <f>Controle!P189</f>
        <v/>
      </c>
      <c r="Q189" s="235" t="str">
        <f>Controle!Q189</f>
        <v/>
      </c>
      <c r="R189" s="293" t="str">
        <f>Controle!R189</f>
        <v/>
      </c>
      <c r="S189" s="287"/>
      <c r="T189" s="233" t="str">
        <f t="shared" ref="T189:U189" si="192">IF(AND(C189&lt;&gt;"",F189&lt;&gt;"",I189&lt;&gt;""), SUM(I189,F189,C189),"")</f>
        <v/>
      </c>
      <c r="U189" s="233" t="str">
        <f t="shared" si="192"/>
        <v/>
      </c>
      <c r="V189" s="233" t="str">
        <f t="shared" si="6"/>
        <v/>
      </c>
      <c r="W189" s="241" t="str">
        <f t="shared" si="9"/>
        <v/>
      </c>
      <c r="X189" s="241" t="str">
        <f t="shared" si="10"/>
        <v/>
      </c>
      <c r="Y189" s="241" t="str">
        <f t="shared" si="19"/>
        <v/>
      </c>
      <c r="Z189" s="233" t="str">
        <f t="shared" si="7"/>
        <v/>
      </c>
      <c r="AA189" s="294"/>
      <c r="AB189" s="245"/>
      <c r="AC189" s="242" t="str">
        <f>IF(ISTEXT(AB189),VLOOKUP(AB189,'Cadastro dos Ativos'!$A$2:$C$1000,3,0),"")</f>
        <v/>
      </c>
      <c r="AD189" s="242" t="str">
        <f>IF(AB189 &lt;&gt; "",SUMIFS('Alocação'!$O$3:$O$1002,'Alocação'!$C$3:$C$1002,AB189,'Alocação'!$F$3:$F$1002,AB$9,'Alocação'!$B$3:$B$1002,"&lt;="&amp;$B$6), "")</f>
        <v/>
      </c>
      <c r="AE189" s="243" t="str">
        <f>iferror(IF(AC189="Ações Americanas", HLOOKUP(AB189,'Histórico'!$A$1:$DD$990,MATCH($B$6,'Histórico'!$A:$A),FALSE)*HLOOKUP("PTAX",'Histórico'!$A$1:$FG$983,MATCH($B$6,'Histórico'!$A:$A),FALSE),IF(AC189="Ações Europeias", HLOOKUP(AB189,'Histórico'!$A$1:$DD$990,MATCH($B$6,'Histórico'!$A:$A),FALSE)*HLOOKUP("EUR/BRL",'Histórico'!$A$1:$FG$983,MATCH($B$6,'Histórico'!$A:$A),FALSE),  HLOOKUP(AB189,'Histórico'!$A$1:$DD$990,MATCH($B$6,'Histórico'!$A:$A),FALSE))),"")</f>
        <v/>
      </c>
      <c r="AF189" s="243" t="str">
        <f t="shared" si="15"/>
        <v/>
      </c>
      <c r="AG189" s="53"/>
      <c r="AH189" s="245"/>
      <c r="AI189" s="242" t="str">
        <f>IF(ISTEXT(AH189),VLOOKUP(AH189,'Cadastro dos Ativos'!$A$2:$C$1000,3,0),"")</f>
        <v/>
      </c>
      <c r="AJ189" s="242" t="str">
        <f>IF(AH189 &lt;&gt; "",SUMIFS('Alocação'!$O$3:$O$1002,'Alocação'!$C$3:$C$1002,AH189,'Alocação'!$F$3:$F$1002,AH$9,'Alocação'!$B$3:$B$1002,"&lt;="&amp;$B$6), "")</f>
        <v/>
      </c>
      <c r="AK189" s="243" t="str">
        <f>iferror(IF(AI189="Ações Americanas", HLOOKUP(AH189,'Histórico'!$A$1:$DD$990,MATCH($B$6,'Histórico'!$A:$A),FALSE)*HLOOKUP("PTAX",'Histórico'!$A$1:$FG$983,MATCH($B$6,'Histórico'!$A:$A),FALSE),IF(AI189="Ações Europeias", HLOOKUP(AH189,'Histórico'!$A$1:$DD$990,MATCH($B$6,'Histórico'!$A:$A),FALSE)*HLOOKUP("EUR/BRL",'Histórico'!$A$1:$FG$983,MATCH($B$6,'Histórico'!$A:$A),FALSE),  HLOOKUP(AH189,'Histórico'!$A$1:$DD$990,MATCH($B$6,'Histórico'!$A:$A),FALSE))),"")</f>
        <v/>
      </c>
      <c r="AL189" s="243" t="str">
        <f t="shared" si="11"/>
        <v/>
      </c>
      <c r="AM189" s="53"/>
      <c r="AN189" s="245"/>
      <c r="AO189" s="242" t="str">
        <f>IF(ISTEXT(AN189),VLOOKUP(AN189,'Cadastro dos Ativos'!$A$2:$C$1000,3,0),"")</f>
        <v/>
      </c>
      <c r="AP189" s="242" t="str">
        <f>IF(AN189 &lt;&gt; "",SUMIFS('Alocação'!$O$3:$O$1002,'Alocação'!$C$3:$C$1002,AN189,'Alocação'!$F$3:$F$1002,AN$9,'Alocação'!$B$3:$B$1002,"&lt;="&amp;$B$6), "")</f>
        <v/>
      </c>
      <c r="AQ189" s="243" t="str">
        <f>iferror(IF(AO189="Ações Americanas", HLOOKUP(AN189,'Histórico'!$A$1:$DD$990,MATCH($B$6,'Histórico'!$A:$A),FALSE)*HLOOKUP("PTAX",'Histórico'!$A$1:$FG$983,MATCH($B$6,'Histórico'!$A:$A),FALSE),IF(AO189="Ações Europeias", HLOOKUP(AN189,'Histórico'!$A$1:$DD$990,MATCH($B$6,'Histórico'!$A:$A),FALSE)*HLOOKUP("EUR/BRL",'Histórico'!$A$1:$FG$983,MATCH($B$6,'Histórico'!$A:$A),FALSE),  HLOOKUP(AN189,'Histórico'!$A$1:$DD$990,MATCH($B$6,'Histórico'!$A:$A),FALSE))),"")</f>
        <v/>
      </c>
      <c r="AR189" s="243" t="str">
        <f t="shared" si="12"/>
        <v/>
      </c>
      <c r="AS189" s="53"/>
      <c r="AT189" s="245"/>
      <c r="AU189" s="242" t="str">
        <f>IF(ISTEXT(AT189),VLOOKUP(AT189,'Cadastro dos Ativos'!$A$2:$C$1000,3,0),"")</f>
        <v/>
      </c>
      <c r="AV189" s="242" t="str">
        <f>IF(AT189 &lt;&gt; "",SUMIFS('Alocação'!$O$3:$O$1002,'Alocação'!$C$3:$C$1002,AT189,'Alocação'!$F$3:$F$1002,AT$9,'Alocação'!$B$3:$B$1002,"&lt;="&amp;$B$6), "")</f>
        <v/>
      </c>
      <c r="AW189" s="243" t="str">
        <f>iferror(IF(AU189="Ações Americanas", HLOOKUP(AT189,'Histórico'!$A$1:$DD$990,MATCH($B$6,'Histórico'!$A:$A),FALSE)*HLOOKUP("PTAX",'Histórico'!$A$1:$FG$983,MATCH($B$6,'Histórico'!$A:$A),FALSE),IF(AU189="Ações Europeias", HLOOKUP(AT189,'Histórico'!$A$1:$DD$990,MATCH($B$6,'Histórico'!$A:$A),FALSE)*HLOOKUP("EUR/BRL",'Histórico'!$A$1:$FG$983,MATCH($B$6,'Histórico'!$A:$A),FALSE),  HLOOKUP(AT189,'Histórico'!$A$1:$DD$990,MATCH($B$6,'Histórico'!$A:$A),FALSE))),"")</f>
        <v/>
      </c>
      <c r="AX189" s="243" t="str">
        <f t="shared" si="13"/>
        <v/>
      </c>
      <c r="AY189" s="53"/>
    </row>
    <row r="190" ht="15.75" customHeight="1">
      <c r="A190" s="176"/>
      <c r="B190" s="288">
        <f>Controle!B190</f>
        <v>45267</v>
      </c>
      <c r="C190" s="233" t="str">
        <f>Controle!C190</f>
        <v/>
      </c>
      <c r="D190" s="289" t="str">
        <f>Controle!D190</f>
        <v/>
      </c>
      <c r="E190" s="290"/>
      <c r="F190" s="291" t="str">
        <f>Controle!F190</f>
        <v/>
      </c>
      <c r="G190" s="289" t="str">
        <f>Controle!G190</f>
        <v/>
      </c>
      <c r="H190" s="290"/>
      <c r="I190" s="291" t="str">
        <f>Controle!I190</f>
        <v/>
      </c>
      <c r="J190" s="233" t="str">
        <f>Controle!J190</f>
        <v/>
      </c>
      <c r="K190" s="292"/>
      <c r="L190" s="233" t="str">
        <f>Controle!L190</f>
        <v/>
      </c>
      <c r="M190" s="233" t="str">
        <f>Controle!M190</f>
        <v/>
      </c>
      <c r="N190" s="235" t="str">
        <f>Controle!N190</f>
        <v/>
      </c>
      <c r="O190" s="235" t="str">
        <f>Controle!O190</f>
        <v/>
      </c>
      <c r="P190" s="235" t="str">
        <f>Controle!P190</f>
        <v/>
      </c>
      <c r="Q190" s="235" t="str">
        <f>Controle!Q190</f>
        <v/>
      </c>
      <c r="R190" s="293" t="str">
        <f>Controle!R190</f>
        <v/>
      </c>
      <c r="S190" s="287"/>
      <c r="T190" s="233" t="str">
        <f t="shared" ref="T190:U190" si="193">IF(AND(C190&lt;&gt;"",F190&lt;&gt;"",I190&lt;&gt;""), SUM(I190,F190,C190),"")</f>
        <v/>
      </c>
      <c r="U190" s="233" t="str">
        <f t="shared" si="193"/>
        <v/>
      </c>
      <c r="V190" s="233" t="str">
        <f t="shared" si="6"/>
        <v/>
      </c>
      <c r="W190" s="241" t="str">
        <f t="shared" si="9"/>
        <v/>
      </c>
      <c r="X190" s="241" t="str">
        <f t="shared" si="10"/>
        <v/>
      </c>
      <c r="Y190" s="241" t="str">
        <f t="shared" si="19"/>
        <v/>
      </c>
      <c r="Z190" s="233" t="str">
        <f t="shared" si="7"/>
        <v/>
      </c>
      <c r="AA190" s="294"/>
      <c r="AB190" s="245"/>
      <c r="AC190" s="242" t="str">
        <f>IF(ISTEXT(AB190),VLOOKUP(AB190,'Cadastro dos Ativos'!$A$2:$C$1000,3,0),"")</f>
        <v/>
      </c>
      <c r="AD190" s="242" t="str">
        <f>IF(AB190 &lt;&gt; "",SUMIFS('Alocação'!$O$3:$O$1002,'Alocação'!$C$3:$C$1002,AB190,'Alocação'!$F$3:$F$1002,AB$9,'Alocação'!$B$3:$B$1002,"&lt;="&amp;$B$6), "")</f>
        <v/>
      </c>
      <c r="AE190" s="243" t="str">
        <f>iferror(IF(AC190="Ações Americanas", HLOOKUP(AB190,'Histórico'!$A$1:$DD$990,MATCH($B$6,'Histórico'!$A:$A),FALSE)*HLOOKUP("PTAX",'Histórico'!$A$1:$FG$983,MATCH($B$6,'Histórico'!$A:$A),FALSE),IF(AC190="Ações Europeias", HLOOKUP(AB190,'Histórico'!$A$1:$DD$990,MATCH($B$6,'Histórico'!$A:$A),FALSE)*HLOOKUP("EUR/BRL",'Histórico'!$A$1:$FG$983,MATCH($B$6,'Histórico'!$A:$A),FALSE),  HLOOKUP(AB190,'Histórico'!$A$1:$DD$990,MATCH($B$6,'Histórico'!$A:$A),FALSE))),"")</f>
        <v/>
      </c>
      <c r="AF190" s="243" t="str">
        <f t="shared" si="15"/>
        <v/>
      </c>
      <c r="AG190" s="53"/>
      <c r="AH190" s="245"/>
      <c r="AI190" s="242" t="str">
        <f>IF(ISTEXT(AH190),VLOOKUP(AH190,'Cadastro dos Ativos'!$A$2:$C$1000,3,0),"")</f>
        <v/>
      </c>
      <c r="AJ190" s="242" t="str">
        <f>IF(AH190 &lt;&gt; "",SUMIFS('Alocação'!$O$3:$O$1002,'Alocação'!$C$3:$C$1002,AH190,'Alocação'!$F$3:$F$1002,AH$9,'Alocação'!$B$3:$B$1002,"&lt;="&amp;$B$6), "")</f>
        <v/>
      </c>
      <c r="AK190" s="243" t="str">
        <f>iferror(IF(AI190="Ações Americanas", HLOOKUP(AH190,'Histórico'!$A$1:$DD$990,MATCH($B$6,'Histórico'!$A:$A),FALSE)*HLOOKUP("PTAX",'Histórico'!$A$1:$FG$983,MATCH($B$6,'Histórico'!$A:$A),FALSE),IF(AI190="Ações Europeias", HLOOKUP(AH190,'Histórico'!$A$1:$DD$990,MATCH($B$6,'Histórico'!$A:$A),FALSE)*HLOOKUP("EUR/BRL",'Histórico'!$A$1:$FG$983,MATCH($B$6,'Histórico'!$A:$A),FALSE),  HLOOKUP(AH190,'Histórico'!$A$1:$DD$990,MATCH($B$6,'Histórico'!$A:$A),FALSE))),"")</f>
        <v/>
      </c>
      <c r="AL190" s="243" t="str">
        <f t="shared" si="11"/>
        <v/>
      </c>
      <c r="AM190" s="53"/>
      <c r="AN190" s="245"/>
      <c r="AO190" s="242" t="str">
        <f>IF(ISTEXT(AN190),VLOOKUP(AN190,'Cadastro dos Ativos'!$A$2:$C$1000,3,0),"")</f>
        <v/>
      </c>
      <c r="AP190" s="242" t="str">
        <f>IF(AN190 &lt;&gt; "",SUMIFS('Alocação'!$O$3:$O$1002,'Alocação'!$C$3:$C$1002,AN190,'Alocação'!$F$3:$F$1002,AN$9,'Alocação'!$B$3:$B$1002,"&lt;="&amp;$B$6), "")</f>
        <v/>
      </c>
      <c r="AQ190" s="243" t="str">
        <f>iferror(IF(AO190="Ações Americanas", HLOOKUP(AN190,'Histórico'!$A$1:$DD$990,MATCH($B$6,'Histórico'!$A:$A),FALSE)*HLOOKUP("PTAX",'Histórico'!$A$1:$FG$983,MATCH($B$6,'Histórico'!$A:$A),FALSE),IF(AO190="Ações Europeias", HLOOKUP(AN190,'Histórico'!$A$1:$DD$990,MATCH($B$6,'Histórico'!$A:$A),FALSE)*HLOOKUP("EUR/BRL",'Histórico'!$A$1:$FG$983,MATCH($B$6,'Histórico'!$A:$A),FALSE),  HLOOKUP(AN190,'Histórico'!$A$1:$DD$990,MATCH($B$6,'Histórico'!$A:$A),FALSE))),"")</f>
        <v/>
      </c>
      <c r="AR190" s="243" t="str">
        <f t="shared" si="12"/>
        <v/>
      </c>
      <c r="AS190" s="53"/>
      <c r="AT190" s="245"/>
      <c r="AU190" s="242" t="str">
        <f>IF(ISTEXT(AT190),VLOOKUP(AT190,'Cadastro dos Ativos'!$A$2:$C$1000,3,0),"")</f>
        <v/>
      </c>
      <c r="AV190" s="242" t="str">
        <f>IF(AT190 &lt;&gt; "",SUMIFS('Alocação'!$O$3:$O$1002,'Alocação'!$C$3:$C$1002,AT190,'Alocação'!$F$3:$F$1002,AT$9,'Alocação'!$B$3:$B$1002,"&lt;="&amp;$B$6), "")</f>
        <v/>
      </c>
      <c r="AW190" s="243" t="str">
        <f>iferror(IF(AU190="Ações Americanas", HLOOKUP(AT190,'Histórico'!$A$1:$DD$990,MATCH($B$6,'Histórico'!$A:$A),FALSE)*HLOOKUP("PTAX",'Histórico'!$A$1:$FG$983,MATCH($B$6,'Histórico'!$A:$A),FALSE),IF(AU190="Ações Europeias", HLOOKUP(AT190,'Histórico'!$A$1:$DD$990,MATCH($B$6,'Histórico'!$A:$A),FALSE)*HLOOKUP("EUR/BRL",'Histórico'!$A$1:$FG$983,MATCH($B$6,'Histórico'!$A:$A),FALSE),  HLOOKUP(AT190,'Histórico'!$A$1:$DD$990,MATCH($B$6,'Histórico'!$A:$A),FALSE))),"")</f>
        <v/>
      </c>
      <c r="AX190" s="243" t="str">
        <f t="shared" si="13"/>
        <v/>
      </c>
      <c r="AY190" s="53"/>
    </row>
    <row r="191" ht="15.75" customHeight="1">
      <c r="A191" s="176"/>
      <c r="B191" s="288">
        <f>Controle!B191</f>
        <v>45268</v>
      </c>
      <c r="C191" s="233" t="str">
        <f>Controle!C191</f>
        <v/>
      </c>
      <c r="D191" s="289" t="str">
        <f>Controle!D191</f>
        <v/>
      </c>
      <c r="E191" s="290"/>
      <c r="F191" s="291" t="str">
        <f>Controle!F191</f>
        <v/>
      </c>
      <c r="G191" s="289" t="str">
        <f>Controle!G191</f>
        <v/>
      </c>
      <c r="H191" s="290"/>
      <c r="I191" s="291" t="str">
        <f>Controle!I191</f>
        <v/>
      </c>
      <c r="J191" s="233" t="str">
        <f>Controle!J191</f>
        <v/>
      </c>
      <c r="K191" s="292"/>
      <c r="L191" s="233" t="str">
        <f>Controle!L191</f>
        <v/>
      </c>
      <c r="M191" s="233" t="str">
        <f>Controle!M191</f>
        <v/>
      </c>
      <c r="N191" s="235" t="str">
        <f>Controle!N191</f>
        <v/>
      </c>
      <c r="O191" s="235" t="str">
        <f>Controle!O191</f>
        <v/>
      </c>
      <c r="P191" s="235" t="str">
        <f>Controle!P191</f>
        <v/>
      </c>
      <c r="Q191" s="235" t="str">
        <f>Controle!Q191</f>
        <v/>
      </c>
      <c r="R191" s="293" t="str">
        <f>Controle!R191</f>
        <v/>
      </c>
      <c r="S191" s="287"/>
      <c r="T191" s="233" t="str">
        <f t="shared" ref="T191:U191" si="194">IF(AND(C191&lt;&gt;"",F191&lt;&gt;"",I191&lt;&gt;""), SUM(I191,F191,C191),"")</f>
        <v/>
      </c>
      <c r="U191" s="233" t="str">
        <f t="shared" si="194"/>
        <v/>
      </c>
      <c r="V191" s="233" t="str">
        <f t="shared" si="6"/>
        <v/>
      </c>
      <c r="W191" s="241" t="str">
        <f t="shared" si="9"/>
        <v/>
      </c>
      <c r="X191" s="241" t="str">
        <f t="shared" si="10"/>
        <v/>
      </c>
      <c r="Y191" s="241" t="str">
        <f t="shared" si="19"/>
        <v/>
      </c>
      <c r="Z191" s="233" t="str">
        <f t="shared" si="7"/>
        <v/>
      </c>
      <c r="AA191" s="294"/>
      <c r="AB191" s="245"/>
      <c r="AC191" s="242" t="str">
        <f>IF(ISTEXT(AB191),VLOOKUP(AB191,'Cadastro dos Ativos'!$A$2:$C$1000,3,0),"")</f>
        <v/>
      </c>
      <c r="AD191" s="242" t="str">
        <f>IF(AB191 &lt;&gt; "",SUMIFS('Alocação'!$O$3:$O$1002,'Alocação'!$C$3:$C$1002,AB191,'Alocação'!$F$3:$F$1002,AB$9,'Alocação'!$B$3:$B$1002,"&lt;="&amp;$B$6), "")</f>
        <v/>
      </c>
      <c r="AE191" s="243" t="str">
        <f>iferror(IF(AC191="Ações Americanas", HLOOKUP(AB191,'Histórico'!$A$1:$DD$990,MATCH($B$6,'Histórico'!$A:$A),FALSE)*HLOOKUP("PTAX",'Histórico'!$A$1:$FG$983,MATCH($B$6,'Histórico'!$A:$A),FALSE),IF(AC191="Ações Europeias", HLOOKUP(AB191,'Histórico'!$A$1:$DD$990,MATCH($B$6,'Histórico'!$A:$A),FALSE)*HLOOKUP("EUR/BRL",'Histórico'!$A$1:$FG$983,MATCH($B$6,'Histórico'!$A:$A),FALSE),  HLOOKUP(AB191,'Histórico'!$A$1:$DD$990,MATCH($B$6,'Histórico'!$A:$A),FALSE))),"")</f>
        <v/>
      </c>
      <c r="AF191" s="243" t="str">
        <f t="shared" si="15"/>
        <v/>
      </c>
      <c r="AG191" s="53"/>
      <c r="AH191" s="245"/>
      <c r="AI191" s="242" t="str">
        <f>IF(ISTEXT(AH191),VLOOKUP(AH191,'Cadastro dos Ativos'!$A$2:$C$1000,3,0),"")</f>
        <v/>
      </c>
      <c r="AJ191" s="242" t="str">
        <f>IF(AH191 &lt;&gt; "",SUMIFS('Alocação'!$O$3:$O$1002,'Alocação'!$C$3:$C$1002,AH191,'Alocação'!$F$3:$F$1002,AH$9,'Alocação'!$B$3:$B$1002,"&lt;="&amp;$B$6), "")</f>
        <v/>
      </c>
      <c r="AK191" s="243" t="str">
        <f>iferror(IF(AI191="Ações Americanas", HLOOKUP(AH191,'Histórico'!$A$1:$DD$990,MATCH($B$6,'Histórico'!$A:$A),FALSE)*HLOOKUP("PTAX",'Histórico'!$A$1:$FG$983,MATCH($B$6,'Histórico'!$A:$A),FALSE),IF(AI191="Ações Europeias", HLOOKUP(AH191,'Histórico'!$A$1:$DD$990,MATCH($B$6,'Histórico'!$A:$A),FALSE)*HLOOKUP("EUR/BRL",'Histórico'!$A$1:$FG$983,MATCH($B$6,'Histórico'!$A:$A),FALSE),  HLOOKUP(AH191,'Histórico'!$A$1:$DD$990,MATCH($B$6,'Histórico'!$A:$A),FALSE))),"")</f>
        <v/>
      </c>
      <c r="AL191" s="243" t="str">
        <f t="shared" si="11"/>
        <v/>
      </c>
      <c r="AM191" s="53"/>
      <c r="AN191" s="245"/>
      <c r="AO191" s="242" t="str">
        <f>IF(ISTEXT(AN191),VLOOKUP(AN191,'Cadastro dos Ativos'!$A$2:$C$1000,3,0),"")</f>
        <v/>
      </c>
      <c r="AP191" s="242" t="str">
        <f>IF(AN191 &lt;&gt; "",SUMIFS('Alocação'!$O$3:$O$1002,'Alocação'!$C$3:$C$1002,AN191,'Alocação'!$F$3:$F$1002,AN$9,'Alocação'!$B$3:$B$1002,"&lt;="&amp;$B$6), "")</f>
        <v/>
      </c>
      <c r="AQ191" s="243" t="str">
        <f>iferror(IF(AO191="Ações Americanas", HLOOKUP(AN191,'Histórico'!$A$1:$DD$990,MATCH($B$6,'Histórico'!$A:$A),FALSE)*HLOOKUP("PTAX",'Histórico'!$A$1:$FG$983,MATCH($B$6,'Histórico'!$A:$A),FALSE),IF(AO191="Ações Europeias", HLOOKUP(AN191,'Histórico'!$A$1:$DD$990,MATCH($B$6,'Histórico'!$A:$A),FALSE)*HLOOKUP("EUR/BRL",'Histórico'!$A$1:$FG$983,MATCH($B$6,'Histórico'!$A:$A),FALSE),  HLOOKUP(AN191,'Histórico'!$A$1:$DD$990,MATCH($B$6,'Histórico'!$A:$A),FALSE))),"")</f>
        <v/>
      </c>
      <c r="AR191" s="243" t="str">
        <f t="shared" si="12"/>
        <v/>
      </c>
      <c r="AS191" s="53"/>
      <c r="AT191" s="245"/>
      <c r="AU191" s="242" t="str">
        <f>IF(ISTEXT(AT191),VLOOKUP(AT191,'Cadastro dos Ativos'!$A$2:$C$1000,3,0),"")</f>
        <v/>
      </c>
      <c r="AV191" s="242" t="str">
        <f>IF(AT191 &lt;&gt; "",SUMIFS('Alocação'!$O$3:$O$1002,'Alocação'!$C$3:$C$1002,AT191,'Alocação'!$F$3:$F$1002,AT$9,'Alocação'!$B$3:$B$1002,"&lt;="&amp;$B$6), "")</f>
        <v/>
      </c>
      <c r="AW191" s="243" t="str">
        <f>iferror(IF(AU191="Ações Americanas", HLOOKUP(AT191,'Histórico'!$A$1:$DD$990,MATCH($B$6,'Histórico'!$A:$A),FALSE)*HLOOKUP("PTAX",'Histórico'!$A$1:$FG$983,MATCH($B$6,'Histórico'!$A:$A),FALSE),IF(AU191="Ações Europeias", HLOOKUP(AT191,'Histórico'!$A$1:$DD$990,MATCH($B$6,'Histórico'!$A:$A),FALSE)*HLOOKUP("EUR/BRL",'Histórico'!$A$1:$FG$983,MATCH($B$6,'Histórico'!$A:$A),FALSE),  HLOOKUP(AT191,'Histórico'!$A$1:$DD$990,MATCH($B$6,'Histórico'!$A:$A),FALSE))),"")</f>
        <v/>
      </c>
      <c r="AX191" s="243" t="str">
        <f t="shared" si="13"/>
        <v/>
      </c>
      <c r="AY191" s="53"/>
    </row>
    <row r="192" ht="15.75" customHeight="1">
      <c r="A192" s="176"/>
      <c r="B192" s="288">
        <f>Controle!B192</f>
        <v>45271</v>
      </c>
      <c r="C192" s="233" t="str">
        <f>Controle!C192</f>
        <v/>
      </c>
      <c r="D192" s="289" t="str">
        <f>Controle!D192</f>
        <v/>
      </c>
      <c r="E192" s="290"/>
      <c r="F192" s="291" t="str">
        <f>Controle!F192</f>
        <v/>
      </c>
      <c r="G192" s="289" t="str">
        <f>Controle!G192</f>
        <v/>
      </c>
      <c r="H192" s="290"/>
      <c r="I192" s="291" t="str">
        <f>Controle!I192</f>
        <v/>
      </c>
      <c r="J192" s="233" t="str">
        <f>Controle!J192</f>
        <v/>
      </c>
      <c r="K192" s="292"/>
      <c r="L192" s="233" t="str">
        <f>Controle!L192</f>
        <v/>
      </c>
      <c r="M192" s="233" t="str">
        <f>Controle!M192</f>
        <v/>
      </c>
      <c r="N192" s="235" t="str">
        <f>Controle!N192</f>
        <v/>
      </c>
      <c r="O192" s="235" t="str">
        <f>Controle!O192</f>
        <v/>
      </c>
      <c r="P192" s="235" t="str">
        <f>Controle!P192</f>
        <v/>
      </c>
      <c r="Q192" s="235" t="str">
        <f>Controle!Q192</f>
        <v/>
      </c>
      <c r="R192" s="293" t="str">
        <f>Controle!R192</f>
        <v/>
      </c>
      <c r="S192" s="287"/>
      <c r="T192" s="233" t="str">
        <f t="shared" ref="T192:U192" si="195">IF(AND(C192&lt;&gt;"",F192&lt;&gt;"",I192&lt;&gt;""), SUM(I192,F192,C192),"")</f>
        <v/>
      </c>
      <c r="U192" s="233" t="str">
        <f t="shared" si="195"/>
        <v/>
      </c>
      <c r="V192" s="233" t="str">
        <f t="shared" si="6"/>
        <v/>
      </c>
      <c r="W192" s="241" t="str">
        <f t="shared" si="9"/>
        <v/>
      </c>
      <c r="X192" s="241" t="str">
        <f t="shared" si="10"/>
        <v/>
      </c>
      <c r="Y192" s="241" t="str">
        <f t="shared" si="19"/>
        <v/>
      </c>
      <c r="Z192" s="233" t="str">
        <f t="shared" si="7"/>
        <v/>
      </c>
      <c r="AA192" s="294"/>
      <c r="AB192" s="245"/>
      <c r="AC192" s="242" t="str">
        <f>IF(ISTEXT(AB192),VLOOKUP(AB192,'Cadastro dos Ativos'!$A$2:$C$1000,3,0),"")</f>
        <v/>
      </c>
      <c r="AD192" s="242" t="str">
        <f>IF(AB192 &lt;&gt; "",SUMIFS('Alocação'!$O$3:$O$1002,'Alocação'!$C$3:$C$1002,AB192,'Alocação'!$F$3:$F$1002,AB$9,'Alocação'!$B$3:$B$1002,"&lt;="&amp;$B$6), "")</f>
        <v/>
      </c>
      <c r="AE192" s="243" t="str">
        <f>iferror(IF(AC192="Ações Americanas", HLOOKUP(AB192,'Histórico'!$A$1:$DD$990,MATCH($B$6,'Histórico'!$A:$A),FALSE)*HLOOKUP("PTAX",'Histórico'!$A$1:$FG$983,MATCH($B$6,'Histórico'!$A:$A),FALSE),IF(AC192="Ações Europeias", HLOOKUP(AB192,'Histórico'!$A$1:$DD$990,MATCH($B$6,'Histórico'!$A:$A),FALSE)*HLOOKUP("EUR/BRL",'Histórico'!$A$1:$FG$983,MATCH($B$6,'Histórico'!$A:$A),FALSE),  HLOOKUP(AB192,'Histórico'!$A$1:$DD$990,MATCH($B$6,'Histórico'!$A:$A),FALSE))),"")</f>
        <v/>
      </c>
      <c r="AF192" s="243" t="str">
        <f t="shared" si="15"/>
        <v/>
      </c>
      <c r="AG192" s="53"/>
      <c r="AH192" s="245"/>
      <c r="AI192" s="242" t="str">
        <f>IF(ISTEXT(AH192),VLOOKUP(AH192,'Cadastro dos Ativos'!$A$2:$C$1000,3,0),"")</f>
        <v/>
      </c>
      <c r="AJ192" s="242" t="str">
        <f>IF(AH192 &lt;&gt; "",SUMIFS('Alocação'!$O$3:$O$1002,'Alocação'!$C$3:$C$1002,AH192,'Alocação'!$F$3:$F$1002,AH$9,'Alocação'!$B$3:$B$1002,"&lt;="&amp;$B$6), "")</f>
        <v/>
      </c>
      <c r="AK192" s="243" t="str">
        <f>iferror(IF(AI192="Ações Americanas", HLOOKUP(AH192,'Histórico'!$A$1:$DD$990,MATCH($B$6,'Histórico'!$A:$A),FALSE)*HLOOKUP("PTAX",'Histórico'!$A$1:$FG$983,MATCH($B$6,'Histórico'!$A:$A),FALSE),IF(AI192="Ações Europeias", HLOOKUP(AH192,'Histórico'!$A$1:$DD$990,MATCH($B$6,'Histórico'!$A:$A),FALSE)*HLOOKUP("EUR/BRL",'Histórico'!$A$1:$FG$983,MATCH($B$6,'Histórico'!$A:$A),FALSE),  HLOOKUP(AH192,'Histórico'!$A$1:$DD$990,MATCH($B$6,'Histórico'!$A:$A),FALSE))),"")</f>
        <v/>
      </c>
      <c r="AL192" s="243" t="str">
        <f t="shared" si="11"/>
        <v/>
      </c>
      <c r="AM192" s="53"/>
      <c r="AN192" s="245"/>
      <c r="AO192" s="242" t="str">
        <f>IF(ISTEXT(AN192),VLOOKUP(AN192,'Cadastro dos Ativos'!$A$2:$C$1000,3,0),"")</f>
        <v/>
      </c>
      <c r="AP192" s="242" t="str">
        <f>IF(AN192 &lt;&gt; "",SUMIFS('Alocação'!$O$3:$O$1002,'Alocação'!$C$3:$C$1002,AN192,'Alocação'!$F$3:$F$1002,AN$9,'Alocação'!$B$3:$B$1002,"&lt;="&amp;$B$6), "")</f>
        <v/>
      </c>
      <c r="AQ192" s="243" t="str">
        <f>iferror(IF(AO192="Ações Americanas", HLOOKUP(AN192,'Histórico'!$A$1:$DD$990,MATCH($B$6,'Histórico'!$A:$A),FALSE)*HLOOKUP("PTAX",'Histórico'!$A$1:$FG$983,MATCH($B$6,'Histórico'!$A:$A),FALSE),IF(AO192="Ações Europeias", HLOOKUP(AN192,'Histórico'!$A$1:$DD$990,MATCH($B$6,'Histórico'!$A:$A),FALSE)*HLOOKUP("EUR/BRL",'Histórico'!$A$1:$FG$983,MATCH($B$6,'Histórico'!$A:$A),FALSE),  HLOOKUP(AN192,'Histórico'!$A$1:$DD$990,MATCH($B$6,'Histórico'!$A:$A),FALSE))),"")</f>
        <v/>
      </c>
      <c r="AR192" s="243" t="str">
        <f t="shared" si="12"/>
        <v/>
      </c>
      <c r="AS192" s="53"/>
      <c r="AT192" s="245"/>
      <c r="AU192" s="242" t="str">
        <f>IF(ISTEXT(AT192),VLOOKUP(AT192,'Cadastro dos Ativos'!$A$2:$C$1000,3,0),"")</f>
        <v/>
      </c>
      <c r="AV192" s="242" t="str">
        <f>IF(AT192 &lt;&gt; "",SUMIFS('Alocação'!$O$3:$O$1002,'Alocação'!$C$3:$C$1002,AT192,'Alocação'!$F$3:$F$1002,AT$9,'Alocação'!$B$3:$B$1002,"&lt;="&amp;$B$6), "")</f>
        <v/>
      </c>
      <c r="AW192" s="243" t="str">
        <f>iferror(IF(AU192="Ações Americanas", HLOOKUP(AT192,'Histórico'!$A$1:$DD$990,MATCH($B$6,'Histórico'!$A:$A),FALSE)*HLOOKUP("PTAX",'Histórico'!$A$1:$FG$983,MATCH($B$6,'Histórico'!$A:$A),FALSE),IF(AU192="Ações Europeias", HLOOKUP(AT192,'Histórico'!$A$1:$DD$990,MATCH($B$6,'Histórico'!$A:$A),FALSE)*HLOOKUP("EUR/BRL",'Histórico'!$A$1:$FG$983,MATCH($B$6,'Histórico'!$A:$A),FALSE),  HLOOKUP(AT192,'Histórico'!$A$1:$DD$990,MATCH($B$6,'Histórico'!$A:$A),FALSE))),"")</f>
        <v/>
      </c>
      <c r="AX192" s="243" t="str">
        <f t="shared" si="13"/>
        <v/>
      </c>
      <c r="AY192" s="53"/>
    </row>
    <row r="193" ht="15.75" customHeight="1">
      <c r="A193" s="176"/>
      <c r="B193" s="288">
        <f>Controle!B193</f>
        <v>45272</v>
      </c>
      <c r="C193" s="233" t="str">
        <f>Controle!C193</f>
        <v/>
      </c>
      <c r="D193" s="289" t="str">
        <f>Controle!D193</f>
        <v/>
      </c>
      <c r="E193" s="290"/>
      <c r="F193" s="291" t="str">
        <f>Controle!F193</f>
        <v/>
      </c>
      <c r="G193" s="289" t="str">
        <f>Controle!G193</f>
        <v/>
      </c>
      <c r="H193" s="290"/>
      <c r="I193" s="291" t="str">
        <f>Controle!I193</f>
        <v/>
      </c>
      <c r="J193" s="233" t="str">
        <f>Controle!J193</f>
        <v/>
      </c>
      <c r="K193" s="292"/>
      <c r="L193" s="233" t="str">
        <f>Controle!L193</f>
        <v/>
      </c>
      <c r="M193" s="233" t="str">
        <f>Controle!M193</f>
        <v/>
      </c>
      <c r="N193" s="235" t="str">
        <f>Controle!N193</f>
        <v/>
      </c>
      <c r="O193" s="235" t="str">
        <f>Controle!O193</f>
        <v/>
      </c>
      <c r="P193" s="235" t="str">
        <f>Controle!P193</f>
        <v/>
      </c>
      <c r="Q193" s="235" t="str">
        <f>Controle!Q193</f>
        <v/>
      </c>
      <c r="R193" s="293" t="str">
        <f>Controle!R193</f>
        <v/>
      </c>
      <c r="S193" s="287"/>
      <c r="T193" s="233" t="str">
        <f t="shared" ref="T193:U193" si="196">IF(AND(C193&lt;&gt;"",F193&lt;&gt;"",I193&lt;&gt;""), SUM(I193,F193,C193),"")</f>
        <v/>
      </c>
      <c r="U193" s="233" t="str">
        <f t="shared" si="196"/>
        <v/>
      </c>
      <c r="V193" s="233" t="str">
        <f t="shared" si="6"/>
        <v/>
      </c>
      <c r="W193" s="241" t="str">
        <f t="shared" si="9"/>
        <v/>
      </c>
      <c r="X193" s="241" t="str">
        <f t="shared" si="10"/>
        <v/>
      </c>
      <c r="Y193" s="241" t="str">
        <f t="shared" si="19"/>
        <v/>
      </c>
      <c r="Z193" s="233" t="str">
        <f t="shared" si="7"/>
        <v/>
      </c>
      <c r="AA193" s="294"/>
      <c r="AB193" s="245"/>
      <c r="AC193" s="242" t="str">
        <f>IF(ISTEXT(AB193),VLOOKUP(AB193,'Cadastro dos Ativos'!$A$2:$C$1000,3,0),"")</f>
        <v/>
      </c>
      <c r="AD193" s="242" t="str">
        <f>IF(AB193 &lt;&gt; "",SUMIFS('Alocação'!$O$3:$O$1002,'Alocação'!$C$3:$C$1002,AB193,'Alocação'!$F$3:$F$1002,AB$9,'Alocação'!$B$3:$B$1002,"&lt;="&amp;$B$6), "")</f>
        <v/>
      </c>
      <c r="AE193" s="243" t="str">
        <f>iferror(IF(AC193="Ações Americanas", HLOOKUP(AB193,'Histórico'!$A$1:$DD$990,MATCH($B$6,'Histórico'!$A:$A),FALSE)*HLOOKUP("PTAX",'Histórico'!$A$1:$FG$983,MATCH($B$6,'Histórico'!$A:$A),FALSE),IF(AC193="Ações Europeias", HLOOKUP(AB193,'Histórico'!$A$1:$DD$990,MATCH($B$6,'Histórico'!$A:$A),FALSE)*HLOOKUP("EUR/BRL",'Histórico'!$A$1:$FG$983,MATCH($B$6,'Histórico'!$A:$A),FALSE),  HLOOKUP(AB193,'Histórico'!$A$1:$DD$990,MATCH($B$6,'Histórico'!$A:$A),FALSE))),"")</f>
        <v/>
      </c>
      <c r="AF193" s="243" t="str">
        <f t="shared" si="15"/>
        <v/>
      </c>
      <c r="AG193" s="53"/>
      <c r="AH193" s="245"/>
      <c r="AI193" s="242" t="str">
        <f>IF(ISTEXT(AH193),VLOOKUP(AH193,'Cadastro dos Ativos'!$A$2:$C$1000,3,0),"")</f>
        <v/>
      </c>
      <c r="AJ193" s="242" t="str">
        <f>IF(AH193 &lt;&gt; "",SUMIFS('Alocação'!$O$3:$O$1002,'Alocação'!$C$3:$C$1002,AH193,'Alocação'!$F$3:$F$1002,AH$9,'Alocação'!$B$3:$B$1002,"&lt;="&amp;$B$6), "")</f>
        <v/>
      </c>
      <c r="AK193" s="243" t="str">
        <f>iferror(IF(AI193="Ações Americanas", HLOOKUP(AH193,'Histórico'!$A$1:$DD$990,MATCH($B$6,'Histórico'!$A:$A),FALSE)*HLOOKUP("PTAX",'Histórico'!$A$1:$FG$983,MATCH($B$6,'Histórico'!$A:$A),FALSE),IF(AI193="Ações Europeias", HLOOKUP(AH193,'Histórico'!$A$1:$DD$990,MATCH($B$6,'Histórico'!$A:$A),FALSE)*HLOOKUP("EUR/BRL",'Histórico'!$A$1:$FG$983,MATCH($B$6,'Histórico'!$A:$A),FALSE),  HLOOKUP(AH193,'Histórico'!$A$1:$DD$990,MATCH($B$6,'Histórico'!$A:$A),FALSE))),"")</f>
        <v/>
      </c>
      <c r="AL193" s="243" t="str">
        <f t="shared" si="11"/>
        <v/>
      </c>
      <c r="AM193" s="53"/>
      <c r="AN193" s="245"/>
      <c r="AO193" s="242" t="str">
        <f>IF(ISTEXT(AN193),VLOOKUP(AN193,'Cadastro dos Ativos'!$A$2:$C$1000,3,0),"")</f>
        <v/>
      </c>
      <c r="AP193" s="242" t="str">
        <f>IF(AN193 &lt;&gt; "",SUMIFS('Alocação'!$O$3:$O$1002,'Alocação'!$C$3:$C$1002,AN193,'Alocação'!$F$3:$F$1002,AN$9,'Alocação'!$B$3:$B$1002,"&lt;="&amp;$B$6), "")</f>
        <v/>
      </c>
      <c r="AQ193" s="243" t="str">
        <f>iferror(IF(AO193="Ações Americanas", HLOOKUP(AN193,'Histórico'!$A$1:$DD$990,MATCH($B$6,'Histórico'!$A:$A),FALSE)*HLOOKUP("PTAX",'Histórico'!$A$1:$FG$983,MATCH($B$6,'Histórico'!$A:$A),FALSE),IF(AO193="Ações Europeias", HLOOKUP(AN193,'Histórico'!$A$1:$DD$990,MATCH($B$6,'Histórico'!$A:$A),FALSE)*HLOOKUP("EUR/BRL",'Histórico'!$A$1:$FG$983,MATCH($B$6,'Histórico'!$A:$A),FALSE),  HLOOKUP(AN193,'Histórico'!$A$1:$DD$990,MATCH($B$6,'Histórico'!$A:$A),FALSE))),"")</f>
        <v/>
      </c>
      <c r="AR193" s="243" t="str">
        <f t="shared" si="12"/>
        <v/>
      </c>
      <c r="AS193" s="53"/>
      <c r="AT193" s="245"/>
      <c r="AU193" s="242" t="str">
        <f>IF(ISTEXT(AT193),VLOOKUP(AT193,'Cadastro dos Ativos'!$A$2:$C$1000,3,0),"")</f>
        <v/>
      </c>
      <c r="AV193" s="242" t="str">
        <f>IF(AT193 &lt;&gt; "",SUMIFS('Alocação'!$O$3:$O$1002,'Alocação'!$C$3:$C$1002,AT193,'Alocação'!$F$3:$F$1002,AT$9,'Alocação'!$B$3:$B$1002,"&lt;="&amp;$B$6), "")</f>
        <v/>
      </c>
      <c r="AW193" s="243" t="str">
        <f>iferror(IF(AU193="Ações Americanas", HLOOKUP(AT193,'Histórico'!$A$1:$DD$990,MATCH($B$6,'Histórico'!$A:$A),FALSE)*HLOOKUP("PTAX",'Histórico'!$A$1:$FG$983,MATCH($B$6,'Histórico'!$A:$A),FALSE),IF(AU193="Ações Europeias", HLOOKUP(AT193,'Histórico'!$A$1:$DD$990,MATCH($B$6,'Histórico'!$A:$A),FALSE)*HLOOKUP("EUR/BRL",'Histórico'!$A$1:$FG$983,MATCH($B$6,'Histórico'!$A:$A),FALSE),  HLOOKUP(AT193,'Histórico'!$A$1:$DD$990,MATCH($B$6,'Histórico'!$A:$A),FALSE))),"")</f>
        <v/>
      </c>
      <c r="AX193" s="243" t="str">
        <f t="shared" si="13"/>
        <v/>
      </c>
      <c r="AY193" s="53"/>
    </row>
    <row r="194" ht="15.75" customHeight="1">
      <c r="A194" s="176"/>
      <c r="B194" s="288">
        <f>Controle!B194</f>
        <v>45273</v>
      </c>
      <c r="C194" s="233" t="str">
        <f>Controle!C194</f>
        <v/>
      </c>
      <c r="D194" s="289" t="str">
        <f>Controle!D194</f>
        <v/>
      </c>
      <c r="E194" s="290"/>
      <c r="F194" s="291" t="str">
        <f>Controle!F194</f>
        <v/>
      </c>
      <c r="G194" s="289" t="str">
        <f>Controle!G194</f>
        <v/>
      </c>
      <c r="H194" s="290"/>
      <c r="I194" s="291" t="str">
        <f>Controle!I194</f>
        <v/>
      </c>
      <c r="J194" s="233" t="str">
        <f>Controle!J194</f>
        <v/>
      </c>
      <c r="K194" s="292"/>
      <c r="L194" s="233" t="str">
        <f>Controle!L194</f>
        <v/>
      </c>
      <c r="M194" s="233" t="str">
        <f>Controle!M194</f>
        <v/>
      </c>
      <c r="N194" s="235" t="str">
        <f>Controle!N194</f>
        <v/>
      </c>
      <c r="O194" s="235" t="str">
        <f>Controle!O194</f>
        <v/>
      </c>
      <c r="P194" s="235" t="str">
        <f>Controle!P194</f>
        <v/>
      </c>
      <c r="Q194" s="235" t="str">
        <f>Controle!Q194</f>
        <v/>
      </c>
      <c r="R194" s="293" t="str">
        <f>Controle!R194</f>
        <v/>
      </c>
      <c r="S194" s="287"/>
      <c r="T194" s="233" t="str">
        <f t="shared" ref="T194:U194" si="197">IF(AND(C194&lt;&gt;"",F194&lt;&gt;"",I194&lt;&gt;""), SUM(I194,F194,C194),"")</f>
        <v/>
      </c>
      <c r="U194" s="233" t="str">
        <f t="shared" si="197"/>
        <v/>
      </c>
      <c r="V194" s="233" t="str">
        <f t="shared" si="6"/>
        <v/>
      </c>
      <c r="W194" s="241" t="str">
        <f t="shared" si="9"/>
        <v/>
      </c>
      <c r="X194" s="241" t="str">
        <f t="shared" si="10"/>
        <v/>
      </c>
      <c r="Y194" s="241" t="str">
        <f t="shared" si="19"/>
        <v/>
      </c>
      <c r="Z194" s="233" t="str">
        <f t="shared" si="7"/>
        <v/>
      </c>
      <c r="AA194" s="294"/>
      <c r="AB194" s="245"/>
      <c r="AC194" s="242" t="str">
        <f>IF(ISTEXT(AB194),VLOOKUP(AB194,'Cadastro dos Ativos'!$A$2:$C$1000,3,0),"")</f>
        <v/>
      </c>
      <c r="AD194" s="242" t="str">
        <f>IF(AB194 &lt;&gt; "",SUMIFS('Alocação'!$O$3:$O$1002,'Alocação'!$C$3:$C$1002,AB194,'Alocação'!$F$3:$F$1002,AB$9,'Alocação'!$B$3:$B$1002,"&lt;="&amp;$B$6), "")</f>
        <v/>
      </c>
      <c r="AE194" s="243" t="str">
        <f>iferror(IF(AC194="Ações Americanas", HLOOKUP(AB194,'Histórico'!$A$1:$DD$990,MATCH($B$6,'Histórico'!$A:$A),FALSE)*HLOOKUP("PTAX",'Histórico'!$A$1:$FG$983,MATCH($B$6,'Histórico'!$A:$A),FALSE),IF(AC194="Ações Europeias", HLOOKUP(AB194,'Histórico'!$A$1:$DD$990,MATCH($B$6,'Histórico'!$A:$A),FALSE)*HLOOKUP("EUR/BRL",'Histórico'!$A$1:$FG$983,MATCH($B$6,'Histórico'!$A:$A),FALSE),  HLOOKUP(AB194,'Histórico'!$A$1:$DD$990,MATCH($B$6,'Histórico'!$A:$A),FALSE))),"")</f>
        <v/>
      </c>
      <c r="AF194" s="243" t="str">
        <f t="shared" si="15"/>
        <v/>
      </c>
      <c r="AG194" s="53"/>
      <c r="AH194" s="245"/>
      <c r="AI194" s="242" t="str">
        <f>IF(ISTEXT(AH194),VLOOKUP(AH194,'Cadastro dos Ativos'!$A$2:$C$1000,3,0),"")</f>
        <v/>
      </c>
      <c r="AJ194" s="242" t="str">
        <f>IF(AH194 &lt;&gt; "",SUMIFS('Alocação'!$O$3:$O$1002,'Alocação'!$C$3:$C$1002,AH194,'Alocação'!$F$3:$F$1002,AH$9,'Alocação'!$B$3:$B$1002,"&lt;="&amp;$B$6), "")</f>
        <v/>
      </c>
      <c r="AK194" s="243" t="str">
        <f>iferror(IF(AI194="Ações Americanas", HLOOKUP(AH194,'Histórico'!$A$1:$DD$990,MATCH($B$6,'Histórico'!$A:$A),FALSE)*HLOOKUP("PTAX",'Histórico'!$A$1:$FG$983,MATCH($B$6,'Histórico'!$A:$A),FALSE),IF(AI194="Ações Europeias", HLOOKUP(AH194,'Histórico'!$A$1:$DD$990,MATCH($B$6,'Histórico'!$A:$A),FALSE)*HLOOKUP("EUR/BRL",'Histórico'!$A$1:$FG$983,MATCH($B$6,'Histórico'!$A:$A),FALSE),  HLOOKUP(AH194,'Histórico'!$A$1:$DD$990,MATCH($B$6,'Histórico'!$A:$A),FALSE))),"")</f>
        <v/>
      </c>
      <c r="AL194" s="243" t="str">
        <f t="shared" si="11"/>
        <v/>
      </c>
      <c r="AM194" s="53"/>
      <c r="AN194" s="245"/>
      <c r="AO194" s="242" t="str">
        <f>IF(ISTEXT(AN194),VLOOKUP(AN194,'Cadastro dos Ativos'!$A$2:$C$1000,3,0),"")</f>
        <v/>
      </c>
      <c r="AP194" s="242" t="str">
        <f>IF(AN194 &lt;&gt; "",SUMIFS('Alocação'!$O$3:$O$1002,'Alocação'!$C$3:$C$1002,AN194,'Alocação'!$F$3:$F$1002,AN$9,'Alocação'!$B$3:$B$1002,"&lt;="&amp;$B$6), "")</f>
        <v/>
      </c>
      <c r="AQ194" s="243" t="str">
        <f>iferror(IF(AO194="Ações Americanas", HLOOKUP(AN194,'Histórico'!$A$1:$DD$990,MATCH($B$6,'Histórico'!$A:$A),FALSE)*HLOOKUP("PTAX",'Histórico'!$A$1:$FG$983,MATCH($B$6,'Histórico'!$A:$A),FALSE),IF(AO194="Ações Europeias", HLOOKUP(AN194,'Histórico'!$A$1:$DD$990,MATCH($B$6,'Histórico'!$A:$A),FALSE)*HLOOKUP("EUR/BRL",'Histórico'!$A$1:$FG$983,MATCH($B$6,'Histórico'!$A:$A),FALSE),  HLOOKUP(AN194,'Histórico'!$A$1:$DD$990,MATCH($B$6,'Histórico'!$A:$A),FALSE))),"")</f>
        <v/>
      </c>
      <c r="AR194" s="243" t="str">
        <f t="shared" si="12"/>
        <v/>
      </c>
      <c r="AS194" s="53"/>
      <c r="AT194" s="245"/>
      <c r="AU194" s="242" t="str">
        <f>IF(ISTEXT(AT194),VLOOKUP(AT194,'Cadastro dos Ativos'!$A$2:$C$1000,3,0),"")</f>
        <v/>
      </c>
      <c r="AV194" s="242" t="str">
        <f>IF(AT194 &lt;&gt; "",SUMIFS('Alocação'!$O$3:$O$1002,'Alocação'!$C$3:$C$1002,AT194,'Alocação'!$F$3:$F$1002,AT$9,'Alocação'!$B$3:$B$1002,"&lt;="&amp;$B$6), "")</f>
        <v/>
      </c>
      <c r="AW194" s="243" t="str">
        <f>iferror(IF(AU194="Ações Americanas", HLOOKUP(AT194,'Histórico'!$A$1:$DD$990,MATCH($B$6,'Histórico'!$A:$A),FALSE)*HLOOKUP("PTAX",'Histórico'!$A$1:$FG$983,MATCH($B$6,'Histórico'!$A:$A),FALSE),IF(AU194="Ações Europeias", HLOOKUP(AT194,'Histórico'!$A$1:$DD$990,MATCH($B$6,'Histórico'!$A:$A),FALSE)*HLOOKUP("EUR/BRL",'Histórico'!$A$1:$FG$983,MATCH($B$6,'Histórico'!$A:$A),FALSE),  HLOOKUP(AT194,'Histórico'!$A$1:$DD$990,MATCH($B$6,'Histórico'!$A:$A),FALSE))),"")</f>
        <v/>
      </c>
      <c r="AX194" s="243" t="str">
        <f t="shared" si="13"/>
        <v/>
      </c>
      <c r="AY194" s="53"/>
    </row>
    <row r="195" ht="15.75" customHeight="1">
      <c r="A195" s="176"/>
      <c r="B195" s="288">
        <f>Controle!B195</f>
        <v>45274</v>
      </c>
      <c r="C195" s="233" t="str">
        <f>Controle!C195</f>
        <v/>
      </c>
      <c r="D195" s="289" t="str">
        <f>Controle!D195</f>
        <v/>
      </c>
      <c r="E195" s="290"/>
      <c r="F195" s="291" t="str">
        <f>Controle!F195</f>
        <v/>
      </c>
      <c r="G195" s="289" t="str">
        <f>Controle!G195</f>
        <v/>
      </c>
      <c r="H195" s="290"/>
      <c r="I195" s="291" t="str">
        <f>Controle!I195</f>
        <v/>
      </c>
      <c r="J195" s="233" t="str">
        <f>Controle!J195</f>
        <v/>
      </c>
      <c r="K195" s="292"/>
      <c r="L195" s="233" t="str">
        <f>Controle!L195</f>
        <v/>
      </c>
      <c r="M195" s="233" t="str">
        <f>Controle!M195</f>
        <v/>
      </c>
      <c r="N195" s="235" t="str">
        <f>Controle!N195</f>
        <v/>
      </c>
      <c r="O195" s="235" t="str">
        <f>Controle!O195</f>
        <v/>
      </c>
      <c r="P195" s="235" t="str">
        <f>Controle!P195</f>
        <v/>
      </c>
      <c r="Q195" s="235" t="str">
        <f>Controle!Q195</f>
        <v/>
      </c>
      <c r="R195" s="293" t="str">
        <f>Controle!R195</f>
        <v/>
      </c>
      <c r="S195" s="287"/>
      <c r="T195" s="233" t="str">
        <f t="shared" ref="T195:U195" si="198">IF(AND(C195&lt;&gt;"",F195&lt;&gt;"",I195&lt;&gt;""), SUM(I195,F195,C195),"")</f>
        <v/>
      </c>
      <c r="U195" s="233" t="str">
        <f t="shared" si="198"/>
        <v/>
      </c>
      <c r="V195" s="233" t="str">
        <f t="shared" si="6"/>
        <v/>
      </c>
      <c r="W195" s="241" t="str">
        <f t="shared" si="9"/>
        <v/>
      </c>
      <c r="X195" s="241" t="str">
        <f t="shared" si="10"/>
        <v/>
      </c>
      <c r="Y195" s="241" t="str">
        <f t="shared" si="19"/>
        <v/>
      </c>
      <c r="Z195" s="233" t="str">
        <f t="shared" si="7"/>
        <v/>
      </c>
      <c r="AA195" s="294"/>
      <c r="AB195" s="245"/>
      <c r="AC195" s="242" t="str">
        <f>IF(ISTEXT(AB195),VLOOKUP(AB195,'Cadastro dos Ativos'!$A$2:$C$1000,3,0),"")</f>
        <v/>
      </c>
      <c r="AD195" s="242" t="str">
        <f>IF(AB195 &lt;&gt; "",SUMIFS('Alocação'!$O$3:$O$1002,'Alocação'!$C$3:$C$1002,AB195,'Alocação'!$F$3:$F$1002,AB$9,'Alocação'!$B$3:$B$1002,"&lt;="&amp;$B$6), "")</f>
        <v/>
      </c>
      <c r="AE195" s="243" t="str">
        <f>iferror(IF(AC195="Ações Americanas", HLOOKUP(AB195,'Histórico'!$A$1:$DD$990,MATCH($B$6,'Histórico'!$A:$A),FALSE)*HLOOKUP("PTAX",'Histórico'!$A$1:$FG$983,MATCH($B$6,'Histórico'!$A:$A),FALSE),IF(AC195="Ações Europeias", HLOOKUP(AB195,'Histórico'!$A$1:$DD$990,MATCH($B$6,'Histórico'!$A:$A),FALSE)*HLOOKUP("EUR/BRL",'Histórico'!$A$1:$FG$983,MATCH($B$6,'Histórico'!$A:$A),FALSE),  HLOOKUP(AB195,'Histórico'!$A$1:$DD$990,MATCH($B$6,'Histórico'!$A:$A),FALSE))),"")</f>
        <v/>
      </c>
      <c r="AF195" s="243" t="str">
        <f t="shared" si="15"/>
        <v/>
      </c>
      <c r="AG195" s="53"/>
      <c r="AH195" s="245"/>
      <c r="AI195" s="242" t="str">
        <f>IF(ISTEXT(AH195),VLOOKUP(AH195,'Cadastro dos Ativos'!$A$2:$C$1000,3,0),"")</f>
        <v/>
      </c>
      <c r="AJ195" s="242" t="str">
        <f>IF(AH195 &lt;&gt; "",SUMIFS('Alocação'!$O$3:$O$1002,'Alocação'!$C$3:$C$1002,AH195,'Alocação'!$F$3:$F$1002,AH$9,'Alocação'!$B$3:$B$1002,"&lt;="&amp;$B$6), "")</f>
        <v/>
      </c>
      <c r="AK195" s="243" t="str">
        <f>iferror(IF(AI195="Ações Americanas", HLOOKUP(AH195,'Histórico'!$A$1:$DD$990,MATCH($B$6,'Histórico'!$A:$A),FALSE)*HLOOKUP("PTAX",'Histórico'!$A$1:$FG$983,MATCH($B$6,'Histórico'!$A:$A),FALSE),IF(AI195="Ações Europeias", HLOOKUP(AH195,'Histórico'!$A$1:$DD$990,MATCH($B$6,'Histórico'!$A:$A),FALSE)*HLOOKUP("EUR/BRL",'Histórico'!$A$1:$FG$983,MATCH($B$6,'Histórico'!$A:$A),FALSE),  HLOOKUP(AH195,'Histórico'!$A$1:$DD$990,MATCH($B$6,'Histórico'!$A:$A),FALSE))),"")</f>
        <v/>
      </c>
      <c r="AL195" s="243" t="str">
        <f t="shared" si="11"/>
        <v/>
      </c>
      <c r="AM195" s="53"/>
      <c r="AN195" s="245"/>
      <c r="AO195" s="242" t="str">
        <f>IF(ISTEXT(AN195),VLOOKUP(AN195,'Cadastro dos Ativos'!$A$2:$C$1000,3,0),"")</f>
        <v/>
      </c>
      <c r="AP195" s="242" t="str">
        <f>IF(AN195 &lt;&gt; "",SUMIFS('Alocação'!$O$3:$O$1002,'Alocação'!$C$3:$C$1002,AN195,'Alocação'!$F$3:$F$1002,AN$9,'Alocação'!$B$3:$B$1002,"&lt;="&amp;$B$6), "")</f>
        <v/>
      </c>
      <c r="AQ195" s="243" t="str">
        <f>iferror(IF(AO195="Ações Americanas", HLOOKUP(AN195,'Histórico'!$A$1:$DD$990,MATCH($B$6,'Histórico'!$A:$A),FALSE)*HLOOKUP("PTAX",'Histórico'!$A$1:$FG$983,MATCH($B$6,'Histórico'!$A:$A),FALSE),IF(AO195="Ações Europeias", HLOOKUP(AN195,'Histórico'!$A$1:$DD$990,MATCH($B$6,'Histórico'!$A:$A),FALSE)*HLOOKUP("EUR/BRL",'Histórico'!$A$1:$FG$983,MATCH($B$6,'Histórico'!$A:$A),FALSE),  HLOOKUP(AN195,'Histórico'!$A$1:$DD$990,MATCH($B$6,'Histórico'!$A:$A),FALSE))),"")</f>
        <v/>
      </c>
      <c r="AR195" s="243" t="str">
        <f t="shared" si="12"/>
        <v/>
      </c>
      <c r="AS195" s="53"/>
      <c r="AT195" s="245"/>
      <c r="AU195" s="242" t="str">
        <f>IF(ISTEXT(AT195),VLOOKUP(AT195,'Cadastro dos Ativos'!$A$2:$C$1000,3,0),"")</f>
        <v/>
      </c>
      <c r="AV195" s="242" t="str">
        <f>IF(AT195 &lt;&gt; "",SUMIFS('Alocação'!$O$3:$O$1002,'Alocação'!$C$3:$C$1002,AT195,'Alocação'!$F$3:$F$1002,AT$9,'Alocação'!$B$3:$B$1002,"&lt;="&amp;$B$6), "")</f>
        <v/>
      </c>
      <c r="AW195" s="243" t="str">
        <f>iferror(IF(AU195="Ações Americanas", HLOOKUP(AT195,'Histórico'!$A$1:$DD$990,MATCH($B$6,'Histórico'!$A:$A),FALSE)*HLOOKUP("PTAX",'Histórico'!$A$1:$FG$983,MATCH($B$6,'Histórico'!$A:$A),FALSE),IF(AU195="Ações Europeias", HLOOKUP(AT195,'Histórico'!$A$1:$DD$990,MATCH($B$6,'Histórico'!$A:$A),FALSE)*HLOOKUP("EUR/BRL",'Histórico'!$A$1:$FG$983,MATCH($B$6,'Histórico'!$A:$A),FALSE),  HLOOKUP(AT195,'Histórico'!$A$1:$DD$990,MATCH($B$6,'Histórico'!$A:$A),FALSE))),"")</f>
        <v/>
      </c>
      <c r="AX195" s="243" t="str">
        <f t="shared" si="13"/>
        <v/>
      </c>
      <c r="AY195" s="53"/>
    </row>
    <row r="196" ht="15.75" customHeight="1">
      <c r="A196" s="176"/>
      <c r="B196" s="288">
        <f>Controle!B196</f>
        <v>45275</v>
      </c>
      <c r="C196" s="233" t="str">
        <f>Controle!C196</f>
        <v/>
      </c>
      <c r="D196" s="289" t="str">
        <f>Controle!D196</f>
        <v/>
      </c>
      <c r="E196" s="290"/>
      <c r="F196" s="291" t="str">
        <f>Controle!F196</f>
        <v/>
      </c>
      <c r="G196" s="289" t="str">
        <f>Controle!G196</f>
        <v/>
      </c>
      <c r="H196" s="290"/>
      <c r="I196" s="291" t="str">
        <f>Controle!I196</f>
        <v/>
      </c>
      <c r="J196" s="233" t="str">
        <f>Controle!J196</f>
        <v/>
      </c>
      <c r="K196" s="292"/>
      <c r="L196" s="233" t="str">
        <f>Controle!L196</f>
        <v/>
      </c>
      <c r="M196" s="233" t="str">
        <f>Controle!M196</f>
        <v/>
      </c>
      <c r="N196" s="235" t="str">
        <f>Controle!N196</f>
        <v/>
      </c>
      <c r="O196" s="235" t="str">
        <f>Controle!O196</f>
        <v/>
      </c>
      <c r="P196" s="235" t="str">
        <f>Controle!P196</f>
        <v/>
      </c>
      <c r="Q196" s="235" t="str">
        <f>Controle!Q196</f>
        <v/>
      </c>
      <c r="R196" s="293" t="str">
        <f>Controle!R196</f>
        <v/>
      </c>
      <c r="S196" s="287"/>
      <c r="T196" s="233" t="str">
        <f t="shared" ref="T196:U196" si="199">IF(AND(C196&lt;&gt;"",F196&lt;&gt;"",I196&lt;&gt;""), SUM(I196,F196,C196),"")</f>
        <v/>
      </c>
      <c r="U196" s="233" t="str">
        <f t="shared" si="199"/>
        <v/>
      </c>
      <c r="V196" s="233" t="str">
        <f t="shared" si="6"/>
        <v/>
      </c>
      <c r="W196" s="241" t="str">
        <f t="shared" si="9"/>
        <v/>
      </c>
      <c r="X196" s="241" t="str">
        <f t="shared" si="10"/>
        <v/>
      </c>
      <c r="Y196" s="241" t="str">
        <f t="shared" si="19"/>
        <v/>
      </c>
      <c r="Z196" s="233" t="str">
        <f t="shared" si="7"/>
        <v/>
      </c>
      <c r="AA196" s="294"/>
      <c r="AB196" s="245"/>
      <c r="AC196" s="242" t="str">
        <f>IF(ISTEXT(AB196),VLOOKUP(AB196,'Cadastro dos Ativos'!$A$2:$C$1000,3,0),"")</f>
        <v/>
      </c>
      <c r="AD196" s="242" t="str">
        <f>IF(AB196 &lt;&gt; "",SUMIFS('Alocação'!$O$3:$O$1002,'Alocação'!$C$3:$C$1002,AB196,'Alocação'!$F$3:$F$1002,AB$9,'Alocação'!$B$3:$B$1002,"&lt;="&amp;$B$6), "")</f>
        <v/>
      </c>
      <c r="AE196" s="243" t="str">
        <f>iferror(IF(AC196="Ações Americanas", HLOOKUP(AB196,'Histórico'!$A$1:$DD$990,MATCH($B$6,'Histórico'!$A:$A),FALSE)*HLOOKUP("PTAX",'Histórico'!$A$1:$FG$983,MATCH($B$6,'Histórico'!$A:$A),FALSE),IF(AC196="Ações Europeias", HLOOKUP(AB196,'Histórico'!$A$1:$DD$990,MATCH($B$6,'Histórico'!$A:$A),FALSE)*HLOOKUP("EUR/BRL",'Histórico'!$A$1:$FG$983,MATCH($B$6,'Histórico'!$A:$A),FALSE),  HLOOKUP(AB196,'Histórico'!$A$1:$DD$990,MATCH($B$6,'Histórico'!$A:$A),FALSE))),"")</f>
        <v/>
      </c>
      <c r="AF196" s="243" t="str">
        <f t="shared" si="15"/>
        <v/>
      </c>
      <c r="AG196" s="53"/>
      <c r="AH196" s="245"/>
      <c r="AI196" s="242" t="str">
        <f>IF(ISTEXT(AH196),VLOOKUP(AH196,'Cadastro dos Ativos'!$A$2:$C$1000,3,0),"")</f>
        <v/>
      </c>
      <c r="AJ196" s="242" t="str">
        <f>IF(AH196 &lt;&gt; "",SUMIFS('Alocação'!$O$3:$O$1002,'Alocação'!$C$3:$C$1002,AH196,'Alocação'!$F$3:$F$1002,AH$9,'Alocação'!$B$3:$B$1002,"&lt;="&amp;$B$6), "")</f>
        <v/>
      </c>
      <c r="AK196" s="243" t="str">
        <f>iferror(IF(AI196="Ações Americanas", HLOOKUP(AH196,'Histórico'!$A$1:$DD$990,MATCH($B$6,'Histórico'!$A:$A),FALSE)*HLOOKUP("PTAX",'Histórico'!$A$1:$FG$983,MATCH($B$6,'Histórico'!$A:$A),FALSE),IF(AI196="Ações Europeias", HLOOKUP(AH196,'Histórico'!$A$1:$DD$990,MATCH($B$6,'Histórico'!$A:$A),FALSE)*HLOOKUP("EUR/BRL",'Histórico'!$A$1:$FG$983,MATCH($B$6,'Histórico'!$A:$A),FALSE),  HLOOKUP(AH196,'Histórico'!$A$1:$DD$990,MATCH($B$6,'Histórico'!$A:$A),FALSE))),"")</f>
        <v/>
      </c>
      <c r="AL196" s="243" t="str">
        <f t="shared" si="11"/>
        <v/>
      </c>
      <c r="AM196" s="53"/>
      <c r="AN196" s="245"/>
      <c r="AO196" s="242" t="str">
        <f>IF(ISTEXT(AN196),VLOOKUP(AN196,'Cadastro dos Ativos'!$A$2:$C$1000,3,0),"")</f>
        <v/>
      </c>
      <c r="AP196" s="242" t="str">
        <f>IF(AN196 &lt;&gt; "",SUMIFS('Alocação'!$O$3:$O$1002,'Alocação'!$C$3:$C$1002,AN196,'Alocação'!$F$3:$F$1002,AN$9,'Alocação'!$B$3:$B$1002,"&lt;="&amp;$B$6), "")</f>
        <v/>
      </c>
      <c r="AQ196" s="243" t="str">
        <f>iferror(IF(AO196="Ações Americanas", HLOOKUP(AN196,'Histórico'!$A$1:$DD$990,MATCH($B$6,'Histórico'!$A:$A),FALSE)*HLOOKUP("PTAX",'Histórico'!$A$1:$FG$983,MATCH($B$6,'Histórico'!$A:$A),FALSE),IF(AO196="Ações Europeias", HLOOKUP(AN196,'Histórico'!$A$1:$DD$990,MATCH($B$6,'Histórico'!$A:$A),FALSE)*HLOOKUP("EUR/BRL",'Histórico'!$A$1:$FG$983,MATCH($B$6,'Histórico'!$A:$A),FALSE),  HLOOKUP(AN196,'Histórico'!$A$1:$DD$990,MATCH($B$6,'Histórico'!$A:$A),FALSE))),"")</f>
        <v/>
      </c>
      <c r="AR196" s="243" t="str">
        <f t="shared" si="12"/>
        <v/>
      </c>
      <c r="AS196" s="53"/>
      <c r="AT196" s="245"/>
      <c r="AU196" s="242" t="str">
        <f>IF(ISTEXT(AT196),VLOOKUP(AT196,'Cadastro dos Ativos'!$A$2:$C$1000,3,0),"")</f>
        <v/>
      </c>
      <c r="AV196" s="242" t="str">
        <f>IF(AT196 &lt;&gt; "",SUMIFS('Alocação'!$O$3:$O$1002,'Alocação'!$C$3:$C$1002,AT196,'Alocação'!$F$3:$F$1002,AT$9,'Alocação'!$B$3:$B$1002,"&lt;="&amp;$B$6), "")</f>
        <v/>
      </c>
      <c r="AW196" s="243" t="str">
        <f>iferror(IF(AU196="Ações Americanas", HLOOKUP(AT196,'Histórico'!$A$1:$DD$990,MATCH($B$6,'Histórico'!$A:$A),FALSE)*HLOOKUP("PTAX",'Histórico'!$A$1:$FG$983,MATCH($B$6,'Histórico'!$A:$A),FALSE),IF(AU196="Ações Europeias", HLOOKUP(AT196,'Histórico'!$A$1:$DD$990,MATCH($B$6,'Histórico'!$A:$A),FALSE)*HLOOKUP("EUR/BRL",'Histórico'!$A$1:$FG$983,MATCH($B$6,'Histórico'!$A:$A),FALSE),  HLOOKUP(AT196,'Histórico'!$A$1:$DD$990,MATCH($B$6,'Histórico'!$A:$A),FALSE))),"")</f>
        <v/>
      </c>
      <c r="AX196" s="243" t="str">
        <f t="shared" si="13"/>
        <v/>
      </c>
      <c r="AY196" s="53"/>
    </row>
    <row r="197" ht="15.75" customHeight="1">
      <c r="A197" s="176"/>
      <c r="B197" s="288">
        <f>Controle!B197</f>
        <v>45278</v>
      </c>
      <c r="C197" s="233" t="str">
        <f>Controle!C197</f>
        <v/>
      </c>
      <c r="D197" s="289" t="str">
        <f>Controle!D197</f>
        <v/>
      </c>
      <c r="E197" s="290"/>
      <c r="F197" s="291" t="str">
        <f>Controle!F197</f>
        <v/>
      </c>
      <c r="G197" s="289" t="str">
        <f>Controle!G197</f>
        <v/>
      </c>
      <c r="H197" s="290"/>
      <c r="I197" s="291" t="str">
        <f>Controle!I197</f>
        <v/>
      </c>
      <c r="J197" s="233" t="str">
        <f>Controle!J197</f>
        <v/>
      </c>
      <c r="K197" s="292"/>
      <c r="L197" s="233" t="str">
        <f>Controle!L197</f>
        <v/>
      </c>
      <c r="M197" s="233" t="str">
        <f>Controle!M197</f>
        <v/>
      </c>
      <c r="N197" s="235" t="str">
        <f>Controle!N197</f>
        <v/>
      </c>
      <c r="O197" s="235" t="str">
        <f>Controle!O197</f>
        <v/>
      </c>
      <c r="P197" s="235" t="str">
        <f>Controle!P197</f>
        <v/>
      </c>
      <c r="Q197" s="235" t="str">
        <f>Controle!Q197</f>
        <v/>
      </c>
      <c r="R197" s="293" t="str">
        <f>Controle!R197</f>
        <v/>
      </c>
      <c r="S197" s="287"/>
      <c r="T197" s="233" t="str">
        <f t="shared" ref="T197:U197" si="200">IF(AND(C197&lt;&gt;"",F197&lt;&gt;"",I197&lt;&gt;""), SUM(I197,F197,C197),"")</f>
        <v/>
      </c>
      <c r="U197" s="233" t="str">
        <f t="shared" si="200"/>
        <v/>
      </c>
      <c r="V197" s="233" t="str">
        <f t="shared" si="6"/>
        <v/>
      </c>
      <c r="W197" s="241" t="str">
        <f t="shared" si="9"/>
        <v/>
      </c>
      <c r="X197" s="241" t="str">
        <f t="shared" si="10"/>
        <v/>
      </c>
      <c r="Y197" s="241" t="str">
        <f t="shared" si="19"/>
        <v/>
      </c>
      <c r="Z197" s="233" t="str">
        <f t="shared" si="7"/>
        <v/>
      </c>
      <c r="AA197" s="294"/>
      <c r="AB197" s="245"/>
      <c r="AC197" s="242" t="str">
        <f>IF(ISTEXT(AB197),VLOOKUP(AB197,'Cadastro dos Ativos'!$A$2:$C$1000,3,0),"")</f>
        <v/>
      </c>
      <c r="AD197" s="242" t="str">
        <f>IF(AB197 &lt;&gt; "",SUMIFS('Alocação'!$O$3:$O$1002,'Alocação'!$C$3:$C$1002,AB197,'Alocação'!$F$3:$F$1002,AB$9,'Alocação'!$B$3:$B$1002,"&lt;="&amp;$B$6), "")</f>
        <v/>
      </c>
      <c r="AE197" s="243" t="str">
        <f>iferror(IF(AC197="Ações Americanas", HLOOKUP(AB197,'Histórico'!$A$1:$DD$990,MATCH($B$6,'Histórico'!$A:$A),FALSE)*HLOOKUP("PTAX",'Histórico'!$A$1:$FG$983,MATCH($B$6,'Histórico'!$A:$A),FALSE),IF(AC197="Ações Europeias", HLOOKUP(AB197,'Histórico'!$A$1:$DD$990,MATCH($B$6,'Histórico'!$A:$A),FALSE)*HLOOKUP("EUR/BRL",'Histórico'!$A$1:$FG$983,MATCH($B$6,'Histórico'!$A:$A),FALSE),  HLOOKUP(AB197,'Histórico'!$A$1:$DD$990,MATCH($B$6,'Histórico'!$A:$A),FALSE))),"")</f>
        <v/>
      </c>
      <c r="AF197" s="243" t="str">
        <f t="shared" si="15"/>
        <v/>
      </c>
      <c r="AG197" s="53"/>
      <c r="AH197" s="245"/>
      <c r="AI197" s="242" t="str">
        <f>IF(ISTEXT(AH197),VLOOKUP(AH197,'Cadastro dos Ativos'!$A$2:$C$1000,3,0),"")</f>
        <v/>
      </c>
      <c r="AJ197" s="242" t="str">
        <f>IF(AH197 &lt;&gt; "",SUMIFS('Alocação'!$O$3:$O$1002,'Alocação'!$C$3:$C$1002,AH197,'Alocação'!$F$3:$F$1002,AH$9,'Alocação'!$B$3:$B$1002,"&lt;="&amp;$B$6), "")</f>
        <v/>
      </c>
      <c r="AK197" s="243" t="str">
        <f>iferror(IF(AI197="Ações Americanas", HLOOKUP(AH197,'Histórico'!$A$1:$DD$990,MATCH($B$6,'Histórico'!$A:$A),FALSE)*HLOOKUP("PTAX",'Histórico'!$A$1:$FG$983,MATCH($B$6,'Histórico'!$A:$A),FALSE),IF(AI197="Ações Europeias", HLOOKUP(AH197,'Histórico'!$A$1:$DD$990,MATCH($B$6,'Histórico'!$A:$A),FALSE)*HLOOKUP("EUR/BRL",'Histórico'!$A$1:$FG$983,MATCH($B$6,'Histórico'!$A:$A),FALSE),  HLOOKUP(AH197,'Histórico'!$A$1:$DD$990,MATCH($B$6,'Histórico'!$A:$A),FALSE))),"")</f>
        <v/>
      </c>
      <c r="AL197" s="243" t="str">
        <f t="shared" si="11"/>
        <v/>
      </c>
      <c r="AM197" s="53"/>
      <c r="AN197" s="245"/>
      <c r="AO197" s="242" t="str">
        <f>IF(ISTEXT(AN197),VLOOKUP(AN197,'Cadastro dos Ativos'!$A$2:$C$1000,3,0),"")</f>
        <v/>
      </c>
      <c r="AP197" s="242" t="str">
        <f>IF(AN197 &lt;&gt; "",SUMIFS('Alocação'!$O$3:$O$1002,'Alocação'!$C$3:$C$1002,AN197,'Alocação'!$F$3:$F$1002,AN$9,'Alocação'!$B$3:$B$1002,"&lt;="&amp;$B$6), "")</f>
        <v/>
      </c>
      <c r="AQ197" s="243" t="str">
        <f>iferror(IF(AO197="Ações Americanas", HLOOKUP(AN197,'Histórico'!$A$1:$DD$990,MATCH($B$6,'Histórico'!$A:$A),FALSE)*HLOOKUP("PTAX",'Histórico'!$A$1:$FG$983,MATCH($B$6,'Histórico'!$A:$A),FALSE),IF(AO197="Ações Europeias", HLOOKUP(AN197,'Histórico'!$A$1:$DD$990,MATCH($B$6,'Histórico'!$A:$A),FALSE)*HLOOKUP("EUR/BRL",'Histórico'!$A$1:$FG$983,MATCH($B$6,'Histórico'!$A:$A),FALSE),  HLOOKUP(AN197,'Histórico'!$A$1:$DD$990,MATCH($B$6,'Histórico'!$A:$A),FALSE))),"")</f>
        <v/>
      </c>
      <c r="AR197" s="243" t="str">
        <f t="shared" si="12"/>
        <v/>
      </c>
      <c r="AS197" s="53"/>
      <c r="AT197" s="245"/>
      <c r="AU197" s="242" t="str">
        <f>IF(ISTEXT(AT197),VLOOKUP(AT197,'Cadastro dos Ativos'!$A$2:$C$1000,3,0),"")</f>
        <v/>
      </c>
      <c r="AV197" s="242" t="str">
        <f>IF(AT197 &lt;&gt; "",SUMIFS('Alocação'!$O$3:$O$1002,'Alocação'!$C$3:$C$1002,AT197,'Alocação'!$F$3:$F$1002,AT$9,'Alocação'!$B$3:$B$1002,"&lt;="&amp;$B$6), "")</f>
        <v/>
      </c>
      <c r="AW197" s="243" t="str">
        <f>iferror(IF(AU197="Ações Americanas", HLOOKUP(AT197,'Histórico'!$A$1:$DD$990,MATCH($B$6,'Histórico'!$A:$A),FALSE)*HLOOKUP("PTAX",'Histórico'!$A$1:$FG$983,MATCH($B$6,'Histórico'!$A:$A),FALSE),IF(AU197="Ações Europeias", HLOOKUP(AT197,'Histórico'!$A$1:$DD$990,MATCH($B$6,'Histórico'!$A:$A),FALSE)*HLOOKUP("EUR/BRL",'Histórico'!$A$1:$FG$983,MATCH($B$6,'Histórico'!$A:$A),FALSE),  HLOOKUP(AT197,'Histórico'!$A$1:$DD$990,MATCH($B$6,'Histórico'!$A:$A),FALSE))),"")</f>
        <v/>
      </c>
      <c r="AX197" s="243" t="str">
        <f t="shared" si="13"/>
        <v/>
      </c>
      <c r="AY197" s="53"/>
    </row>
    <row r="198" ht="15.75" customHeight="1">
      <c r="A198" s="176"/>
      <c r="B198" s="288">
        <f>Controle!B198</f>
        <v>45279</v>
      </c>
      <c r="C198" s="233" t="str">
        <f>Controle!C198</f>
        <v/>
      </c>
      <c r="D198" s="289" t="str">
        <f>Controle!D198</f>
        <v/>
      </c>
      <c r="E198" s="290"/>
      <c r="F198" s="291" t="str">
        <f>Controle!F198</f>
        <v/>
      </c>
      <c r="G198" s="289" t="str">
        <f>Controle!G198</f>
        <v/>
      </c>
      <c r="H198" s="290"/>
      <c r="I198" s="291" t="str">
        <f>Controle!I198</f>
        <v/>
      </c>
      <c r="J198" s="233" t="str">
        <f>Controle!J198</f>
        <v/>
      </c>
      <c r="K198" s="292"/>
      <c r="L198" s="233" t="str">
        <f>Controle!L198</f>
        <v/>
      </c>
      <c r="M198" s="233" t="str">
        <f>Controle!M198</f>
        <v/>
      </c>
      <c r="N198" s="235" t="str">
        <f>Controle!N198</f>
        <v/>
      </c>
      <c r="O198" s="235" t="str">
        <f>Controle!O198</f>
        <v/>
      </c>
      <c r="P198" s="235" t="str">
        <f>Controle!P198</f>
        <v/>
      </c>
      <c r="Q198" s="235" t="str">
        <f>Controle!Q198</f>
        <v/>
      </c>
      <c r="R198" s="293" t="str">
        <f>Controle!R198</f>
        <v/>
      </c>
      <c r="S198" s="287"/>
      <c r="T198" s="233" t="str">
        <f t="shared" ref="T198:U198" si="201">IF(AND(C198&lt;&gt;"",F198&lt;&gt;"",I198&lt;&gt;""), SUM(I198,F198,C198),"")</f>
        <v/>
      </c>
      <c r="U198" s="233" t="str">
        <f t="shared" si="201"/>
        <v/>
      </c>
      <c r="V198" s="233" t="str">
        <f t="shared" si="6"/>
        <v/>
      </c>
      <c r="W198" s="241" t="str">
        <f t="shared" si="9"/>
        <v/>
      </c>
      <c r="X198" s="241" t="str">
        <f t="shared" si="10"/>
        <v/>
      </c>
      <c r="Y198" s="241" t="str">
        <f t="shared" si="19"/>
        <v/>
      </c>
      <c r="Z198" s="233" t="str">
        <f t="shared" si="7"/>
        <v/>
      </c>
      <c r="AA198" s="294"/>
      <c r="AB198" s="245"/>
      <c r="AC198" s="242" t="str">
        <f>IF(ISTEXT(AB198),VLOOKUP(AB198,'Cadastro dos Ativos'!$A$2:$C$1000,3,0),"")</f>
        <v/>
      </c>
      <c r="AD198" s="242" t="str">
        <f>IF(AB198 &lt;&gt; "",SUMIFS('Alocação'!$O$3:$O$1002,'Alocação'!$C$3:$C$1002,AB198,'Alocação'!$F$3:$F$1002,AB$9,'Alocação'!$B$3:$B$1002,"&lt;="&amp;$B$6), "")</f>
        <v/>
      </c>
      <c r="AE198" s="243" t="str">
        <f>iferror(IF(AC198="Ações Americanas", HLOOKUP(AB198,'Histórico'!$A$1:$DD$990,MATCH($B$6,'Histórico'!$A:$A),FALSE)*HLOOKUP("PTAX",'Histórico'!$A$1:$FG$983,MATCH($B$6,'Histórico'!$A:$A),FALSE),IF(AC198="Ações Europeias", HLOOKUP(AB198,'Histórico'!$A$1:$DD$990,MATCH($B$6,'Histórico'!$A:$A),FALSE)*HLOOKUP("EUR/BRL",'Histórico'!$A$1:$FG$983,MATCH($B$6,'Histórico'!$A:$A),FALSE),  HLOOKUP(AB198,'Histórico'!$A$1:$DD$990,MATCH($B$6,'Histórico'!$A:$A),FALSE))),"")</f>
        <v/>
      </c>
      <c r="AF198" s="243" t="str">
        <f t="shared" si="15"/>
        <v/>
      </c>
      <c r="AG198" s="53"/>
      <c r="AH198" s="245"/>
      <c r="AI198" s="242" t="str">
        <f>IF(ISTEXT(AH198),VLOOKUP(AH198,'Cadastro dos Ativos'!$A$2:$C$1000,3,0),"")</f>
        <v/>
      </c>
      <c r="AJ198" s="242" t="str">
        <f>IF(AH198 &lt;&gt; "",SUMIFS('Alocação'!$O$3:$O$1002,'Alocação'!$C$3:$C$1002,AH198,'Alocação'!$F$3:$F$1002,AH$9,'Alocação'!$B$3:$B$1002,"&lt;="&amp;$B$6), "")</f>
        <v/>
      </c>
      <c r="AK198" s="243" t="str">
        <f>iferror(IF(AI198="Ações Americanas", HLOOKUP(AH198,'Histórico'!$A$1:$DD$990,MATCH($B$6,'Histórico'!$A:$A),FALSE)*HLOOKUP("PTAX",'Histórico'!$A$1:$FG$983,MATCH($B$6,'Histórico'!$A:$A),FALSE),IF(AI198="Ações Europeias", HLOOKUP(AH198,'Histórico'!$A$1:$DD$990,MATCH($B$6,'Histórico'!$A:$A),FALSE)*HLOOKUP("EUR/BRL",'Histórico'!$A$1:$FG$983,MATCH($B$6,'Histórico'!$A:$A),FALSE),  HLOOKUP(AH198,'Histórico'!$A$1:$DD$990,MATCH($B$6,'Histórico'!$A:$A),FALSE))),"")</f>
        <v/>
      </c>
      <c r="AL198" s="243" t="str">
        <f t="shared" si="11"/>
        <v/>
      </c>
      <c r="AM198" s="53"/>
      <c r="AN198" s="245"/>
      <c r="AO198" s="242" t="str">
        <f>IF(ISTEXT(AN198),VLOOKUP(AN198,'Cadastro dos Ativos'!$A$2:$C$1000,3,0),"")</f>
        <v/>
      </c>
      <c r="AP198" s="242" t="str">
        <f>IF(AN198 &lt;&gt; "",SUMIFS('Alocação'!$O$3:$O$1002,'Alocação'!$C$3:$C$1002,AN198,'Alocação'!$F$3:$F$1002,AN$9,'Alocação'!$B$3:$B$1002,"&lt;="&amp;$B$6), "")</f>
        <v/>
      </c>
      <c r="AQ198" s="243" t="str">
        <f>iferror(IF(AO198="Ações Americanas", HLOOKUP(AN198,'Histórico'!$A$1:$DD$990,MATCH($B$6,'Histórico'!$A:$A),FALSE)*HLOOKUP("PTAX",'Histórico'!$A$1:$FG$983,MATCH($B$6,'Histórico'!$A:$A),FALSE),IF(AO198="Ações Europeias", HLOOKUP(AN198,'Histórico'!$A$1:$DD$990,MATCH($B$6,'Histórico'!$A:$A),FALSE)*HLOOKUP("EUR/BRL",'Histórico'!$A$1:$FG$983,MATCH($B$6,'Histórico'!$A:$A),FALSE),  HLOOKUP(AN198,'Histórico'!$A$1:$DD$990,MATCH($B$6,'Histórico'!$A:$A),FALSE))),"")</f>
        <v/>
      </c>
      <c r="AR198" s="243" t="str">
        <f t="shared" si="12"/>
        <v/>
      </c>
      <c r="AS198" s="53"/>
      <c r="AT198" s="245"/>
      <c r="AU198" s="242" t="str">
        <f>IF(ISTEXT(AT198),VLOOKUP(AT198,'Cadastro dos Ativos'!$A$2:$C$1000,3,0),"")</f>
        <v/>
      </c>
      <c r="AV198" s="242" t="str">
        <f>IF(AT198 &lt;&gt; "",SUMIFS('Alocação'!$O$3:$O$1002,'Alocação'!$C$3:$C$1002,AT198,'Alocação'!$F$3:$F$1002,AT$9,'Alocação'!$B$3:$B$1002,"&lt;="&amp;$B$6), "")</f>
        <v/>
      </c>
      <c r="AW198" s="243" t="str">
        <f>iferror(IF(AU198="Ações Americanas", HLOOKUP(AT198,'Histórico'!$A$1:$DD$990,MATCH($B$6,'Histórico'!$A:$A),FALSE)*HLOOKUP("PTAX",'Histórico'!$A$1:$FG$983,MATCH($B$6,'Histórico'!$A:$A),FALSE),IF(AU198="Ações Europeias", HLOOKUP(AT198,'Histórico'!$A$1:$DD$990,MATCH($B$6,'Histórico'!$A:$A),FALSE)*HLOOKUP("EUR/BRL",'Histórico'!$A$1:$FG$983,MATCH($B$6,'Histórico'!$A:$A),FALSE),  HLOOKUP(AT198,'Histórico'!$A$1:$DD$990,MATCH($B$6,'Histórico'!$A:$A),FALSE))),"")</f>
        <v/>
      </c>
      <c r="AX198" s="243" t="str">
        <f t="shared" si="13"/>
        <v/>
      </c>
      <c r="AY198" s="53"/>
    </row>
    <row r="199" ht="15.75" customHeight="1">
      <c r="A199" s="176"/>
      <c r="B199" s="288">
        <f>Controle!B199</f>
        <v>45280</v>
      </c>
      <c r="C199" s="233" t="str">
        <f>Controle!C199</f>
        <v/>
      </c>
      <c r="D199" s="289" t="str">
        <f>Controle!D199</f>
        <v/>
      </c>
      <c r="E199" s="290"/>
      <c r="F199" s="291" t="str">
        <f>Controle!F199</f>
        <v/>
      </c>
      <c r="G199" s="289" t="str">
        <f>Controle!G199</f>
        <v/>
      </c>
      <c r="H199" s="290"/>
      <c r="I199" s="291" t="str">
        <f>Controle!I199</f>
        <v/>
      </c>
      <c r="J199" s="233" t="str">
        <f>Controle!J199</f>
        <v/>
      </c>
      <c r="K199" s="292"/>
      <c r="L199" s="233" t="str">
        <f>Controle!L199</f>
        <v/>
      </c>
      <c r="M199" s="233" t="str">
        <f>Controle!M199</f>
        <v/>
      </c>
      <c r="N199" s="235" t="str">
        <f>Controle!N199</f>
        <v/>
      </c>
      <c r="O199" s="235" t="str">
        <f>Controle!O199</f>
        <v/>
      </c>
      <c r="P199" s="235" t="str">
        <f>Controle!P199</f>
        <v/>
      </c>
      <c r="Q199" s="235" t="str">
        <f>Controle!Q199</f>
        <v/>
      </c>
      <c r="R199" s="293" t="str">
        <f>Controle!R199</f>
        <v/>
      </c>
      <c r="S199" s="287"/>
      <c r="T199" s="233" t="str">
        <f t="shared" ref="T199:U199" si="202">IF(AND(C199&lt;&gt;"",F199&lt;&gt;"",I199&lt;&gt;""), SUM(I199,F199,C199),"")</f>
        <v/>
      </c>
      <c r="U199" s="233" t="str">
        <f t="shared" si="202"/>
        <v/>
      </c>
      <c r="V199" s="233" t="str">
        <f t="shared" si="6"/>
        <v/>
      </c>
      <c r="W199" s="241" t="str">
        <f t="shared" si="9"/>
        <v/>
      </c>
      <c r="X199" s="241" t="str">
        <f t="shared" si="10"/>
        <v/>
      </c>
      <c r="Y199" s="241" t="str">
        <f t="shared" si="19"/>
        <v/>
      </c>
      <c r="Z199" s="233" t="str">
        <f t="shared" si="7"/>
        <v/>
      </c>
      <c r="AA199" s="294"/>
      <c r="AB199" s="245"/>
      <c r="AC199" s="242" t="str">
        <f>IF(ISTEXT(AB199),VLOOKUP(AB199,'Cadastro dos Ativos'!$A$2:$C$1000,3,0),"")</f>
        <v/>
      </c>
      <c r="AD199" s="242" t="str">
        <f>IF(AB199 &lt;&gt; "",SUMIFS('Alocação'!$O$3:$O$1002,'Alocação'!$C$3:$C$1002,AB199,'Alocação'!$F$3:$F$1002,AB$9,'Alocação'!$B$3:$B$1002,"&lt;="&amp;$B$6), "")</f>
        <v/>
      </c>
      <c r="AE199" s="243" t="str">
        <f>iferror(IF(AC199="Ações Americanas", HLOOKUP(AB199,'Histórico'!$A$1:$DD$990,MATCH($B$6,'Histórico'!$A:$A),FALSE)*HLOOKUP("PTAX",'Histórico'!$A$1:$FG$983,MATCH($B$6,'Histórico'!$A:$A),FALSE),IF(AC199="Ações Europeias", HLOOKUP(AB199,'Histórico'!$A$1:$DD$990,MATCH($B$6,'Histórico'!$A:$A),FALSE)*HLOOKUP("EUR/BRL",'Histórico'!$A$1:$FG$983,MATCH($B$6,'Histórico'!$A:$A),FALSE),  HLOOKUP(AB199,'Histórico'!$A$1:$DD$990,MATCH($B$6,'Histórico'!$A:$A),FALSE))),"")</f>
        <v/>
      </c>
      <c r="AF199" s="243" t="str">
        <f t="shared" si="15"/>
        <v/>
      </c>
      <c r="AG199" s="53"/>
      <c r="AH199" s="245"/>
      <c r="AI199" s="242" t="str">
        <f>IF(ISTEXT(AH199),VLOOKUP(AH199,'Cadastro dos Ativos'!$A$2:$C$1000,3,0),"")</f>
        <v/>
      </c>
      <c r="AJ199" s="242" t="str">
        <f>IF(AH199 &lt;&gt; "",SUMIFS('Alocação'!$O$3:$O$1002,'Alocação'!$C$3:$C$1002,AH199,'Alocação'!$F$3:$F$1002,AH$9,'Alocação'!$B$3:$B$1002,"&lt;="&amp;$B$6), "")</f>
        <v/>
      </c>
      <c r="AK199" s="243" t="str">
        <f>iferror(IF(AI199="Ações Americanas", HLOOKUP(AH199,'Histórico'!$A$1:$DD$990,MATCH($B$6,'Histórico'!$A:$A),FALSE)*HLOOKUP("PTAX",'Histórico'!$A$1:$FG$983,MATCH($B$6,'Histórico'!$A:$A),FALSE),IF(AI199="Ações Europeias", HLOOKUP(AH199,'Histórico'!$A$1:$DD$990,MATCH($B$6,'Histórico'!$A:$A),FALSE)*HLOOKUP("EUR/BRL",'Histórico'!$A$1:$FG$983,MATCH($B$6,'Histórico'!$A:$A),FALSE),  HLOOKUP(AH199,'Histórico'!$A$1:$DD$990,MATCH($B$6,'Histórico'!$A:$A),FALSE))),"")</f>
        <v/>
      </c>
      <c r="AL199" s="243" t="str">
        <f t="shared" si="11"/>
        <v/>
      </c>
      <c r="AM199" s="53"/>
      <c r="AN199" s="245"/>
      <c r="AO199" s="242" t="str">
        <f>IF(ISTEXT(AN199),VLOOKUP(AN199,'Cadastro dos Ativos'!$A$2:$C$1000,3,0),"")</f>
        <v/>
      </c>
      <c r="AP199" s="242" t="str">
        <f>IF(AN199 &lt;&gt; "",SUMIFS('Alocação'!$O$3:$O$1002,'Alocação'!$C$3:$C$1002,AN199,'Alocação'!$F$3:$F$1002,AN$9,'Alocação'!$B$3:$B$1002,"&lt;="&amp;$B$6), "")</f>
        <v/>
      </c>
      <c r="AQ199" s="243" t="str">
        <f>iferror(IF(AO199="Ações Americanas", HLOOKUP(AN199,'Histórico'!$A$1:$DD$990,MATCH($B$6,'Histórico'!$A:$A),FALSE)*HLOOKUP("PTAX",'Histórico'!$A$1:$FG$983,MATCH($B$6,'Histórico'!$A:$A),FALSE),IF(AO199="Ações Europeias", HLOOKUP(AN199,'Histórico'!$A$1:$DD$990,MATCH($B$6,'Histórico'!$A:$A),FALSE)*HLOOKUP("EUR/BRL",'Histórico'!$A$1:$FG$983,MATCH($B$6,'Histórico'!$A:$A),FALSE),  HLOOKUP(AN199,'Histórico'!$A$1:$DD$990,MATCH($B$6,'Histórico'!$A:$A),FALSE))),"")</f>
        <v/>
      </c>
      <c r="AR199" s="243" t="str">
        <f t="shared" si="12"/>
        <v/>
      </c>
      <c r="AS199" s="53"/>
      <c r="AT199" s="245"/>
      <c r="AU199" s="242" t="str">
        <f>IF(ISTEXT(AT199),VLOOKUP(AT199,'Cadastro dos Ativos'!$A$2:$C$1000,3,0),"")</f>
        <v/>
      </c>
      <c r="AV199" s="242" t="str">
        <f>IF(AT199 &lt;&gt; "",SUMIFS('Alocação'!$O$3:$O$1002,'Alocação'!$C$3:$C$1002,AT199,'Alocação'!$F$3:$F$1002,AT$9,'Alocação'!$B$3:$B$1002,"&lt;="&amp;$B$6), "")</f>
        <v/>
      </c>
      <c r="AW199" s="243" t="str">
        <f>iferror(IF(AU199="Ações Americanas", HLOOKUP(AT199,'Histórico'!$A$1:$DD$990,MATCH($B$6,'Histórico'!$A:$A),FALSE)*HLOOKUP("PTAX",'Histórico'!$A$1:$FG$983,MATCH($B$6,'Histórico'!$A:$A),FALSE),IF(AU199="Ações Europeias", HLOOKUP(AT199,'Histórico'!$A$1:$DD$990,MATCH($B$6,'Histórico'!$A:$A),FALSE)*HLOOKUP("EUR/BRL",'Histórico'!$A$1:$FG$983,MATCH($B$6,'Histórico'!$A:$A),FALSE),  HLOOKUP(AT199,'Histórico'!$A$1:$DD$990,MATCH($B$6,'Histórico'!$A:$A),FALSE))),"")</f>
        <v/>
      </c>
      <c r="AX199" s="243" t="str">
        <f t="shared" si="13"/>
        <v/>
      </c>
      <c r="AY199" s="53"/>
    </row>
    <row r="200" ht="15.75" customHeight="1">
      <c r="A200" s="176"/>
      <c r="B200" s="288">
        <f>Controle!B200</f>
        <v>45281</v>
      </c>
      <c r="C200" s="233" t="str">
        <f>Controle!C200</f>
        <v/>
      </c>
      <c r="D200" s="289" t="str">
        <f>Controle!D200</f>
        <v/>
      </c>
      <c r="E200" s="290"/>
      <c r="F200" s="291" t="str">
        <f>Controle!F200</f>
        <v/>
      </c>
      <c r="G200" s="289" t="str">
        <f>Controle!G200</f>
        <v/>
      </c>
      <c r="H200" s="290"/>
      <c r="I200" s="291" t="str">
        <f>Controle!I200</f>
        <v/>
      </c>
      <c r="J200" s="233" t="str">
        <f>Controle!J200</f>
        <v/>
      </c>
      <c r="K200" s="292"/>
      <c r="L200" s="233" t="str">
        <f>Controle!L200</f>
        <v/>
      </c>
      <c r="M200" s="233" t="str">
        <f>Controle!M200</f>
        <v/>
      </c>
      <c r="N200" s="235" t="str">
        <f>Controle!N200</f>
        <v/>
      </c>
      <c r="O200" s="235" t="str">
        <f>Controle!O200</f>
        <v/>
      </c>
      <c r="P200" s="235" t="str">
        <f>Controle!P200</f>
        <v/>
      </c>
      <c r="Q200" s="235" t="str">
        <f>Controle!Q200</f>
        <v/>
      </c>
      <c r="R200" s="293" t="str">
        <f>Controle!R200</f>
        <v/>
      </c>
      <c r="S200" s="287"/>
      <c r="T200" s="233" t="str">
        <f t="shared" ref="T200:U200" si="203">IF(AND(C200&lt;&gt;"",F200&lt;&gt;"",I200&lt;&gt;""), SUM(I200,F200,C200),"")</f>
        <v/>
      </c>
      <c r="U200" s="233" t="str">
        <f t="shared" si="203"/>
        <v/>
      </c>
      <c r="V200" s="233" t="str">
        <f t="shared" si="6"/>
        <v/>
      </c>
      <c r="W200" s="241" t="str">
        <f t="shared" si="9"/>
        <v/>
      </c>
      <c r="X200" s="241" t="str">
        <f t="shared" si="10"/>
        <v/>
      </c>
      <c r="Y200" s="241" t="str">
        <f t="shared" si="19"/>
        <v/>
      </c>
      <c r="Z200" s="233" t="str">
        <f t="shared" si="7"/>
        <v/>
      </c>
      <c r="AA200" s="294"/>
      <c r="AB200" s="245"/>
      <c r="AC200" s="242" t="str">
        <f>IF(ISTEXT(AB200),VLOOKUP(AB200,'Cadastro dos Ativos'!$A$2:$C$1000,3,0),"")</f>
        <v/>
      </c>
      <c r="AD200" s="242" t="str">
        <f>IF(AB200 &lt;&gt; "",SUMIFS('Alocação'!$O$3:$O$1002,'Alocação'!$C$3:$C$1002,AB200,'Alocação'!$F$3:$F$1002,AB$9,'Alocação'!$B$3:$B$1002,"&lt;="&amp;$B$6), "")</f>
        <v/>
      </c>
      <c r="AE200" s="243" t="str">
        <f>iferror(IF(AC200="Ações Americanas", HLOOKUP(AB200,'Histórico'!$A$1:$DD$990,MATCH($B$6,'Histórico'!$A:$A),FALSE)*HLOOKUP("PTAX",'Histórico'!$A$1:$FG$983,MATCH($B$6,'Histórico'!$A:$A),FALSE),IF(AC200="Ações Europeias", HLOOKUP(AB200,'Histórico'!$A$1:$DD$990,MATCH($B$6,'Histórico'!$A:$A),FALSE)*HLOOKUP("EUR/BRL",'Histórico'!$A$1:$FG$983,MATCH($B$6,'Histórico'!$A:$A),FALSE),  HLOOKUP(AB200,'Histórico'!$A$1:$DD$990,MATCH($B$6,'Histórico'!$A:$A),FALSE))),"")</f>
        <v/>
      </c>
      <c r="AF200" s="243" t="str">
        <f t="shared" si="15"/>
        <v/>
      </c>
      <c r="AG200" s="53"/>
      <c r="AH200" s="245"/>
      <c r="AI200" s="242" t="str">
        <f>IF(ISTEXT(AH200),VLOOKUP(AH200,'Cadastro dos Ativos'!$A$2:$C$1000,3,0),"")</f>
        <v/>
      </c>
      <c r="AJ200" s="242" t="str">
        <f>IF(AH200 &lt;&gt; "",SUMIFS('Alocação'!$O$3:$O$1002,'Alocação'!$C$3:$C$1002,AH200,'Alocação'!$F$3:$F$1002,AH$9,'Alocação'!$B$3:$B$1002,"&lt;="&amp;$B$6), "")</f>
        <v/>
      </c>
      <c r="AK200" s="243" t="str">
        <f>iferror(IF(AI200="Ações Americanas", HLOOKUP(AH200,'Histórico'!$A$1:$DD$990,MATCH($B$6,'Histórico'!$A:$A),FALSE)*HLOOKUP("PTAX",'Histórico'!$A$1:$FG$983,MATCH($B$6,'Histórico'!$A:$A),FALSE),IF(AI200="Ações Europeias", HLOOKUP(AH200,'Histórico'!$A$1:$DD$990,MATCH($B$6,'Histórico'!$A:$A),FALSE)*HLOOKUP("EUR/BRL",'Histórico'!$A$1:$FG$983,MATCH($B$6,'Histórico'!$A:$A),FALSE),  HLOOKUP(AH200,'Histórico'!$A$1:$DD$990,MATCH($B$6,'Histórico'!$A:$A),FALSE))),"")</f>
        <v/>
      </c>
      <c r="AL200" s="243" t="str">
        <f t="shared" si="11"/>
        <v/>
      </c>
      <c r="AM200" s="53"/>
      <c r="AN200" s="245"/>
      <c r="AO200" s="242" t="str">
        <f>IF(ISTEXT(AN200),VLOOKUP(AN200,'Cadastro dos Ativos'!$A$2:$C$1000,3,0),"")</f>
        <v/>
      </c>
      <c r="AP200" s="242" t="str">
        <f>IF(AN200 &lt;&gt; "",SUMIFS('Alocação'!$O$3:$O$1002,'Alocação'!$C$3:$C$1002,AN200,'Alocação'!$F$3:$F$1002,AN$9,'Alocação'!$B$3:$B$1002,"&lt;="&amp;$B$6), "")</f>
        <v/>
      </c>
      <c r="AQ200" s="243" t="str">
        <f>iferror(IF(AO200="Ações Americanas", HLOOKUP(AN200,'Histórico'!$A$1:$DD$990,MATCH($B$6,'Histórico'!$A:$A),FALSE)*HLOOKUP("PTAX",'Histórico'!$A$1:$FG$983,MATCH($B$6,'Histórico'!$A:$A),FALSE),IF(AO200="Ações Europeias", HLOOKUP(AN200,'Histórico'!$A$1:$DD$990,MATCH($B$6,'Histórico'!$A:$A),FALSE)*HLOOKUP("EUR/BRL",'Histórico'!$A$1:$FG$983,MATCH($B$6,'Histórico'!$A:$A),FALSE),  HLOOKUP(AN200,'Histórico'!$A$1:$DD$990,MATCH($B$6,'Histórico'!$A:$A),FALSE))),"")</f>
        <v/>
      </c>
      <c r="AR200" s="243" t="str">
        <f t="shared" si="12"/>
        <v/>
      </c>
      <c r="AS200" s="53"/>
      <c r="AT200" s="245"/>
      <c r="AU200" s="242" t="str">
        <f>IF(ISTEXT(AT200),VLOOKUP(AT200,'Cadastro dos Ativos'!$A$2:$C$1000,3,0),"")</f>
        <v/>
      </c>
      <c r="AV200" s="242" t="str">
        <f>IF(AT200 &lt;&gt; "",SUMIFS('Alocação'!$O$3:$O$1002,'Alocação'!$C$3:$C$1002,AT200,'Alocação'!$F$3:$F$1002,AT$9,'Alocação'!$B$3:$B$1002,"&lt;="&amp;$B$6), "")</f>
        <v/>
      </c>
      <c r="AW200" s="243" t="str">
        <f>iferror(IF(AU200="Ações Americanas", HLOOKUP(AT200,'Histórico'!$A$1:$DD$990,MATCH($B$6,'Histórico'!$A:$A),FALSE)*HLOOKUP("PTAX",'Histórico'!$A$1:$FG$983,MATCH($B$6,'Histórico'!$A:$A),FALSE),IF(AU200="Ações Europeias", HLOOKUP(AT200,'Histórico'!$A$1:$DD$990,MATCH($B$6,'Histórico'!$A:$A),FALSE)*HLOOKUP("EUR/BRL",'Histórico'!$A$1:$FG$983,MATCH($B$6,'Histórico'!$A:$A),FALSE),  HLOOKUP(AT200,'Histórico'!$A$1:$DD$990,MATCH($B$6,'Histórico'!$A:$A),FALSE))),"")</f>
        <v/>
      </c>
      <c r="AX200" s="243" t="str">
        <f t="shared" si="13"/>
        <v/>
      </c>
      <c r="AY200" s="53"/>
    </row>
    <row r="201" ht="15.75" customHeight="1">
      <c r="A201" s="176"/>
      <c r="B201" s="288">
        <f>Controle!B201</f>
        <v>45282</v>
      </c>
      <c r="C201" s="233" t="str">
        <f>Controle!C201</f>
        <v/>
      </c>
      <c r="D201" s="289" t="str">
        <f>Controle!D201</f>
        <v/>
      </c>
      <c r="E201" s="290"/>
      <c r="F201" s="291" t="str">
        <f>Controle!F201</f>
        <v/>
      </c>
      <c r="G201" s="289" t="str">
        <f>Controle!G201</f>
        <v/>
      </c>
      <c r="H201" s="290"/>
      <c r="I201" s="291" t="str">
        <f>Controle!I201</f>
        <v/>
      </c>
      <c r="J201" s="233" t="str">
        <f>Controle!J201</f>
        <v/>
      </c>
      <c r="K201" s="292"/>
      <c r="L201" s="233" t="str">
        <f>Controle!L201</f>
        <v/>
      </c>
      <c r="M201" s="233" t="str">
        <f>Controle!M201</f>
        <v/>
      </c>
      <c r="N201" s="235" t="str">
        <f>Controle!N201</f>
        <v/>
      </c>
      <c r="O201" s="235" t="str">
        <f>Controle!O201</f>
        <v/>
      </c>
      <c r="P201" s="235" t="str">
        <f>Controle!P201</f>
        <v/>
      </c>
      <c r="Q201" s="235" t="str">
        <f>Controle!Q201</f>
        <v/>
      </c>
      <c r="R201" s="293" t="str">
        <f>Controle!R201</f>
        <v/>
      </c>
      <c r="S201" s="287"/>
      <c r="T201" s="233" t="str">
        <f t="shared" ref="T201:U201" si="204">IF(AND(C201&lt;&gt;"",F201&lt;&gt;"",I201&lt;&gt;""), SUM(I201,F201,C201),"")</f>
        <v/>
      </c>
      <c r="U201" s="233" t="str">
        <f t="shared" si="204"/>
        <v/>
      </c>
      <c r="V201" s="233" t="str">
        <f t="shared" si="6"/>
        <v/>
      </c>
      <c r="W201" s="241" t="str">
        <f t="shared" si="9"/>
        <v/>
      </c>
      <c r="X201" s="241" t="str">
        <f t="shared" si="10"/>
        <v/>
      </c>
      <c r="Y201" s="241" t="str">
        <f t="shared" si="19"/>
        <v/>
      </c>
      <c r="Z201" s="233" t="str">
        <f t="shared" si="7"/>
        <v/>
      </c>
      <c r="AA201" s="294"/>
      <c r="AB201" s="245"/>
      <c r="AC201" s="242" t="str">
        <f>IF(ISTEXT(AB201),VLOOKUP(AB201,'Cadastro dos Ativos'!$A$2:$C$1000,3,0),"")</f>
        <v/>
      </c>
      <c r="AD201" s="242" t="str">
        <f>IF(AB201 &lt;&gt; "",SUMIFS('Alocação'!$O$3:$O$1002,'Alocação'!$C$3:$C$1002,AB201,'Alocação'!$F$3:$F$1002,AB$9,'Alocação'!$B$3:$B$1002,"&lt;="&amp;$B$6), "")</f>
        <v/>
      </c>
      <c r="AE201" s="243" t="str">
        <f>iferror(IF(AC201="Ações Americanas", HLOOKUP(AB201,'Histórico'!$A$1:$DD$990,MATCH($B$6,'Histórico'!$A:$A),FALSE)*HLOOKUP("PTAX",'Histórico'!$A$1:$FG$983,MATCH($B$6,'Histórico'!$A:$A),FALSE),IF(AC201="Ações Europeias", HLOOKUP(AB201,'Histórico'!$A$1:$DD$990,MATCH($B$6,'Histórico'!$A:$A),FALSE)*HLOOKUP("EUR/BRL",'Histórico'!$A$1:$FG$983,MATCH($B$6,'Histórico'!$A:$A),FALSE),  HLOOKUP(AB201,'Histórico'!$A$1:$DD$990,MATCH($B$6,'Histórico'!$A:$A),FALSE))),"")</f>
        <v/>
      </c>
      <c r="AF201" s="243" t="str">
        <f t="shared" si="15"/>
        <v/>
      </c>
      <c r="AG201" s="53"/>
      <c r="AH201" s="245"/>
      <c r="AI201" s="242" t="str">
        <f>IF(ISTEXT(AH201),VLOOKUP(AH201,'Cadastro dos Ativos'!$A$2:$C$1000,3,0),"")</f>
        <v/>
      </c>
      <c r="AJ201" s="242" t="str">
        <f>IF(AH201 &lt;&gt; "",SUMIFS('Alocação'!$O$3:$O$1002,'Alocação'!$C$3:$C$1002,AH201,'Alocação'!$F$3:$F$1002,AH$9,'Alocação'!$B$3:$B$1002,"&lt;="&amp;$B$6), "")</f>
        <v/>
      </c>
      <c r="AK201" s="243" t="str">
        <f>iferror(IF(AI201="Ações Americanas", HLOOKUP(AH201,'Histórico'!$A$1:$DD$990,MATCH($B$6,'Histórico'!$A:$A),FALSE)*HLOOKUP("PTAX",'Histórico'!$A$1:$FG$983,MATCH($B$6,'Histórico'!$A:$A),FALSE),IF(AI201="Ações Europeias", HLOOKUP(AH201,'Histórico'!$A$1:$DD$990,MATCH($B$6,'Histórico'!$A:$A),FALSE)*HLOOKUP("EUR/BRL",'Histórico'!$A$1:$FG$983,MATCH($B$6,'Histórico'!$A:$A),FALSE),  HLOOKUP(AH201,'Histórico'!$A$1:$DD$990,MATCH($B$6,'Histórico'!$A:$A),FALSE))),"")</f>
        <v/>
      </c>
      <c r="AL201" s="243" t="str">
        <f t="shared" si="11"/>
        <v/>
      </c>
      <c r="AM201" s="53"/>
      <c r="AN201" s="245"/>
      <c r="AO201" s="242" t="str">
        <f>IF(ISTEXT(AN201),VLOOKUP(AN201,'Cadastro dos Ativos'!$A$2:$C$1000,3,0),"")</f>
        <v/>
      </c>
      <c r="AP201" s="242" t="str">
        <f>IF(AN201 &lt;&gt; "",SUMIFS('Alocação'!$O$3:$O$1002,'Alocação'!$C$3:$C$1002,AN201,'Alocação'!$F$3:$F$1002,AN$9,'Alocação'!$B$3:$B$1002,"&lt;="&amp;$B$6), "")</f>
        <v/>
      </c>
      <c r="AQ201" s="243" t="str">
        <f>iferror(IF(AO201="Ações Americanas", HLOOKUP(AN201,'Histórico'!$A$1:$DD$990,MATCH($B$6,'Histórico'!$A:$A),FALSE)*HLOOKUP("PTAX",'Histórico'!$A$1:$FG$983,MATCH($B$6,'Histórico'!$A:$A),FALSE),IF(AO201="Ações Europeias", HLOOKUP(AN201,'Histórico'!$A$1:$DD$990,MATCH($B$6,'Histórico'!$A:$A),FALSE)*HLOOKUP("EUR/BRL",'Histórico'!$A$1:$FG$983,MATCH($B$6,'Histórico'!$A:$A),FALSE),  HLOOKUP(AN201,'Histórico'!$A$1:$DD$990,MATCH($B$6,'Histórico'!$A:$A),FALSE))),"")</f>
        <v/>
      </c>
      <c r="AR201" s="243" t="str">
        <f t="shared" si="12"/>
        <v/>
      </c>
      <c r="AS201" s="53"/>
      <c r="AT201" s="245"/>
      <c r="AU201" s="242" t="str">
        <f>IF(ISTEXT(AT201),VLOOKUP(AT201,'Cadastro dos Ativos'!$A$2:$C$1000,3,0),"")</f>
        <v/>
      </c>
      <c r="AV201" s="242" t="str">
        <f>IF(AT201 &lt;&gt; "",SUMIFS('Alocação'!$O$3:$O$1002,'Alocação'!$C$3:$C$1002,AT201,'Alocação'!$F$3:$F$1002,AT$9,'Alocação'!$B$3:$B$1002,"&lt;="&amp;$B$6), "")</f>
        <v/>
      </c>
      <c r="AW201" s="243" t="str">
        <f>iferror(IF(AU201="Ações Americanas", HLOOKUP(AT201,'Histórico'!$A$1:$DD$990,MATCH($B$6,'Histórico'!$A:$A),FALSE)*HLOOKUP("PTAX",'Histórico'!$A$1:$FG$983,MATCH($B$6,'Histórico'!$A:$A),FALSE),IF(AU201="Ações Europeias", HLOOKUP(AT201,'Histórico'!$A$1:$DD$990,MATCH($B$6,'Histórico'!$A:$A),FALSE)*HLOOKUP("EUR/BRL",'Histórico'!$A$1:$FG$983,MATCH($B$6,'Histórico'!$A:$A),FALSE),  HLOOKUP(AT201,'Histórico'!$A$1:$DD$990,MATCH($B$6,'Histórico'!$A:$A),FALSE))),"")</f>
        <v/>
      </c>
      <c r="AX201" s="243" t="str">
        <f t="shared" si="13"/>
        <v/>
      </c>
      <c r="AY201" s="53"/>
    </row>
    <row r="202" ht="15.75" customHeight="1">
      <c r="A202" s="176"/>
      <c r="B202" s="288">
        <f>Controle!B202</f>
        <v>45286</v>
      </c>
      <c r="C202" s="233" t="str">
        <f>Controle!C202</f>
        <v/>
      </c>
      <c r="D202" s="289" t="str">
        <f>Controle!D202</f>
        <v/>
      </c>
      <c r="E202" s="290"/>
      <c r="F202" s="291" t="str">
        <f>Controle!F202</f>
        <v/>
      </c>
      <c r="G202" s="289" t="str">
        <f>Controle!G202</f>
        <v/>
      </c>
      <c r="H202" s="290"/>
      <c r="I202" s="291" t="str">
        <f>Controle!I202</f>
        <v/>
      </c>
      <c r="J202" s="233" t="str">
        <f>Controle!J202</f>
        <v/>
      </c>
      <c r="K202" s="292"/>
      <c r="L202" s="233" t="str">
        <f>Controle!L202</f>
        <v/>
      </c>
      <c r="M202" s="233" t="str">
        <f>Controle!M202</f>
        <v/>
      </c>
      <c r="N202" s="235" t="str">
        <f>Controle!N202</f>
        <v/>
      </c>
      <c r="O202" s="235" t="str">
        <f>Controle!O202</f>
        <v/>
      </c>
      <c r="P202" s="235" t="str">
        <f>Controle!P202</f>
        <v/>
      </c>
      <c r="Q202" s="235" t="str">
        <f>Controle!Q202</f>
        <v/>
      </c>
      <c r="R202" s="293" t="str">
        <f>Controle!R202</f>
        <v/>
      </c>
      <c r="S202" s="287"/>
      <c r="T202" s="233" t="str">
        <f t="shared" ref="T202:U202" si="205">IF(AND(C202&lt;&gt;"",F202&lt;&gt;"",I202&lt;&gt;""), SUM(I202,F202,C202),"")</f>
        <v/>
      </c>
      <c r="U202" s="233" t="str">
        <f t="shared" si="205"/>
        <v/>
      </c>
      <c r="V202" s="233" t="str">
        <f t="shared" si="6"/>
        <v/>
      </c>
      <c r="W202" s="241" t="str">
        <f t="shared" si="9"/>
        <v/>
      </c>
      <c r="X202" s="241" t="str">
        <f t="shared" si="10"/>
        <v/>
      </c>
      <c r="Y202" s="241" t="str">
        <f t="shared" si="19"/>
        <v/>
      </c>
      <c r="Z202" s="233" t="str">
        <f t="shared" si="7"/>
        <v/>
      </c>
      <c r="AA202" s="294"/>
      <c r="AB202" s="245"/>
      <c r="AC202" s="242" t="str">
        <f>IF(ISTEXT(AB202),VLOOKUP(AB202,'Cadastro dos Ativos'!$A$2:$C$1000,3,0),"")</f>
        <v/>
      </c>
      <c r="AD202" s="242" t="str">
        <f>IF(AB202 &lt;&gt; "",SUMIFS('Alocação'!$O$3:$O$1002,'Alocação'!$C$3:$C$1002,AB202,'Alocação'!$F$3:$F$1002,AB$9,'Alocação'!$B$3:$B$1002,"&lt;="&amp;$B$6), "")</f>
        <v/>
      </c>
      <c r="AE202" s="243" t="str">
        <f>iferror(IF(AC202="Ações Americanas", HLOOKUP(AB202,'Histórico'!$A$1:$DD$990,MATCH($B$6,'Histórico'!$A:$A),FALSE)*HLOOKUP("PTAX",'Histórico'!$A$1:$FG$983,MATCH($B$6,'Histórico'!$A:$A),FALSE),IF(AC202="Ações Europeias", HLOOKUP(AB202,'Histórico'!$A$1:$DD$990,MATCH($B$6,'Histórico'!$A:$A),FALSE)*HLOOKUP("EUR/BRL",'Histórico'!$A$1:$FG$983,MATCH($B$6,'Histórico'!$A:$A),FALSE),  HLOOKUP(AB202,'Histórico'!$A$1:$DD$990,MATCH($B$6,'Histórico'!$A:$A),FALSE))),"")</f>
        <v/>
      </c>
      <c r="AF202" s="243" t="str">
        <f t="shared" si="15"/>
        <v/>
      </c>
      <c r="AG202" s="53"/>
      <c r="AH202" s="245"/>
      <c r="AI202" s="242" t="str">
        <f>IF(ISTEXT(AH202),VLOOKUP(AH202,'Cadastro dos Ativos'!$A$2:$C$1000,3,0),"")</f>
        <v/>
      </c>
      <c r="AJ202" s="242" t="str">
        <f>IF(AH202 &lt;&gt; "",SUMIFS('Alocação'!$O$3:$O$1002,'Alocação'!$C$3:$C$1002,AH202,'Alocação'!$F$3:$F$1002,AH$9,'Alocação'!$B$3:$B$1002,"&lt;="&amp;$B$6), "")</f>
        <v/>
      </c>
      <c r="AK202" s="243" t="str">
        <f>iferror(IF(AI202="Ações Americanas", HLOOKUP(AH202,'Histórico'!$A$1:$DD$990,MATCH($B$6,'Histórico'!$A:$A),FALSE)*HLOOKUP("PTAX",'Histórico'!$A$1:$FG$983,MATCH($B$6,'Histórico'!$A:$A),FALSE),IF(AI202="Ações Europeias", HLOOKUP(AH202,'Histórico'!$A$1:$DD$990,MATCH($B$6,'Histórico'!$A:$A),FALSE)*HLOOKUP("EUR/BRL",'Histórico'!$A$1:$FG$983,MATCH($B$6,'Histórico'!$A:$A),FALSE),  HLOOKUP(AH202,'Histórico'!$A$1:$DD$990,MATCH($B$6,'Histórico'!$A:$A),FALSE))),"")</f>
        <v/>
      </c>
      <c r="AL202" s="243" t="str">
        <f t="shared" si="11"/>
        <v/>
      </c>
      <c r="AM202" s="53"/>
      <c r="AN202" s="245"/>
      <c r="AO202" s="242" t="str">
        <f>IF(ISTEXT(AN202),VLOOKUP(AN202,'Cadastro dos Ativos'!$A$2:$C$1000,3,0),"")</f>
        <v/>
      </c>
      <c r="AP202" s="242" t="str">
        <f>IF(AN202 &lt;&gt; "",SUMIFS('Alocação'!$O$3:$O$1002,'Alocação'!$C$3:$C$1002,AN202,'Alocação'!$F$3:$F$1002,AN$9,'Alocação'!$B$3:$B$1002,"&lt;="&amp;$B$6), "")</f>
        <v/>
      </c>
      <c r="AQ202" s="243" t="str">
        <f>iferror(IF(AO202="Ações Americanas", HLOOKUP(AN202,'Histórico'!$A$1:$DD$990,MATCH($B$6,'Histórico'!$A:$A),FALSE)*HLOOKUP("PTAX",'Histórico'!$A$1:$FG$983,MATCH($B$6,'Histórico'!$A:$A),FALSE),IF(AO202="Ações Europeias", HLOOKUP(AN202,'Histórico'!$A$1:$DD$990,MATCH($B$6,'Histórico'!$A:$A),FALSE)*HLOOKUP("EUR/BRL",'Histórico'!$A$1:$FG$983,MATCH($B$6,'Histórico'!$A:$A),FALSE),  HLOOKUP(AN202,'Histórico'!$A$1:$DD$990,MATCH($B$6,'Histórico'!$A:$A),FALSE))),"")</f>
        <v/>
      </c>
      <c r="AR202" s="243" t="str">
        <f t="shared" si="12"/>
        <v/>
      </c>
      <c r="AS202" s="53"/>
      <c r="AT202" s="245"/>
      <c r="AU202" s="242" t="str">
        <f>IF(ISTEXT(AT202),VLOOKUP(AT202,'Cadastro dos Ativos'!$A$2:$C$1000,3,0),"")</f>
        <v/>
      </c>
      <c r="AV202" s="242" t="str">
        <f>IF(AT202 &lt;&gt; "",SUMIFS('Alocação'!$O$3:$O$1002,'Alocação'!$C$3:$C$1002,AT202,'Alocação'!$F$3:$F$1002,AT$9,'Alocação'!$B$3:$B$1002,"&lt;="&amp;$B$6), "")</f>
        <v/>
      </c>
      <c r="AW202" s="243" t="str">
        <f>iferror(IF(AU202="Ações Americanas", HLOOKUP(AT202,'Histórico'!$A$1:$DD$990,MATCH($B$6,'Histórico'!$A:$A),FALSE)*HLOOKUP("PTAX",'Histórico'!$A$1:$FG$983,MATCH($B$6,'Histórico'!$A:$A),FALSE),IF(AU202="Ações Europeias", HLOOKUP(AT202,'Histórico'!$A$1:$DD$990,MATCH($B$6,'Histórico'!$A:$A),FALSE)*HLOOKUP("EUR/BRL",'Histórico'!$A$1:$FG$983,MATCH($B$6,'Histórico'!$A:$A),FALSE),  HLOOKUP(AT202,'Histórico'!$A$1:$DD$990,MATCH($B$6,'Histórico'!$A:$A),FALSE))),"")</f>
        <v/>
      </c>
      <c r="AX202" s="243" t="str">
        <f t="shared" si="13"/>
        <v/>
      </c>
      <c r="AY202" s="53"/>
    </row>
    <row r="203" ht="15.75" customHeight="1">
      <c r="A203" s="176"/>
      <c r="B203" s="288">
        <f>Controle!B203</f>
        <v>45287</v>
      </c>
      <c r="C203" s="233" t="str">
        <f>Controle!C203</f>
        <v/>
      </c>
      <c r="D203" s="289" t="str">
        <f>Controle!D203</f>
        <v/>
      </c>
      <c r="E203" s="290"/>
      <c r="F203" s="291" t="str">
        <f>Controle!F203</f>
        <v/>
      </c>
      <c r="G203" s="289" t="str">
        <f>Controle!G203</f>
        <v/>
      </c>
      <c r="H203" s="290"/>
      <c r="I203" s="291" t="str">
        <f>Controle!I203</f>
        <v/>
      </c>
      <c r="J203" s="233" t="str">
        <f>Controle!J203</f>
        <v/>
      </c>
      <c r="K203" s="292"/>
      <c r="L203" s="233" t="str">
        <f>Controle!L203</f>
        <v/>
      </c>
      <c r="M203" s="233" t="str">
        <f>Controle!M203</f>
        <v/>
      </c>
      <c r="N203" s="235" t="str">
        <f>Controle!N203</f>
        <v/>
      </c>
      <c r="O203" s="235" t="str">
        <f>Controle!O203</f>
        <v/>
      </c>
      <c r="P203" s="235" t="str">
        <f>Controle!P203</f>
        <v/>
      </c>
      <c r="Q203" s="235" t="str">
        <f>Controle!Q203</f>
        <v/>
      </c>
      <c r="R203" s="293" t="str">
        <f>Controle!R203</f>
        <v/>
      </c>
      <c r="S203" s="287"/>
      <c r="T203" s="233" t="str">
        <f t="shared" ref="T203:U203" si="206">IF(AND(C203&lt;&gt;"",F203&lt;&gt;"",I203&lt;&gt;""), SUM(I203,F203,C203),"")</f>
        <v/>
      </c>
      <c r="U203" s="233" t="str">
        <f t="shared" si="206"/>
        <v/>
      </c>
      <c r="V203" s="233" t="str">
        <f t="shared" si="6"/>
        <v/>
      </c>
      <c r="W203" s="241" t="str">
        <f t="shared" si="9"/>
        <v/>
      </c>
      <c r="X203" s="241" t="str">
        <f t="shared" si="10"/>
        <v/>
      </c>
      <c r="Y203" s="241" t="str">
        <f t="shared" si="19"/>
        <v/>
      </c>
      <c r="Z203" s="233" t="str">
        <f t="shared" si="7"/>
        <v/>
      </c>
      <c r="AA203" s="294"/>
      <c r="AB203" s="245"/>
      <c r="AC203" s="242" t="str">
        <f>IF(ISTEXT(AB203),VLOOKUP(AB203,'Cadastro dos Ativos'!$A$2:$C$1000,3,0),"")</f>
        <v/>
      </c>
      <c r="AD203" s="242" t="str">
        <f>IF(AB203 &lt;&gt; "",SUMIFS('Alocação'!$O$3:$O$1002,'Alocação'!$C$3:$C$1002,AB203,'Alocação'!$F$3:$F$1002,AB$9,'Alocação'!$B$3:$B$1002,"&lt;="&amp;$B$6), "")</f>
        <v/>
      </c>
      <c r="AE203" s="243" t="str">
        <f>iferror(IF(AC203="Ações Americanas", HLOOKUP(AB203,'Histórico'!$A$1:$DD$990,MATCH($B$6,'Histórico'!$A:$A),FALSE)*HLOOKUP("PTAX",'Histórico'!$A$1:$FG$983,MATCH($B$6,'Histórico'!$A:$A),FALSE),IF(AC203="Ações Europeias", HLOOKUP(AB203,'Histórico'!$A$1:$DD$990,MATCH($B$6,'Histórico'!$A:$A),FALSE)*HLOOKUP("EUR/BRL",'Histórico'!$A$1:$FG$983,MATCH($B$6,'Histórico'!$A:$A),FALSE),  HLOOKUP(AB203,'Histórico'!$A$1:$DD$990,MATCH($B$6,'Histórico'!$A:$A),FALSE))),"")</f>
        <v/>
      </c>
      <c r="AF203" s="243" t="str">
        <f t="shared" si="15"/>
        <v/>
      </c>
      <c r="AG203" s="53"/>
      <c r="AH203" s="245"/>
      <c r="AI203" s="242" t="str">
        <f>IF(ISTEXT(AH203),VLOOKUP(AH203,'Cadastro dos Ativos'!$A$2:$C$1000,3,0),"")</f>
        <v/>
      </c>
      <c r="AJ203" s="242" t="str">
        <f>IF(AH203 &lt;&gt; "",SUMIFS('Alocação'!$O$3:$O$1002,'Alocação'!$C$3:$C$1002,AH203,'Alocação'!$F$3:$F$1002,AH$9,'Alocação'!$B$3:$B$1002,"&lt;="&amp;$B$6), "")</f>
        <v/>
      </c>
      <c r="AK203" s="243" t="str">
        <f>iferror(IF(AI203="Ações Americanas", HLOOKUP(AH203,'Histórico'!$A$1:$DD$990,MATCH($B$6,'Histórico'!$A:$A),FALSE)*HLOOKUP("PTAX",'Histórico'!$A$1:$FG$983,MATCH($B$6,'Histórico'!$A:$A),FALSE),IF(AI203="Ações Europeias", HLOOKUP(AH203,'Histórico'!$A$1:$DD$990,MATCH($B$6,'Histórico'!$A:$A),FALSE)*HLOOKUP("EUR/BRL",'Histórico'!$A$1:$FG$983,MATCH($B$6,'Histórico'!$A:$A),FALSE),  HLOOKUP(AH203,'Histórico'!$A$1:$DD$990,MATCH($B$6,'Histórico'!$A:$A),FALSE))),"")</f>
        <v/>
      </c>
      <c r="AL203" s="243" t="str">
        <f t="shared" si="11"/>
        <v/>
      </c>
      <c r="AM203" s="53"/>
      <c r="AN203" s="245"/>
      <c r="AO203" s="242" t="str">
        <f>IF(ISTEXT(AN203),VLOOKUP(AN203,'Cadastro dos Ativos'!$A$2:$C$1000,3,0),"")</f>
        <v/>
      </c>
      <c r="AP203" s="242" t="str">
        <f>IF(AN203 &lt;&gt; "",SUMIFS('Alocação'!$O$3:$O$1002,'Alocação'!$C$3:$C$1002,AN203,'Alocação'!$F$3:$F$1002,AN$9,'Alocação'!$B$3:$B$1002,"&lt;="&amp;$B$6), "")</f>
        <v/>
      </c>
      <c r="AQ203" s="243" t="str">
        <f>iferror(IF(AO203="Ações Americanas", HLOOKUP(AN203,'Histórico'!$A$1:$DD$990,MATCH($B$6,'Histórico'!$A:$A),FALSE)*HLOOKUP("PTAX",'Histórico'!$A$1:$FG$983,MATCH($B$6,'Histórico'!$A:$A),FALSE),IF(AO203="Ações Europeias", HLOOKUP(AN203,'Histórico'!$A$1:$DD$990,MATCH($B$6,'Histórico'!$A:$A),FALSE)*HLOOKUP("EUR/BRL",'Histórico'!$A$1:$FG$983,MATCH($B$6,'Histórico'!$A:$A),FALSE),  HLOOKUP(AN203,'Histórico'!$A$1:$DD$990,MATCH($B$6,'Histórico'!$A:$A),FALSE))),"")</f>
        <v/>
      </c>
      <c r="AR203" s="243" t="str">
        <f t="shared" si="12"/>
        <v/>
      </c>
      <c r="AS203" s="53"/>
      <c r="AT203" s="245"/>
      <c r="AU203" s="242" t="str">
        <f>IF(ISTEXT(AT203),VLOOKUP(AT203,'Cadastro dos Ativos'!$A$2:$C$1000,3,0),"")</f>
        <v/>
      </c>
      <c r="AV203" s="242" t="str">
        <f>IF(AT203 &lt;&gt; "",SUMIFS('Alocação'!$O$3:$O$1002,'Alocação'!$C$3:$C$1002,AT203,'Alocação'!$F$3:$F$1002,AT$9,'Alocação'!$B$3:$B$1002,"&lt;="&amp;$B$6), "")</f>
        <v/>
      </c>
      <c r="AW203" s="243" t="str">
        <f>iferror(IF(AU203="Ações Americanas", HLOOKUP(AT203,'Histórico'!$A$1:$DD$990,MATCH($B$6,'Histórico'!$A:$A),FALSE)*HLOOKUP("PTAX",'Histórico'!$A$1:$FG$983,MATCH($B$6,'Histórico'!$A:$A),FALSE),IF(AU203="Ações Europeias", HLOOKUP(AT203,'Histórico'!$A$1:$DD$990,MATCH($B$6,'Histórico'!$A:$A),FALSE)*HLOOKUP("EUR/BRL",'Histórico'!$A$1:$FG$983,MATCH($B$6,'Histórico'!$A:$A),FALSE),  HLOOKUP(AT203,'Histórico'!$A$1:$DD$990,MATCH($B$6,'Histórico'!$A:$A),FALSE))),"")</f>
        <v/>
      </c>
      <c r="AX203" s="243" t="str">
        <f t="shared" si="13"/>
        <v/>
      </c>
      <c r="AY203" s="53"/>
    </row>
    <row r="204" ht="15.75" customHeight="1">
      <c r="A204" s="176"/>
      <c r="B204" s="288">
        <f>Controle!B204</f>
        <v>45288</v>
      </c>
      <c r="C204" s="233" t="str">
        <f>Controle!C204</f>
        <v/>
      </c>
      <c r="D204" s="289" t="str">
        <f>Controle!D204</f>
        <v/>
      </c>
      <c r="E204" s="290"/>
      <c r="F204" s="291" t="str">
        <f>Controle!F204</f>
        <v/>
      </c>
      <c r="G204" s="289" t="str">
        <f>Controle!G204</f>
        <v/>
      </c>
      <c r="H204" s="290"/>
      <c r="I204" s="291" t="str">
        <f>Controle!I204</f>
        <v/>
      </c>
      <c r="J204" s="233" t="str">
        <f>Controle!J204</f>
        <v/>
      </c>
      <c r="K204" s="292"/>
      <c r="L204" s="233" t="str">
        <f>Controle!L204</f>
        <v/>
      </c>
      <c r="M204" s="233" t="str">
        <f>Controle!M204</f>
        <v/>
      </c>
      <c r="N204" s="235" t="str">
        <f>Controle!N204</f>
        <v/>
      </c>
      <c r="O204" s="235" t="str">
        <f>Controle!O204</f>
        <v/>
      </c>
      <c r="P204" s="235" t="str">
        <f>Controle!P204</f>
        <v/>
      </c>
      <c r="Q204" s="235" t="str">
        <f>Controle!Q204</f>
        <v/>
      </c>
      <c r="R204" s="293" t="str">
        <f>Controle!R204</f>
        <v/>
      </c>
      <c r="S204" s="287"/>
      <c r="T204" s="233" t="str">
        <f t="shared" ref="T204:U204" si="207">IF(AND(C204&lt;&gt;"",F204&lt;&gt;"",I204&lt;&gt;""), SUM(I204,F204,C204),"")</f>
        <v/>
      </c>
      <c r="U204" s="233" t="str">
        <f t="shared" si="207"/>
        <v/>
      </c>
      <c r="V204" s="233" t="str">
        <f t="shared" si="6"/>
        <v/>
      </c>
      <c r="W204" s="241" t="str">
        <f t="shared" si="9"/>
        <v/>
      </c>
      <c r="X204" s="241" t="str">
        <f t="shared" si="10"/>
        <v/>
      </c>
      <c r="Y204" s="241" t="str">
        <f t="shared" si="19"/>
        <v/>
      </c>
      <c r="Z204" s="233" t="str">
        <f t="shared" si="7"/>
        <v/>
      </c>
      <c r="AA204" s="294"/>
      <c r="AB204" s="245"/>
      <c r="AC204" s="242" t="str">
        <f>IF(ISTEXT(AB204),VLOOKUP(AB204,'Cadastro dos Ativos'!$A$2:$C$1000,3,0),"")</f>
        <v/>
      </c>
      <c r="AD204" s="242" t="str">
        <f>IF(AB204 &lt;&gt; "",SUMIFS('Alocação'!$O$3:$O$1002,'Alocação'!$C$3:$C$1002,AB204,'Alocação'!$F$3:$F$1002,AB$9,'Alocação'!$B$3:$B$1002,"&lt;="&amp;$B$6), "")</f>
        <v/>
      </c>
      <c r="AE204" s="243" t="str">
        <f>iferror(IF(AC204="Ações Americanas", HLOOKUP(AB204,'Histórico'!$A$1:$DD$990,MATCH($B$6,'Histórico'!$A:$A),FALSE)*HLOOKUP("PTAX",'Histórico'!$A$1:$FG$983,MATCH($B$6,'Histórico'!$A:$A),FALSE),IF(AC204="Ações Europeias", HLOOKUP(AB204,'Histórico'!$A$1:$DD$990,MATCH($B$6,'Histórico'!$A:$A),FALSE)*HLOOKUP("EUR/BRL",'Histórico'!$A$1:$FG$983,MATCH($B$6,'Histórico'!$A:$A),FALSE),  HLOOKUP(AB204,'Histórico'!$A$1:$DD$990,MATCH($B$6,'Histórico'!$A:$A),FALSE))),"")</f>
        <v/>
      </c>
      <c r="AF204" s="243" t="str">
        <f t="shared" si="15"/>
        <v/>
      </c>
      <c r="AG204" s="53"/>
      <c r="AH204" s="245"/>
      <c r="AI204" s="242" t="str">
        <f>IF(ISTEXT(AH204),VLOOKUP(AH204,'Cadastro dos Ativos'!$A$2:$C$1000,3,0),"")</f>
        <v/>
      </c>
      <c r="AJ204" s="242" t="str">
        <f>IF(AH204 &lt;&gt; "",SUMIFS('Alocação'!$O$3:$O$1002,'Alocação'!$C$3:$C$1002,AH204,'Alocação'!$F$3:$F$1002,AH$9,'Alocação'!$B$3:$B$1002,"&lt;="&amp;$B$6), "")</f>
        <v/>
      </c>
      <c r="AK204" s="243" t="str">
        <f>iferror(IF(AI204="Ações Americanas", HLOOKUP(AH204,'Histórico'!$A$1:$DD$990,MATCH($B$6,'Histórico'!$A:$A),FALSE)*HLOOKUP("PTAX",'Histórico'!$A$1:$FG$983,MATCH($B$6,'Histórico'!$A:$A),FALSE),IF(AI204="Ações Europeias", HLOOKUP(AH204,'Histórico'!$A$1:$DD$990,MATCH($B$6,'Histórico'!$A:$A),FALSE)*HLOOKUP("EUR/BRL",'Histórico'!$A$1:$FG$983,MATCH($B$6,'Histórico'!$A:$A),FALSE),  HLOOKUP(AH204,'Histórico'!$A$1:$DD$990,MATCH($B$6,'Histórico'!$A:$A),FALSE))),"")</f>
        <v/>
      </c>
      <c r="AL204" s="243" t="str">
        <f t="shared" si="11"/>
        <v/>
      </c>
      <c r="AM204" s="53"/>
      <c r="AN204" s="245"/>
      <c r="AO204" s="242" t="str">
        <f>IF(ISTEXT(AN204),VLOOKUP(AN204,'Cadastro dos Ativos'!$A$2:$C$1000,3,0),"")</f>
        <v/>
      </c>
      <c r="AP204" s="242" t="str">
        <f>IF(AN204 &lt;&gt; "",SUMIFS('Alocação'!$O$3:$O$1002,'Alocação'!$C$3:$C$1002,AN204,'Alocação'!$F$3:$F$1002,AN$9,'Alocação'!$B$3:$B$1002,"&lt;="&amp;$B$6), "")</f>
        <v/>
      </c>
      <c r="AQ204" s="243" t="str">
        <f>iferror(IF(AO204="Ações Americanas", HLOOKUP(AN204,'Histórico'!$A$1:$DD$990,MATCH($B$6,'Histórico'!$A:$A),FALSE)*HLOOKUP("PTAX",'Histórico'!$A$1:$FG$983,MATCH($B$6,'Histórico'!$A:$A),FALSE),IF(AO204="Ações Europeias", HLOOKUP(AN204,'Histórico'!$A$1:$DD$990,MATCH($B$6,'Histórico'!$A:$A),FALSE)*HLOOKUP("EUR/BRL",'Histórico'!$A$1:$FG$983,MATCH($B$6,'Histórico'!$A:$A),FALSE),  HLOOKUP(AN204,'Histórico'!$A$1:$DD$990,MATCH($B$6,'Histórico'!$A:$A),FALSE))),"")</f>
        <v/>
      </c>
      <c r="AR204" s="243" t="str">
        <f t="shared" si="12"/>
        <v/>
      </c>
      <c r="AS204" s="53"/>
      <c r="AT204" s="245"/>
      <c r="AU204" s="242" t="str">
        <f>IF(ISTEXT(AT204),VLOOKUP(AT204,'Cadastro dos Ativos'!$A$2:$C$1000,3,0),"")</f>
        <v/>
      </c>
      <c r="AV204" s="242" t="str">
        <f>IF(AT204 &lt;&gt; "",SUMIFS('Alocação'!$O$3:$O$1002,'Alocação'!$C$3:$C$1002,AT204,'Alocação'!$F$3:$F$1002,AT$9,'Alocação'!$B$3:$B$1002,"&lt;="&amp;$B$6), "")</f>
        <v/>
      </c>
      <c r="AW204" s="243" t="str">
        <f>iferror(IF(AU204="Ações Americanas", HLOOKUP(AT204,'Histórico'!$A$1:$DD$990,MATCH($B$6,'Histórico'!$A:$A),FALSE)*HLOOKUP("PTAX",'Histórico'!$A$1:$FG$983,MATCH($B$6,'Histórico'!$A:$A),FALSE),IF(AU204="Ações Europeias", HLOOKUP(AT204,'Histórico'!$A$1:$DD$990,MATCH($B$6,'Histórico'!$A:$A),FALSE)*HLOOKUP("EUR/BRL",'Histórico'!$A$1:$FG$983,MATCH($B$6,'Histórico'!$A:$A),FALSE),  HLOOKUP(AT204,'Histórico'!$A$1:$DD$990,MATCH($B$6,'Histórico'!$A:$A),FALSE))),"")</f>
        <v/>
      </c>
      <c r="AX204" s="243" t="str">
        <f t="shared" si="13"/>
        <v/>
      </c>
      <c r="AY204" s="53"/>
    </row>
    <row r="205" ht="15.75" customHeight="1">
      <c r="A205" s="176"/>
      <c r="B205" s="288">
        <f>Controle!B205</f>
        <v>45289</v>
      </c>
      <c r="C205" s="233" t="str">
        <f>Controle!C205</f>
        <v/>
      </c>
      <c r="D205" s="289" t="str">
        <f>Controle!D205</f>
        <v/>
      </c>
      <c r="E205" s="290"/>
      <c r="F205" s="291" t="str">
        <f>Controle!F205</f>
        <v/>
      </c>
      <c r="G205" s="289" t="str">
        <f>Controle!G205</f>
        <v/>
      </c>
      <c r="H205" s="290"/>
      <c r="I205" s="291" t="str">
        <f>Controle!I205</f>
        <v/>
      </c>
      <c r="J205" s="233" t="str">
        <f>Controle!J205</f>
        <v/>
      </c>
      <c r="K205" s="292"/>
      <c r="L205" s="233" t="str">
        <f>Controle!L205</f>
        <v/>
      </c>
      <c r="M205" s="233" t="str">
        <f>Controle!M205</f>
        <v/>
      </c>
      <c r="N205" s="235" t="str">
        <f>Controle!N205</f>
        <v/>
      </c>
      <c r="O205" s="235" t="str">
        <f>Controle!O205</f>
        <v/>
      </c>
      <c r="P205" s="235" t="str">
        <f>Controle!P205</f>
        <v/>
      </c>
      <c r="Q205" s="235" t="str">
        <f>Controle!Q205</f>
        <v/>
      </c>
      <c r="R205" s="293" t="str">
        <f>Controle!R205</f>
        <v/>
      </c>
      <c r="S205" s="287"/>
      <c r="T205" s="233" t="str">
        <f t="shared" ref="T205:U205" si="208">IF(AND(C205&lt;&gt;"",F205&lt;&gt;"",I205&lt;&gt;""), SUM(I205,F205,C205),"")</f>
        <v/>
      </c>
      <c r="U205" s="233" t="str">
        <f t="shared" si="208"/>
        <v/>
      </c>
      <c r="V205" s="233" t="str">
        <f t="shared" si="6"/>
        <v/>
      </c>
      <c r="W205" s="241" t="str">
        <f t="shared" si="9"/>
        <v/>
      </c>
      <c r="X205" s="241" t="str">
        <f t="shared" si="10"/>
        <v/>
      </c>
      <c r="Y205" s="241" t="str">
        <f t="shared" si="19"/>
        <v/>
      </c>
      <c r="Z205" s="233" t="str">
        <f t="shared" si="7"/>
        <v/>
      </c>
      <c r="AA205" s="294"/>
      <c r="AB205" s="245"/>
      <c r="AC205" s="242" t="str">
        <f>IF(ISTEXT(AB205),VLOOKUP(AB205,'Cadastro dos Ativos'!$A$2:$C$1000,3,0),"")</f>
        <v/>
      </c>
      <c r="AD205" s="242" t="str">
        <f>IF(AB205 &lt;&gt; "",SUMIFS('Alocação'!$O$3:$O$1002,'Alocação'!$C$3:$C$1002,AB205,'Alocação'!$F$3:$F$1002,AB$9,'Alocação'!$B$3:$B$1002,"&lt;="&amp;$B$6), "")</f>
        <v/>
      </c>
      <c r="AE205" s="243" t="str">
        <f>iferror(IF(AC205="Ações Americanas", HLOOKUP(AB205,'Histórico'!$A$1:$DD$990,MATCH($B$6,'Histórico'!$A:$A),FALSE)*HLOOKUP("PTAX",'Histórico'!$A$1:$FG$983,MATCH($B$6,'Histórico'!$A:$A),FALSE),IF(AC205="Ações Europeias", HLOOKUP(AB205,'Histórico'!$A$1:$DD$990,MATCH($B$6,'Histórico'!$A:$A),FALSE)*HLOOKUP("EUR/BRL",'Histórico'!$A$1:$FG$983,MATCH($B$6,'Histórico'!$A:$A),FALSE),  HLOOKUP(AB205,'Histórico'!$A$1:$DD$990,MATCH($B$6,'Histórico'!$A:$A),FALSE))),"")</f>
        <v/>
      </c>
      <c r="AF205" s="243" t="str">
        <f t="shared" si="15"/>
        <v/>
      </c>
      <c r="AG205" s="53"/>
      <c r="AH205" s="245"/>
      <c r="AI205" s="242" t="str">
        <f>IF(ISTEXT(AH205),VLOOKUP(AH205,'Cadastro dos Ativos'!$A$2:$C$1000,3,0),"")</f>
        <v/>
      </c>
      <c r="AJ205" s="242" t="str">
        <f>IF(AH205 &lt;&gt; "",SUMIFS('Alocação'!$O$3:$O$1002,'Alocação'!$C$3:$C$1002,AH205,'Alocação'!$F$3:$F$1002,AH$9,'Alocação'!$B$3:$B$1002,"&lt;="&amp;$B$6), "")</f>
        <v/>
      </c>
      <c r="AK205" s="243" t="str">
        <f>iferror(IF(AI205="Ações Americanas", HLOOKUP(AH205,'Histórico'!$A$1:$DD$990,MATCH($B$6,'Histórico'!$A:$A),FALSE)*HLOOKUP("PTAX",'Histórico'!$A$1:$FG$983,MATCH($B$6,'Histórico'!$A:$A),FALSE),IF(AI205="Ações Europeias", HLOOKUP(AH205,'Histórico'!$A$1:$DD$990,MATCH($B$6,'Histórico'!$A:$A),FALSE)*HLOOKUP("EUR/BRL",'Histórico'!$A$1:$FG$983,MATCH($B$6,'Histórico'!$A:$A),FALSE),  HLOOKUP(AH205,'Histórico'!$A$1:$DD$990,MATCH($B$6,'Histórico'!$A:$A),FALSE))),"")</f>
        <v/>
      </c>
      <c r="AL205" s="243" t="str">
        <f t="shared" si="11"/>
        <v/>
      </c>
      <c r="AM205" s="53"/>
      <c r="AN205" s="245"/>
      <c r="AO205" s="242" t="str">
        <f>IF(ISTEXT(AN205),VLOOKUP(AN205,'Cadastro dos Ativos'!$A$2:$C$1000,3,0),"")</f>
        <v/>
      </c>
      <c r="AP205" s="242" t="str">
        <f>IF(AN205 &lt;&gt; "",SUMIFS('Alocação'!$O$3:$O$1002,'Alocação'!$C$3:$C$1002,AN205,'Alocação'!$F$3:$F$1002,AN$9,'Alocação'!$B$3:$B$1002,"&lt;="&amp;$B$6), "")</f>
        <v/>
      </c>
      <c r="AQ205" s="243" t="str">
        <f>iferror(IF(AO205="Ações Americanas", HLOOKUP(AN205,'Histórico'!$A$1:$DD$990,MATCH($B$6,'Histórico'!$A:$A),FALSE)*HLOOKUP("PTAX",'Histórico'!$A$1:$FG$983,MATCH($B$6,'Histórico'!$A:$A),FALSE),IF(AO205="Ações Europeias", HLOOKUP(AN205,'Histórico'!$A$1:$DD$990,MATCH($B$6,'Histórico'!$A:$A),FALSE)*HLOOKUP("EUR/BRL",'Histórico'!$A$1:$FG$983,MATCH($B$6,'Histórico'!$A:$A),FALSE),  HLOOKUP(AN205,'Histórico'!$A$1:$DD$990,MATCH($B$6,'Histórico'!$A:$A),FALSE))),"")</f>
        <v/>
      </c>
      <c r="AR205" s="243" t="str">
        <f t="shared" si="12"/>
        <v/>
      </c>
      <c r="AS205" s="53"/>
      <c r="AT205" s="245"/>
      <c r="AU205" s="242" t="str">
        <f>IF(ISTEXT(AT205),VLOOKUP(AT205,'Cadastro dos Ativos'!$A$2:$C$1000,3,0),"")</f>
        <v/>
      </c>
      <c r="AV205" s="242" t="str">
        <f>IF(AT205 &lt;&gt; "",SUMIFS('Alocação'!$O$3:$O$1002,'Alocação'!$C$3:$C$1002,AT205,'Alocação'!$F$3:$F$1002,AT$9,'Alocação'!$B$3:$B$1002,"&lt;="&amp;$B$6), "")</f>
        <v/>
      </c>
      <c r="AW205" s="243" t="str">
        <f>iferror(IF(AU205="Ações Americanas", HLOOKUP(AT205,'Histórico'!$A$1:$DD$990,MATCH($B$6,'Histórico'!$A:$A),FALSE)*HLOOKUP("PTAX",'Histórico'!$A$1:$FG$983,MATCH($B$6,'Histórico'!$A:$A),FALSE),IF(AU205="Ações Europeias", HLOOKUP(AT205,'Histórico'!$A$1:$DD$990,MATCH($B$6,'Histórico'!$A:$A),FALSE)*HLOOKUP("EUR/BRL",'Histórico'!$A$1:$FG$983,MATCH($B$6,'Histórico'!$A:$A),FALSE),  HLOOKUP(AT205,'Histórico'!$A$1:$DD$990,MATCH($B$6,'Histórico'!$A:$A),FALSE))),"")</f>
        <v/>
      </c>
      <c r="AX205" s="243" t="str">
        <f t="shared" si="13"/>
        <v/>
      </c>
      <c r="AY205" s="53"/>
    </row>
    <row r="206" ht="15.75" customHeight="1">
      <c r="A206" s="176"/>
      <c r="B206" s="288">
        <f>Controle!B206</f>
        <v>45293</v>
      </c>
      <c r="C206" s="233" t="str">
        <f>Controle!C206</f>
        <v/>
      </c>
      <c r="D206" s="289" t="str">
        <f>Controle!D206</f>
        <v/>
      </c>
      <c r="E206" s="290"/>
      <c r="F206" s="291" t="str">
        <f>Controle!F206</f>
        <v/>
      </c>
      <c r="G206" s="289" t="str">
        <f>Controle!G206</f>
        <v/>
      </c>
      <c r="H206" s="290"/>
      <c r="I206" s="291" t="str">
        <f>Controle!I206</f>
        <v/>
      </c>
      <c r="J206" s="233" t="str">
        <f>Controle!J206</f>
        <v/>
      </c>
      <c r="K206" s="292"/>
      <c r="L206" s="233" t="str">
        <f>Controle!L206</f>
        <v/>
      </c>
      <c r="M206" s="233" t="str">
        <f>Controle!M206</f>
        <v/>
      </c>
      <c r="N206" s="235" t="str">
        <f>Controle!N206</f>
        <v/>
      </c>
      <c r="O206" s="235" t="str">
        <f>Controle!O206</f>
        <v/>
      </c>
      <c r="P206" s="235" t="str">
        <f>Controle!P206</f>
        <v/>
      </c>
      <c r="Q206" s="235" t="str">
        <f>Controle!Q206</f>
        <v/>
      </c>
      <c r="R206" s="293" t="str">
        <f>Controle!R206</f>
        <v/>
      </c>
      <c r="S206" s="287"/>
      <c r="T206" s="233" t="str">
        <f t="shared" ref="T206:U206" si="209">IF(AND(C206&lt;&gt;"",F206&lt;&gt;"",I206&lt;&gt;""), SUM(I206,F206,C206),"")</f>
        <v/>
      </c>
      <c r="U206" s="233" t="str">
        <f t="shared" si="209"/>
        <v/>
      </c>
      <c r="V206" s="233" t="str">
        <f t="shared" si="6"/>
        <v/>
      </c>
      <c r="W206" s="241" t="str">
        <f t="shared" si="9"/>
        <v/>
      </c>
      <c r="X206" s="241" t="str">
        <f t="shared" si="10"/>
        <v/>
      </c>
      <c r="Y206" s="241" t="str">
        <f t="shared" si="19"/>
        <v/>
      </c>
      <c r="Z206" s="233" t="str">
        <f t="shared" si="7"/>
        <v/>
      </c>
      <c r="AA206" s="294"/>
      <c r="AB206" s="245"/>
      <c r="AC206" s="242" t="str">
        <f>IF(ISTEXT(AB206),VLOOKUP(AB206,'Cadastro dos Ativos'!$A$2:$C$1000,3,0),"")</f>
        <v/>
      </c>
      <c r="AD206" s="242" t="str">
        <f>IF(AB206 &lt;&gt; "",SUMIFS('Alocação'!$O$3:$O$1002,'Alocação'!$C$3:$C$1002,AB206,'Alocação'!$F$3:$F$1002,AB$9,'Alocação'!$B$3:$B$1002,"&lt;="&amp;$B$6), "")</f>
        <v/>
      </c>
      <c r="AE206" s="243" t="str">
        <f>iferror(IF(AC206="Ações Americanas", HLOOKUP(AB206,'Histórico'!$A$1:$DD$990,MATCH($B$6,'Histórico'!$A:$A),FALSE)*HLOOKUP("PTAX",'Histórico'!$A$1:$FG$983,MATCH($B$6,'Histórico'!$A:$A),FALSE),IF(AC206="Ações Europeias", HLOOKUP(AB206,'Histórico'!$A$1:$DD$990,MATCH($B$6,'Histórico'!$A:$A),FALSE)*HLOOKUP("EUR/BRL",'Histórico'!$A$1:$FG$983,MATCH($B$6,'Histórico'!$A:$A),FALSE),  HLOOKUP(AB206,'Histórico'!$A$1:$DD$990,MATCH($B$6,'Histórico'!$A:$A),FALSE))),"")</f>
        <v/>
      </c>
      <c r="AF206" s="243" t="str">
        <f t="shared" si="15"/>
        <v/>
      </c>
      <c r="AG206" s="53"/>
      <c r="AH206" s="245"/>
      <c r="AI206" s="242" t="str">
        <f>IF(ISTEXT(AH206),VLOOKUP(AH206,'Cadastro dos Ativos'!$A$2:$C$1000,3,0),"")</f>
        <v/>
      </c>
      <c r="AJ206" s="242" t="str">
        <f>IF(AH206 &lt;&gt; "",SUMIFS('Alocação'!$O$3:$O$1002,'Alocação'!$C$3:$C$1002,AH206,'Alocação'!$F$3:$F$1002,AH$9,'Alocação'!$B$3:$B$1002,"&lt;="&amp;$B$6), "")</f>
        <v/>
      </c>
      <c r="AK206" s="243" t="str">
        <f>iferror(IF(AI206="Ações Americanas", HLOOKUP(AH206,'Histórico'!$A$1:$DD$990,MATCH($B$6,'Histórico'!$A:$A),FALSE)*HLOOKUP("PTAX",'Histórico'!$A$1:$FG$983,MATCH($B$6,'Histórico'!$A:$A),FALSE),IF(AI206="Ações Europeias", HLOOKUP(AH206,'Histórico'!$A$1:$DD$990,MATCH($B$6,'Histórico'!$A:$A),FALSE)*HLOOKUP("EUR/BRL",'Histórico'!$A$1:$FG$983,MATCH($B$6,'Histórico'!$A:$A),FALSE),  HLOOKUP(AH206,'Histórico'!$A$1:$DD$990,MATCH($B$6,'Histórico'!$A:$A),FALSE))),"")</f>
        <v/>
      </c>
      <c r="AL206" s="243" t="str">
        <f t="shared" si="11"/>
        <v/>
      </c>
      <c r="AM206" s="53"/>
      <c r="AN206" s="245"/>
      <c r="AO206" s="242" t="str">
        <f>IF(ISTEXT(AN206),VLOOKUP(AN206,'Cadastro dos Ativos'!$A$2:$C$1000,3,0),"")</f>
        <v/>
      </c>
      <c r="AP206" s="242" t="str">
        <f>IF(AN206 &lt;&gt; "",SUMIFS('Alocação'!$O$3:$O$1002,'Alocação'!$C$3:$C$1002,AN206,'Alocação'!$F$3:$F$1002,AN$9,'Alocação'!$B$3:$B$1002,"&lt;="&amp;$B$6), "")</f>
        <v/>
      </c>
      <c r="AQ206" s="243" t="str">
        <f>iferror(IF(AO206="Ações Americanas", HLOOKUP(AN206,'Histórico'!$A$1:$DD$990,MATCH($B$6,'Histórico'!$A:$A),FALSE)*HLOOKUP("PTAX",'Histórico'!$A$1:$FG$983,MATCH($B$6,'Histórico'!$A:$A),FALSE),IF(AO206="Ações Europeias", HLOOKUP(AN206,'Histórico'!$A$1:$DD$990,MATCH($B$6,'Histórico'!$A:$A),FALSE)*HLOOKUP("EUR/BRL",'Histórico'!$A$1:$FG$983,MATCH($B$6,'Histórico'!$A:$A),FALSE),  HLOOKUP(AN206,'Histórico'!$A$1:$DD$990,MATCH($B$6,'Histórico'!$A:$A),FALSE))),"")</f>
        <v/>
      </c>
      <c r="AR206" s="243" t="str">
        <f t="shared" si="12"/>
        <v/>
      </c>
      <c r="AS206" s="53"/>
      <c r="AT206" s="245"/>
      <c r="AU206" s="242" t="str">
        <f>IF(ISTEXT(AT206),VLOOKUP(AT206,'Cadastro dos Ativos'!$A$2:$C$1000,3,0),"")</f>
        <v/>
      </c>
      <c r="AV206" s="242" t="str">
        <f>IF(AT206 &lt;&gt; "",SUMIFS('Alocação'!$O$3:$O$1002,'Alocação'!$C$3:$C$1002,AT206,'Alocação'!$F$3:$F$1002,AT$9,'Alocação'!$B$3:$B$1002,"&lt;="&amp;$B$6), "")</f>
        <v/>
      </c>
      <c r="AW206" s="243" t="str">
        <f>iferror(IF(AU206="Ações Americanas", HLOOKUP(AT206,'Histórico'!$A$1:$DD$990,MATCH($B$6,'Histórico'!$A:$A),FALSE)*HLOOKUP("PTAX",'Histórico'!$A$1:$FG$983,MATCH($B$6,'Histórico'!$A:$A),FALSE),IF(AU206="Ações Europeias", HLOOKUP(AT206,'Histórico'!$A$1:$DD$990,MATCH($B$6,'Histórico'!$A:$A),FALSE)*HLOOKUP("EUR/BRL",'Histórico'!$A$1:$FG$983,MATCH($B$6,'Histórico'!$A:$A),FALSE),  HLOOKUP(AT206,'Histórico'!$A$1:$DD$990,MATCH($B$6,'Histórico'!$A:$A),FALSE))),"")</f>
        <v/>
      </c>
      <c r="AX206" s="243" t="str">
        <f t="shared" si="13"/>
        <v/>
      </c>
      <c r="AY206" s="53"/>
    </row>
    <row r="207" ht="15.75" customHeight="1">
      <c r="A207" s="176"/>
      <c r="B207" s="288">
        <f>Controle!B207</f>
        <v>45294</v>
      </c>
      <c r="C207" s="233" t="str">
        <f>Controle!C207</f>
        <v/>
      </c>
      <c r="D207" s="289" t="str">
        <f>Controle!D207</f>
        <v/>
      </c>
      <c r="E207" s="290"/>
      <c r="F207" s="291" t="str">
        <f>Controle!F207</f>
        <v/>
      </c>
      <c r="G207" s="289" t="str">
        <f>Controle!G207</f>
        <v/>
      </c>
      <c r="H207" s="290"/>
      <c r="I207" s="291" t="str">
        <f>Controle!I207</f>
        <v/>
      </c>
      <c r="J207" s="233" t="str">
        <f>Controle!J207</f>
        <v/>
      </c>
      <c r="K207" s="292"/>
      <c r="L207" s="233" t="str">
        <f>Controle!L207</f>
        <v/>
      </c>
      <c r="M207" s="233" t="str">
        <f>Controle!M207</f>
        <v/>
      </c>
      <c r="N207" s="235" t="str">
        <f>Controle!N207</f>
        <v/>
      </c>
      <c r="O207" s="235" t="str">
        <f>Controle!O207</f>
        <v/>
      </c>
      <c r="P207" s="235" t="str">
        <f>Controle!P207</f>
        <v/>
      </c>
      <c r="Q207" s="235" t="str">
        <f>Controle!Q207</f>
        <v/>
      </c>
      <c r="R207" s="293" t="str">
        <f>Controle!R207</f>
        <v/>
      </c>
      <c r="S207" s="287"/>
      <c r="T207" s="233" t="str">
        <f t="shared" ref="T207:U207" si="210">IF(AND(C207&lt;&gt;"",F207&lt;&gt;"",I207&lt;&gt;""), SUM(I207,F207,C207),"")</f>
        <v/>
      </c>
      <c r="U207" s="233" t="str">
        <f t="shared" si="210"/>
        <v/>
      </c>
      <c r="V207" s="233" t="str">
        <f t="shared" si="6"/>
        <v/>
      </c>
      <c r="W207" s="241" t="str">
        <f t="shared" si="9"/>
        <v/>
      </c>
      <c r="X207" s="241" t="str">
        <f t="shared" si="10"/>
        <v/>
      </c>
      <c r="Y207" s="241" t="str">
        <f t="shared" si="19"/>
        <v/>
      </c>
      <c r="Z207" s="233" t="str">
        <f t="shared" si="7"/>
        <v/>
      </c>
      <c r="AA207" s="294"/>
      <c r="AB207" s="245"/>
      <c r="AC207" s="242" t="str">
        <f>IF(ISTEXT(AB207),VLOOKUP(AB207,'Cadastro dos Ativos'!$A$2:$C$1000,3,0),"")</f>
        <v/>
      </c>
      <c r="AD207" s="242" t="str">
        <f>IF(AB207 &lt;&gt; "",SUMIFS('Alocação'!$O$3:$O$1002,'Alocação'!$C$3:$C$1002,AB207,'Alocação'!$F$3:$F$1002,AB$9,'Alocação'!$B$3:$B$1002,"&lt;="&amp;$B$6), "")</f>
        <v/>
      </c>
      <c r="AE207" s="243" t="str">
        <f>iferror(IF(AC207="Ações Americanas", HLOOKUP(AB207,'Histórico'!$A$1:$DD$990,MATCH($B$6,'Histórico'!$A:$A),FALSE)*HLOOKUP("PTAX",'Histórico'!$A$1:$FG$983,MATCH($B$6,'Histórico'!$A:$A),FALSE),IF(AC207="Ações Europeias", HLOOKUP(AB207,'Histórico'!$A$1:$DD$990,MATCH($B$6,'Histórico'!$A:$A),FALSE)*HLOOKUP("EUR/BRL",'Histórico'!$A$1:$FG$983,MATCH($B$6,'Histórico'!$A:$A),FALSE),  HLOOKUP(AB207,'Histórico'!$A$1:$DD$990,MATCH($B$6,'Histórico'!$A:$A),FALSE))),"")</f>
        <v/>
      </c>
      <c r="AF207" s="243" t="str">
        <f t="shared" si="15"/>
        <v/>
      </c>
      <c r="AG207" s="53"/>
      <c r="AH207" s="245"/>
      <c r="AI207" s="242" t="str">
        <f>IF(ISTEXT(AH207),VLOOKUP(AH207,'Cadastro dos Ativos'!$A$2:$C$1000,3,0),"")</f>
        <v/>
      </c>
      <c r="AJ207" s="242" t="str">
        <f>IF(AH207 &lt;&gt; "",SUMIFS('Alocação'!$O$3:$O$1002,'Alocação'!$C$3:$C$1002,AH207,'Alocação'!$F$3:$F$1002,AH$9,'Alocação'!$B$3:$B$1002,"&lt;="&amp;$B$6), "")</f>
        <v/>
      </c>
      <c r="AK207" s="243" t="str">
        <f>iferror(IF(AI207="Ações Americanas", HLOOKUP(AH207,'Histórico'!$A$1:$DD$990,MATCH($B$6,'Histórico'!$A:$A),FALSE)*HLOOKUP("PTAX",'Histórico'!$A$1:$FG$983,MATCH($B$6,'Histórico'!$A:$A),FALSE),IF(AI207="Ações Europeias", HLOOKUP(AH207,'Histórico'!$A$1:$DD$990,MATCH($B$6,'Histórico'!$A:$A),FALSE)*HLOOKUP("EUR/BRL",'Histórico'!$A$1:$FG$983,MATCH($B$6,'Histórico'!$A:$A),FALSE),  HLOOKUP(AH207,'Histórico'!$A$1:$DD$990,MATCH($B$6,'Histórico'!$A:$A),FALSE))),"")</f>
        <v/>
      </c>
      <c r="AL207" s="243" t="str">
        <f t="shared" si="11"/>
        <v/>
      </c>
      <c r="AM207" s="53"/>
      <c r="AN207" s="245"/>
      <c r="AO207" s="242" t="str">
        <f>IF(ISTEXT(AN207),VLOOKUP(AN207,'Cadastro dos Ativos'!$A$2:$C$1000,3,0),"")</f>
        <v/>
      </c>
      <c r="AP207" s="242" t="str">
        <f>IF(AN207 &lt;&gt; "",SUMIFS('Alocação'!$O$3:$O$1002,'Alocação'!$C$3:$C$1002,AN207,'Alocação'!$F$3:$F$1002,AN$9,'Alocação'!$B$3:$B$1002,"&lt;="&amp;$B$6), "")</f>
        <v/>
      </c>
      <c r="AQ207" s="243" t="str">
        <f>iferror(IF(AO207="Ações Americanas", HLOOKUP(AN207,'Histórico'!$A$1:$DD$990,MATCH($B$6,'Histórico'!$A:$A),FALSE)*HLOOKUP("PTAX",'Histórico'!$A$1:$FG$983,MATCH($B$6,'Histórico'!$A:$A),FALSE),IF(AO207="Ações Europeias", HLOOKUP(AN207,'Histórico'!$A$1:$DD$990,MATCH($B$6,'Histórico'!$A:$A),FALSE)*HLOOKUP("EUR/BRL",'Histórico'!$A$1:$FG$983,MATCH($B$6,'Histórico'!$A:$A),FALSE),  HLOOKUP(AN207,'Histórico'!$A$1:$DD$990,MATCH($B$6,'Histórico'!$A:$A),FALSE))),"")</f>
        <v/>
      </c>
      <c r="AR207" s="243" t="str">
        <f t="shared" si="12"/>
        <v/>
      </c>
      <c r="AS207" s="53"/>
      <c r="AT207" s="245"/>
      <c r="AU207" s="242" t="str">
        <f>IF(ISTEXT(AT207),VLOOKUP(AT207,'Cadastro dos Ativos'!$A$2:$C$1000,3,0),"")</f>
        <v/>
      </c>
      <c r="AV207" s="242" t="str">
        <f>IF(AT207 &lt;&gt; "",SUMIFS('Alocação'!$O$3:$O$1002,'Alocação'!$C$3:$C$1002,AT207,'Alocação'!$F$3:$F$1002,AT$9,'Alocação'!$B$3:$B$1002,"&lt;="&amp;$B$6), "")</f>
        <v/>
      </c>
      <c r="AW207" s="243" t="str">
        <f>iferror(IF(AU207="Ações Americanas", HLOOKUP(AT207,'Histórico'!$A$1:$DD$990,MATCH($B$6,'Histórico'!$A:$A),FALSE)*HLOOKUP("PTAX",'Histórico'!$A$1:$FG$983,MATCH($B$6,'Histórico'!$A:$A),FALSE),IF(AU207="Ações Europeias", HLOOKUP(AT207,'Histórico'!$A$1:$DD$990,MATCH($B$6,'Histórico'!$A:$A),FALSE)*HLOOKUP("EUR/BRL",'Histórico'!$A$1:$FG$983,MATCH($B$6,'Histórico'!$A:$A),FALSE),  HLOOKUP(AT207,'Histórico'!$A$1:$DD$990,MATCH($B$6,'Histórico'!$A:$A),FALSE))),"")</f>
        <v/>
      </c>
      <c r="AX207" s="243" t="str">
        <f t="shared" si="13"/>
        <v/>
      </c>
      <c r="AY207" s="53"/>
    </row>
    <row r="208" ht="15.75" customHeight="1">
      <c r="A208" s="176"/>
      <c r="B208" s="288">
        <f>Controle!B208</f>
        <v>45295</v>
      </c>
      <c r="C208" s="233" t="str">
        <f>Controle!C208</f>
        <v/>
      </c>
      <c r="D208" s="289" t="str">
        <f>Controle!D208</f>
        <v/>
      </c>
      <c r="E208" s="290"/>
      <c r="F208" s="291" t="str">
        <f>Controle!F208</f>
        <v/>
      </c>
      <c r="G208" s="289" t="str">
        <f>Controle!G208</f>
        <v/>
      </c>
      <c r="H208" s="290"/>
      <c r="I208" s="291" t="str">
        <f>Controle!I208</f>
        <v/>
      </c>
      <c r="J208" s="233" t="str">
        <f>Controle!J208</f>
        <v/>
      </c>
      <c r="K208" s="292"/>
      <c r="L208" s="233" t="str">
        <f>Controle!L208</f>
        <v/>
      </c>
      <c r="M208" s="233" t="str">
        <f>Controle!M208</f>
        <v/>
      </c>
      <c r="N208" s="235" t="str">
        <f>Controle!N208</f>
        <v/>
      </c>
      <c r="O208" s="235" t="str">
        <f>Controle!O208</f>
        <v/>
      </c>
      <c r="P208" s="235" t="str">
        <f>Controle!P208</f>
        <v/>
      </c>
      <c r="Q208" s="235" t="str">
        <f>Controle!Q208</f>
        <v/>
      </c>
      <c r="R208" s="293" t="str">
        <f>Controle!R208</f>
        <v/>
      </c>
      <c r="S208" s="287"/>
      <c r="T208" s="233" t="str">
        <f t="shared" ref="T208:U208" si="211">IF(AND(C208&lt;&gt;"",F208&lt;&gt;"",I208&lt;&gt;""), SUM(I208,F208,C208),"")</f>
        <v/>
      </c>
      <c r="U208" s="233" t="str">
        <f t="shared" si="211"/>
        <v/>
      </c>
      <c r="V208" s="233" t="str">
        <f t="shared" si="6"/>
        <v/>
      </c>
      <c r="W208" s="241" t="str">
        <f t="shared" si="9"/>
        <v/>
      </c>
      <c r="X208" s="241" t="str">
        <f t="shared" si="10"/>
        <v/>
      </c>
      <c r="Y208" s="241" t="str">
        <f t="shared" si="19"/>
        <v/>
      </c>
      <c r="Z208" s="233" t="str">
        <f t="shared" si="7"/>
        <v/>
      </c>
      <c r="AA208" s="294"/>
      <c r="AB208" s="245"/>
      <c r="AC208" s="242" t="str">
        <f>IF(ISTEXT(AB208),VLOOKUP(AB208,'Cadastro dos Ativos'!$A$2:$C$1000,3,0),"")</f>
        <v/>
      </c>
      <c r="AD208" s="242" t="str">
        <f>IF(AB208 &lt;&gt; "",SUMIFS('Alocação'!$O$3:$O$1002,'Alocação'!$C$3:$C$1002,AB208,'Alocação'!$F$3:$F$1002,AB$9,'Alocação'!$B$3:$B$1002,"&lt;="&amp;$B$6), "")</f>
        <v/>
      </c>
      <c r="AE208" s="243" t="str">
        <f>iferror(IF(AC208="Ações Americanas", HLOOKUP(AB208,'Histórico'!$A$1:$DD$990,MATCH($B$6,'Histórico'!$A:$A),FALSE)*HLOOKUP("PTAX",'Histórico'!$A$1:$FG$983,MATCH($B$6,'Histórico'!$A:$A),FALSE),IF(AC208="Ações Europeias", HLOOKUP(AB208,'Histórico'!$A$1:$DD$990,MATCH($B$6,'Histórico'!$A:$A),FALSE)*HLOOKUP("EUR/BRL",'Histórico'!$A$1:$FG$983,MATCH($B$6,'Histórico'!$A:$A),FALSE),  HLOOKUP(AB208,'Histórico'!$A$1:$DD$990,MATCH($B$6,'Histórico'!$A:$A),FALSE))),"")</f>
        <v/>
      </c>
      <c r="AF208" s="243" t="str">
        <f t="shared" si="15"/>
        <v/>
      </c>
      <c r="AG208" s="53"/>
      <c r="AH208" s="245"/>
      <c r="AI208" s="242" t="str">
        <f>IF(ISTEXT(AH208),VLOOKUP(AH208,'Cadastro dos Ativos'!$A$2:$C$1000,3,0),"")</f>
        <v/>
      </c>
      <c r="AJ208" s="242" t="str">
        <f>IF(AH208 &lt;&gt; "",SUMIFS('Alocação'!$O$3:$O$1002,'Alocação'!$C$3:$C$1002,AH208,'Alocação'!$F$3:$F$1002,AH$9,'Alocação'!$B$3:$B$1002,"&lt;="&amp;$B$6), "")</f>
        <v/>
      </c>
      <c r="AK208" s="243" t="str">
        <f>iferror(IF(AI208="Ações Americanas", HLOOKUP(AH208,'Histórico'!$A$1:$DD$990,MATCH($B$6,'Histórico'!$A:$A),FALSE)*HLOOKUP("PTAX",'Histórico'!$A$1:$FG$983,MATCH($B$6,'Histórico'!$A:$A),FALSE),IF(AI208="Ações Europeias", HLOOKUP(AH208,'Histórico'!$A$1:$DD$990,MATCH($B$6,'Histórico'!$A:$A),FALSE)*HLOOKUP("EUR/BRL",'Histórico'!$A$1:$FG$983,MATCH($B$6,'Histórico'!$A:$A),FALSE),  HLOOKUP(AH208,'Histórico'!$A$1:$DD$990,MATCH($B$6,'Histórico'!$A:$A),FALSE))),"")</f>
        <v/>
      </c>
      <c r="AL208" s="243" t="str">
        <f t="shared" si="11"/>
        <v/>
      </c>
      <c r="AM208" s="53"/>
      <c r="AN208" s="245"/>
      <c r="AO208" s="242" t="str">
        <f>IF(ISTEXT(AN208),VLOOKUP(AN208,'Cadastro dos Ativos'!$A$2:$C$1000,3,0),"")</f>
        <v/>
      </c>
      <c r="AP208" s="242" t="str">
        <f>IF(AN208 &lt;&gt; "",SUMIFS('Alocação'!$O$3:$O$1002,'Alocação'!$C$3:$C$1002,AN208,'Alocação'!$F$3:$F$1002,AN$9,'Alocação'!$B$3:$B$1002,"&lt;="&amp;$B$6), "")</f>
        <v/>
      </c>
      <c r="AQ208" s="243" t="str">
        <f>iferror(IF(AO208="Ações Americanas", HLOOKUP(AN208,'Histórico'!$A$1:$DD$990,MATCH($B$6,'Histórico'!$A:$A),FALSE)*HLOOKUP("PTAX",'Histórico'!$A$1:$FG$983,MATCH($B$6,'Histórico'!$A:$A),FALSE),IF(AO208="Ações Europeias", HLOOKUP(AN208,'Histórico'!$A$1:$DD$990,MATCH($B$6,'Histórico'!$A:$A),FALSE)*HLOOKUP("EUR/BRL",'Histórico'!$A$1:$FG$983,MATCH($B$6,'Histórico'!$A:$A),FALSE),  HLOOKUP(AN208,'Histórico'!$A$1:$DD$990,MATCH($B$6,'Histórico'!$A:$A),FALSE))),"")</f>
        <v/>
      </c>
      <c r="AR208" s="243" t="str">
        <f t="shared" si="12"/>
        <v/>
      </c>
      <c r="AS208" s="53"/>
      <c r="AT208" s="245"/>
      <c r="AU208" s="242" t="str">
        <f>IF(ISTEXT(AT208),VLOOKUP(AT208,'Cadastro dos Ativos'!$A$2:$C$1000,3,0),"")</f>
        <v/>
      </c>
      <c r="AV208" s="242" t="str">
        <f>IF(AT208 &lt;&gt; "",SUMIFS('Alocação'!$O$3:$O$1002,'Alocação'!$C$3:$C$1002,AT208,'Alocação'!$F$3:$F$1002,AT$9,'Alocação'!$B$3:$B$1002,"&lt;="&amp;$B$6), "")</f>
        <v/>
      </c>
      <c r="AW208" s="243" t="str">
        <f>iferror(IF(AU208="Ações Americanas", HLOOKUP(AT208,'Histórico'!$A$1:$DD$990,MATCH($B$6,'Histórico'!$A:$A),FALSE)*HLOOKUP("PTAX",'Histórico'!$A$1:$FG$983,MATCH($B$6,'Histórico'!$A:$A),FALSE),IF(AU208="Ações Europeias", HLOOKUP(AT208,'Histórico'!$A$1:$DD$990,MATCH($B$6,'Histórico'!$A:$A),FALSE)*HLOOKUP("EUR/BRL",'Histórico'!$A$1:$FG$983,MATCH($B$6,'Histórico'!$A:$A),FALSE),  HLOOKUP(AT208,'Histórico'!$A$1:$DD$990,MATCH($B$6,'Histórico'!$A:$A),FALSE))),"")</f>
        <v/>
      </c>
      <c r="AX208" s="243" t="str">
        <f t="shared" si="13"/>
        <v/>
      </c>
      <c r="AY208" s="53"/>
    </row>
    <row r="209" ht="15.75" customHeight="1">
      <c r="A209" s="176"/>
      <c r="B209" s="288">
        <f>Controle!B209</f>
        <v>45296</v>
      </c>
      <c r="C209" s="233" t="str">
        <f>Controle!C209</f>
        <v/>
      </c>
      <c r="D209" s="289" t="str">
        <f>Controle!D209</f>
        <v/>
      </c>
      <c r="E209" s="290"/>
      <c r="F209" s="291" t="str">
        <f>Controle!F209</f>
        <v/>
      </c>
      <c r="G209" s="289" t="str">
        <f>Controle!G209</f>
        <v/>
      </c>
      <c r="H209" s="290"/>
      <c r="I209" s="291" t="str">
        <f>Controle!I209</f>
        <v/>
      </c>
      <c r="J209" s="233" t="str">
        <f>Controle!J209</f>
        <v/>
      </c>
      <c r="K209" s="292"/>
      <c r="L209" s="233" t="str">
        <f>Controle!L209</f>
        <v/>
      </c>
      <c r="M209" s="233" t="str">
        <f>Controle!M209</f>
        <v/>
      </c>
      <c r="N209" s="235" t="str">
        <f>Controle!N209</f>
        <v/>
      </c>
      <c r="O209" s="235" t="str">
        <f>Controle!O209</f>
        <v/>
      </c>
      <c r="P209" s="235" t="str">
        <f>Controle!P209</f>
        <v/>
      </c>
      <c r="Q209" s="235" t="str">
        <f>Controle!Q209</f>
        <v/>
      </c>
      <c r="R209" s="293" t="str">
        <f>Controle!R209</f>
        <v/>
      </c>
      <c r="S209" s="287"/>
      <c r="T209" s="233" t="str">
        <f t="shared" ref="T209:U209" si="212">IF(AND(C209&lt;&gt;"",F209&lt;&gt;"",I209&lt;&gt;""), SUM(I209,F209,C209),"")</f>
        <v/>
      </c>
      <c r="U209" s="233" t="str">
        <f t="shared" si="212"/>
        <v/>
      </c>
      <c r="V209" s="233" t="str">
        <f t="shared" si="6"/>
        <v/>
      </c>
      <c r="W209" s="241" t="str">
        <f t="shared" si="9"/>
        <v/>
      </c>
      <c r="X209" s="241" t="str">
        <f t="shared" si="10"/>
        <v/>
      </c>
      <c r="Y209" s="241" t="str">
        <f t="shared" si="19"/>
        <v/>
      </c>
      <c r="Z209" s="233" t="str">
        <f t="shared" si="7"/>
        <v/>
      </c>
      <c r="AA209" s="294"/>
      <c r="AB209" s="245"/>
      <c r="AC209" s="242" t="str">
        <f>IF(ISTEXT(AB209),VLOOKUP(AB209,'Cadastro dos Ativos'!$A$2:$C$1000,3,0),"")</f>
        <v/>
      </c>
      <c r="AD209" s="242" t="str">
        <f>IF(AB209 &lt;&gt; "",SUMIFS('Alocação'!$O$3:$O$1002,'Alocação'!$C$3:$C$1002,AB209,'Alocação'!$F$3:$F$1002,AB$9,'Alocação'!$B$3:$B$1002,"&lt;="&amp;$B$6), "")</f>
        <v/>
      </c>
      <c r="AE209" s="243" t="str">
        <f>iferror(IF(AC209="Ações Americanas", HLOOKUP(AB209,'Histórico'!$A$1:$DD$990,MATCH($B$6,'Histórico'!$A:$A),FALSE)*HLOOKUP("PTAX",'Histórico'!$A$1:$FG$983,MATCH($B$6,'Histórico'!$A:$A),FALSE),IF(AC209="Ações Europeias", HLOOKUP(AB209,'Histórico'!$A$1:$DD$990,MATCH($B$6,'Histórico'!$A:$A),FALSE)*HLOOKUP("EUR/BRL",'Histórico'!$A$1:$FG$983,MATCH($B$6,'Histórico'!$A:$A),FALSE),  HLOOKUP(AB209,'Histórico'!$A$1:$DD$990,MATCH($B$6,'Histórico'!$A:$A),FALSE))),"")</f>
        <v/>
      </c>
      <c r="AF209" s="243" t="str">
        <f t="shared" si="15"/>
        <v/>
      </c>
      <c r="AG209" s="53"/>
      <c r="AH209" s="245"/>
      <c r="AI209" s="242" t="str">
        <f>IF(ISTEXT(AH209),VLOOKUP(AH209,'Cadastro dos Ativos'!$A$2:$C$1000,3,0),"")</f>
        <v/>
      </c>
      <c r="AJ209" s="242" t="str">
        <f>IF(AH209 &lt;&gt; "",SUMIFS('Alocação'!$O$3:$O$1002,'Alocação'!$C$3:$C$1002,AH209,'Alocação'!$F$3:$F$1002,AH$9,'Alocação'!$B$3:$B$1002,"&lt;="&amp;$B$6), "")</f>
        <v/>
      </c>
      <c r="AK209" s="243" t="str">
        <f>iferror(IF(AI209="Ações Americanas", HLOOKUP(AH209,'Histórico'!$A$1:$DD$990,MATCH($B$6,'Histórico'!$A:$A),FALSE)*HLOOKUP("PTAX",'Histórico'!$A$1:$FG$983,MATCH($B$6,'Histórico'!$A:$A),FALSE),IF(AI209="Ações Europeias", HLOOKUP(AH209,'Histórico'!$A$1:$DD$990,MATCH($B$6,'Histórico'!$A:$A),FALSE)*HLOOKUP("EUR/BRL",'Histórico'!$A$1:$FG$983,MATCH($B$6,'Histórico'!$A:$A),FALSE),  HLOOKUP(AH209,'Histórico'!$A$1:$DD$990,MATCH($B$6,'Histórico'!$A:$A),FALSE))),"")</f>
        <v/>
      </c>
      <c r="AL209" s="243" t="str">
        <f t="shared" si="11"/>
        <v/>
      </c>
      <c r="AM209" s="53"/>
      <c r="AN209" s="245"/>
      <c r="AO209" s="242" t="str">
        <f>IF(ISTEXT(AN209),VLOOKUP(AN209,'Cadastro dos Ativos'!$A$2:$C$1000,3,0),"")</f>
        <v/>
      </c>
      <c r="AP209" s="242" t="str">
        <f>IF(AN209 &lt;&gt; "",SUMIFS('Alocação'!$O$3:$O$1002,'Alocação'!$C$3:$C$1002,AN209,'Alocação'!$F$3:$F$1002,AN$9,'Alocação'!$B$3:$B$1002,"&lt;="&amp;$B$6), "")</f>
        <v/>
      </c>
      <c r="AQ209" s="243" t="str">
        <f>iferror(IF(AO209="Ações Americanas", HLOOKUP(AN209,'Histórico'!$A$1:$DD$990,MATCH($B$6,'Histórico'!$A:$A),FALSE)*HLOOKUP("PTAX",'Histórico'!$A$1:$FG$983,MATCH($B$6,'Histórico'!$A:$A),FALSE),IF(AO209="Ações Europeias", HLOOKUP(AN209,'Histórico'!$A$1:$DD$990,MATCH($B$6,'Histórico'!$A:$A),FALSE)*HLOOKUP("EUR/BRL",'Histórico'!$A$1:$FG$983,MATCH($B$6,'Histórico'!$A:$A),FALSE),  HLOOKUP(AN209,'Histórico'!$A$1:$DD$990,MATCH($B$6,'Histórico'!$A:$A),FALSE))),"")</f>
        <v/>
      </c>
      <c r="AR209" s="243" t="str">
        <f t="shared" si="12"/>
        <v/>
      </c>
      <c r="AS209" s="53"/>
      <c r="AT209" s="245"/>
      <c r="AU209" s="242" t="str">
        <f>IF(ISTEXT(AT209),VLOOKUP(AT209,'Cadastro dos Ativos'!$A$2:$C$1000,3,0),"")</f>
        <v/>
      </c>
      <c r="AV209" s="242" t="str">
        <f>IF(AT209 &lt;&gt; "",SUMIFS('Alocação'!$O$3:$O$1002,'Alocação'!$C$3:$C$1002,AT209,'Alocação'!$F$3:$F$1002,AT$9,'Alocação'!$B$3:$B$1002,"&lt;="&amp;$B$6), "")</f>
        <v/>
      </c>
      <c r="AW209" s="243" t="str">
        <f>iferror(IF(AU209="Ações Americanas", HLOOKUP(AT209,'Histórico'!$A$1:$DD$990,MATCH($B$6,'Histórico'!$A:$A),FALSE)*HLOOKUP("PTAX",'Histórico'!$A$1:$FG$983,MATCH($B$6,'Histórico'!$A:$A),FALSE),IF(AU209="Ações Europeias", HLOOKUP(AT209,'Histórico'!$A$1:$DD$990,MATCH($B$6,'Histórico'!$A:$A),FALSE)*HLOOKUP("EUR/BRL",'Histórico'!$A$1:$FG$983,MATCH($B$6,'Histórico'!$A:$A),FALSE),  HLOOKUP(AT209,'Histórico'!$A$1:$DD$990,MATCH($B$6,'Histórico'!$A:$A),FALSE))),"")</f>
        <v/>
      </c>
      <c r="AX209" s="243" t="str">
        <f t="shared" si="13"/>
        <v/>
      </c>
      <c r="AY209" s="53"/>
    </row>
    <row r="210" ht="15.75" customHeight="1">
      <c r="A210" s="176"/>
      <c r="B210" s="288">
        <f>Controle!B210</f>
        <v>45297</v>
      </c>
      <c r="C210" s="233" t="str">
        <f>Controle!C210</f>
        <v/>
      </c>
      <c r="D210" s="289" t="str">
        <f>Controle!D210</f>
        <v/>
      </c>
      <c r="E210" s="290"/>
      <c r="F210" s="291" t="str">
        <f>Controle!F210</f>
        <v/>
      </c>
      <c r="G210" s="289" t="str">
        <f>Controle!G210</f>
        <v/>
      </c>
      <c r="H210" s="290"/>
      <c r="I210" s="291" t="str">
        <f>Controle!I210</f>
        <v/>
      </c>
      <c r="J210" s="233" t="str">
        <f>Controle!J210</f>
        <v/>
      </c>
      <c r="K210" s="292"/>
      <c r="L210" s="233" t="str">
        <f>Controle!L210</f>
        <v/>
      </c>
      <c r="M210" s="233" t="str">
        <f>Controle!M210</f>
        <v/>
      </c>
      <c r="N210" s="235" t="str">
        <f>Controle!N210</f>
        <v/>
      </c>
      <c r="O210" s="235" t="str">
        <f>Controle!O210</f>
        <v/>
      </c>
      <c r="P210" s="235" t="str">
        <f>Controle!P210</f>
        <v/>
      </c>
      <c r="Q210" s="235" t="str">
        <f>Controle!Q210</f>
        <v/>
      </c>
      <c r="R210" s="293" t="str">
        <f>Controle!R210</f>
        <v/>
      </c>
      <c r="S210" s="287"/>
      <c r="T210" s="233" t="str">
        <f t="shared" ref="T210:U210" si="213">IF(AND(C210&lt;&gt;"",F210&lt;&gt;"",I210&lt;&gt;""), SUM(I210,F210,C210),"")</f>
        <v/>
      </c>
      <c r="U210" s="233" t="str">
        <f t="shared" si="213"/>
        <v/>
      </c>
      <c r="V210" s="233" t="str">
        <f t="shared" si="6"/>
        <v/>
      </c>
      <c r="W210" s="241" t="str">
        <f t="shared" si="9"/>
        <v/>
      </c>
      <c r="X210" s="241" t="str">
        <f t="shared" si="10"/>
        <v/>
      </c>
      <c r="Y210" s="241" t="str">
        <f t="shared" si="19"/>
        <v/>
      </c>
      <c r="Z210" s="233" t="str">
        <f t="shared" si="7"/>
        <v/>
      </c>
      <c r="AA210" s="294"/>
      <c r="AB210" s="245"/>
      <c r="AC210" s="242" t="str">
        <f>IF(ISTEXT(AB210),VLOOKUP(AB210,'Cadastro dos Ativos'!$A$2:$C$1000,3,0),"")</f>
        <v/>
      </c>
      <c r="AD210" s="242" t="str">
        <f>IF(AB210 &lt;&gt; "",SUMIFS('Alocação'!$O$3:$O$1002,'Alocação'!$C$3:$C$1002,AB210,'Alocação'!$F$3:$F$1002,AB$9,'Alocação'!$B$3:$B$1002,"&lt;="&amp;$B$6), "")</f>
        <v/>
      </c>
      <c r="AE210" s="243" t="str">
        <f>iferror(IF(AC210="Ações Americanas", HLOOKUP(AB210,'Histórico'!$A$1:$DD$990,MATCH($B$6,'Histórico'!$A:$A),FALSE)*HLOOKUP("PTAX",'Histórico'!$A$1:$FG$983,MATCH($B$6,'Histórico'!$A:$A),FALSE),IF(AC210="Ações Europeias", HLOOKUP(AB210,'Histórico'!$A$1:$DD$990,MATCH($B$6,'Histórico'!$A:$A),FALSE)*HLOOKUP("EUR/BRL",'Histórico'!$A$1:$FG$983,MATCH($B$6,'Histórico'!$A:$A),FALSE),  HLOOKUP(AB210,'Histórico'!$A$1:$DD$990,MATCH($B$6,'Histórico'!$A:$A),FALSE))),"")</f>
        <v/>
      </c>
      <c r="AF210" s="243" t="str">
        <f t="shared" si="15"/>
        <v/>
      </c>
      <c r="AG210" s="53"/>
      <c r="AH210" s="245"/>
      <c r="AI210" s="242" t="str">
        <f>IF(ISTEXT(AH210),VLOOKUP(AH210,'Cadastro dos Ativos'!$A$2:$C$1000,3,0),"")</f>
        <v/>
      </c>
      <c r="AJ210" s="242" t="str">
        <f>IF(AH210 &lt;&gt; "",SUMIFS('Alocação'!$O$3:$O$1002,'Alocação'!$C$3:$C$1002,AH210,'Alocação'!$F$3:$F$1002,AH$9,'Alocação'!$B$3:$B$1002,"&lt;="&amp;$B$6), "")</f>
        <v/>
      </c>
      <c r="AK210" s="243" t="str">
        <f>iferror(IF(AI210="Ações Americanas", HLOOKUP(AH210,'Histórico'!$A$1:$DD$990,MATCH($B$6,'Histórico'!$A:$A),FALSE)*HLOOKUP("PTAX",'Histórico'!$A$1:$FG$983,MATCH($B$6,'Histórico'!$A:$A),FALSE),IF(AI210="Ações Europeias", HLOOKUP(AH210,'Histórico'!$A$1:$DD$990,MATCH($B$6,'Histórico'!$A:$A),FALSE)*HLOOKUP("EUR/BRL",'Histórico'!$A$1:$FG$983,MATCH($B$6,'Histórico'!$A:$A),FALSE),  HLOOKUP(AH210,'Histórico'!$A$1:$DD$990,MATCH($B$6,'Histórico'!$A:$A),FALSE))),"")</f>
        <v/>
      </c>
      <c r="AL210" s="243" t="str">
        <f t="shared" si="11"/>
        <v/>
      </c>
      <c r="AM210" s="53"/>
      <c r="AN210" s="245"/>
      <c r="AO210" s="242" t="str">
        <f>IF(ISTEXT(AN210),VLOOKUP(AN210,'Cadastro dos Ativos'!$A$2:$C$1000,3,0),"")</f>
        <v/>
      </c>
      <c r="AP210" s="242" t="str">
        <f>IF(AN210 &lt;&gt; "",SUMIFS('Alocação'!$O$3:$O$1002,'Alocação'!$C$3:$C$1002,AN210,'Alocação'!$F$3:$F$1002,AN$9,'Alocação'!$B$3:$B$1002,"&lt;="&amp;$B$6), "")</f>
        <v/>
      </c>
      <c r="AQ210" s="243" t="str">
        <f>iferror(IF(AO210="Ações Americanas", HLOOKUP(AN210,'Histórico'!$A$1:$DD$990,MATCH($B$6,'Histórico'!$A:$A),FALSE)*HLOOKUP("PTAX",'Histórico'!$A$1:$FG$983,MATCH($B$6,'Histórico'!$A:$A),FALSE),IF(AO210="Ações Europeias", HLOOKUP(AN210,'Histórico'!$A$1:$DD$990,MATCH($B$6,'Histórico'!$A:$A),FALSE)*HLOOKUP("EUR/BRL",'Histórico'!$A$1:$FG$983,MATCH($B$6,'Histórico'!$A:$A),FALSE),  HLOOKUP(AN210,'Histórico'!$A$1:$DD$990,MATCH($B$6,'Histórico'!$A:$A),FALSE))),"")</f>
        <v/>
      </c>
      <c r="AR210" s="243" t="str">
        <f t="shared" si="12"/>
        <v/>
      </c>
      <c r="AS210" s="53"/>
      <c r="AT210" s="245"/>
      <c r="AU210" s="242" t="str">
        <f>IF(ISTEXT(AT210),VLOOKUP(AT210,'Cadastro dos Ativos'!$A$2:$C$1000,3,0),"")</f>
        <v/>
      </c>
      <c r="AV210" s="242" t="str">
        <f>IF(AT210 &lt;&gt; "",SUMIFS('Alocação'!$O$3:$O$1002,'Alocação'!$C$3:$C$1002,AT210,'Alocação'!$F$3:$F$1002,AT$9,'Alocação'!$B$3:$B$1002,"&lt;="&amp;$B$6), "")</f>
        <v/>
      </c>
      <c r="AW210" s="243" t="str">
        <f>iferror(IF(AU210="Ações Americanas", HLOOKUP(AT210,'Histórico'!$A$1:$DD$990,MATCH($B$6,'Histórico'!$A:$A),FALSE)*HLOOKUP("PTAX",'Histórico'!$A$1:$FG$983,MATCH($B$6,'Histórico'!$A:$A),FALSE),IF(AU210="Ações Europeias", HLOOKUP(AT210,'Histórico'!$A$1:$DD$990,MATCH($B$6,'Histórico'!$A:$A),FALSE)*HLOOKUP("EUR/BRL",'Histórico'!$A$1:$FG$983,MATCH($B$6,'Histórico'!$A:$A),FALSE),  HLOOKUP(AT210,'Histórico'!$A$1:$DD$990,MATCH($B$6,'Histórico'!$A:$A),FALSE))),"")</f>
        <v/>
      </c>
      <c r="AX210" s="243" t="str">
        <f t="shared" si="13"/>
        <v/>
      </c>
      <c r="AY210" s="53"/>
    </row>
    <row r="211" ht="15.75" customHeight="1">
      <c r="A211" s="176"/>
      <c r="B211" s="288">
        <f>Controle!B211</f>
        <v>45298</v>
      </c>
      <c r="C211" s="233" t="str">
        <f>Controle!C211</f>
        <v/>
      </c>
      <c r="D211" s="289" t="str">
        <f>Controle!D211</f>
        <v/>
      </c>
      <c r="E211" s="290"/>
      <c r="F211" s="291" t="str">
        <f>Controle!F211</f>
        <v/>
      </c>
      <c r="G211" s="289" t="str">
        <f>Controle!G211</f>
        <v/>
      </c>
      <c r="H211" s="290"/>
      <c r="I211" s="291" t="str">
        <f>Controle!I211</f>
        <v/>
      </c>
      <c r="J211" s="233" t="str">
        <f>Controle!J211</f>
        <v/>
      </c>
      <c r="K211" s="292"/>
      <c r="L211" s="233" t="str">
        <f>Controle!L211</f>
        <v/>
      </c>
      <c r="M211" s="233" t="str">
        <f>Controle!M211</f>
        <v/>
      </c>
      <c r="N211" s="235" t="str">
        <f>Controle!N211</f>
        <v/>
      </c>
      <c r="O211" s="235" t="str">
        <f>Controle!O211</f>
        <v/>
      </c>
      <c r="P211" s="235" t="str">
        <f>Controle!P211</f>
        <v/>
      </c>
      <c r="Q211" s="235" t="str">
        <f>Controle!Q211</f>
        <v/>
      </c>
      <c r="R211" s="293" t="str">
        <f>Controle!R211</f>
        <v/>
      </c>
      <c r="S211" s="287"/>
      <c r="T211" s="233" t="str">
        <f t="shared" ref="T211:U211" si="214">IF(AND(C211&lt;&gt;"",F211&lt;&gt;"",I211&lt;&gt;""), SUM(I211,F211,C211),"")</f>
        <v/>
      </c>
      <c r="U211" s="233" t="str">
        <f t="shared" si="214"/>
        <v/>
      </c>
      <c r="V211" s="233" t="str">
        <f t="shared" si="6"/>
        <v/>
      </c>
      <c r="W211" s="241" t="str">
        <f t="shared" si="9"/>
        <v/>
      </c>
      <c r="X211" s="241" t="str">
        <f t="shared" si="10"/>
        <v/>
      </c>
      <c r="Y211" s="241" t="str">
        <f t="shared" si="19"/>
        <v/>
      </c>
      <c r="Z211" s="233" t="str">
        <f t="shared" si="7"/>
        <v/>
      </c>
      <c r="AA211" s="294"/>
      <c r="AB211" s="245"/>
      <c r="AC211" s="242" t="str">
        <f>IF(ISTEXT(AB211),VLOOKUP(AB211,'Cadastro dos Ativos'!$A$2:$C$1000,3,0),"")</f>
        <v/>
      </c>
      <c r="AD211" s="242" t="str">
        <f>IF(AB211 &lt;&gt; "",SUMIFS('Alocação'!$O$3:$O$1002,'Alocação'!$C$3:$C$1002,AB211,'Alocação'!$F$3:$F$1002,AB$9,'Alocação'!$B$3:$B$1002,"&lt;="&amp;$B$6), "")</f>
        <v/>
      </c>
      <c r="AE211" s="243" t="str">
        <f>iferror(IF(AC211="Ações Americanas", HLOOKUP(AB211,'Histórico'!$A$1:$DD$990,MATCH($B$6,'Histórico'!$A:$A),FALSE)*HLOOKUP("PTAX",'Histórico'!$A$1:$FG$983,MATCH($B$6,'Histórico'!$A:$A),FALSE),IF(AC211="Ações Europeias", HLOOKUP(AB211,'Histórico'!$A$1:$DD$990,MATCH($B$6,'Histórico'!$A:$A),FALSE)*HLOOKUP("EUR/BRL",'Histórico'!$A$1:$FG$983,MATCH($B$6,'Histórico'!$A:$A),FALSE),  HLOOKUP(AB211,'Histórico'!$A$1:$DD$990,MATCH($B$6,'Histórico'!$A:$A),FALSE))),"")</f>
        <v/>
      </c>
      <c r="AF211" s="243" t="str">
        <f t="shared" si="15"/>
        <v/>
      </c>
      <c r="AG211" s="53"/>
      <c r="AH211" s="245"/>
      <c r="AI211" s="242" t="str">
        <f>IF(ISTEXT(AH211),VLOOKUP(AH211,'Cadastro dos Ativos'!$A$2:$C$1000,3,0),"")</f>
        <v/>
      </c>
      <c r="AJ211" s="242" t="str">
        <f>IF(AH211 &lt;&gt; "",SUMIFS('Alocação'!$O$3:$O$1002,'Alocação'!$C$3:$C$1002,AH211,'Alocação'!$F$3:$F$1002,AH$9,'Alocação'!$B$3:$B$1002,"&lt;="&amp;$B$6), "")</f>
        <v/>
      </c>
      <c r="AK211" s="243" t="str">
        <f>iferror(IF(AI211="Ações Americanas", HLOOKUP(AH211,'Histórico'!$A$1:$DD$990,MATCH($B$6,'Histórico'!$A:$A),FALSE)*HLOOKUP("PTAX",'Histórico'!$A$1:$FG$983,MATCH($B$6,'Histórico'!$A:$A),FALSE),IF(AI211="Ações Europeias", HLOOKUP(AH211,'Histórico'!$A$1:$DD$990,MATCH($B$6,'Histórico'!$A:$A),FALSE)*HLOOKUP("EUR/BRL",'Histórico'!$A$1:$FG$983,MATCH($B$6,'Histórico'!$A:$A),FALSE),  HLOOKUP(AH211,'Histórico'!$A$1:$DD$990,MATCH($B$6,'Histórico'!$A:$A),FALSE))),"")</f>
        <v/>
      </c>
      <c r="AL211" s="243" t="str">
        <f t="shared" si="11"/>
        <v/>
      </c>
      <c r="AM211" s="53"/>
      <c r="AN211" s="245"/>
      <c r="AO211" s="242" t="str">
        <f>IF(ISTEXT(AN211),VLOOKUP(AN211,'Cadastro dos Ativos'!$A$2:$C$1000,3,0),"")</f>
        <v/>
      </c>
      <c r="AP211" s="242" t="str">
        <f>IF(AN211 &lt;&gt; "",SUMIFS('Alocação'!$O$3:$O$1002,'Alocação'!$C$3:$C$1002,AN211,'Alocação'!$F$3:$F$1002,AN$9,'Alocação'!$B$3:$B$1002,"&lt;="&amp;$B$6), "")</f>
        <v/>
      </c>
      <c r="AQ211" s="243" t="str">
        <f>iferror(IF(AO211="Ações Americanas", HLOOKUP(AN211,'Histórico'!$A$1:$DD$990,MATCH($B$6,'Histórico'!$A:$A),FALSE)*HLOOKUP("PTAX",'Histórico'!$A$1:$FG$983,MATCH($B$6,'Histórico'!$A:$A),FALSE),IF(AO211="Ações Europeias", HLOOKUP(AN211,'Histórico'!$A$1:$DD$990,MATCH($B$6,'Histórico'!$A:$A),FALSE)*HLOOKUP("EUR/BRL",'Histórico'!$A$1:$FG$983,MATCH($B$6,'Histórico'!$A:$A),FALSE),  HLOOKUP(AN211,'Histórico'!$A$1:$DD$990,MATCH($B$6,'Histórico'!$A:$A),FALSE))),"")</f>
        <v/>
      </c>
      <c r="AR211" s="243" t="str">
        <f t="shared" si="12"/>
        <v/>
      </c>
      <c r="AS211" s="53"/>
      <c r="AT211" s="245"/>
      <c r="AU211" s="242" t="str">
        <f>IF(ISTEXT(AT211),VLOOKUP(AT211,'Cadastro dos Ativos'!$A$2:$C$1000,3,0),"")</f>
        <v/>
      </c>
      <c r="AV211" s="242" t="str">
        <f>IF(AT211 &lt;&gt; "",SUMIFS('Alocação'!$O$3:$O$1002,'Alocação'!$C$3:$C$1002,AT211,'Alocação'!$F$3:$F$1002,AT$9,'Alocação'!$B$3:$B$1002,"&lt;="&amp;$B$6), "")</f>
        <v/>
      </c>
      <c r="AW211" s="243" t="str">
        <f>iferror(IF(AU211="Ações Americanas", HLOOKUP(AT211,'Histórico'!$A$1:$DD$990,MATCH($B$6,'Histórico'!$A:$A),FALSE)*HLOOKUP("PTAX",'Histórico'!$A$1:$FG$983,MATCH($B$6,'Histórico'!$A:$A),FALSE),IF(AU211="Ações Europeias", HLOOKUP(AT211,'Histórico'!$A$1:$DD$990,MATCH($B$6,'Histórico'!$A:$A),FALSE)*HLOOKUP("EUR/BRL",'Histórico'!$A$1:$FG$983,MATCH($B$6,'Histórico'!$A:$A),FALSE),  HLOOKUP(AT211,'Histórico'!$A$1:$DD$990,MATCH($B$6,'Histórico'!$A:$A),FALSE))),"")</f>
        <v/>
      </c>
      <c r="AX211" s="243" t="str">
        <f t="shared" si="13"/>
        <v/>
      </c>
      <c r="AY211" s="53"/>
    </row>
    <row r="212" ht="15.75" customHeight="1">
      <c r="A212" s="176"/>
      <c r="B212" s="288">
        <f>Controle!B212</f>
        <v>45299</v>
      </c>
      <c r="C212" s="233" t="str">
        <f>Controle!C212</f>
        <v/>
      </c>
      <c r="D212" s="289" t="str">
        <f>Controle!D212</f>
        <v/>
      </c>
      <c r="E212" s="290"/>
      <c r="F212" s="291" t="str">
        <f>Controle!F212</f>
        <v/>
      </c>
      <c r="G212" s="289" t="str">
        <f>Controle!G212</f>
        <v/>
      </c>
      <c r="H212" s="290"/>
      <c r="I212" s="291" t="str">
        <f>Controle!I212</f>
        <v/>
      </c>
      <c r="J212" s="233" t="str">
        <f>Controle!J212</f>
        <v/>
      </c>
      <c r="K212" s="292"/>
      <c r="L212" s="233" t="str">
        <f>Controle!L212</f>
        <v/>
      </c>
      <c r="M212" s="233" t="str">
        <f>Controle!M212</f>
        <v/>
      </c>
      <c r="N212" s="235" t="str">
        <f>Controle!N212</f>
        <v/>
      </c>
      <c r="O212" s="235" t="str">
        <f>Controle!O212</f>
        <v/>
      </c>
      <c r="P212" s="235" t="str">
        <f>Controle!P212</f>
        <v/>
      </c>
      <c r="Q212" s="235" t="str">
        <f>Controle!Q212</f>
        <v/>
      </c>
      <c r="R212" s="293" t="str">
        <f>Controle!R212</f>
        <v/>
      </c>
      <c r="S212" s="287"/>
      <c r="T212" s="233" t="str">
        <f t="shared" ref="T212:U212" si="215">IF(AND(C212&lt;&gt;"",F212&lt;&gt;"",I212&lt;&gt;""), SUM(I212,F212,C212),"")</f>
        <v/>
      </c>
      <c r="U212" s="233" t="str">
        <f t="shared" si="215"/>
        <v/>
      </c>
      <c r="V212" s="233" t="str">
        <f t="shared" si="6"/>
        <v/>
      </c>
      <c r="W212" s="241" t="str">
        <f t="shared" si="9"/>
        <v/>
      </c>
      <c r="X212" s="241" t="str">
        <f t="shared" si="10"/>
        <v/>
      </c>
      <c r="Y212" s="241" t="str">
        <f t="shared" si="19"/>
        <v/>
      </c>
      <c r="Z212" s="233" t="str">
        <f t="shared" si="7"/>
        <v/>
      </c>
      <c r="AA212" s="294"/>
      <c r="AB212" s="245"/>
      <c r="AC212" s="242" t="str">
        <f>IF(ISTEXT(AB212),VLOOKUP(AB212,'Cadastro dos Ativos'!$A$2:$C$1000,3,0),"")</f>
        <v/>
      </c>
      <c r="AD212" s="242" t="str">
        <f>IF(AB212 &lt;&gt; "",SUMIFS('Alocação'!$O$3:$O$1002,'Alocação'!$C$3:$C$1002,AB212,'Alocação'!$F$3:$F$1002,AB$9,'Alocação'!$B$3:$B$1002,"&lt;="&amp;$B$6), "")</f>
        <v/>
      </c>
      <c r="AE212" s="243" t="str">
        <f>iferror(IF(AC212="Ações Americanas", HLOOKUP(AB212,'Histórico'!$A$1:$DD$990,MATCH($B$6,'Histórico'!$A:$A),FALSE)*HLOOKUP("PTAX",'Histórico'!$A$1:$FG$983,MATCH($B$6,'Histórico'!$A:$A),FALSE),IF(AC212="Ações Europeias", HLOOKUP(AB212,'Histórico'!$A$1:$DD$990,MATCH($B$6,'Histórico'!$A:$A),FALSE)*HLOOKUP("EUR/BRL",'Histórico'!$A$1:$FG$983,MATCH($B$6,'Histórico'!$A:$A),FALSE),  HLOOKUP(AB212,'Histórico'!$A$1:$DD$990,MATCH($B$6,'Histórico'!$A:$A),FALSE))),"")</f>
        <v/>
      </c>
      <c r="AF212" s="243" t="str">
        <f t="shared" si="15"/>
        <v/>
      </c>
      <c r="AG212" s="53"/>
      <c r="AH212" s="245"/>
      <c r="AI212" s="242" t="str">
        <f>IF(ISTEXT(AH212),VLOOKUP(AH212,'Cadastro dos Ativos'!$A$2:$C$1000,3,0),"")</f>
        <v/>
      </c>
      <c r="AJ212" s="242" t="str">
        <f>IF(AH212 &lt;&gt; "",SUMIFS('Alocação'!$O$3:$O$1002,'Alocação'!$C$3:$C$1002,AH212,'Alocação'!$F$3:$F$1002,AH$9,'Alocação'!$B$3:$B$1002,"&lt;="&amp;$B$6), "")</f>
        <v/>
      </c>
      <c r="AK212" s="243" t="str">
        <f>iferror(IF(AI212="Ações Americanas", HLOOKUP(AH212,'Histórico'!$A$1:$DD$990,MATCH($B$6,'Histórico'!$A:$A),FALSE)*HLOOKUP("PTAX",'Histórico'!$A$1:$FG$983,MATCH($B$6,'Histórico'!$A:$A),FALSE),IF(AI212="Ações Europeias", HLOOKUP(AH212,'Histórico'!$A$1:$DD$990,MATCH($B$6,'Histórico'!$A:$A),FALSE)*HLOOKUP("EUR/BRL",'Histórico'!$A$1:$FG$983,MATCH($B$6,'Histórico'!$A:$A),FALSE),  HLOOKUP(AH212,'Histórico'!$A$1:$DD$990,MATCH($B$6,'Histórico'!$A:$A),FALSE))),"")</f>
        <v/>
      </c>
      <c r="AL212" s="243" t="str">
        <f t="shared" si="11"/>
        <v/>
      </c>
      <c r="AM212" s="53"/>
      <c r="AN212" s="245"/>
      <c r="AO212" s="242" t="str">
        <f>IF(ISTEXT(AN212),VLOOKUP(AN212,'Cadastro dos Ativos'!$A$2:$C$1000,3,0),"")</f>
        <v/>
      </c>
      <c r="AP212" s="242" t="str">
        <f>IF(AN212 &lt;&gt; "",SUMIFS('Alocação'!$O$3:$O$1002,'Alocação'!$C$3:$C$1002,AN212,'Alocação'!$F$3:$F$1002,AN$9,'Alocação'!$B$3:$B$1002,"&lt;="&amp;$B$6), "")</f>
        <v/>
      </c>
      <c r="AQ212" s="243" t="str">
        <f>iferror(IF(AO212="Ações Americanas", HLOOKUP(AN212,'Histórico'!$A$1:$DD$990,MATCH($B$6,'Histórico'!$A:$A),FALSE)*HLOOKUP("PTAX",'Histórico'!$A$1:$FG$983,MATCH($B$6,'Histórico'!$A:$A),FALSE),IF(AO212="Ações Europeias", HLOOKUP(AN212,'Histórico'!$A$1:$DD$990,MATCH($B$6,'Histórico'!$A:$A),FALSE)*HLOOKUP("EUR/BRL",'Histórico'!$A$1:$FG$983,MATCH($B$6,'Histórico'!$A:$A),FALSE),  HLOOKUP(AN212,'Histórico'!$A$1:$DD$990,MATCH($B$6,'Histórico'!$A:$A),FALSE))),"")</f>
        <v/>
      </c>
      <c r="AR212" s="243" t="str">
        <f t="shared" si="12"/>
        <v/>
      </c>
      <c r="AS212" s="53"/>
      <c r="AT212" s="245"/>
      <c r="AU212" s="242" t="str">
        <f>IF(ISTEXT(AT212),VLOOKUP(AT212,'Cadastro dos Ativos'!$A$2:$C$1000,3,0),"")</f>
        <v/>
      </c>
      <c r="AV212" s="242" t="str">
        <f>IF(AT212 &lt;&gt; "",SUMIFS('Alocação'!$O$3:$O$1002,'Alocação'!$C$3:$C$1002,AT212,'Alocação'!$F$3:$F$1002,AT$9,'Alocação'!$B$3:$B$1002,"&lt;="&amp;$B$6), "")</f>
        <v/>
      </c>
      <c r="AW212" s="243" t="str">
        <f>iferror(IF(AU212="Ações Americanas", HLOOKUP(AT212,'Histórico'!$A$1:$DD$990,MATCH($B$6,'Histórico'!$A:$A),FALSE)*HLOOKUP("PTAX",'Histórico'!$A$1:$FG$983,MATCH($B$6,'Histórico'!$A:$A),FALSE),IF(AU212="Ações Europeias", HLOOKUP(AT212,'Histórico'!$A$1:$DD$990,MATCH($B$6,'Histórico'!$A:$A),FALSE)*HLOOKUP("EUR/BRL",'Histórico'!$A$1:$FG$983,MATCH($B$6,'Histórico'!$A:$A),FALSE),  HLOOKUP(AT212,'Histórico'!$A$1:$DD$990,MATCH($B$6,'Histórico'!$A:$A),FALSE))),"")</f>
        <v/>
      </c>
      <c r="AX212" s="243" t="str">
        <f t="shared" si="13"/>
        <v/>
      </c>
      <c r="AY212" s="53"/>
    </row>
    <row r="213" ht="15.75" customHeight="1">
      <c r="A213" s="176"/>
      <c r="B213" s="288">
        <f>Controle!B213</f>
        <v>45300</v>
      </c>
      <c r="C213" s="233" t="str">
        <f>Controle!C213</f>
        <v/>
      </c>
      <c r="D213" s="289" t="str">
        <f>Controle!D213</f>
        <v/>
      </c>
      <c r="E213" s="290"/>
      <c r="F213" s="291" t="str">
        <f>Controle!F213</f>
        <v/>
      </c>
      <c r="G213" s="289" t="str">
        <f>Controle!G213</f>
        <v/>
      </c>
      <c r="H213" s="290"/>
      <c r="I213" s="291" t="str">
        <f>Controle!I213</f>
        <v/>
      </c>
      <c r="J213" s="233" t="str">
        <f>Controle!J213</f>
        <v/>
      </c>
      <c r="K213" s="292"/>
      <c r="L213" s="233" t="str">
        <f>Controle!L213</f>
        <v/>
      </c>
      <c r="M213" s="233" t="str">
        <f>Controle!M213</f>
        <v/>
      </c>
      <c r="N213" s="235" t="str">
        <f>Controle!N213</f>
        <v/>
      </c>
      <c r="O213" s="235" t="str">
        <f>Controle!O213</f>
        <v/>
      </c>
      <c r="P213" s="235" t="str">
        <f>Controle!P213</f>
        <v/>
      </c>
      <c r="Q213" s="235" t="str">
        <f>Controle!Q213</f>
        <v/>
      </c>
      <c r="R213" s="293" t="str">
        <f>Controle!R213</f>
        <v/>
      </c>
      <c r="S213" s="287"/>
      <c r="T213" s="233" t="str">
        <f t="shared" ref="T213:U213" si="216">IF(AND(C213&lt;&gt;"",F213&lt;&gt;"",I213&lt;&gt;""), SUM(I213,F213,C213),"")</f>
        <v/>
      </c>
      <c r="U213" s="233" t="str">
        <f t="shared" si="216"/>
        <v/>
      </c>
      <c r="V213" s="233" t="str">
        <f t="shared" si="6"/>
        <v/>
      </c>
      <c r="W213" s="241" t="str">
        <f t="shared" si="9"/>
        <v/>
      </c>
      <c r="X213" s="241" t="str">
        <f t="shared" si="10"/>
        <v/>
      </c>
      <c r="Y213" s="241" t="str">
        <f t="shared" si="19"/>
        <v/>
      </c>
      <c r="Z213" s="233" t="str">
        <f t="shared" si="7"/>
        <v/>
      </c>
      <c r="AA213" s="294"/>
      <c r="AB213" s="245"/>
      <c r="AC213" s="242" t="str">
        <f>IF(ISTEXT(AB213),VLOOKUP(AB213,'Cadastro dos Ativos'!$A$2:$C$1000,3,0),"")</f>
        <v/>
      </c>
      <c r="AD213" s="242" t="str">
        <f>IF(AB213 &lt;&gt; "",SUMIFS('Alocação'!$O$3:$O$1002,'Alocação'!$C$3:$C$1002,AB213,'Alocação'!$F$3:$F$1002,AB$9,'Alocação'!$B$3:$B$1002,"&lt;="&amp;$B$6), "")</f>
        <v/>
      </c>
      <c r="AE213" s="243" t="str">
        <f>iferror(IF(AC213="Ações Americanas", HLOOKUP(AB213,'Histórico'!$A$1:$DD$990,MATCH($B$6,'Histórico'!$A:$A),FALSE)*HLOOKUP("PTAX",'Histórico'!$A$1:$FG$983,MATCH($B$6,'Histórico'!$A:$A),FALSE),IF(AC213="Ações Europeias", HLOOKUP(AB213,'Histórico'!$A$1:$DD$990,MATCH($B$6,'Histórico'!$A:$A),FALSE)*HLOOKUP("EUR/BRL",'Histórico'!$A$1:$FG$983,MATCH($B$6,'Histórico'!$A:$A),FALSE),  HLOOKUP(AB213,'Histórico'!$A$1:$DD$990,MATCH($B$6,'Histórico'!$A:$A),FALSE))),"")</f>
        <v/>
      </c>
      <c r="AF213" s="243" t="str">
        <f t="shared" si="15"/>
        <v/>
      </c>
      <c r="AG213" s="53"/>
      <c r="AH213" s="245"/>
      <c r="AI213" s="242" t="str">
        <f>IF(ISTEXT(AH213),VLOOKUP(AH213,'Cadastro dos Ativos'!$A$2:$C$1000,3,0),"")</f>
        <v/>
      </c>
      <c r="AJ213" s="242" t="str">
        <f>IF(AH213 &lt;&gt; "",SUMIFS('Alocação'!$O$3:$O$1002,'Alocação'!$C$3:$C$1002,AH213,'Alocação'!$F$3:$F$1002,AH$9,'Alocação'!$B$3:$B$1002,"&lt;="&amp;$B$6), "")</f>
        <v/>
      </c>
      <c r="AK213" s="243" t="str">
        <f>iferror(IF(AI213="Ações Americanas", HLOOKUP(AH213,'Histórico'!$A$1:$DD$990,MATCH($B$6,'Histórico'!$A:$A),FALSE)*HLOOKUP("PTAX",'Histórico'!$A$1:$FG$983,MATCH($B$6,'Histórico'!$A:$A),FALSE),IF(AI213="Ações Europeias", HLOOKUP(AH213,'Histórico'!$A$1:$DD$990,MATCH($B$6,'Histórico'!$A:$A),FALSE)*HLOOKUP("EUR/BRL",'Histórico'!$A$1:$FG$983,MATCH($B$6,'Histórico'!$A:$A),FALSE),  HLOOKUP(AH213,'Histórico'!$A$1:$DD$990,MATCH($B$6,'Histórico'!$A:$A),FALSE))),"")</f>
        <v/>
      </c>
      <c r="AL213" s="243" t="str">
        <f t="shared" si="11"/>
        <v/>
      </c>
      <c r="AM213" s="53"/>
      <c r="AN213" s="245"/>
      <c r="AO213" s="242" t="str">
        <f>IF(ISTEXT(AN213),VLOOKUP(AN213,'Cadastro dos Ativos'!$A$2:$C$1000,3,0),"")</f>
        <v/>
      </c>
      <c r="AP213" s="242" t="str">
        <f>IF(AN213 &lt;&gt; "",SUMIFS('Alocação'!$O$3:$O$1002,'Alocação'!$C$3:$C$1002,AN213,'Alocação'!$F$3:$F$1002,AN$9,'Alocação'!$B$3:$B$1002,"&lt;="&amp;$B$6), "")</f>
        <v/>
      </c>
      <c r="AQ213" s="243" t="str">
        <f>iferror(IF(AO213="Ações Americanas", HLOOKUP(AN213,'Histórico'!$A$1:$DD$990,MATCH($B$6,'Histórico'!$A:$A),FALSE)*HLOOKUP("PTAX",'Histórico'!$A$1:$FG$983,MATCH($B$6,'Histórico'!$A:$A),FALSE),IF(AO213="Ações Europeias", HLOOKUP(AN213,'Histórico'!$A$1:$DD$990,MATCH($B$6,'Histórico'!$A:$A),FALSE)*HLOOKUP("EUR/BRL",'Histórico'!$A$1:$FG$983,MATCH($B$6,'Histórico'!$A:$A),FALSE),  HLOOKUP(AN213,'Histórico'!$A$1:$DD$990,MATCH($B$6,'Histórico'!$A:$A),FALSE))),"")</f>
        <v/>
      </c>
      <c r="AR213" s="243" t="str">
        <f t="shared" si="12"/>
        <v/>
      </c>
      <c r="AS213" s="53"/>
      <c r="AT213" s="245"/>
      <c r="AU213" s="242" t="str">
        <f>IF(ISTEXT(AT213),VLOOKUP(AT213,'Cadastro dos Ativos'!$A$2:$C$1000,3,0),"")</f>
        <v/>
      </c>
      <c r="AV213" s="242" t="str">
        <f>IF(AT213 &lt;&gt; "",SUMIFS('Alocação'!$O$3:$O$1002,'Alocação'!$C$3:$C$1002,AT213,'Alocação'!$F$3:$F$1002,AT$9,'Alocação'!$B$3:$B$1002,"&lt;="&amp;$B$6), "")</f>
        <v/>
      </c>
      <c r="AW213" s="243" t="str">
        <f>iferror(IF(AU213="Ações Americanas", HLOOKUP(AT213,'Histórico'!$A$1:$DD$990,MATCH($B$6,'Histórico'!$A:$A),FALSE)*HLOOKUP("PTAX",'Histórico'!$A$1:$FG$983,MATCH($B$6,'Histórico'!$A:$A),FALSE),IF(AU213="Ações Europeias", HLOOKUP(AT213,'Histórico'!$A$1:$DD$990,MATCH($B$6,'Histórico'!$A:$A),FALSE)*HLOOKUP("EUR/BRL",'Histórico'!$A$1:$FG$983,MATCH($B$6,'Histórico'!$A:$A),FALSE),  HLOOKUP(AT213,'Histórico'!$A$1:$DD$990,MATCH($B$6,'Histórico'!$A:$A),FALSE))),"")</f>
        <v/>
      </c>
      <c r="AX213" s="243" t="str">
        <f t="shared" si="13"/>
        <v/>
      </c>
      <c r="AY213" s="53"/>
    </row>
    <row r="214" ht="15.75" customHeight="1">
      <c r="A214" s="176"/>
      <c r="B214" s="288">
        <f>Controle!B214</f>
        <v>45301</v>
      </c>
      <c r="C214" s="233" t="str">
        <f>Controle!C214</f>
        <v/>
      </c>
      <c r="D214" s="289" t="str">
        <f>Controle!D214</f>
        <v/>
      </c>
      <c r="E214" s="290"/>
      <c r="F214" s="291" t="str">
        <f>Controle!F214</f>
        <v/>
      </c>
      <c r="G214" s="289" t="str">
        <f>Controle!G214</f>
        <v/>
      </c>
      <c r="H214" s="290"/>
      <c r="I214" s="291" t="str">
        <f>Controle!I214</f>
        <v/>
      </c>
      <c r="J214" s="233" t="str">
        <f>Controle!J214</f>
        <v/>
      </c>
      <c r="K214" s="292"/>
      <c r="L214" s="233" t="str">
        <f>Controle!L214</f>
        <v/>
      </c>
      <c r="M214" s="233" t="str">
        <f>Controle!M214</f>
        <v/>
      </c>
      <c r="N214" s="235" t="str">
        <f>Controle!N214</f>
        <v/>
      </c>
      <c r="O214" s="235" t="str">
        <f>Controle!O214</f>
        <v/>
      </c>
      <c r="P214" s="235" t="str">
        <f>Controle!P214</f>
        <v/>
      </c>
      <c r="Q214" s="235" t="str">
        <f>Controle!Q214</f>
        <v/>
      </c>
      <c r="R214" s="293" t="str">
        <f>Controle!R214</f>
        <v/>
      </c>
      <c r="S214" s="287"/>
      <c r="T214" s="233" t="str">
        <f t="shared" ref="T214:U214" si="217">IF(AND(C214&lt;&gt;"",F214&lt;&gt;"",I214&lt;&gt;""), SUM(I214,F214,C214),"")</f>
        <v/>
      </c>
      <c r="U214" s="233" t="str">
        <f t="shared" si="217"/>
        <v/>
      </c>
      <c r="V214" s="233" t="str">
        <f t="shared" si="6"/>
        <v/>
      </c>
      <c r="W214" s="241" t="str">
        <f t="shared" si="9"/>
        <v/>
      </c>
      <c r="X214" s="241" t="str">
        <f t="shared" si="10"/>
        <v/>
      </c>
      <c r="Y214" s="241" t="str">
        <f t="shared" si="19"/>
        <v/>
      </c>
      <c r="Z214" s="233" t="str">
        <f t="shared" si="7"/>
        <v/>
      </c>
      <c r="AA214" s="294"/>
      <c r="AB214" s="245"/>
      <c r="AC214" s="242" t="str">
        <f>IF(ISTEXT(AB214),VLOOKUP(AB214,'Cadastro dos Ativos'!$A$2:$C$1000,3,0),"")</f>
        <v/>
      </c>
      <c r="AD214" s="242" t="str">
        <f>IF(AB214 &lt;&gt; "",SUMIFS('Alocação'!$O$3:$O$1002,'Alocação'!$C$3:$C$1002,AB214,'Alocação'!$F$3:$F$1002,AB$9,'Alocação'!$B$3:$B$1002,"&lt;="&amp;$B$6), "")</f>
        <v/>
      </c>
      <c r="AE214" s="243" t="str">
        <f>iferror(IF(AC214="Ações Americanas", HLOOKUP(AB214,'Histórico'!$A$1:$DD$990,MATCH($B$6,'Histórico'!$A:$A),FALSE)*HLOOKUP("PTAX",'Histórico'!$A$1:$FG$983,MATCH($B$6,'Histórico'!$A:$A),FALSE),IF(AC214="Ações Europeias", HLOOKUP(AB214,'Histórico'!$A$1:$DD$990,MATCH($B$6,'Histórico'!$A:$A),FALSE)*HLOOKUP("EUR/BRL",'Histórico'!$A$1:$FG$983,MATCH($B$6,'Histórico'!$A:$A),FALSE),  HLOOKUP(AB214,'Histórico'!$A$1:$DD$990,MATCH($B$6,'Histórico'!$A:$A),FALSE))),"")</f>
        <v/>
      </c>
      <c r="AF214" s="243" t="str">
        <f t="shared" si="15"/>
        <v/>
      </c>
      <c r="AG214" s="53"/>
      <c r="AH214" s="245"/>
      <c r="AI214" s="242" t="str">
        <f>IF(ISTEXT(AH214),VLOOKUP(AH214,'Cadastro dos Ativos'!$A$2:$C$1000,3,0),"")</f>
        <v/>
      </c>
      <c r="AJ214" s="242" t="str">
        <f>IF(AH214 &lt;&gt; "",SUMIFS('Alocação'!$O$3:$O$1002,'Alocação'!$C$3:$C$1002,AH214,'Alocação'!$F$3:$F$1002,AH$9,'Alocação'!$B$3:$B$1002,"&lt;="&amp;$B$6), "")</f>
        <v/>
      </c>
      <c r="AK214" s="243" t="str">
        <f>iferror(IF(AI214="Ações Americanas", HLOOKUP(AH214,'Histórico'!$A$1:$DD$990,MATCH($B$6,'Histórico'!$A:$A),FALSE)*HLOOKUP("PTAX",'Histórico'!$A$1:$FG$983,MATCH($B$6,'Histórico'!$A:$A),FALSE),IF(AI214="Ações Europeias", HLOOKUP(AH214,'Histórico'!$A$1:$DD$990,MATCH($B$6,'Histórico'!$A:$A),FALSE)*HLOOKUP("EUR/BRL",'Histórico'!$A$1:$FG$983,MATCH($B$6,'Histórico'!$A:$A),FALSE),  HLOOKUP(AH214,'Histórico'!$A$1:$DD$990,MATCH($B$6,'Histórico'!$A:$A),FALSE))),"")</f>
        <v/>
      </c>
      <c r="AL214" s="243" t="str">
        <f t="shared" si="11"/>
        <v/>
      </c>
      <c r="AM214" s="53"/>
      <c r="AN214" s="245"/>
      <c r="AO214" s="242" t="str">
        <f>IF(ISTEXT(AN214),VLOOKUP(AN214,'Cadastro dos Ativos'!$A$2:$C$1000,3,0),"")</f>
        <v/>
      </c>
      <c r="AP214" s="242" t="str">
        <f>IF(AN214 &lt;&gt; "",SUMIFS('Alocação'!$O$3:$O$1002,'Alocação'!$C$3:$C$1002,AN214,'Alocação'!$F$3:$F$1002,AN$9,'Alocação'!$B$3:$B$1002,"&lt;="&amp;$B$6), "")</f>
        <v/>
      </c>
      <c r="AQ214" s="243" t="str">
        <f>iferror(IF(AO214="Ações Americanas", HLOOKUP(AN214,'Histórico'!$A$1:$DD$990,MATCH($B$6,'Histórico'!$A:$A),FALSE)*HLOOKUP("PTAX",'Histórico'!$A$1:$FG$983,MATCH($B$6,'Histórico'!$A:$A),FALSE),IF(AO214="Ações Europeias", HLOOKUP(AN214,'Histórico'!$A$1:$DD$990,MATCH($B$6,'Histórico'!$A:$A),FALSE)*HLOOKUP("EUR/BRL",'Histórico'!$A$1:$FG$983,MATCH($B$6,'Histórico'!$A:$A),FALSE),  HLOOKUP(AN214,'Histórico'!$A$1:$DD$990,MATCH($B$6,'Histórico'!$A:$A),FALSE))),"")</f>
        <v/>
      </c>
      <c r="AR214" s="243" t="str">
        <f t="shared" si="12"/>
        <v/>
      </c>
      <c r="AS214" s="53"/>
      <c r="AT214" s="245"/>
      <c r="AU214" s="242" t="str">
        <f>IF(ISTEXT(AT214),VLOOKUP(AT214,'Cadastro dos Ativos'!$A$2:$C$1000,3,0),"")</f>
        <v/>
      </c>
      <c r="AV214" s="242" t="str">
        <f>IF(AT214 &lt;&gt; "",SUMIFS('Alocação'!$O$3:$O$1002,'Alocação'!$C$3:$C$1002,AT214,'Alocação'!$F$3:$F$1002,AT$9,'Alocação'!$B$3:$B$1002,"&lt;="&amp;$B$6), "")</f>
        <v/>
      </c>
      <c r="AW214" s="243" t="str">
        <f>iferror(IF(AU214="Ações Americanas", HLOOKUP(AT214,'Histórico'!$A$1:$DD$990,MATCH($B$6,'Histórico'!$A:$A),FALSE)*HLOOKUP("PTAX",'Histórico'!$A$1:$FG$983,MATCH($B$6,'Histórico'!$A:$A),FALSE),IF(AU214="Ações Europeias", HLOOKUP(AT214,'Histórico'!$A$1:$DD$990,MATCH($B$6,'Histórico'!$A:$A),FALSE)*HLOOKUP("EUR/BRL",'Histórico'!$A$1:$FG$983,MATCH($B$6,'Histórico'!$A:$A),FALSE),  HLOOKUP(AT214,'Histórico'!$A$1:$DD$990,MATCH($B$6,'Histórico'!$A:$A),FALSE))),"")</f>
        <v/>
      </c>
      <c r="AX214" s="243" t="str">
        <f t="shared" si="13"/>
        <v/>
      </c>
      <c r="AY214" s="53"/>
    </row>
    <row r="215" ht="15.75" customHeight="1">
      <c r="A215" s="176"/>
      <c r="B215" s="288">
        <f>Controle!B215</f>
        <v>45302</v>
      </c>
      <c r="C215" s="233" t="str">
        <f>Controle!C215</f>
        <v/>
      </c>
      <c r="D215" s="289" t="str">
        <f>Controle!D215</f>
        <v/>
      </c>
      <c r="E215" s="290"/>
      <c r="F215" s="291" t="str">
        <f>Controle!F215</f>
        <v/>
      </c>
      <c r="G215" s="289" t="str">
        <f>Controle!G215</f>
        <v/>
      </c>
      <c r="H215" s="290"/>
      <c r="I215" s="291" t="str">
        <f>Controle!I215</f>
        <v/>
      </c>
      <c r="J215" s="233" t="str">
        <f>Controle!J215</f>
        <v/>
      </c>
      <c r="K215" s="292"/>
      <c r="L215" s="233" t="str">
        <f>Controle!L215</f>
        <v/>
      </c>
      <c r="M215" s="233" t="str">
        <f>Controle!M215</f>
        <v/>
      </c>
      <c r="N215" s="235" t="str">
        <f>Controle!N215</f>
        <v/>
      </c>
      <c r="O215" s="235" t="str">
        <f>Controle!O215</f>
        <v/>
      </c>
      <c r="P215" s="235" t="str">
        <f>Controle!P215</f>
        <v/>
      </c>
      <c r="Q215" s="235" t="str">
        <f>Controle!Q215</f>
        <v/>
      </c>
      <c r="R215" s="293" t="str">
        <f>Controle!R215</f>
        <v/>
      </c>
      <c r="S215" s="287"/>
      <c r="T215" s="233" t="str">
        <f t="shared" ref="T215:U215" si="218">IF(AND(C215&lt;&gt;"",F215&lt;&gt;"",I215&lt;&gt;""), SUM(I215,F215,C215),"")</f>
        <v/>
      </c>
      <c r="U215" s="233" t="str">
        <f t="shared" si="218"/>
        <v/>
      </c>
      <c r="V215" s="233" t="str">
        <f t="shared" si="6"/>
        <v/>
      </c>
      <c r="W215" s="241" t="str">
        <f t="shared" si="9"/>
        <v/>
      </c>
      <c r="X215" s="241" t="str">
        <f t="shared" si="10"/>
        <v/>
      </c>
      <c r="Y215" s="241" t="str">
        <f t="shared" si="19"/>
        <v/>
      </c>
      <c r="Z215" s="233" t="str">
        <f t="shared" si="7"/>
        <v/>
      </c>
      <c r="AA215" s="294"/>
      <c r="AB215" s="245"/>
      <c r="AC215" s="242" t="str">
        <f>IF(ISTEXT(AB215),VLOOKUP(AB215,'Cadastro dos Ativos'!$A$2:$C$1000,3,0),"")</f>
        <v/>
      </c>
      <c r="AD215" s="242" t="str">
        <f>IF(AB215 &lt;&gt; "",SUMIFS('Alocação'!$O$3:$O$1002,'Alocação'!$C$3:$C$1002,AB215,'Alocação'!$F$3:$F$1002,AB$9,'Alocação'!$B$3:$B$1002,"&lt;="&amp;$B$6), "")</f>
        <v/>
      </c>
      <c r="AE215" s="243" t="str">
        <f>iferror(IF(AC215="Ações Americanas", HLOOKUP(AB215,'Histórico'!$A$1:$DD$990,MATCH($B$6,'Histórico'!$A:$A),FALSE)*HLOOKUP("PTAX",'Histórico'!$A$1:$FG$983,MATCH($B$6,'Histórico'!$A:$A),FALSE),IF(AC215="Ações Europeias", HLOOKUP(AB215,'Histórico'!$A$1:$DD$990,MATCH($B$6,'Histórico'!$A:$A),FALSE)*HLOOKUP("EUR/BRL",'Histórico'!$A$1:$FG$983,MATCH($B$6,'Histórico'!$A:$A),FALSE),  HLOOKUP(AB215,'Histórico'!$A$1:$DD$990,MATCH($B$6,'Histórico'!$A:$A),FALSE))),"")</f>
        <v/>
      </c>
      <c r="AF215" s="243" t="str">
        <f t="shared" si="15"/>
        <v/>
      </c>
      <c r="AG215" s="53"/>
      <c r="AH215" s="245"/>
      <c r="AI215" s="242" t="str">
        <f>IF(ISTEXT(AH215),VLOOKUP(AH215,'Cadastro dos Ativos'!$A$2:$C$1000,3,0),"")</f>
        <v/>
      </c>
      <c r="AJ215" s="242" t="str">
        <f>IF(AH215 &lt;&gt; "",SUMIFS('Alocação'!$O$3:$O$1002,'Alocação'!$C$3:$C$1002,AH215,'Alocação'!$F$3:$F$1002,AH$9,'Alocação'!$B$3:$B$1002,"&lt;="&amp;$B$6), "")</f>
        <v/>
      </c>
      <c r="AK215" s="243" t="str">
        <f>iferror(IF(AI215="Ações Americanas", HLOOKUP(AH215,'Histórico'!$A$1:$DD$990,MATCH($B$6,'Histórico'!$A:$A),FALSE)*HLOOKUP("PTAX",'Histórico'!$A$1:$FG$983,MATCH($B$6,'Histórico'!$A:$A),FALSE),IF(AI215="Ações Europeias", HLOOKUP(AH215,'Histórico'!$A$1:$DD$990,MATCH($B$6,'Histórico'!$A:$A),FALSE)*HLOOKUP("EUR/BRL",'Histórico'!$A$1:$FG$983,MATCH($B$6,'Histórico'!$A:$A),FALSE),  HLOOKUP(AH215,'Histórico'!$A$1:$DD$990,MATCH($B$6,'Histórico'!$A:$A),FALSE))),"")</f>
        <v/>
      </c>
      <c r="AL215" s="243" t="str">
        <f t="shared" si="11"/>
        <v/>
      </c>
      <c r="AM215" s="53"/>
      <c r="AN215" s="245"/>
      <c r="AO215" s="242" t="str">
        <f>IF(ISTEXT(AN215),VLOOKUP(AN215,'Cadastro dos Ativos'!$A$2:$C$1000,3,0),"")</f>
        <v/>
      </c>
      <c r="AP215" s="242" t="str">
        <f>IF(AN215 &lt;&gt; "",SUMIFS('Alocação'!$O$3:$O$1002,'Alocação'!$C$3:$C$1002,AN215,'Alocação'!$F$3:$F$1002,AN$9,'Alocação'!$B$3:$B$1002,"&lt;="&amp;$B$6), "")</f>
        <v/>
      </c>
      <c r="AQ215" s="243" t="str">
        <f>iferror(IF(AO215="Ações Americanas", HLOOKUP(AN215,'Histórico'!$A$1:$DD$990,MATCH($B$6,'Histórico'!$A:$A),FALSE)*HLOOKUP("PTAX",'Histórico'!$A$1:$FG$983,MATCH($B$6,'Histórico'!$A:$A),FALSE),IF(AO215="Ações Europeias", HLOOKUP(AN215,'Histórico'!$A$1:$DD$990,MATCH($B$6,'Histórico'!$A:$A),FALSE)*HLOOKUP("EUR/BRL",'Histórico'!$A$1:$FG$983,MATCH($B$6,'Histórico'!$A:$A),FALSE),  HLOOKUP(AN215,'Histórico'!$A$1:$DD$990,MATCH($B$6,'Histórico'!$A:$A),FALSE))),"")</f>
        <v/>
      </c>
      <c r="AR215" s="243" t="str">
        <f t="shared" si="12"/>
        <v/>
      </c>
      <c r="AS215" s="53"/>
      <c r="AT215" s="245"/>
      <c r="AU215" s="242" t="str">
        <f>IF(ISTEXT(AT215),VLOOKUP(AT215,'Cadastro dos Ativos'!$A$2:$C$1000,3,0),"")</f>
        <v/>
      </c>
      <c r="AV215" s="242" t="str">
        <f>IF(AT215 &lt;&gt; "",SUMIFS('Alocação'!$O$3:$O$1002,'Alocação'!$C$3:$C$1002,AT215,'Alocação'!$F$3:$F$1002,AT$9,'Alocação'!$B$3:$B$1002,"&lt;="&amp;$B$6), "")</f>
        <v/>
      </c>
      <c r="AW215" s="243" t="str">
        <f>iferror(IF(AU215="Ações Americanas", HLOOKUP(AT215,'Histórico'!$A$1:$DD$990,MATCH($B$6,'Histórico'!$A:$A),FALSE)*HLOOKUP("PTAX",'Histórico'!$A$1:$FG$983,MATCH($B$6,'Histórico'!$A:$A),FALSE),IF(AU215="Ações Europeias", HLOOKUP(AT215,'Histórico'!$A$1:$DD$990,MATCH($B$6,'Histórico'!$A:$A),FALSE)*HLOOKUP("EUR/BRL",'Histórico'!$A$1:$FG$983,MATCH($B$6,'Histórico'!$A:$A),FALSE),  HLOOKUP(AT215,'Histórico'!$A$1:$DD$990,MATCH($B$6,'Histórico'!$A:$A),FALSE))),"")</f>
        <v/>
      </c>
      <c r="AX215" s="243" t="str">
        <f t="shared" si="13"/>
        <v/>
      </c>
      <c r="AY215" s="53"/>
    </row>
    <row r="216" ht="15.75" customHeight="1">
      <c r="A216" s="176"/>
      <c r="B216" s="288">
        <f>Controle!B216</f>
        <v>45303</v>
      </c>
      <c r="C216" s="233" t="str">
        <f>Controle!C216</f>
        <v/>
      </c>
      <c r="D216" s="289" t="str">
        <f>Controle!D216</f>
        <v/>
      </c>
      <c r="E216" s="290"/>
      <c r="F216" s="291" t="str">
        <f>Controle!F216</f>
        <v/>
      </c>
      <c r="G216" s="289" t="str">
        <f>Controle!G216</f>
        <v/>
      </c>
      <c r="H216" s="290"/>
      <c r="I216" s="291" t="str">
        <f>Controle!I216</f>
        <v/>
      </c>
      <c r="J216" s="233" t="str">
        <f>Controle!J216</f>
        <v/>
      </c>
      <c r="K216" s="292"/>
      <c r="L216" s="233" t="str">
        <f>Controle!L216</f>
        <v/>
      </c>
      <c r="M216" s="233" t="str">
        <f>Controle!M216</f>
        <v/>
      </c>
      <c r="N216" s="235" t="str">
        <f>Controle!N216</f>
        <v/>
      </c>
      <c r="O216" s="235" t="str">
        <f>Controle!O216</f>
        <v/>
      </c>
      <c r="P216" s="235" t="str">
        <f>Controle!P216</f>
        <v/>
      </c>
      <c r="Q216" s="235" t="str">
        <f>Controle!Q216</f>
        <v/>
      </c>
      <c r="R216" s="293" t="str">
        <f>Controle!R216</f>
        <v/>
      </c>
      <c r="S216" s="287"/>
      <c r="T216" s="233" t="str">
        <f t="shared" ref="T216:U216" si="219">IF(AND(C216&lt;&gt;"",F216&lt;&gt;"",I216&lt;&gt;""), SUM(I216,F216,C216),"")</f>
        <v/>
      </c>
      <c r="U216" s="233" t="str">
        <f t="shared" si="219"/>
        <v/>
      </c>
      <c r="V216" s="233" t="str">
        <f t="shared" si="6"/>
        <v/>
      </c>
      <c r="W216" s="241" t="str">
        <f t="shared" si="9"/>
        <v/>
      </c>
      <c r="X216" s="241" t="str">
        <f t="shared" si="10"/>
        <v/>
      </c>
      <c r="Y216" s="241" t="str">
        <f t="shared" si="19"/>
        <v/>
      </c>
      <c r="Z216" s="233" t="str">
        <f t="shared" si="7"/>
        <v/>
      </c>
      <c r="AA216" s="294"/>
      <c r="AB216" s="245"/>
      <c r="AC216" s="242" t="str">
        <f>IF(ISTEXT(AB216),VLOOKUP(AB216,'Cadastro dos Ativos'!$A$2:$C$1000,3,0),"")</f>
        <v/>
      </c>
      <c r="AD216" s="242" t="str">
        <f>IF(AB216 &lt;&gt; "",SUMIFS('Alocação'!$O$3:$O$1002,'Alocação'!$C$3:$C$1002,AB216,'Alocação'!$F$3:$F$1002,AB$9,'Alocação'!$B$3:$B$1002,"&lt;="&amp;$B$6), "")</f>
        <v/>
      </c>
      <c r="AE216" s="243" t="str">
        <f>iferror(IF(AC216="Ações Americanas", HLOOKUP(AB216,'Histórico'!$A$1:$DD$990,MATCH($B$6,'Histórico'!$A:$A),FALSE)*HLOOKUP("PTAX",'Histórico'!$A$1:$FG$983,MATCH($B$6,'Histórico'!$A:$A),FALSE),IF(AC216="Ações Europeias", HLOOKUP(AB216,'Histórico'!$A$1:$DD$990,MATCH($B$6,'Histórico'!$A:$A),FALSE)*HLOOKUP("EUR/BRL",'Histórico'!$A$1:$FG$983,MATCH($B$6,'Histórico'!$A:$A),FALSE),  HLOOKUP(AB216,'Histórico'!$A$1:$DD$990,MATCH($B$6,'Histórico'!$A:$A),FALSE))),"")</f>
        <v/>
      </c>
      <c r="AF216" s="243" t="str">
        <f t="shared" si="15"/>
        <v/>
      </c>
      <c r="AG216" s="53"/>
      <c r="AH216" s="245"/>
      <c r="AI216" s="242" t="str">
        <f>IF(ISTEXT(AH216),VLOOKUP(AH216,'Cadastro dos Ativos'!$A$2:$C$1000,3,0),"")</f>
        <v/>
      </c>
      <c r="AJ216" s="242" t="str">
        <f>IF(AH216 &lt;&gt; "",SUMIFS('Alocação'!$O$3:$O$1002,'Alocação'!$C$3:$C$1002,AH216,'Alocação'!$F$3:$F$1002,AH$9,'Alocação'!$B$3:$B$1002,"&lt;="&amp;$B$6), "")</f>
        <v/>
      </c>
      <c r="AK216" s="243" t="str">
        <f>iferror(IF(AI216="Ações Americanas", HLOOKUP(AH216,'Histórico'!$A$1:$DD$990,MATCH($B$6,'Histórico'!$A:$A),FALSE)*HLOOKUP("PTAX",'Histórico'!$A$1:$FG$983,MATCH($B$6,'Histórico'!$A:$A),FALSE),IF(AI216="Ações Europeias", HLOOKUP(AH216,'Histórico'!$A$1:$DD$990,MATCH($B$6,'Histórico'!$A:$A),FALSE)*HLOOKUP("EUR/BRL",'Histórico'!$A$1:$FG$983,MATCH($B$6,'Histórico'!$A:$A),FALSE),  HLOOKUP(AH216,'Histórico'!$A$1:$DD$990,MATCH($B$6,'Histórico'!$A:$A),FALSE))),"")</f>
        <v/>
      </c>
      <c r="AL216" s="243" t="str">
        <f t="shared" si="11"/>
        <v/>
      </c>
      <c r="AM216" s="53"/>
      <c r="AN216" s="245"/>
      <c r="AO216" s="242" t="str">
        <f>IF(ISTEXT(AN216),VLOOKUP(AN216,'Cadastro dos Ativos'!$A$2:$C$1000,3,0),"")</f>
        <v/>
      </c>
      <c r="AP216" s="242" t="str">
        <f>IF(AN216 &lt;&gt; "",SUMIFS('Alocação'!$O$3:$O$1002,'Alocação'!$C$3:$C$1002,AN216,'Alocação'!$F$3:$F$1002,AN$9,'Alocação'!$B$3:$B$1002,"&lt;="&amp;$B$6), "")</f>
        <v/>
      </c>
      <c r="AQ216" s="243" t="str">
        <f>iferror(IF(AO216="Ações Americanas", HLOOKUP(AN216,'Histórico'!$A$1:$DD$990,MATCH($B$6,'Histórico'!$A:$A),FALSE)*HLOOKUP("PTAX",'Histórico'!$A$1:$FG$983,MATCH($B$6,'Histórico'!$A:$A),FALSE),IF(AO216="Ações Europeias", HLOOKUP(AN216,'Histórico'!$A$1:$DD$990,MATCH($B$6,'Histórico'!$A:$A),FALSE)*HLOOKUP("EUR/BRL",'Histórico'!$A$1:$FG$983,MATCH($B$6,'Histórico'!$A:$A),FALSE),  HLOOKUP(AN216,'Histórico'!$A$1:$DD$990,MATCH($B$6,'Histórico'!$A:$A),FALSE))),"")</f>
        <v/>
      </c>
      <c r="AR216" s="243" t="str">
        <f t="shared" si="12"/>
        <v/>
      </c>
      <c r="AS216" s="53"/>
      <c r="AT216" s="245"/>
      <c r="AU216" s="242" t="str">
        <f>IF(ISTEXT(AT216),VLOOKUP(AT216,'Cadastro dos Ativos'!$A$2:$C$1000,3,0),"")</f>
        <v/>
      </c>
      <c r="AV216" s="242" t="str">
        <f>IF(AT216 &lt;&gt; "",SUMIFS('Alocação'!$O$3:$O$1002,'Alocação'!$C$3:$C$1002,AT216,'Alocação'!$F$3:$F$1002,AT$9,'Alocação'!$B$3:$B$1002,"&lt;="&amp;$B$6), "")</f>
        <v/>
      </c>
      <c r="AW216" s="243" t="str">
        <f>iferror(IF(AU216="Ações Americanas", HLOOKUP(AT216,'Histórico'!$A$1:$DD$990,MATCH($B$6,'Histórico'!$A:$A),FALSE)*HLOOKUP("PTAX",'Histórico'!$A$1:$FG$983,MATCH($B$6,'Histórico'!$A:$A),FALSE),IF(AU216="Ações Europeias", HLOOKUP(AT216,'Histórico'!$A$1:$DD$990,MATCH($B$6,'Histórico'!$A:$A),FALSE)*HLOOKUP("EUR/BRL",'Histórico'!$A$1:$FG$983,MATCH($B$6,'Histórico'!$A:$A),FALSE),  HLOOKUP(AT216,'Histórico'!$A$1:$DD$990,MATCH($B$6,'Histórico'!$A:$A),FALSE))),"")</f>
        <v/>
      </c>
      <c r="AX216" s="243" t="str">
        <f t="shared" si="13"/>
        <v/>
      </c>
      <c r="AY216" s="53"/>
    </row>
    <row r="217" ht="15.75" customHeight="1">
      <c r="A217" s="176"/>
      <c r="B217" s="288">
        <f>Controle!B217</f>
        <v>45304</v>
      </c>
      <c r="C217" s="233" t="str">
        <f>Controle!C217</f>
        <v/>
      </c>
      <c r="D217" s="289" t="str">
        <f>Controle!D217</f>
        <v/>
      </c>
      <c r="E217" s="290"/>
      <c r="F217" s="291" t="str">
        <f>Controle!F217</f>
        <v/>
      </c>
      <c r="G217" s="289" t="str">
        <f>Controle!G217</f>
        <v/>
      </c>
      <c r="H217" s="290"/>
      <c r="I217" s="291" t="str">
        <f>Controle!I217</f>
        <v/>
      </c>
      <c r="J217" s="233" t="str">
        <f>Controle!J217</f>
        <v/>
      </c>
      <c r="K217" s="292"/>
      <c r="L217" s="233" t="str">
        <f>Controle!L217</f>
        <v/>
      </c>
      <c r="M217" s="233" t="str">
        <f>Controle!M217</f>
        <v/>
      </c>
      <c r="N217" s="235" t="str">
        <f>Controle!N217</f>
        <v/>
      </c>
      <c r="O217" s="235" t="str">
        <f>Controle!O217</f>
        <v/>
      </c>
      <c r="P217" s="235" t="str">
        <f>Controle!P217</f>
        <v/>
      </c>
      <c r="Q217" s="235" t="str">
        <f>Controle!Q217</f>
        <v/>
      </c>
      <c r="R217" s="293" t="str">
        <f>Controle!R217</f>
        <v/>
      </c>
      <c r="S217" s="287"/>
      <c r="T217" s="233" t="str">
        <f t="shared" ref="T217:U217" si="220">IF(AND(C217&lt;&gt;"",F217&lt;&gt;"",I217&lt;&gt;""), SUM(I217,F217,C217),"")</f>
        <v/>
      </c>
      <c r="U217" s="233" t="str">
        <f t="shared" si="220"/>
        <v/>
      </c>
      <c r="V217" s="233" t="str">
        <f t="shared" si="6"/>
        <v/>
      </c>
      <c r="W217" s="241" t="str">
        <f t="shared" si="9"/>
        <v/>
      </c>
      <c r="X217" s="241" t="str">
        <f t="shared" si="10"/>
        <v/>
      </c>
      <c r="Y217" s="241" t="str">
        <f t="shared" si="19"/>
        <v/>
      </c>
      <c r="Z217" s="233" t="str">
        <f t="shared" si="7"/>
        <v/>
      </c>
      <c r="AA217" s="294"/>
      <c r="AB217" s="245"/>
      <c r="AC217" s="242" t="str">
        <f>IF(ISTEXT(AB217),VLOOKUP(AB217,'Cadastro dos Ativos'!$A$2:$C$1000,3,0),"")</f>
        <v/>
      </c>
      <c r="AD217" s="242" t="str">
        <f>IF(AB217 &lt;&gt; "",SUMIFS('Alocação'!$O$3:$O$1002,'Alocação'!$C$3:$C$1002,AB217,'Alocação'!$F$3:$F$1002,AB$9,'Alocação'!$B$3:$B$1002,"&lt;="&amp;$B$6), "")</f>
        <v/>
      </c>
      <c r="AE217" s="243" t="str">
        <f>iferror(IF(AC217="Ações Americanas", HLOOKUP(AB217,'Histórico'!$A$1:$DD$990,MATCH($B$6,'Histórico'!$A:$A),FALSE)*HLOOKUP("PTAX",'Histórico'!$A$1:$FG$983,MATCH($B$6,'Histórico'!$A:$A),FALSE),IF(AC217="Ações Europeias", HLOOKUP(AB217,'Histórico'!$A$1:$DD$990,MATCH($B$6,'Histórico'!$A:$A),FALSE)*HLOOKUP("EUR/BRL",'Histórico'!$A$1:$FG$983,MATCH($B$6,'Histórico'!$A:$A),FALSE),  HLOOKUP(AB217,'Histórico'!$A$1:$DD$990,MATCH($B$6,'Histórico'!$A:$A),FALSE))),"")</f>
        <v/>
      </c>
      <c r="AF217" s="243" t="str">
        <f t="shared" si="15"/>
        <v/>
      </c>
      <c r="AG217" s="53"/>
      <c r="AH217" s="245"/>
      <c r="AI217" s="242" t="str">
        <f>IF(ISTEXT(AH217),VLOOKUP(AH217,'Cadastro dos Ativos'!$A$2:$C$1000,3,0),"")</f>
        <v/>
      </c>
      <c r="AJ217" s="242" t="str">
        <f>IF(AH217 &lt;&gt; "",SUMIFS('Alocação'!$O$3:$O$1002,'Alocação'!$C$3:$C$1002,AH217,'Alocação'!$F$3:$F$1002,AH$9,'Alocação'!$B$3:$B$1002,"&lt;="&amp;$B$6), "")</f>
        <v/>
      </c>
      <c r="AK217" s="243" t="str">
        <f>iferror(IF(AI217="Ações Americanas", HLOOKUP(AH217,'Histórico'!$A$1:$DD$990,MATCH($B$6,'Histórico'!$A:$A),FALSE)*HLOOKUP("PTAX",'Histórico'!$A$1:$FG$983,MATCH($B$6,'Histórico'!$A:$A),FALSE),IF(AI217="Ações Europeias", HLOOKUP(AH217,'Histórico'!$A$1:$DD$990,MATCH($B$6,'Histórico'!$A:$A),FALSE)*HLOOKUP("EUR/BRL",'Histórico'!$A$1:$FG$983,MATCH($B$6,'Histórico'!$A:$A),FALSE),  HLOOKUP(AH217,'Histórico'!$A$1:$DD$990,MATCH($B$6,'Histórico'!$A:$A),FALSE))),"")</f>
        <v/>
      </c>
      <c r="AL217" s="243" t="str">
        <f t="shared" si="11"/>
        <v/>
      </c>
      <c r="AM217" s="53"/>
      <c r="AN217" s="245"/>
      <c r="AO217" s="242" t="str">
        <f>IF(ISTEXT(AN217),VLOOKUP(AN217,'Cadastro dos Ativos'!$A$2:$C$1000,3,0),"")</f>
        <v/>
      </c>
      <c r="AP217" s="242" t="str">
        <f>IF(AN217 &lt;&gt; "",SUMIFS('Alocação'!$O$3:$O$1002,'Alocação'!$C$3:$C$1002,AN217,'Alocação'!$F$3:$F$1002,AN$9,'Alocação'!$B$3:$B$1002,"&lt;="&amp;$B$6), "")</f>
        <v/>
      </c>
      <c r="AQ217" s="243" t="str">
        <f>iferror(IF(AO217="Ações Americanas", HLOOKUP(AN217,'Histórico'!$A$1:$DD$990,MATCH($B$6,'Histórico'!$A:$A),FALSE)*HLOOKUP("PTAX",'Histórico'!$A$1:$FG$983,MATCH($B$6,'Histórico'!$A:$A),FALSE),IF(AO217="Ações Europeias", HLOOKUP(AN217,'Histórico'!$A$1:$DD$990,MATCH($B$6,'Histórico'!$A:$A),FALSE)*HLOOKUP("EUR/BRL",'Histórico'!$A$1:$FG$983,MATCH($B$6,'Histórico'!$A:$A),FALSE),  HLOOKUP(AN217,'Histórico'!$A$1:$DD$990,MATCH($B$6,'Histórico'!$A:$A),FALSE))),"")</f>
        <v/>
      </c>
      <c r="AR217" s="243" t="str">
        <f t="shared" si="12"/>
        <v/>
      </c>
      <c r="AS217" s="53"/>
      <c r="AT217" s="245"/>
      <c r="AU217" s="242" t="str">
        <f>IF(ISTEXT(AT217),VLOOKUP(AT217,'Cadastro dos Ativos'!$A$2:$C$1000,3,0),"")</f>
        <v/>
      </c>
      <c r="AV217" s="242" t="str">
        <f>IF(AT217 &lt;&gt; "",SUMIFS('Alocação'!$O$3:$O$1002,'Alocação'!$C$3:$C$1002,AT217,'Alocação'!$F$3:$F$1002,AT$9,'Alocação'!$B$3:$B$1002,"&lt;="&amp;$B$6), "")</f>
        <v/>
      </c>
      <c r="AW217" s="243" t="str">
        <f>iferror(IF(AU217="Ações Americanas", HLOOKUP(AT217,'Histórico'!$A$1:$DD$990,MATCH($B$6,'Histórico'!$A:$A),FALSE)*HLOOKUP("PTAX",'Histórico'!$A$1:$FG$983,MATCH($B$6,'Histórico'!$A:$A),FALSE),IF(AU217="Ações Europeias", HLOOKUP(AT217,'Histórico'!$A$1:$DD$990,MATCH($B$6,'Histórico'!$A:$A),FALSE)*HLOOKUP("EUR/BRL",'Histórico'!$A$1:$FG$983,MATCH($B$6,'Histórico'!$A:$A),FALSE),  HLOOKUP(AT217,'Histórico'!$A$1:$DD$990,MATCH($B$6,'Histórico'!$A:$A),FALSE))),"")</f>
        <v/>
      </c>
      <c r="AX217" s="243" t="str">
        <f t="shared" si="13"/>
        <v/>
      </c>
      <c r="AY217" s="53"/>
    </row>
    <row r="218" ht="15.75" customHeight="1">
      <c r="A218" s="176"/>
      <c r="B218" s="288">
        <f>Controle!B218</f>
        <v>45305</v>
      </c>
      <c r="C218" s="233" t="str">
        <f>Controle!C218</f>
        <v/>
      </c>
      <c r="D218" s="289" t="str">
        <f>Controle!D218</f>
        <v/>
      </c>
      <c r="E218" s="290"/>
      <c r="F218" s="291" t="str">
        <f>Controle!F218</f>
        <v/>
      </c>
      <c r="G218" s="289" t="str">
        <f>Controle!G218</f>
        <v/>
      </c>
      <c r="H218" s="290"/>
      <c r="I218" s="291" t="str">
        <f>Controle!I218</f>
        <v/>
      </c>
      <c r="J218" s="233" t="str">
        <f>Controle!J218</f>
        <v/>
      </c>
      <c r="K218" s="292"/>
      <c r="L218" s="233" t="str">
        <f>Controle!L218</f>
        <v/>
      </c>
      <c r="M218" s="233" t="str">
        <f>Controle!M218</f>
        <v/>
      </c>
      <c r="N218" s="235" t="str">
        <f>Controle!N218</f>
        <v/>
      </c>
      <c r="O218" s="235" t="str">
        <f>Controle!O218</f>
        <v/>
      </c>
      <c r="P218" s="235" t="str">
        <f>Controle!P218</f>
        <v/>
      </c>
      <c r="Q218" s="235" t="str">
        <f>Controle!Q218</f>
        <v/>
      </c>
      <c r="R218" s="293" t="str">
        <f>Controle!R218</f>
        <v/>
      </c>
      <c r="S218" s="287"/>
      <c r="T218" s="233" t="str">
        <f t="shared" ref="T218:U218" si="221">IF(AND(C218&lt;&gt;"",F218&lt;&gt;"",I218&lt;&gt;""), SUM(I218,F218,C218),"")</f>
        <v/>
      </c>
      <c r="U218" s="233" t="str">
        <f t="shared" si="221"/>
        <v/>
      </c>
      <c r="V218" s="233" t="str">
        <f t="shared" si="6"/>
        <v/>
      </c>
      <c r="W218" s="241" t="str">
        <f t="shared" si="9"/>
        <v/>
      </c>
      <c r="X218" s="241" t="str">
        <f t="shared" si="10"/>
        <v/>
      </c>
      <c r="Y218" s="241" t="str">
        <f t="shared" si="19"/>
        <v/>
      </c>
      <c r="Z218" s="233" t="str">
        <f t="shared" si="7"/>
        <v/>
      </c>
      <c r="AA218" s="294"/>
      <c r="AB218" s="245"/>
      <c r="AC218" s="242" t="str">
        <f>IF(ISTEXT(AB218),VLOOKUP(AB218,'Cadastro dos Ativos'!$A$2:$C$1000,3,0),"")</f>
        <v/>
      </c>
      <c r="AD218" s="242" t="str">
        <f>IF(AB218 &lt;&gt; "",SUMIFS('Alocação'!$O$3:$O$1002,'Alocação'!$C$3:$C$1002,AB218,'Alocação'!$F$3:$F$1002,AB$9,'Alocação'!$B$3:$B$1002,"&lt;="&amp;$B$6), "")</f>
        <v/>
      </c>
      <c r="AE218" s="243" t="str">
        <f>iferror(IF(AC218="Ações Americanas", HLOOKUP(AB218,'Histórico'!$A$1:$DD$990,MATCH($B$6,'Histórico'!$A:$A),FALSE)*HLOOKUP("PTAX",'Histórico'!$A$1:$FG$983,MATCH($B$6,'Histórico'!$A:$A),FALSE),IF(AC218="Ações Europeias", HLOOKUP(AB218,'Histórico'!$A$1:$DD$990,MATCH($B$6,'Histórico'!$A:$A),FALSE)*HLOOKUP("EUR/BRL",'Histórico'!$A$1:$FG$983,MATCH($B$6,'Histórico'!$A:$A),FALSE),  HLOOKUP(AB218,'Histórico'!$A$1:$DD$990,MATCH($B$6,'Histórico'!$A:$A),FALSE))),"")</f>
        <v/>
      </c>
      <c r="AF218" s="243" t="str">
        <f t="shared" si="15"/>
        <v/>
      </c>
      <c r="AG218" s="53"/>
      <c r="AH218" s="245"/>
      <c r="AI218" s="242" t="str">
        <f>IF(ISTEXT(AH218),VLOOKUP(AH218,'Cadastro dos Ativos'!$A$2:$C$1000,3,0),"")</f>
        <v/>
      </c>
      <c r="AJ218" s="242" t="str">
        <f>IF(AH218 &lt;&gt; "",SUMIFS('Alocação'!$O$3:$O$1002,'Alocação'!$C$3:$C$1002,AH218,'Alocação'!$F$3:$F$1002,AH$9,'Alocação'!$B$3:$B$1002,"&lt;="&amp;$B$6), "")</f>
        <v/>
      </c>
      <c r="AK218" s="243" t="str">
        <f>iferror(IF(AI218="Ações Americanas", HLOOKUP(AH218,'Histórico'!$A$1:$DD$990,MATCH($B$6,'Histórico'!$A:$A),FALSE)*HLOOKUP("PTAX",'Histórico'!$A$1:$FG$983,MATCH($B$6,'Histórico'!$A:$A),FALSE),IF(AI218="Ações Europeias", HLOOKUP(AH218,'Histórico'!$A$1:$DD$990,MATCH($B$6,'Histórico'!$A:$A),FALSE)*HLOOKUP("EUR/BRL",'Histórico'!$A$1:$FG$983,MATCH($B$6,'Histórico'!$A:$A),FALSE),  HLOOKUP(AH218,'Histórico'!$A$1:$DD$990,MATCH($B$6,'Histórico'!$A:$A),FALSE))),"")</f>
        <v/>
      </c>
      <c r="AL218" s="243" t="str">
        <f t="shared" si="11"/>
        <v/>
      </c>
      <c r="AM218" s="53"/>
      <c r="AN218" s="245"/>
      <c r="AO218" s="242" t="str">
        <f>IF(ISTEXT(AN218),VLOOKUP(AN218,'Cadastro dos Ativos'!$A$2:$C$1000,3,0),"")</f>
        <v/>
      </c>
      <c r="AP218" s="242" t="str">
        <f>IF(AN218 &lt;&gt; "",SUMIFS('Alocação'!$O$3:$O$1002,'Alocação'!$C$3:$C$1002,AN218,'Alocação'!$F$3:$F$1002,AN$9,'Alocação'!$B$3:$B$1002,"&lt;="&amp;$B$6), "")</f>
        <v/>
      </c>
      <c r="AQ218" s="243" t="str">
        <f>iferror(IF(AO218="Ações Americanas", HLOOKUP(AN218,'Histórico'!$A$1:$DD$990,MATCH($B$6,'Histórico'!$A:$A),FALSE)*HLOOKUP("PTAX",'Histórico'!$A$1:$FG$983,MATCH($B$6,'Histórico'!$A:$A),FALSE),IF(AO218="Ações Europeias", HLOOKUP(AN218,'Histórico'!$A$1:$DD$990,MATCH($B$6,'Histórico'!$A:$A),FALSE)*HLOOKUP("EUR/BRL",'Histórico'!$A$1:$FG$983,MATCH($B$6,'Histórico'!$A:$A),FALSE),  HLOOKUP(AN218,'Histórico'!$A$1:$DD$990,MATCH($B$6,'Histórico'!$A:$A),FALSE))),"")</f>
        <v/>
      </c>
      <c r="AR218" s="243" t="str">
        <f t="shared" si="12"/>
        <v/>
      </c>
      <c r="AS218" s="53"/>
      <c r="AT218" s="245"/>
      <c r="AU218" s="242" t="str">
        <f>IF(ISTEXT(AT218),VLOOKUP(AT218,'Cadastro dos Ativos'!$A$2:$C$1000,3,0),"")</f>
        <v/>
      </c>
      <c r="AV218" s="242" t="str">
        <f>IF(AT218 &lt;&gt; "",SUMIFS('Alocação'!$O$3:$O$1002,'Alocação'!$C$3:$C$1002,AT218,'Alocação'!$F$3:$F$1002,AT$9,'Alocação'!$B$3:$B$1002,"&lt;="&amp;$B$6), "")</f>
        <v/>
      </c>
      <c r="AW218" s="243" t="str">
        <f>iferror(IF(AU218="Ações Americanas", HLOOKUP(AT218,'Histórico'!$A$1:$DD$990,MATCH($B$6,'Histórico'!$A:$A),FALSE)*HLOOKUP("PTAX",'Histórico'!$A$1:$FG$983,MATCH($B$6,'Histórico'!$A:$A),FALSE),IF(AU218="Ações Europeias", HLOOKUP(AT218,'Histórico'!$A$1:$DD$990,MATCH($B$6,'Histórico'!$A:$A),FALSE)*HLOOKUP("EUR/BRL",'Histórico'!$A$1:$FG$983,MATCH($B$6,'Histórico'!$A:$A),FALSE),  HLOOKUP(AT218,'Histórico'!$A$1:$DD$990,MATCH($B$6,'Histórico'!$A:$A),FALSE))),"")</f>
        <v/>
      </c>
      <c r="AX218" s="243" t="str">
        <f t="shared" si="13"/>
        <v/>
      </c>
      <c r="AY218" s="53"/>
    </row>
    <row r="219" ht="15.75" customHeight="1">
      <c r="A219" s="176"/>
      <c r="B219" s="288">
        <f>Controle!B219</f>
        <v>45306</v>
      </c>
      <c r="C219" s="233" t="str">
        <f>Controle!C219</f>
        <v/>
      </c>
      <c r="D219" s="289" t="str">
        <f>Controle!D219</f>
        <v/>
      </c>
      <c r="E219" s="290"/>
      <c r="F219" s="291" t="str">
        <f>Controle!F219</f>
        <v/>
      </c>
      <c r="G219" s="289" t="str">
        <f>Controle!G219</f>
        <v/>
      </c>
      <c r="H219" s="290"/>
      <c r="I219" s="291" t="str">
        <f>Controle!I219</f>
        <v/>
      </c>
      <c r="J219" s="233" t="str">
        <f>Controle!J219</f>
        <v/>
      </c>
      <c r="K219" s="292"/>
      <c r="L219" s="233" t="str">
        <f>Controle!L219</f>
        <v/>
      </c>
      <c r="M219" s="233" t="str">
        <f>Controle!M219</f>
        <v/>
      </c>
      <c r="N219" s="235" t="str">
        <f>Controle!N219</f>
        <v/>
      </c>
      <c r="O219" s="235" t="str">
        <f>Controle!O219</f>
        <v/>
      </c>
      <c r="P219" s="235" t="str">
        <f>Controle!P219</f>
        <v/>
      </c>
      <c r="Q219" s="235" t="str">
        <f>Controle!Q219</f>
        <v/>
      </c>
      <c r="R219" s="293" t="str">
        <f>Controle!R219</f>
        <v/>
      </c>
      <c r="S219" s="287"/>
      <c r="T219" s="233" t="str">
        <f t="shared" ref="T219:U219" si="222">IF(AND(C219&lt;&gt;"",F219&lt;&gt;"",I219&lt;&gt;""), SUM(I219,F219,C219),"")</f>
        <v/>
      </c>
      <c r="U219" s="233" t="str">
        <f t="shared" si="222"/>
        <v/>
      </c>
      <c r="V219" s="233" t="str">
        <f t="shared" si="6"/>
        <v/>
      </c>
      <c r="W219" s="241" t="str">
        <f t="shared" si="9"/>
        <v/>
      </c>
      <c r="X219" s="241" t="str">
        <f t="shared" si="10"/>
        <v/>
      </c>
      <c r="Y219" s="241" t="str">
        <f t="shared" si="19"/>
        <v/>
      </c>
      <c r="Z219" s="233" t="str">
        <f t="shared" si="7"/>
        <v/>
      </c>
      <c r="AA219" s="294"/>
      <c r="AB219" s="245"/>
      <c r="AC219" s="242" t="str">
        <f>IF(ISTEXT(AB219),VLOOKUP(AB219,'Cadastro dos Ativos'!$A$2:$C$1000,3,0),"")</f>
        <v/>
      </c>
      <c r="AD219" s="242" t="str">
        <f>IF(AB219 &lt;&gt; "",SUMIFS('Alocação'!$O$3:$O$1002,'Alocação'!$C$3:$C$1002,AB219,'Alocação'!$F$3:$F$1002,AB$9,'Alocação'!$B$3:$B$1002,"&lt;="&amp;$B$6), "")</f>
        <v/>
      </c>
      <c r="AE219" s="243" t="str">
        <f>iferror(IF(AC219="Ações Americanas", HLOOKUP(AB219,'Histórico'!$A$1:$DD$990,MATCH($B$6,'Histórico'!$A:$A),FALSE)*HLOOKUP("PTAX",'Histórico'!$A$1:$FG$983,MATCH($B$6,'Histórico'!$A:$A),FALSE),IF(AC219="Ações Europeias", HLOOKUP(AB219,'Histórico'!$A$1:$DD$990,MATCH($B$6,'Histórico'!$A:$A),FALSE)*HLOOKUP("EUR/BRL",'Histórico'!$A$1:$FG$983,MATCH($B$6,'Histórico'!$A:$A),FALSE),  HLOOKUP(AB219,'Histórico'!$A$1:$DD$990,MATCH($B$6,'Histórico'!$A:$A),FALSE))),"")</f>
        <v/>
      </c>
      <c r="AF219" s="243" t="str">
        <f t="shared" si="15"/>
        <v/>
      </c>
      <c r="AG219" s="53"/>
      <c r="AH219" s="245"/>
      <c r="AI219" s="242" t="str">
        <f>IF(ISTEXT(AH219),VLOOKUP(AH219,'Cadastro dos Ativos'!$A$2:$C$1000,3,0),"")</f>
        <v/>
      </c>
      <c r="AJ219" s="242" t="str">
        <f>IF(AH219 &lt;&gt; "",SUMIFS('Alocação'!$O$3:$O$1002,'Alocação'!$C$3:$C$1002,AH219,'Alocação'!$F$3:$F$1002,AH$9,'Alocação'!$B$3:$B$1002,"&lt;="&amp;$B$6), "")</f>
        <v/>
      </c>
      <c r="AK219" s="243" t="str">
        <f>iferror(IF(AI219="Ações Americanas", HLOOKUP(AH219,'Histórico'!$A$1:$DD$990,MATCH($B$6,'Histórico'!$A:$A),FALSE)*HLOOKUP("PTAX",'Histórico'!$A$1:$FG$983,MATCH($B$6,'Histórico'!$A:$A),FALSE),IF(AI219="Ações Europeias", HLOOKUP(AH219,'Histórico'!$A$1:$DD$990,MATCH($B$6,'Histórico'!$A:$A),FALSE)*HLOOKUP("EUR/BRL",'Histórico'!$A$1:$FG$983,MATCH($B$6,'Histórico'!$A:$A),FALSE),  HLOOKUP(AH219,'Histórico'!$A$1:$DD$990,MATCH($B$6,'Histórico'!$A:$A),FALSE))),"")</f>
        <v/>
      </c>
      <c r="AL219" s="243" t="str">
        <f t="shared" si="11"/>
        <v/>
      </c>
      <c r="AM219" s="53"/>
      <c r="AN219" s="245"/>
      <c r="AO219" s="242" t="str">
        <f>IF(ISTEXT(AN219),VLOOKUP(AN219,'Cadastro dos Ativos'!$A$2:$C$1000,3,0),"")</f>
        <v/>
      </c>
      <c r="AP219" s="242" t="str">
        <f>IF(AN219 &lt;&gt; "",SUMIFS('Alocação'!$O$3:$O$1002,'Alocação'!$C$3:$C$1002,AN219,'Alocação'!$F$3:$F$1002,AN$9,'Alocação'!$B$3:$B$1002,"&lt;="&amp;$B$6), "")</f>
        <v/>
      </c>
      <c r="AQ219" s="243" t="str">
        <f>iferror(IF(AO219="Ações Americanas", HLOOKUP(AN219,'Histórico'!$A$1:$DD$990,MATCH($B$6,'Histórico'!$A:$A),FALSE)*HLOOKUP("PTAX",'Histórico'!$A$1:$FG$983,MATCH($B$6,'Histórico'!$A:$A),FALSE),IF(AO219="Ações Europeias", HLOOKUP(AN219,'Histórico'!$A$1:$DD$990,MATCH($B$6,'Histórico'!$A:$A),FALSE)*HLOOKUP("EUR/BRL",'Histórico'!$A$1:$FG$983,MATCH($B$6,'Histórico'!$A:$A),FALSE),  HLOOKUP(AN219,'Histórico'!$A$1:$DD$990,MATCH($B$6,'Histórico'!$A:$A),FALSE))),"")</f>
        <v/>
      </c>
      <c r="AR219" s="243" t="str">
        <f t="shared" si="12"/>
        <v/>
      </c>
      <c r="AS219" s="53"/>
      <c r="AT219" s="245"/>
      <c r="AU219" s="242" t="str">
        <f>IF(ISTEXT(AT219),VLOOKUP(AT219,'Cadastro dos Ativos'!$A$2:$C$1000,3,0),"")</f>
        <v/>
      </c>
      <c r="AV219" s="242" t="str">
        <f>IF(AT219 &lt;&gt; "",SUMIFS('Alocação'!$O$3:$O$1002,'Alocação'!$C$3:$C$1002,AT219,'Alocação'!$F$3:$F$1002,AT$9,'Alocação'!$B$3:$B$1002,"&lt;="&amp;$B$6), "")</f>
        <v/>
      </c>
      <c r="AW219" s="243" t="str">
        <f>iferror(IF(AU219="Ações Americanas", HLOOKUP(AT219,'Histórico'!$A$1:$DD$990,MATCH($B$6,'Histórico'!$A:$A),FALSE)*HLOOKUP("PTAX",'Histórico'!$A$1:$FG$983,MATCH($B$6,'Histórico'!$A:$A),FALSE),IF(AU219="Ações Europeias", HLOOKUP(AT219,'Histórico'!$A$1:$DD$990,MATCH($B$6,'Histórico'!$A:$A),FALSE)*HLOOKUP("EUR/BRL",'Histórico'!$A$1:$FG$983,MATCH($B$6,'Histórico'!$A:$A),FALSE),  HLOOKUP(AT219,'Histórico'!$A$1:$DD$990,MATCH($B$6,'Histórico'!$A:$A),FALSE))),"")</f>
        <v/>
      </c>
      <c r="AX219" s="243" t="str">
        <f t="shared" si="13"/>
        <v/>
      </c>
      <c r="AY219" s="53"/>
    </row>
    <row r="220" ht="15.75" customHeight="1">
      <c r="A220" s="176"/>
      <c r="B220" s="288">
        <f>Controle!B220</f>
        <v>45307</v>
      </c>
      <c r="C220" s="233" t="str">
        <f>Controle!C220</f>
        <v/>
      </c>
      <c r="D220" s="289" t="str">
        <f>Controle!D220</f>
        <v/>
      </c>
      <c r="E220" s="290"/>
      <c r="F220" s="291" t="str">
        <f>Controle!F220</f>
        <v/>
      </c>
      <c r="G220" s="289" t="str">
        <f>Controle!G220</f>
        <v/>
      </c>
      <c r="H220" s="290"/>
      <c r="I220" s="291" t="str">
        <f>Controle!I220</f>
        <v/>
      </c>
      <c r="J220" s="233" t="str">
        <f>Controle!J220</f>
        <v/>
      </c>
      <c r="K220" s="292"/>
      <c r="L220" s="233" t="str">
        <f>Controle!L220</f>
        <v/>
      </c>
      <c r="M220" s="233" t="str">
        <f>Controle!M220</f>
        <v/>
      </c>
      <c r="N220" s="235" t="str">
        <f>Controle!N220</f>
        <v/>
      </c>
      <c r="O220" s="235" t="str">
        <f>Controle!O220</f>
        <v/>
      </c>
      <c r="P220" s="235" t="str">
        <f>Controle!P220</f>
        <v/>
      </c>
      <c r="Q220" s="235" t="str">
        <f>Controle!Q220</f>
        <v/>
      </c>
      <c r="R220" s="293" t="str">
        <f>Controle!R220</f>
        <v/>
      </c>
      <c r="S220" s="287"/>
      <c r="T220" s="233" t="str">
        <f t="shared" ref="T220:U220" si="223">IF(AND(C220&lt;&gt;"",F220&lt;&gt;"",I220&lt;&gt;""), SUM(I220,F220,C220),"")</f>
        <v/>
      </c>
      <c r="U220" s="233" t="str">
        <f t="shared" si="223"/>
        <v/>
      </c>
      <c r="V220" s="233" t="str">
        <f t="shared" si="6"/>
        <v/>
      </c>
      <c r="W220" s="241" t="str">
        <f t="shared" si="9"/>
        <v/>
      </c>
      <c r="X220" s="241" t="str">
        <f t="shared" si="10"/>
        <v/>
      </c>
      <c r="Y220" s="241" t="str">
        <f t="shared" si="19"/>
        <v/>
      </c>
      <c r="Z220" s="233" t="str">
        <f t="shared" si="7"/>
        <v/>
      </c>
      <c r="AA220" s="294"/>
      <c r="AB220" s="245"/>
      <c r="AC220" s="242" t="str">
        <f>IF(ISTEXT(AB220),VLOOKUP(AB220,'Cadastro dos Ativos'!$A$2:$C$1000,3,0),"")</f>
        <v/>
      </c>
      <c r="AD220" s="242" t="str">
        <f>IF(AB220 &lt;&gt; "",SUMIFS('Alocação'!$O$3:$O$1002,'Alocação'!$C$3:$C$1002,AB220,'Alocação'!$F$3:$F$1002,AB$9,'Alocação'!$B$3:$B$1002,"&lt;="&amp;$B$6), "")</f>
        <v/>
      </c>
      <c r="AE220" s="243" t="str">
        <f>iferror(IF(AC220="Ações Americanas", HLOOKUP(AB220,'Histórico'!$A$1:$DD$990,MATCH($B$6,'Histórico'!$A:$A),FALSE)*HLOOKUP("PTAX",'Histórico'!$A$1:$FG$983,MATCH($B$6,'Histórico'!$A:$A),FALSE),IF(AC220="Ações Europeias", HLOOKUP(AB220,'Histórico'!$A$1:$DD$990,MATCH($B$6,'Histórico'!$A:$A),FALSE)*HLOOKUP("EUR/BRL",'Histórico'!$A$1:$FG$983,MATCH($B$6,'Histórico'!$A:$A),FALSE),  HLOOKUP(AB220,'Histórico'!$A$1:$DD$990,MATCH($B$6,'Histórico'!$A:$A),FALSE))),"")</f>
        <v/>
      </c>
      <c r="AF220" s="243" t="str">
        <f t="shared" si="15"/>
        <v/>
      </c>
      <c r="AG220" s="53"/>
      <c r="AH220" s="245"/>
      <c r="AI220" s="242" t="str">
        <f>IF(ISTEXT(AH220),VLOOKUP(AH220,'Cadastro dos Ativos'!$A$2:$C$1000,3,0),"")</f>
        <v/>
      </c>
      <c r="AJ220" s="242" t="str">
        <f>IF(AH220 &lt;&gt; "",SUMIFS('Alocação'!$O$3:$O$1002,'Alocação'!$C$3:$C$1002,AH220,'Alocação'!$F$3:$F$1002,AH$9,'Alocação'!$B$3:$B$1002,"&lt;="&amp;$B$6), "")</f>
        <v/>
      </c>
      <c r="AK220" s="243" t="str">
        <f>iferror(IF(AI220="Ações Americanas", HLOOKUP(AH220,'Histórico'!$A$1:$DD$990,MATCH($B$6,'Histórico'!$A:$A),FALSE)*HLOOKUP("PTAX",'Histórico'!$A$1:$FG$983,MATCH($B$6,'Histórico'!$A:$A),FALSE),IF(AI220="Ações Europeias", HLOOKUP(AH220,'Histórico'!$A$1:$DD$990,MATCH($B$6,'Histórico'!$A:$A),FALSE)*HLOOKUP("EUR/BRL",'Histórico'!$A$1:$FG$983,MATCH($B$6,'Histórico'!$A:$A),FALSE),  HLOOKUP(AH220,'Histórico'!$A$1:$DD$990,MATCH($B$6,'Histórico'!$A:$A),FALSE))),"")</f>
        <v/>
      </c>
      <c r="AL220" s="243" t="str">
        <f t="shared" si="11"/>
        <v/>
      </c>
      <c r="AM220" s="53"/>
      <c r="AN220" s="245"/>
      <c r="AO220" s="242" t="str">
        <f>IF(ISTEXT(AN220),VLOOKUP(AN220,'Cadastro dos Ativos'!$A$2:$C$1000,3,0),"")</f>
        <v/>
      </c>
      <c r="AP220" s="242" t="str">
        <f>IF(AN220 &lt;&gt; "",SUMIFS('Alocação'!$O$3:$O$1002,'Alocação'!$C$3:$C$1002,AN220,'Alocação'!$F$3:$F$1002,AN$9,'Alocação'!$B$3:$B$1002,"&lt;="&amp;$B$6), "")</f>
        <v/>
      </c>
      <c r="AQ220" s="243" t="str">
        <f>iferror(IF(AO220="Ações Americanas", HLOOKUP(AN220,'Histórico'!$A$1:$DD$990,MATCH($B$6,'Histórico'!$A:$A),FALSE)*HLOOKUP("PTAX",'Histórico'!$A$1:$FG$983,MATCH($B$6,'Histórico'!$A:$A),FALSE),IF(AO220="Ações Europeias", HLOOKUP(AN220,'Histórico'!$A$1:$DD$990,MATCH($B$6,'Histórico'!$A:$A),FALSE)*HLOOKUP("EUR/BRL",'Histórico'!$A$1:$FG$983,MATCH($B$6,'Histórico'!$A:$A),FALSE),  HLOOKUP(AN220,'Histórico'!$A$1:$DD$990,MATCH($B$6,'Histórico'!$A:$A),FALSE))),"")</f>
        <v/>
      </c>
      <c r="AR220" s="243" t="str">
        <f t="shared" si="12"/>
        <v/>
      </c>
      <c r="AS220" s="53"/>
      <c r="AT220" s="245"/>
      <c r="AU220" s="242" t="str">
        <f>IF(ISTEXT(AT220),VLOOKUP(AT220,'Cadastro dos Ativos'!$A$2:$C$1000,3,0),"")</f>
        <v/>
      </c>
      <c r="AV220" s="242" t="str">
        <f>IF(AT220 &lt;&gt; "",SUMIFS('Alocação'!$O$3:$O$1002,'Alocação'!$C$3:$C$1002,AT220,'Alocação'!$F$3:$F$1002,AT$9,'Alocação'!$B$3:$B$1002,"&lt;="&amp;$B$6), "")</f>
        <v/>
      </c>
      <c r="AW220" s="243" t="str">
        <f>iferror(IF(AU220="Ações Americanas", HLOOKUP(AT220,'Histórico'!$A$1:$DD$990,MATCH($B$6,'Histórico'!$A:$A),FALSE)*HLOOKUP("PTAX",'Histórico'!$A$1:$FG$983,MATCH($B$6,'Histórico'!$A:$A),FALSE),IF(AU220="Ações Europeias", HLOOKUP(AT220,'Histórico'!$A$1:$DD$990,MATCH($B$6,'Histórico'!$A:$A),FALSE)*HLOOKUP("EUR/BRL",'Histórico'!$A$1:$FG$983,MATCH($B$6,'Histórico'!$A:$A),FALSE),  HLOOKUP(AT220,'Histórico'!$A$1:$DD$990,MATCH($B$6,'Histórico'!$A:$A),FALSE))),"")</f>
        <v/>
      </c>
      <c r="AX220" s="243" t="str">
        <f t="shared" si="13"/>
        <v/>
      </c>
      <c r="AY220" s="53"/>
    </row>
    <row r="221" ht="15.75" customHeight="1">
      <c r="A221" s="176"/>
      <c r="B221" s="288">
        <f>Controle!B221</f>
        <v>45308</v>
      </c>
      <c r="C221" s="233" t="str">
        <f>Controle!C221</f>
        <v/>
      </c>
      <c r="D221" s="289" t="str">
        <f>Controle!D221</f>
        <v/>
      </c>
      <c r="E221" s="290"/>
      <c r="F221" s="291" t="str">
        <f>Controle!F221</f>
        <v/>
      </c>
      <c r="G221" s="289" t="str">
        <f>Controle!G221</f>
        <v/>
      </c>
      <c r="H221" s="290"/>
      <c r="I221" s="291" t="str">
        <f>Controle!I221</f>
        <v/>
      </c>
      <c r="J221" s="233" t="str">
        <f>Controle!J221</f>
        <v/>
      </c>
      <c r="K221" s="292"/>
      <c r="L221" s="233" t="str">
        <f>Controle!L221</f>
        <v/>
      </c>
      <c r="M221" s="233" t="str">
        <f>Controle!M221</f>
        <v/>
      </c>
      <c r="N221" s="235" t="str">
        <f>Controle!N221</f>
        <v/>
      </c>
      <c r="O221" s="235" t="str">
        <f>Controle!O221</f>
        <v/>
      </c>
      <c r="P221" s="235" t="str">
        <f>Controle!P221</f>
        <v/>
      </c>
      <c r="Q221" s="235" t="str">
        <f>Controle!Q221</f>
        <v/>
      </c>
      <c r="R221" s="293" t="str">
        <f>Controle!R221</f>
        <v/>
      </c>
      <c r="S221" s="287"/>
      <c r="T221" s="233" t="str">
        <f t="shared" ref="T221:U221" si="224">IF(AND(C221&lt;&gt;"",F221&lt;&gt;"",I221&lt;&gt;""), SUM(I221,F221,C221),"")</f>
        <v/>
      </c>
      <c r="U221" s="233" t="str">
        <f t="shared" si="224"/>
        <v/>
      </c>
      <c r="V221" s="233" t="str">
        <f t="shared" si="6"/>
        <v/>
      </c>
      <c r="W221" s="241" t="str">
        <f t="shared" si="9"/>
        <v/>
      </c>
      <c r="X221" s="241" t="str">
        <f t="shared" si="10"/>
        <v/>
      </c>
      <c r="Y221" s="241" t="str">
        <f t="shared" si="19"/>
        <v/>
      </c>
      <c r="Z221" s="233" t="str">
        <f t="shared" si="7"/>
        <v/>
      </c>
      <c r="AA221" s="294"/>
      <c r="AB221" s="245"/>
      <c r="AC221" s="242" t="str">
        <f>IF(ISTEXT(AB221),VLOOKUP(AB221,'Cadastro dos Ativos'!$A$2:$C$1000,3,0),"")</f>
        <v/>
      </c>
      <c r="AD221" s="242" t="str">
        <f>IF(AB221 &lt;&gt; "",SUMIFS('Alocação'!$O$3:$O$1002,'Alocação'!$C$3:$C$1002,AB221,'Alocação'!$F$3:$F$1002,AB$9,'Alocação'!$B$3:$B$1002,"&lt;="&amp;$B$6), "")</f>
        <v/>
      </c>
      <c r="AE221" s="243" t="str">
        <f>iferror(IF(AC221="Ações Americanas", HLOOKUP(AB221,'Histórico'!$A$1:$DD$990,MATCH($B$6,'Histórico'!$A:$A),FALSE)*HLOOKUP("PTAX",'Histórico'!$A$1:$FG$983,MATCH($B$6,'Histórico'!$A:$A),FALSE),IF(AC221="Ações Europeias", HLOOKUP(AB221,'Histórico'!$A$1:$DD$990,MATCH($B$6,'Histórico'!$A:$A),FALSE)*HLOOKUP("EUR/BRL",'Histórico'!$A$1:$FG$983,MATCH($B$6,'Histórico'!$A:$A),FALSE),  HLOOKUP(AB221,'Histórico'!$A$1:$DD$990,MATCH($B$6,'Histórico'!$A:$A),FALSE))),"")</f>
        <v/>
      </c>
      <c r="AF221" s="243" t="str">
        <f t="shared" si="15"/>
        <v/>
      </c>
      <c r="AG221" s="53"/>
      <c r="AH221" s="245"/>
      <c r="AI221" s="242" t="str">
        <f>IF(ISTEXT(AH221),VLOOKUP(AH221,'Cadastro dos Ativos'!$A$2:$C$1000,3,0),"")</f>
        <v/>
      </c>
      <c r="AJ221" s="242" t="str">
        <f>IF(AH221 &lt;&gt; "",SUMIFS('Alocação'!$O$3:$O$1002,'Alocação'!$C$3:$C$1002,AH221,'Alocação'!$F$3:$F$1002,AH$9,'Alocação'!$B$3:$B$1002,"&lt;="&amp;$B$6), "")</f>
        <v/>
      </c>
      <c r="AK221" s="243" t="str">
        <f>iferror(IF(AI221="Ações Americanas", HLOOKUP(AH221,'Histórico'!$A$1:$DD$990,MATCH($B$6,'Histórico'!$A:$A),FALSE)*HLOOKUP("PTAX",'Histórico'!$A$1:$FG$983,MATCH($B$6,'Histórico'!$A:$A),FALSE),IF(AI221="Ações Europeias", HLOOKUP(AH221,'Histórico'!$A$1:$DD$990,MATCH($B$6,'Histórico'!$A:$A),FALSE)*HLOOKUP("EUR/BRL",'Histórico'!$A$1:$FG$983,MATCH($B$6,'Histórico'!$A:$A),FALSE),  HLOOKUP(AH221,'Histórico'!$A$1:$DD$990,MATCH($B$6,'Histórico'!$A:$A),FALSE))),"")</f>
        <v/>
      </c>
      <c r="AL221" s="243" t="str">
        <f t="shared" si="11"/>
        <v/>
      </c>
      <c r="AM221" s="53"/>
      <c r="AN221" s="245"/>
      <c r="AO221" s="242" t="str">
        <f>IF(ISTEXT(AN221),VLOOKUP(AN221,'Cadastro dos Ativos'!$A$2:$C$1000,3,0),"")</f>
        <v/>
      </c>
      <c r="AP221" s="242" t="str">
        <f>IF(AN221 &lt;&gt; "",SUMIFS('Alocação'!$O$3:$O$1002,'Alocação'!$C$3:$C$1002,AN221,'Alocação'!$F$3:$F$1002,AN$9,'Alocação'!$B$3:$B$1002,"&lt;="&amp;$B$6), "")</f>
        <v/>
      </c>
      <c r="AQ221" s="243" t="str">
        <f>iferror(IF(AO221="Ações Americanas", HLOOKUP(AN221,'Histórico'!$A$1:$DD$990,MATCH($B$6,'Histórico'!$A:$A),FALSE)*HLOOKUP("PTAX",'Histórico'!$A$1:$FG$983,MATCH($B$6,'Histórico'!$A:$A),FALSE),IF(AO221="Ações Europeias", HLOOKUP(AN221,'Histórico'!$A$1:$DD$990,MATCH($B$6,'Histórico'!$A:$A),FALSE)*HLOOKUP("EUR/BRL",'Histórico'!$A$1:$FG$983,MATCH($B$6,'Histórico'!$A:$A),FALSE),  HLOOKUP(AN221,'Histórico'!$A$1:$DD$990,MATCH($B$6,'Histórico'!$A:$A),FALSE))),"")</f>
        <v/>
      </c>
      <c r="AR221" s="243" t="str">
        <f t="shared" si="12"/>
        <v/>
      </c>
      <c r="AS221" s="53"/>
      <c r="AT221" s="245"/>
      <c r="AU221" s="242" t="str">
        <f>IF(ISTEXT(AT221),VLOOKUP(AT221,'Cadastro dos Ativos'!$A$2:$C$1000,3,0),"")</f>
        <v/>
      </c>
      <c r="AV221" s="242" t="str">
        <f>IF(AT221 &lt;&gt; "",SUMIFS('Alocação'!$O$3:$O$1002,'Alocação'!$C$3:$C$1002,AT221,'Alocação'!$F$3:$F$1002,AT$9,'Alocação'!$B$3:$B$1002,"&lt;="&amp;$B$6), "")</f>
        <v/>
      </c>
      <c r="AW221" s="243" t="str">
        <f>iferror(IF(AU221="Ações Americanas", HLOOKUP(AT221,'Histórico'!$A$1:$DD$990,MATCH($B$6,'Histórico'!$A:$A),FALSE)*HLOOKUP("PTAX",'Histórico'!$A$1:$FG$983,MATCH($B$6,'Histórico'!$A:$A),FALSE),IF(AU221="Ações Europeias", HLOOKUP(AT221,'Histórico'!$A$1:$DD$990,MATCH($B$6,'Histórico'!$A:$A),FALSE)*HLOOKUP("EUR/BRL",'Histórico'!$A$1:$FG$983,MATCH($B$6,'Histórico'!$A:$A),FALSE),  HLOOKUP(AT221,'Histórico'!$A$1:$DD$990,MATCH($B$6,'Histórico'!$A:$A),FALSE))),"")</f>
        <v/>
      </c>
      <c r="AX221" s="243" t="str">
        <f t="shared" si="13"/>
        <v/>
      </c>
      <c r="AY221" s="53"/>
    </row>
    <row r="222" ht="15.75" customHeight="1">
      <c r="A222" s="2"/>
      <c r="B222" s="288">
        <f>Controle!B222</f>
        <v>45309</v>
      </c>
      <c r="C222" s="233" t="str">
        <f>Controle!C222</f>
        <v/>
      </c>
      <c r="D222" s="289" t="str">
        <f>Controle!D222</f>
        <v/>
      </c>
      <c r="E222" s="290"/>
      <c r="F222" s="291" t="str">
        <f>Controle!F222</f>
        <v/>
      </c>
      <c r="G222" s="289" t="str">
        <f>Controle!G222</f>
        <v/>
      </c>
      <c r="H222" s="290"/>
      <c r="I222" s="291" t="str">
        <f>Controle!I222</f>
        <v/>
      </c>
      <c r="J222" s="233" t="str">
        <f>Controle!J222</f>
        <v/>
      </c>
      <c r="K222" s="292"/>
      <c r="L222" s="233" t="str">
        <f>Controle!L222</f>
        <v/>
      </c>
      <c r="M222" s="233" t="str">
        <f>Controle!M222</f>
        <v/>
      </c>
      <c r="N222" s="235" t="str">
        <f>Controle!N222</f>
        <v/>
      </c>
      <c r="O222" s="235" t="str">
        <f>Controle!O222</f>
        <v/>
      </c>
      <c r="P222" s="235" t="str">
        <f>Controle!P222</f>
        <v/>
      </c>
      <c r="Q222" s="235" t="str">
        <f>Controle!Q222</f>
        <v/>
      </c>
      <c r="R222" s="293" t="str">
        <f>Controle!R222</f>
        <v/>
      </c>
      <c r="S222" s="287"/>
      <c r="T222" s="233" t="str">
        <f t="shared" ref="T222:U222" si="225">IF(AND(C222&lt;&gt;"",F222&lt;&gt;"",I222&lt;&gt;""), SUM(I222,F222,C222),"")</f>
        <v/>
      </c>
      <c r="U222" s="233" t="str">
        <f t="shared" si="225"/>
        <v/>
      </c>
      <c r="V222" s="233" t="str">
        <f t="shared" si="6"/>
        <v/>
      </c>
      <c r="W222" s="241" t="str">
        <f t="shared" si="9"/>
        <v/>
      </c>
      <c r="X222" s="241" t="str">
        <f t="shared" si="10"/>
        <v/>
      </c>
      <c r="Y222" s="241" t="str">
        <f t="shared" si="19"/>
        <v/>
      </c>
      <c r="Z222" s="233" t="str">
        <f t="shared" si="7"/>
        <v/>
      </c>
      <c r="AA222" s="294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</row>
    <row r="223" ht="15.75" customHeight="1">
      <c r="A223" s="2"/>
      <c r="B223" s="288">
        <f>Controle!B223</f>
        <v>45310</v>
      </c>
      <c r="C223" s="233" t="str">
        <f>Controle!C223</f>
        <v/>
      </c>
      <c r="D223" s="289" t="str">
        <f>Controle!D223</f>
        <v/>
      </c>
      <c r="E223" s="290"/>
      <c r="F223" s="291" t="str">
        <f>Controle!F223</f>
        <v/>
      </c>
      <c r="G223" s="289" t="str">
        <f>Controle!G223</f>
        <v/>
      </c>
      <c r="H223" s="290"/>
      <c r="I223" s="291" t="str">
        <f>Controle!I223</f>
        <v/>
      </c>
      <c r="J223" s="233" t="str">
        <f>Controle!J223</f>
        <v/>
      </c>
      <c r="K223" s="292"/>
      <c r="L223" s="233" t="str">
        <f>Controle!L223</f>
        <v/>
      </c>
      <c r="M223" s="233" t="str">
        <f>Controle!M223</f>
        <v/>
      </c>
      <c r="N223" s="235" t="str">
        <f>Controle!N223</f>
        <v/>
      </c>
      <c r="O223" s="235" t="str">
        <f>Controle!O223</f>
        <v/>
      </c>
      <c r="P223" s="235" t="str">
        <f>Controle!P223</f>
        <v/>
      </c>
      <c r="Q223" s="235" t="str">
        <f>Controle!Q223</f>
        <v/>
      </c>
      <c r="R223" s="293" t="str">
        <f>Controle!R223</f>
        <v/>
      </c>
      <c r="S223" s="287"/>
      <c r="T223" s="233" t="str">
        <f t="shared" ref="T223:U223" si="226">IF(AND(C223&lt;&gt;"",F223&lt;&gt;"",I223&lt;&gt;""), SUM(I223,F223,C223),"")</f>
        <v/>
      </c>
      <c r="U223" s="233" t="str">
        <f t="shared" si="226"/>
        <v/>
      </c>
      <c r="V223" s="233" t="str">
        <f t="shared" si="6"/>
        <v/>
      </c>
      <c r="W223" s="241" t="str">
        <f t="shared" si="9"/>
        <v/>
      </c>
      <c r="X223" s="241" t="str">
        <f t="shared" si="10"/>
        <v/>
      </c>
      <c r="Y223" s="241" t="str">
        <f t="shared" si="19"/>
        <v/>
      </c>
      <c r="Z223" s="233" t="str">
        <f t="shared" si="7"/>
        <v/>
      </c>
      <c r="AA223" s="294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</row>
    <row r="224" ht="15.75" customHeight="1">
      <c r="A224" s="2"/>
      <c r="B224" s="288">
        <f>Controle!B224</f>
        <v>45311</v>
      </c>
      <c r="C224" s="233" t="str">
        <f>Controle!C224</f>
        <v/>
      </c>
      <c r="D224" s="289" t="str">
        <f>Controle!D224</f>
        <v/>
      </c>
      <c r="E224" s="290"/>
      <c r="F224" s="291" t="str">
        <f>Controle!F224</f>
        <v/>
      </c>
      <c r="G224" s="289" t="str">
        <f>Controle!G224</f>
        <v/>
      </c>
      <c r="H224" s="290"/>
      <c r="I224" s="291" t="str">
        <f>Controle!I224</f>
        <v/>
      </c>
      <c r="J224" s="233" t="str">
        <f>Controle!J224</f>
        <v/>
      </c>
      <c r="K224" s="292"/>
      <c r="L224" s="233" t="str">
        <f>Controle!L224</f>
        <v/>
      </c>
      <c r="M224" s="233" t="str">
        <f>Controle!M224</f>
        <v/>
      </c>
      <c r="N224" s="235" t="str">
        <f>Controle!N224</f>
        <v/>
      </c>
      <c r="O224" s="235" t="str">
        <f>Controle!O224</f>
        <v/>
      </c>
      <c r="P224" s="235" t="str">
        <f>Controle!P224</f>
        <v/>
      </c>
      <c r="Q224" s="235" t="str">
        <f>Controle!Q224</f>
        <v/>
      </c>
      <c r="R224" s="293" t="str">
        <f>Controle!R224</f>
        <v/>
      </c>
      <c r="S224" s="287"/>
      <c r="T224" s="233" t="str">
        <f t="shared" ref="T224:U224" si="227">IF(AND(C224&lt;&gt;"",F224&lt;&gt;"",I224&lt;&gt;""), SUM(I224,F224,C224),"")</f>
        <v/>
      </c>
      <c r="U224" s="233" t="str">
        <f t="shared" si="227"/>
        <v/>
      </c>
      <c r="V224" s="233" t="str">
        <f t="shared" si="6"/>
        <v/>
      </c>
      <c r="W224" s="241" t="str">
        <f t="shared" si="9"/>
        <v/>
      </c>
      <c r="X224" s="241" t="str">
        <f t="shared" si="10"/>
        <v/>
      </c>
      <c r="Y224" s="241" t="str">
        <f t="shared" si="19"/>
        <v/>
      </c>
      <c r="Z224" s="233" t="str">
        <f t="shared" si="7"/>
        <v/>
      </c>
      <c r="AA224" s="294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</row>
    <row r="225" ht="15.75" customHeight="1">
      <c r="A225" s="2"/>
      <c r="B225" s="288">
        <f>Controle!B225</f>
        <v>45312</v>
      </c>
      <c r="C225" s="233" t="str">
        <f>Controle!C225</f>
        <v/>
      </c>
      <c r="D225" s="289" t="str">
        <f>Controle!D225</f>
        <v/>
      </c>
      <c r="E225" s="290"/>
      <c r="F225" s="291" t="str">
        <f>Controle!F225</f>
        <v/>
      </c>
      <c r="G225" s="289" t="str">
        <f>Controle!G225</f>
        <v/>
      </c>
      <c r="H225" s="290"/>
      <c r="I225" s="291" t="str">
        <f>Controle!I225</f>
        <v/>
      </c>
      <c r="J225" s="233" t="str">
        <f>Controle!J225</f>
        <v/>
      </c>
      <c r="K225" s="292"/>
      <c r="L225" s="233" t="str">
        <f>Controle!L225</f>
        <v/>
      </c>
      <c r="M225" s="233" t="str">
        <f>Controle!M225</f>
        <v/>
      </c>
      <c r="N225" s="235" t="str">
        <f>Controle!N225</f>
        <v/>
      </c>
      <c r="O225" s="235" t="str">
        <f>Controle!O225</f>
        <v/>
      </c>
      <c r="P225" s="235" t="str">
        <f>Controle!P225</f>
        <v/>
      </c>
      <c r="Q225" s="235" t="str">
        <f>Controle!Q225</f>
        <v/>
      </c>
      <c r="R225" s="293" t="str">
        <f>Controle!R225</f>
        <v/>
      </c>
      <c r="S225" s="287"/>
      <c r="T225" s="233" t="str">
        <f t="shared" ref="T225:U225" si="228">IF(AND(C225&lt;&gt;"",F225&lt;&gt;"",I225&lt;&gt;""), SUM(I225,F225,C225),"")</f>
        <v/>
      </c>
      <c r="U225" s="233" t="str">
        <f t="shared" si="228"/>
        <v/>
      </c>
      <c r="V225" s="233" t="str">
        <f t="shared" si="6"/>
        <v/>
      </c>
      <c r="W225" s="241" t="str">
        <f t="shared" si="9"/>
        <v/>
      </c>
      <c r="X225" s="241" t="str">
        <f t="shared" si="10"/>
        <v/>
      </c>
      <c r="Y225" s="241" t="str">
        <f t="shared" si="19"/>
        <v/>
      </c>
      <c r="Z225" s="233" t="str">
        <f t="shared" si="7"/>
        <v/>
      </c>
      <c r="AA225" s="294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</row>
    <row r="226" ht="15.75" customHeight="1">
      <c r="A226" s="2"/>
      <c r="B226" s="288">
        <f>Controle!B226</f>
        <v>45313</v>
      </c>
      <c r="C226" s="233" t="str">
        <f>Controle!C226</f>
        <v/>
      </c>
      <c r="D226" s="289" t="str">
        <f>Controle!D226</f>
        <v/>
      </c>
      <c r="E226" s="290"/>
      <c r="F226" s="291" t="str">
        <f>Controle!F226</f>
        <v/>
      </c>
      <c r="G226" s="289" t="str">
        <f>Controle!G226</f>
        <v/>
      </c>
      <c r="H226" s="290"/>
      <c r="I226" s="291" t="str">
        <f>Controle!I226</f>
        <v/>
      </c>
      <c r="J226" s="233" t="str">
        <f>Controle!J226</f>
        <v/>
      </c>
      <c r="K226" s="292"/>
      <c r="L226" s="233" t="str">
        <f>Controle!L226</f>
        <v/>
      </c>
      <c r="M226" s="233" t="str">
        <f>Controle!M226</f>
        <v/>
      </c>
      <c r="N226" s="235" t="str">
        <f>Controle!N226</f>
        <v/>
      </c>
      <c r="O226" s="235" t="str">
        <f>Controle!O226</f>
        <v/>
      </c>
      <c r="P226" s="235" t="str">
        <f>Controle!P226</f>
        <v/>
      </c>
      <c r="Q226" s="235" t="str">
        <f>Controle!Q226</f>
        <v/>
      </c>
      <c r="R226" s="293" t="str">
        <f>Controle!R226</f>
        <v/>
      </c>
      <c r="S226" s="287"/>
      <c r="T226" s="233" t="str">
        <f t="shared" ref="T226:U226" si="229">IF(AND(C226&lt;&gt;"",F226&lt;&gt;"",I226&lt;&gt;""), SUM(I226,F226,C226),"")</f>
        <v/>
      </c>
      <c r="U226" s="233" t="str">
        <f t="shared" si="229"/>
        <v/>
      </c>
      <c r="V226" s="233" t="str">
        <f t="shared" si="6"/>
        <v/>
      </c>
      <c r="W226" s="241" t="str">
        <f t="shared" si="9"/>
        <v/>
      </c>
      <c r="X226" s="241" t="str">
        <f t="shared" si="10"/>
        <v/>
      </c>
      <c r="Y226" s="241" t="str">
        <f t="shared" si="19"/>
        <v/>
      </c>
      <c r="Z226" s="233" t="str">
        <f t="shared" si="7"/>
        <v/>
      </c>
      <c r="AA226" s="294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</row>
    <row r="227" ht="15.75" customHeight="1">
      <c r="A227" s="2"/>
      <c r="B227" s="288">
        <f>Controle!B227</f>
        <v>45314</v>
      </c>
      <c r="C227" s="233" t="str">
        <f>Controle!C227</f>
        <v/>
      </c>
      <c r="D227" s="289" t="str">
        <f>Controle!D227</f>
        <v/>
      </c>
      <c r="E227" s="290"/>
      <c r="F227" s="291" t="str">
        <f>Controle!F227</f>
        <v/>
      </c>
      <c r="G227" s="289" t="str">
        <f>Controle!G227</f>
        <v/>
      </c>
      <c r="H227" s="290"/>
      <c r="I227" s="291" t="str">
        <f>Controle!I227</f>
        <v/>
      </c>
      <c r="J227" s="233" t="str">
        <f>Controle!J227</f>
        <v/>
      </c>
      <c r="K227" s="292"/>
      <c r="L227" s="233" t="str">
        <f>Controle!L227</f>
        <v/>
      </c>
      <c r="M227" s="233" t="str">
        <f>Controle!M227</f>
        <v/>
      </c>
      <c r="N227" s="235" t="str">
        <f>Controle!N227</f>
        <v/>
      </c>
      <c r="O227" s="235" t="str">
        <f>Controle!O227</f>
        <v/>
      </c>
      <c r="P227" s="235" t="str">
        <f>Controle!P227</f>
        <v/>
      </c>
      <c r="Q227" s="235" t="str">
        <f>Controle!Q227</f>
        <v/>
      </c>
      <c r="R227" s="293" t="str">
        <f>Controle!R227</f>
        <v/>
      </c>
      <c r="S227" s="287"/>
      <c r="T227" s="233" t="str">
        <f t="shared" ref="T227:U227" si="230">IF(AND(C227&lt;&gt;"",F227&lt;&gt;"",I227&lt;&gt;""), SUM(I227,F227,C227),"")</f>
        <v/>
      </c>
      <c r="U227" s="233" t="str">
        <f t="shared" si="230"/>
        <v/>
      </c>
      <c r="V227" s="233" t="str">
        <f t="shared" si="6"/>
        <v/>
      </c>
      <c r="W227" s="241" t="str">
        <f t="shared" si="9"/>
        <v/>
      </c>
      <c r="X227" s="241" t="str">
        <f t="shared" si="10"/>
        <v/>
      </c>
      <c r="Y227" s="241" t="str">
        <f t="shared" si="19"/>
        <v/>
      </c>
      <c r="Z227" s="233" t="str">
        <f t="shared" si="7"/>
        <v/>
      </c>
      <c r="AA227" s="294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</row>
    <row r="228" ht="15.75" customHeight="1">
      <c r="A228" s="2"/>
      <c r="B228" s="288">
        <f>Controle!B228</f>
        <v>45315</v>
      </c>
      <c r="C228" s="233" t="str">
        <f>Controle!C228</f>
        <v/>
      </c>
      <c r="D228" s="289" t="str">
        <f>Controle!D228</f>
        <v/>
      </c>
      <c r="E228" s="290"/>
      <c r="F228" s="291" t="str">
        <f>Controle!F228</f>
        <v/>
      </c>
      <c r="G228" s="289" t="str">
        <f>Controle!G228</f>
        <v/>
      </c>
      <c r="H228" s="290"/>
      <c r="I228" s="291" t="str">
        <f>Controle!I228</f>
        <v/>
      </c>
      <c r="J228" s="233" t="str">
        <f>Controle!J228</f>
        <v/>
      </c>
      <c r="K228" s="292"/>
      <c r="L228" s="233" t="str">
        <f>Controle!L228</f>
        <v/>
      </c>
      <c r="M228" s="233" t="str">
        <f>Controle!M228</f>
        <v/>
      </c>
      <c r="N228" s="235" t="str">
        <f>Controle!N228</f>
        <v/>
      </c>
      <c r="O228" s="235" t="str">
        <f>Controle!O228</f>
        <v/>
      </c>
      <c r="P228" s="235" t="str">
        <f>Controle!P228</f>
        <v/>
      </c>
      <c r="Q228" s="235" t="str">
        <f>Controle!Q228</f>
        <v/>
      </c>
      <c r="R228" s="293" t="str">
        <f>Controle!R228</f>
        <v/>
      </c>
      <c r="S228" s="287"/>
      <c r="T228" s="233" t="str">
        <f t="shared" ref="T228:U228" si="231">IF(AND(C228&lt;&gt;"",F228&lt;&gt;"",I228&lt;&gt;""), SUM(I228,F228,C228),"")</f>
        <v/>
      </c>
      <c r="U228" s="233" t="str">
        <f t="shared" si="231"/>
        <v/>
      </c>
      <c r="V228" s="233" t="str">
        <f t="shared" si="6"/>
        <v/>
      </c>
      <c r="W228" s="241" t="str">
        <f t="shared" si="9"/>
        <v/>
      </c>
      <c r="X228" s="241" t="str">
        <f t="shared" si="10"/>
        <v/>
      </c>
      <c r="Y228" s="241" t="str">
        <f t="shared" si="19"/>
        <v/>
      </c>
      <c r="Z228" s="233" t="str">
        <f t="shared" si="7"/>
        <v/>
      </c>
      <c r="AA228" s="294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</row>
    <row r="229" ht="15.75" customHeight="1">
      <c r="A229" s="2"/>
      <c r="B229" s="288">
        <f>Controle!B229</f>
        <v>45316</v>
      </c>
      <c r="C229" s="233" t="str">
        <f>Controle!C229</f>
        <v/>
      </c>
      <c r="D229" s="289" t="str">
        <f>Controle!D229</f>
        <v/>
      </c>
      <c r="E229" s="290"/>
      <c r="F229" s="291" t="str">
        <f>Controle!F229</f>
        <v/>
      </c>
      <c r="G229" s="289" t="str">
        <f>Controle!G229</f>
        <v/>
      </c>
      <c r="H229" s="290"/>
      <c r="I229" s="291" t="str">
        <f>Controle!I229</f>
        <v/>
      </c>
      <c r="J229" s="233" t="str">
        <f>Controle!J229</f>
        <v/>
      </c>
      <c r="K229" s="292"/>
      <c r="L229" s="233" t="str">
        <f>Controle!L229</f>
        <v/>
      </c>
      <c r="M229" s="233" t="str">
        <f>Controle!M229</f>
        <v/>
      </c>
      <c r="N229" s="235" t="str">
        <f>Controle!N229</f>
        <v/>
      </c>
      <c r="O229" s="235" t="str">
        <f>Controle!O229</f>
        <v/>
      </c>
      <c r="P229" s="235" t="str">
        <f>Controle!P229</f>
        <v/>
      </c>
      <c r="Q229" s="235" t="str">
        <f>Controle!Q229</f>
        <v/>
      </c>
      <c r="R229" s="293" t="str">
        <f>Controle!R229</f>
        <v/>
      </c>
      <c r="S229" s="287"/>
      <c r="T229" s="233" t="str">
        <f t="shared" ref="T229:U229" si="232">IF(AND(C229&lt;&gt;"",F229&lt;&gt;"",I229&lt;&gt;""), SUM(I229,F229,C229),"")</f>
        <v/>
      </c>
      <c r="U229" s="233" t="str">
        <f t="shared" si="232"/>
        <v/>
      </c>
      <c r="V229" s="233" t="str">
        <f t="shared" si="6"/>
        <v/>
      </c>
      <c r="W229" s="241" t="str">
        <f t="shared" si="9"/>
        <v/>
      </c>
      <c r="X229" s="241" t="str">
        <f t="shared" si="10"/>
        <v/>
      </c>
      <c r="Y229" s="241" t="str">
        <f t="shared" si="19"/>
        <v/>
      </c>
      <c r="Z229" s="233" t="str">
        <f t="shared" si="7"/>
        <v/>
      </c>
      <c r="AA229" s="294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</row>
    <row r="230" ht="15.75" customHeight="1">
      <c r="A230" s="2"/>
      <c r="B230" s="288">
        <f>Controle!B230</f>
        <v>45317</v>
      </c>
      <c r="C230" s="233" t="str">
        <f>Controle!C230</f>
        <v/>
      </c>
      <c r="D230" s="289" t="str">
        <f>Controle!D230</f>
        <v/>
      </c>
      <c r="E230" s="290"/>
      <c r="F230" s="291" t="str">
        <f>Controle!F230</f>
        <v/>
      </c>
      <c r="G230" s="289" t="str">
        <f>Controle!G230</f>
        <v/>
      </c>
      <c r="H230" s="290"/>
      <c r="I230" s="291" t="str">
        <f>Controle!I230</f>
        <v/>
      </c>
      <c r="J230" s="233" t="str">
        <f>Controle!J230</f>
        <v/>
      </c>
      <c r="K230" s="292"/>
      <c r="L230" s="233" t="str">
        <f>Controle!L230</f>
        <v/>
      </c>
      <c r="M230" s="233" t="str">
        <f>Controle!M230</f>
        <v/>
      </c>
      <c r="N230" s="235" t="str">
        <f>Controle!N230</f>
        <v/>
      </c>
      <c r="O230" s="235" t="str">
        <f>Controle!O230</f>
        <v/>
      </c>
      <c r="P230" s="235" t="str">
        <f>Controle!P230</f>
        <v/>
      </c>
      <c r="Q230" s="235" t="str">
        <f>Controle!Q230</f>
        <v/>
      </c>
      <c r="R230" s="293" t="str">
        <f>Controle!R230</f>
        <v/>
      </c>
      <c r="S230" s="287"/>
      <c r="T230" s="233" t="str">
        <f t="shared" ref="T230:U230" si="233">IF(AND(C230&lt;&gt;"",F230&lt;&gt;"",I230&lt;&gt;""), SUM(I230,F230,C230),"")</f>
        <v/>
      </c>
      <c r="U230" s="233" t="str">
        <f t="shared" si="233"/>
        <v/>
      </c>
      <c r="V230" s="233" t="str">
        <f t="shared" si="6"/>
        <v/>
      </c>
      <c r="W230" s="241" t="str">
        <f t="shared" si="9"/>
        <v/>
      </c>
      <c r="X230" s="241" t="str">
        <f t="shared" si="10"/>
        <v/>
      </c>
      <c r="Y230" s="241" t="str">
        <f t="shared" si="19"/>
        <v/>
      </c>
      <c r="Z230" s="233" t="str">
        <f t="shared" si="7"/>
        <v/>
      </c>
      <c r="AA230" s="294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</row>
    <row r="231" ht="15.75" customHeight="1">
      <c r="A231" s="2"/>
      <c r="B231" s="288">
        <f>Controle!B231</f>
        <v>45318</v>
      </c>
      <c r="C231" s="233" t="str">
        <f>Controle!C231</f>
        <v/>
      </c>
      <c r="D231" s="289" t="str">
        <f>Controle!D231</f>
        <v/>
      </c>
      <c r="E231" s="290"/>
      <c r="F231" s="291" t="str">
        <f>Controle!F231</f>
        <v/>
      </c>
      <c r="G231" s="289" t="str">
        <f>Controle!G231</f>
        <v/>
      </c>
      <c r="H231" s="290"/>
      <c r="I231" s="291" t="str">
        <f>Controle!I231</f>
        <v/>
      </c>
      <c r="J231" s="233" t="str">
        <f>Controle!J231</f>
        <v/>
      </c>
      <c r="K231" s="292"/>
      <c r="L231" s="233" t="str">
        <f>Controle!L231</f>
        <v/>
      </c>
      <c r="M231" s="233" t="str">
        <f>Controle!M231</f>
        <v/>
      </c>
      <c r="N231" s="235" t="str">
        <f>Controle!N231</f>
        <v/>
      </c>
      <c r="O231" s="235" t="str">
        <f>Controle!O231</f>
        <v/>
      </c>
      <c r="P231" s="235" t="str">
        <f>Controle!P231</f>
        <v/>
      </c>
      <c r="Q231" s="235" t="str">
        <f>Controle!Q231</f>
        <v/>
      </c>
      <c r="R231" s="293" t="str">
        <f>Controle!R231</f>
        <v/>
      </c>
      <c r="S231" s="287"/>
      <c r="T231" s="233" t="str">
        <f t="shared" ref="T231:U231" si="234">IF(AND(C231&lt;&gt;"",F231&lt;&gt;"",I231&lt;&gt;""), SUM(I231,F231,C231),"")</f>
        <v/>
      </c>
      <c r="U231" s="233" t="str">
        <f t="shared" si="234"/>
        <v/>
      </c>
      <c r="V231" s="233" t="str">
        <f t="shared" si="6"/>
        <v/>
      </c>
      <c r="W231" s="241" t="str">
        <f t="shared" si="9"/>
        <v/>
      </c>
      <c r="X231" s="241" t="str">
        <f t="shared" si="10"/>
        <v/>
      </c>
      <c r="Y231" s="241" t="str">
        <f t="shared" si="19"/>
        <v/>
      </c>
      <c r="Z231" s="233" t="str">
        <f t="shared" si="7"/>
        <v/>
      </c>
      <c r="AA231" s="294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</row>
    <row r="232" ht="15.75" customHeight="1">
      <c r="A232" s="2"/>
      <c r="B232" s="288">
        <f>Controle!B232</f>
        <v>45319</v>
      </c>
      <c r="C232" s="233" t="str">
        <f>Controle!C232</f>
        <v/>
      </c>
      <c r="D232" s="289" t="str">
        <f>Controle!D232</f>
        <v/>
      </c>
      <c r="E232" s="290"/>
      <c r="F232" s="291" t="str">
        <f>Controle!F232</f>
        <v/>
      </c>
      <c r="G232" s="289" t="str">
        <f>Controle!G232</f>
        <v/>
      </c>
      <c r="H232" s="290"/>
      <c r="I232" s="291" t="str">
        <f>Controle!I232</f>
        <v/>
      </c>
      <c r="J232" s="233" t="str">
        <f>Controle!J232</f>
        <v/>
      </c>
      <c r="K232" s="292"/>
      <c r="L232" s="233" t="str">
        <f>Controle!L232</f>
        <v/>
      </c>
      <c r="M232" s="233" t="str">
        <f>Controle!M232</f>
        <v/>
      </c>
      <c r="N232" s="235" t="str">
        <f>Controle!N232</f>
        <v/>
      </c>
      <c r="O232" s="235" t="str">
        <f>Controle!O232</f>
        <v/>
      </c>
      <c r="P232" s="235" t="str">
        <f>Controle!P232</f>
        <v/>
      </c>
      <c r="Q232" s="235" t="str">
        <f>Controle!Q232</f>
        <v/>
      </c>
      <c r="R232" s="293" t="str">
        <f>Controle!R232</f>
        <v/>
      </c>
      <c r="S232" s="287"/>
      <c r="T232" s="233" t="str">
        <f t="shared" ref="T232:U232" si="235">IF(AND(C232&lt;&gt;"",F232&lt;&gt;"",I232&lt;&gt;""), SUM(I232,F232,C232),"")</f>
        <v/>
      </c>
      <c r="U232" s="233" t="str">
        <f t="shared" si="235"/>
        <v/>
      </c>
      <c r="V232" s="233" t="str">
        <f t="shared" si="6"/>
        <v/>
      </c>
      <c r="W232" s="241" t="str">
        <f t="shared" si="9"/>
        <v/>
      </c>
      <c r="X232" s="241" t="str">
        <f t="shared" si="10"/>
        <v/>
      </c>
      <c r="Y232" s="241" t="str">
        <f t="shared" si="19"/>
        <v/>
      </c>
      <c r="Z232" s="233" t="str">
        <f t="shared" si="7"/>
        <v/>
      </c>
      <c r="AA232" s="294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</row>
    <row r="233" ht="15.75" customHeight="1">
      <c r="A233" s="2"/>
      <c r="B233" s="288">
        <f>Controle!B233</f>
        <v>45320</v>
      </c>
      <c r="C233" s="233" t="str">
        <f>Controle!C233</f>
        <v/>
      </c>
      <c r="D233" s="289" t="str">
        <f>Controle!D233</f>
        <v/>
      </c>
      <c r="E233" s="290"/>
      <c r="F233" s="291" t="str">
        <f>Controle!F233</f>
        <v/>
      </c>
      <c r="G233" s="289" t="str">
        <f>Controle!G233</f>
        <v/>
      </c>
      <c r="H233" s="290"/>
      <c r="I233" s="291" t="str">
        <f>Controle!I233</f>
        <v/>
      </c>
      <c r="J233" s="233" t="str">
        <f>Controle!J233</f>
        <v/>
      </c>
      <c r="K233" s="292"/>
      <c r="L233" s="233" t="str">
        <f>Controle!L233</f>
        <v/>
      </c>
      <c r="M233" s="233" t="str">
        <f>Controle!M233</f>
        <v/>
      </c>
      <c r="N233" s="235" t="str">
        <f>Controle!N233</f>
        <v/>
      </c>
      <c r="O233" s="235" t="str">
        <f>Controle!O233</f>
        <v/>
      </c>
      <c r="P233" s="235" t="str">
        <f>Controle!P233</f>
        <v/>
      </c>
      <c r="Q233" s="235" t="str">
        <f>Controle!Q233</f>
        <v/>
      </c>
      <c r="R233" s="293" t="str">
        <f>Controle!R233</f>
        <v/>
      </c>
      <c r="S233" s="287"/>
      <c r="T233" s="233" t="str">
        <f t="shared" ref="T233:U233" si="236">IF(AND(C233&lt;&gt;"",F233&lt;&gt;"",I233&lt;&gt;""), SUM(I233,F233,C233),"")</f>
        <v/>
      </c>
      <c r="U233" s="233" t="str">
        <f t="shared" si="236"/>
        <v/>
      </c>
      <c r="V233" s="233" t="str">
        <f t="shared" si="6"/>
        <v/>
      </c>
      <c r="W233" s="241" t="str">
        <f t="shared" si="9"/>
        <v/>
      </c>
      <c r="X233" s="241" t="str">
        <f t="shared" si="10"/>
        <v/>
      </c>
      <c r="Y233" s="241" t="str">
        <f t="shared" si="19"/>
        <v/>
      </c>
      <c r="Z233" s="233" t="str">
        <f t="shared" si="7"/>
        <v/>
      </c>
      <c r="AA233" s="294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</row>
    <row r="234" ht="15.75" customHeight="1">
      <c r="A234" s="2"/>
      <c r="B234" s="288">
        <f>Controle!B234</f>
        <v>45321</v>
      </c>
      <c r="C234" s="233" t="str">
        <f>Controle!C234</f>
        <v/>
      </c>
      <c r="D234" s="289" t="str">
        <f>Controle!D234</f>
        <v/>
      </c>
      <c r="E234" s="290"/>
      <c r="F234" s="291" t="str">
        <f>Controle!F234</f>
        <v/>
      </c>
      <c r="G234" s="289" t="str">
        <f>Controle!G234</f>
        <v/>
      </c>
      <c r="H234" s="290"/>
      <c r="I234" s="291" t="str">
        <f>Controle!I234</f>
        <v/>
      </c>
      <c r="J234" s="233" t="str">
        <f>Controle!J234</f>
        <v/>
      </c>
      <c r="K234" s="292"/>
      <c r="L234" s="233" t="str">
        <f>Controle!L234</f>
        <v/>
      </c>
      <c r="M234" s="233" t="str">
        <f>Controle!M234</f>
        <v/>
      </c>
      <c r="N234" s="235" t="str">
        <f>Controle!N234</f>
        <v/>
      </c>
      <c r="O234" s="235" t="str">
        <f>Controle!O234</f>
        <v/>
      </c>
      <c r="P234" s="235" t="str">
        <f>Controle!P234</f>
        <v/>
      </c>
      <c r="Q234" s="235" t="str">
        <f>Controle!Q234</f>
        <v/>
      </c>
      <c r="R234" s="293" t="str">
        <f>Controle!R234</f>
        <v/>
      </c>
      <c r="S234" s="287"/>
      <c r="T234" s="233" t="str">
        <f t="shared" ref="T234:U234" si="237">IF(AND(C234&lt;&gt;"",F234&lt;&gt;"",I234&lt;&gt;""), SUM(I234,F234,C234),"")</f>
        <v/>
      </c>
      <c r="U234" s="233" t="str">
        <f t="shared" si="237"/>
        <v/>
      </c>
      <c r="V234" s="233" t="str">
        <f t="shared" si="6"/>
        <v/>
      </c>
      <c r="W234" s="241" t="str">
        <f t="shared" si="9"/>
        <v/>
      </c>
      <c r="X234" s="241" t="str">
        <f t="shared" si="10"/>
        <v/>
      </c>
      <c r="Y234" s="241" t="str">
        <f t="shared" si="19"/>
        <v/>
      </c>
      <c r="Z234" s="233" t="str">
        <f t="shared" si="7"/>
        <v/>
      </c>
      <c r="AA234" s="294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</row>
    <row r="235" ht="15.75" customHeight="1">
      <c r="A235" s="2"/>
      <c r="B235" s="288">
        <f>Controle!B235</f>
        <v>45322</v>
      </c>
      <c r="C235" s="233" t="str">
        <f>Controle!C235</f>
        <v/>
      </c>
      <c r="D235" s="289" t="str">
        <f>Controle!D235</f>
        <v/>
      </c>
      <c r="E235" s="290"/>
      <c r="F235" s="291" t="str">
        <f>Controle!F235</f>
        <v/>
      </c>
      <c r="G235" s="289" t="str">
        <f>Controle!G235</f>
        <v/>
      </c>
      <c r="H235" s="290"/>
      <c r="I235" s="291" t="str">
        <f>Controle!I235</f>
        <v/>
      </c>
      <c r="J235" s="233" t="str">
        <f>Controle!J235</f>
        <v/>
      </c>
      <c r="K235" s="292"/>
      <c r="L235" s="233" t="str">
        <f>Controle!L235</f>
        <v/>
      </c>
      <c r="M235" s="233" t="str">
        <f>Controle!M235</f>
        <v/>
      </c>
      <c r="N235" s="235" t="str">
        <f>Controle!N235</f>
        <v/>
      </c>
      <c r="O235" s="235" t="str">
        <f>Controle!O235</f>
        <v/>
      </c>
      <c r="P235" s="235" t="str">
        <f>Controle!P235</f>
        <v/>
      </c>
      <c r="Q235" s="235" t="str">
        <f>Controle!Q235</f>
        <v/>
      </c>
      <c r="R235" s="293" t="str">
        <f>Controle!R235</f>
        <v/>
      </c>
      <c r="S235" s="287"/>
      <c r="T235" s="233" t="str">
        <f t="shared" ref="T235:U235" si="238">IF(AND(C235&lt;&gt;"",F235&lt;&gt;"",I235&lt;&gt;""), SUM(I235,F235,C235),"")</f>
        <v/>
      </c>
      <c r="U235" s="233" t="str">
        <f t="shared" si="238"/>
        <v/>
      </c>
      <c r="V235" s="233" t="str">
        <f t="shared" si="6"/>
        <v/>
      </c>
      <c r="W235" s="241" t="str">
        <f t="shared" si="9"/>
        <v/>
      </c>
      <c r="X235" s="241" t="str">
        <f t="shared" si="10"/>
        <v/>
      </c>
      <c r="Y235" s="241" t="str">
        <f t="shared" si="19"/>
        <v/>
      </c>
      <c r="Z235" s="233" t="str">
        <f t="shared" si="7"/>
        <v/>
      </c>
      <c r="AA235" s="294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</row>
    <row r="236" ht="15.75" customHeight="1">
      <c r="A236" s="2"/>
      <c r="B236" s="288">
        <f>Controle!B236</f>
        <v>45323</v>
      </c>
      <c r="C236" s="233" t="str">
        <f>Controle!C236</f>
        <v/>
      </c>
      <c r="D236" s="289" t="str">
        <f>Controle!D236</f>
        <v/>
      </c>
      <c r="E236" s="290"/>
      <c r="F236" s="291" t="str">
        <f>Controle!F236</f>
        <v/>
      </c>
      <c r="G236" s="289" t="str">
        <f>Controle!G236</f>
        <v/>
      </c>
      <c r="H236" s="290"/>
      <c r="I236" s="291" t="str">
        <f>Controle!I236</f>
        <v/>
      </c>
      <c r="J236" s="233" t="str">
        <f>Controle!J236</f>
        <v/>
      </c>
      <c r="K236" s="292"/>
      <c r="L236" s="233" t="str">
        <f>Controle!L236</f>
        <v/>
      </c>
      <c r="M236" s="233" t="str">
        <f>Controle!M236</f>
        <v/>
      </c>
      <c r="N236" s="235" t="str">
        <f>Controle!N236</f>
        <v/>
      </c>
      <c r="O236" s="235" t="str">
        <f>Controle!O236</f>
        <v/>
      </c>
      <c r="P236" s="235" t="str">
        <f>Controle!P236</f>
        <v/>
      </c>
      <c r="Q236" s="235" t="str">
        <f>Controle!Q236</f>
        <v/>
      </c>
      <c r="R236" s="293" t="str">
        <f>Controle!R236</f>
        <v/>
      </c>
      <c r="S236" s="287"/>
      <c r="T236" s="233" t="str">
        <f t="shared" ref="T236:U236" si="239">IF(AND(C236&lt;&gt;"",F236&lt;&gt;"",I236&lt;&gt;""), SUM(I236,F236,C236),"")</f>
        <v/>
      </c>
      <c r="U236" s="233" t="str">
        <f t="shared" si="239"/>
        <v/>
      </c>
      <c r="V236" s="233" t="str">
        <f t="shared" si="6"/>
        <v/>
      </c>
      <c r="W236" s="241" t="str">
        <f t="shared" si="9"/>
        <v/>
      </c>
      <c r="X236" s="241" t="str">
        <f t="shared" si="10"/>
        <v/>
      </c>
      <c r="Y236" s="241" t="str">
        <f t="shared" si="19"/>
        <v/>
      </c>
      <c r="Z236" s="233" t="str">
        <f t="shared" si="7"/>
        <v/>
      </c>
      <c r="AA236" s="294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</row>
    <row r="237" ht="15.75" customHeight="1">
      <c r="A237" s="2"/>
      <c r="B237" s="288">
        <f>Controle!B237</f>
        <v>45324</v>
      </c>
      <c r="C237" s="233" t="str">
        <f>Controle!C237</f>
        <v/>
      </c>
      <c r="D237" s="289" t="str">
        <f>Controle!D237</f>
        <v/>
      </c>
      <c r="E237" s="290"/>
      <c r="F237" s="291" t="str">
        <f>Controle!F237</f>
        <v/>
      </c>
      <c r="G237" s="289" t="str">
        <f>Controle!G237</f>
        <v/>
      </c>
      <c r="H237" s="290"/>
      <c r="I237" s="291" t="str">
        <f>Controle!I237</f>
        <v/>
      </c>
      <c r="J237" s="233" t="str">
        <f>Controle!J237</f>
        <v/>
      </c>
      <c r="K237" s="292"/>
      <c r="L237" s="233" t="str">
        <f>Controle!L237</f>
        <v/>
      </c>
      <c r="M237" s="233" t="str">
        <f>Controle!M237</f>
        <v/>
      </c>
      <c r="N237" s="235" t="str">
        <f>Controle!N237</f>
        <v/>
      </c>
      <c r="O237" s="235" t="str">
        <f>Controle!O237</f>
        <v/>
      </c>
      <c r="P237" s="235" t="str">
        <f>Controle!P237</f>
        <v/>
      </c>
      <c r="Q237" s="235" t="str">
        <f>Controle!Q237</f>
        <v/>
      </c>
      <c r="R237" s="293" t="str">
        <f>Controle!R237</f>
        <v/>
      </c>
      <c r="S237" s="287"/>
      <c r="T237" s="233" t="str">
        <f t="shared" ref="T237:U237" si="240">IF(AND(C237&lt;&gt;"",F237&lt;&gt;"",I237&lt;&gt;""), SUM(I237,F237,C237),"")</f>
        <v/>
      </c>
      <c r="U237" s="233" t="str">
        <f t="shared" si="240"/>
        <v/>
      </c>
      <c r="V237" s="233" t="str">
        <f t="shared" si="6"/>
        <v/>
      </c>
      <c r="W237" s="241" t="str">
        <f t="shared" si="9"/>
        <v/>
      </c>
      <c r="X237" s="241" t="str">
        <f t="shared" si="10"/>
        <v/>
      </c>
      <c r="Y237" s="241" t="str">
        <f t="shared" si="19"/>
        <v/>
      </c>
      <c r="Z237" s="233" t="str">
        <f t="shared" si="7"/>
        <v/>
      </c>
      <c r="AA237" s="294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</row>
    <row r="238" ht="15.75" customHeight="1">
      <c r="A238" s="2"/>
      <c r="B238" s="288">
        <f>Controle!B238</f>
        <v>45325</v>
      </c>
      <c r="C238" s="233" t="str">
        <f>Controle!C238</f>
        <v/>
      </c>
      <c r="D238" s="289" t="str">
        <f>Controle!D238</f>
        <v/>
      </c>
      <c r="E238" s="290"/>
      <c r="F238" s="291" t="str">
        <f>Controle!F238</f>
        <v/>
      </c>
      <c r="G238" s="289" t="str">
        <f>Controle!G238</f>
        <v/>
      </c>
      <c r="H238" s="290"/>
      <c r="I238" s="291" t="str">
        <f>Controle!I238</f>
        <v/>
      </c>
      <c r="J238" s="233" t="str">
        <f>Controle!J238</f>
        <v/>
      </c>
      <c r="K238" s="292"/>
      <c r="L238" s="233" t="str">
        <f>Controle!L238</f>
        <v/>
      </c>
      <c r="M238" s="233" t="str">
        <f>Controle!M238</f>
        <v/>
      </c>
      <c r="N238" s="235" t="str">
        <f>Controle!N238</f>
        <v/>
      </c>
      <c r="O238" s="235" t="str">
        <f>Controle!O238</f>
        <v/>
      </c>
      <c r="P238" s="235" t="str">
        <f>Controle!P238</f>
        <v/>
      </c>
      <c r="Q238" s="235" t="str">
        <f>Controle!Q238</f>
        <v/>
      </c>
      <c r="R238" s="293" t="str">
        <f>Controle!R238</f>
        <v/>
      </c>
      <c r="S238" s="287"/>
      <c r="T238" s="233" t="str">
        <f t="shared" ref="T238:U238" si="241">IF(AND(C238&lt;&gt;"",F238&lt;&gt;"",I238&lt;&gt;""), SUM(I238,F238,C238),"")</f>
        <v/>
      </c>
      <c r="U238" s="233" t="str">
        <f t="shared" si="241"/>
        <v/>
      </c>
      <c r="V238" s="233" t="str">
        <f t="shared" si="6"/>
        <v/>
      </c>
      <c r="W238" s="241" t="str">
        <f t="shared" si="9"/>
        <v/>
      </c>
      <c r="X238" s="241" t="str">
        <f t="shared" si="10"/>
        <v/>
      </c>
      <c r="Y238" s="241" t="str">
        <f t="shared" si="19"/>
        <v/>
      </c>
      <c r="Z238" s="233" t="str">
        <f t="shared" si="7"/>
        <v/>
      </c>
      <c r="AA238" s="294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</row>
    <row r="239" ht="15.75" customHeight="1">
      <c r="A239" s="2"/>
      <c r="B239" s="288">
        <f>Controle!B239</f>
        <v>45326</v>
      </c>
      <c r="C239" s="233" t="str">
        <f>Controle!C239</f>
        <v/>
      </c>
      <c r="D239" s="289" t="str">
        <f>Controle!D239</f>
        <v/>
      </c>
      <c r="E239" s="290"/>
      <c r="F239" s="291" t="str">
        <f>Controle!F239</f>
        <v/>
      </c>
      <c r="G239" s="289" t="str">
        <f>Controle!G239</f>
        <v/>
      </c>
      <c r="H239" s="290"/>
      <c r="I239" s="291" t="str">
        <f>Controle!I239</f>
        <v/>
      </c>
      <c r="J239" s="233" t="str">
        <f>Controle!J239</f>
        <v/>
      </c>
      <c r="K239" s="292"/>
      <c r="L239" s="233" t="str">
        <f>Controle!L239</f>
        <v/>
      </c>
      <c r="M239" s="233" t="str">
        <f>Controle!M239</f>
        <v/>
      </c>
      <c r="N239" s="235" t="str">
        <f>Controle!N239</f>
        <v/>
      </c>
      <c r="O239" s="235" t="str">
        <f>Controle!O239</f>
        <v/>
      </c>
      <c r="P239" s="235" t="str">
        <f>Controle!P239</f>
        <v/>
      </c>
      <c r="Q239" s="235" t="str">
        <f>Controle!Q239</f>
        <v/>
      </c>
      <c r="R239" s="293" t="str">
        <f>Controle!R239</f>
        <v/>
      </c>
      <c r="S239" s="287"/>
      <c r="T239" s="233" t="str">
        <f t="shared" ref="T239:U239" si="242">IF(AND(C239&lt;&gt;"",F239&lt;&gt;"",I239&lt;&gt;""), SUM(I239,F239,C239),"")</f>
        <v/>
      </c>
      <c r="U239" s="233" t="str">
        <f t="shared" si="242"/>
        <v/>
      </c>
      <c r="V239" s="233" t="str">
        <f t="shared" si="6"/>
        <v/>
      </c>
      <c r="W239" s="241" t="str">
        <f t="shared" si="9"/>
        <v/>
      </c>
      <c r="X239" s="241" t="str">
        <f t="shared" si="10"/>
        <v/>
      </c>
      <c r="Y239" s="241" t="str">
        <f t="shared" si="19"/>
        <v/>
      </c>
      <c r="Z239" s="233" t="str">
        <f t="shared" si="7"/>
        <v/>
      </c>
      <c r="AA239" s="294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</row>
    <row r="240" ht="15.75" customHeight="1">
      <c r="A240" s="2"/>
      <c r="B240" s="288">
        <f>Controle!B240</f>
        <v>45327</v>
      </c>
      <c r="C240" s="233" t="str">
        <f>Controle!C240</f>
        <v/>
      </c>
      <c r="D240" s="289" t="str">
        <f>Controle!D240</f>
        <v/>
      </c>
      <c r="E240" s="290"/>
      <c r="F240" s="291" t="str">
        <f>Controle!F240</f>
        <v/>
      </c>
      <c r="G240" s="289" t="str">
        <f>Controle!G240</f>
        <v/>
      </c>
      <c r="H240" s="290"/>
      <c r="I240" s="291" t="str">
        <f>Controle!I240</f>
        <v/>
      </c>
      <c r="J240" s="233" t="str">
        <f>Controle!J240</f>
        <v/>
      </c>
      <c r="K240" s="292"/>
      <c r="L240" s="233" t="str">
        <f>Controle!L240</f>
        <v/>
      </c>
      <c r="M240" s="233" t="str">
        <f>Controle!M240</f>
        <v/>
      </c>
      <c r="N240" s="235" t="str">
        <f>Controle!N240</f>
        <v/>
      </c>
      <c r="O240" s="235" t="str">
        <f>Controle!O240</f>
        <v/>
      </c>
      <c r="P240" s="235" t="str">
        <f>Controle!P240</f>
        <v/>
      </c>
      <c r="Q240" s="235" t="str">
        <f>Controle!Q240</f>
        <v/>
      </c>
      <c r="R240" s="293" t="str">
        <f>Controle!R240</f>
        <v/>
      </c>
      <c r="S240" s="287"/>
      <c r="T240" s="233" t="str">
        <f t="shared" ref="T240:U240" si="243">IF(AND(C240&lt;&gt;"",F240&lt;&gt;"",I240&lt;&gt;""), SUM(I240,F240,C240),"")</f>
        <v/>
      </c>
      <c r="U240" s="233" t="str">
        <f t="shared" si="243"/>
        <v/>
      </c>
      <c r="V240" s="233" t="str">
        <f t="shared" si="6"/>
        <v/>
      </c>
      <c r="W240" s="241" t="str">
        <f t="shared" si="9"/>
        <v/>
      </c>
      <c r="X240" s="241" t="str">
        <f t="shared" si="10"/>
        <v/>
      </c>
      <c r="Y240" s="241" t="str">
        <f t="shared" si="19"/>
        <v/>
      </c>
      <c r="Z240" s="233" t="str">
        <f t="shared" si="7"/>
        <v/>
      </c>
      <c r="AA240" s="294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</row>
    <row r="241" ht="15.75" customHeight="1">
      <c r="A241" s="2"/>
      <c r="B241" s="288">
        <f>Controle!B241</f>
        <v>45328</v>
      </c>
      <c r="C241" s="233" t="str">
        <f>Controle!C241</f>
        <v/>
      </c>
      <c r="D241" s="289" t="str">
        <f>Controle!D241</f>
        <v/>
      </c>
      <c r="E241" s="290"/>
      <c r="F241" s="291" t="str">
        <f>Controle!F241</f>
        <v/>
      </c>
      <c r="G241" s="289" t="str">
        <f>Controle!G241</f>
        <v/>
      </c>
      <c r="H241" s="290"/>
      <c r="I241" s="291" t="str">
        <f>Controle!I241</f>
        <v/>
      </c>
      <c r="J241" s="233" t="str">
        <f>Controle!J241</f>
        <v/>
      </c>
      <c r="K241" s="292"/>
      <c r="L241" s="233" t="str">
        <f>Controle!L241</f>
        <v/>
      </c>
      <c r="M241" s="233" t="str">
        <f>Controle!M241</f>
        <v/>
      </c>
      <c r="N241" s="235" t="str">
        <f>Controle!N241</f>
        <v/>
      </c>
      <c r="O241" s="235" t="str">
        <f>Controle!O241</f>
        <v/>
      </c>
      <c r="P241" s="235" t="str">
        <f>Controle!P241</f>
        <v/>
      </c>
      <c r="Q241" s="235" t="str">
        <f>Controle!Q241</f>
        <v/>
      </c>
      <c r="R241" s="293" t="str">
        <f>Controle!R241</f>
        <v/>
      </c>
      <c r="S241" s="287"/>
      <c r="T241" s="233" t="str">
        <f t="shared" ref="T241:U241" si="244">IF(AND(C241&lt;&gt;"",F241&lt;&gt;"",I241&lt;&gt;""), SUM(I241,F241,C241),"")</f>
        <v/>
      </c>
      <c r="U241" s="233" t="str">
        <f t="shared" si="244"/>
        <v/>
      </c>
      <c r="V241" s="233" t="str">
        <f t="shared" si="6"/>
        <v/>
      </c>
      <c r="W241" s="241" t="str">
        <f t="shared" si="9"/>
        <v/>
      </c>
      <c r="X241" s="241" t="str">
        <f t="shared" si="10"/>
        <v/>
      </c>
      <c r="Y241" s="241" t="str">
        <f t="shared" si="19"/>
        <v/>
      </c>
      <c r="Z241" s="233" t="str">
        <f t="shared" si="7"/>
        <v/>
      </c>
      <c r="AA241" s="294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</row>
    <row r="242" ht="15.75" customHeight="1">
      <c r="A242" s="2"/>
      <c r="B242" s="288">
        <f>Controle!B242</f>
        <v>45329</v>
      </c>
      <c r="C242" s="233" t="str">
        <f>Controle!C242</f>
        <v/>
      </c>
      <c r="D242" s="289" t="str">
        <f>Controle!D242</f>
        <v/>
      </c>
      <c r="E242" s="290"/>
      <c r="F242" s="291" t="str">
        <f>Controle!F242</f>
        <v/>
      </c>
      <c r="G242" s="289" t="str">
        <f>Controle!G242</f>
        <v/>
      </c>
      <c r="H242" s="290"/>
      <c r="I242" s="291" t="str">
        <f>Controle!I242</f>
        <v/>
      </c>
      <c r="J242" s="233" t="str">
        <f>Controle!J242</f>
        <v/>
      </c>
      <c r="K242" s="292"/>
      <c r="L242" s="233" t="str">
        <f>Controle!L242</f>
        <v/>
      </c>
      <c r="M242" s="233" t="str">
        <f>Controle!M242</f>
        <v/>
      </c>
      <c r="N242" s="235" t="str">
        <f>Controle!N242</f>
        <v/>
      </c>
      <c r="O242" s="235" t="str">
        <f>Controle!O242</f>
        <v/>
      </c>
      <c r="P242" s="235" t="str">
        <f>Controle!P242</f>
        <v/>
      </c>
      <c r="Q242" s="235" t="str">
        <f>Controle!Q242</f>
        <v/>
      </c>
      <c r="R242" s="293" t="str">
        <f>Controle!R242</f>
        <v/>
      </c>
      <c r="S242" s="287"/>
      <c r="T242" s="233" t="str">
        <f t="shared" ref="T242:U242" si="245">IF(AND(C242&lt;&gt;"",F242&lt;&gt;"",I242&lt;&gt;""), SUM(I242,F242,C242),"")</f>
        <v/>
      </c>
      <c r="U242" s="233" t="str">
        <f t="shared" si="245"/>
        <v/>
      </c>
      <c r="V242" s="233" t="str">
        <f t="shared" si="6"/>
        <v/>
      </c>
      <c r="W242" s="241" t="str">
        <f t="shared" si="9"/>
        <v/>
      </c>
      <c r="X242" s="241" t="str">
        <f t="shared" si="10"/>
        <v/>
      </c>
      <c r="Y242" s="241" t="str">
        <f t="shared" si="19"/>
        <v/>
      </c>
      <c r="Z242" s="233" t="str">
        <f t="shared" si="7"/>
        <v/>
      </c>
      <c r="AA242" s="294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</row>
    <row r="243" ht="15.75" customHeight="1">
      <c r="A243" s="2"/>
      <c r="B243" s="288" t="str">
        <f>Controle!B243</f>
        <v/>
      </c>
      <c r="C243" s="233" t="str">
        <f>Controle!C243</f>
        <v/>
      </c>
      <c r="D243" s="289" t="str">
        <f>Controle!D243</f>
        <v/>
      </c>
      <c r="E243" s="290"/>
      <c r="F243" s="291" t="str">
        <f>Controle!F243</f>
        <v/>
      </c>
      <c r="G243" s="289" t="str">
        <f>Controle!G243</f>
        <v/>
      </c>
      <c r="H243" s="290"/>
      <c r="I243" s="291" t="str">
        <f>Controle!I243</f>
        <v/>
      </c>
      <c r="J243" s="233" t="str">
        <f>Controle!J243</f>
        <v/>
      </c>
      <c r="K243" s="292"/>
      <c r="L243" s="233" t="str">
        <f>Controle!L243</f>
        <v/>
      </c>
      <c r="M243" s="233" t="str">
        <f>Controle!M243</f>
        <v/>
      </c>
      <c r="N243" s="235" t="str">
        <f>Controle!N243</f>
        <v/>
      </c>
      <c r="O243" s="235" t="str">
        <f>Controle!O243</f>
        <v/>
      </c>
      <c r="P243" s="235" t="str">
        <f>Controle!P243</f>
        <v/>
      </c>
      <c r="Q243" s="235" t="str">
        <f>Controle!Q243</f>
        <v/>
      </c>
      <c r="R243" s="299" t="str">
        <f>Controle!R243</f>
        <v/>
      </c>
      <c r="S243" s="287"/>
      <c r="T243" s="300"/>
      <c r="U243" s="300"/>
      <c r="V243" s="301"/>
      <c r="W243" s="294"/>
      <c r="X243" s="294"/>
      <c r="Y243" s="294"/>
      <c r="Z243" s="294"/>
      <c r="AA243" s="294"/>
      <c r="AB243" s="253"/>
      <c r="AC243" s="2"/>
      <c r="AD243" s="253"/>
      <c r="AE243" s="253"/>
      <c r="AF243" s="253"/>
      <c r="AG243" s="253"/>
      <c r="AH243" s="253"/>
      <c r="AI243" s="2"/>
      <c r="AJ243" s="253"/>
      <c r="AK243" s="253"/>
      <c r="AL243" s="253"/>
      <c r="AM243" s="253"/>
      <c r="AN243" s="253"/>
      <c r="AO243" s="2"/>
      <c r="AP243" s="253"/>
      <c r="AQ243" s="253"/>
      <c r="AR243" s="253"/>
      <c r="AS243" s="253"/>
      <c r="AT243" s="253"/>
      <c r="AU243" s="2"/>
      <c r="AV243" s="253"/>
      <c r="AW243" s="253"/>
      <c r="AX243" s="253"/>
      <c r="AY243" s="253"/>
    </row>
    <row r="244" ht="15.75" customHeight="1">
      <c r="A244" s="2"/>
      <c r="B244" s="288" t="str">
        <f>Controle!B244</f>
        <v/>
      </c>
      <c r="C244" s="233" t="str">
        <f>Controle!C244</f>
        <v/>
      </c>
      <c r="D244" s="289" t="str">
        <f>Controle!D244</f>
        <v/>
      </c>
      <c r="E244" s="290"/>
      <c r="F244" s="291" t="str">
        <f>Controle!F244</f>
        <v/>
      </c>
      <c r="G244" s="289" t="str">
        <f>Controle!G244</f>
        <v/>
      </c>
      <c r="H244" s="290"/>
      <c r="I244" s="291" t="str">
        <f>Controle!I244</f>
        <v/>
      </c>
      <c r="J244" s="233" t="str">
        <f>Controle!J244</f>
        <v/>
      </c>
      <c r="K244" s="292"/>
      <c r="L244" s="233" t="str">
        <f>Controle!L244</f>
        <v/>
      </c>
      <c r="M244" s="233" t="str">
        <f>Controle!M244</f>
        <v/>
      </c>
      <c r="N244" s="235" t="str">
        <f>Controle!N244</f>
        <v/>
      </c>
      <c r="O244" s="235" t="str">
        <f>Controle!O244</f>
        <v/>
      </c>
      <c r="P244" s="235" t="str">
        <f>Controle!P244</f>
        <v/>
      </c>
      <c r="Q244" s="235" t="str">
        <f>Controle!Q244</f>
        <v/>
      </c>
      <c r="R244" s="302" t="str">
        <f>Controle!R244</f>
        <v/>
      </c>
      <c r="S244" s="287"/>
      <c r="T244" s="301"/>
      <c r="U244" s="301"/>
      <c r="V244" s="301"/>
      <c r="W244" s="294"/>
      <c r="X244" s="294"/>
      <c r="Y244" s="294"/>
      <c r="Z244" s="294"/>
      <c r="AA244" s="294"/>
      <c r="AB244" s="253"/>
      <c r="AC244" s="2"/>
      <c r="AD244" s="253"/>
      <c r="AE244" s="253"/>
      <c r="AF244" s="253"/>
      <c r="AG244" s="253"/>
      <c r="AH244" s="253"/>
      <c r="AI244" s="2"/>
      <c r="AJ244" s="253"/>
      <c r="AK244" s="253"/>
      <c r="AL244" s="253"/>
      <c r="AM244" s="253"/>
      <c r="AN244" s="253"/>
      <c r="AO244" s="2"/>
      <c r="AP244" s="253"/>
      <c r="AQ244" s="253"/>
      <c r="AR244" s="253"/>
      <c r="AS244" s="253"/>
      <c r="AT244" s="253"/>
      <c r="AU244" s="2"/>
      <c r="AV244" s="253"/>
      <c r="AW244" s="253"/>
      <c r="AX244" s="253"/>
      <c r="AY244" s="253"/>
    </row>
    <row r="245" ht="15.75" customHeight="1">
      <c r="A245" s="2"/>
      <c r="B245" s="288" t="str">
        <f>Controle!B245</f>
        <v/>
      </c>
      <c r="C245" s="233" t="str">
        <f>Controle!C245</f>
        <v/>
      </c>
      <c r="D245" s="289" t="str">
        <f>Controle!D245</f>
        <v/>
      </c>
      <c r="E245" s="290"/>
      <c r="F245" s="291" t="str">
        <f>Controle!F245</f>
        <v/>
      </c>
      <c r="G245" s="289" t="str">
        <f>Controle!G245</f>
        <v/>
      </c>
      <c r="H245" s="290"/>
      <c r="I245" s="291" t="str">
        <f>Controle!I245</f>
        <v/>
      </c>
      <c r="J245" s="233" t="str">
        <f>Controle!J245</f>
        <v/>
      </c>
      <c r="K245" s="292"/>
      <c r="L245" s="233" t="str">
        <f>Controle!L245</f>
        <v/>
      </c>
      <c r="M245" s="233" t="str">
        <f>Controle!M245</f>
        <v/>
      </c>
      <c r="N245" s="235" t="str">
        <f>Controle!N245</f>
        <v/>
      </c>
      <c r="O245" s="235" t="str">
        <f>Controle!O245</f>
        <v/>
      </c>
      <c r="P245" s="235" t="str">
        <f>Controle!P245</f>
        <v/>
      </c>
      <c r="Q245" s="235" t="str">
        <f>Controle!Q245</f>
        <v/>
      </c>
      <c r="R245" s="303" t="str">
        <f>Controle!R245</f>
        <v/>
      </c>
      <c r="S245" s="287"/>
      <c r="T245" s="301"/>
      <c r="U245" s="301"/>
      <c r="V245" s="301"/>
      <c r="W245" s="294"/>
      <c r="X245" s="294"/>
      <c r="Y245" s="294"/>
      <c r="Z245" s="294"/>
      <c r="AA245" s="294"/>
      <c r="AB245" s="253"/>
      <c r="AC245" s="2"/>
      <c r="AD245" s="253"/>
      <c r="AE245" s="253"/>
      <c r="AF245" s="253"/>
      <c r="AG245" s="253"/>
      <c r="AH245" s="253"/>
      <c r="AI245" s="2"/>
      <c r="AJ245" s="253"/>
      <c r="AK245" s="253"/>
      <c r="AL245" s="253"/>
      <c r="AM245" s="253"/>
      <c r="AN245" s="253"/>
      <c r="AO245" s="2"/>
      <c r="AP245" s="253"/>
      <c r="AQ245" s="253"/>
      <c r="AR245" s="253"/>
      <c r="AS245" s="253"/>
      <c r="AT245" s="253"/>
      <c r="AU245" s="2"/>
      <c r="AV245" s="253"/>
      <c r="AW245" s="253"/>
      <c r="AX245" s="253"/>
      <c r="AY245" s="253"/>
    </row>
    <row r="246" ht="15.75" customHeight="1">
      <c r="A246" s="2"/>
      <c r="B246" s="288" t="str">
        <f>Controle!B246</f>
        <v/>
      </c>
      <c r="C246" s="233" t="str">
        <f>Controle!C246</f>
        <v/>
      </c>
      <c r="D246" s="289" t="str">
        <f>Controle!D246</f>
        <v/>
      </c>
      <c r="E246" s="290"/>
      <c r="F246" s="291" t="str">
        <f>Controle!F246</f>
        <v/>
      </c>
      <c r="G246" s="289" t="str">
        <f>Controle!G246</f>
        <v/>
      </c>
      <c r="H246" s="290"/>
      <c r="I246" s="291" t="str">
        <f>Controle!I246</f>
        <v/>
      </c>
      <c r="J246" s="233" t="str">
        <f>Controle!J246</f>
        <v/>
      </c>
      <c r="K246" s="292"/>
      <c r="L246" s="233" t="str">
        <f>Controle!L246</f>
        <v/>
      </c>
      <c r="M246" s="233" t="str">
        <f>Controle!M246</f>
        <v/>
      </c>
      <c r="N246" s="235" t="str">
        <f>Controle!N246</f>
        <v/>
      </c>
      <c r="O246" s="235" t="str">
        <f>Controle!O246</f>
        <v/>
      </c>
      <c r="P246" s="235" t="str">
        <f>Controle!P246</f>
        <v/>
      </c>
      <c r="Q246" s="235" t="str">
        <f>Controle!Q246</f>
        <v/>
      </c>
      <c r="R246" s="303" t="str">
        <f>Controle!R246</f>
        <v/>
      </c>
      <c r="S246" s="287"/>
      <c r="T246" s="301"/>
      <c r="U246" s="301"/>
      <c r="V246" s="301"/>
      <c r="W246" s="294"/>
      <c r="X246" s="294"/>
      <c r="Y246" s="294"/>
      <c r="Z246" s="294"/>
      <c r="AA246" s="294"/>
      <c r="AB246" s="253"/>
      <c r="AC246" s="2"/>
      <c r="AD246" s="253"/>
      <c r="AE246" s="253"/>
      <c r="AF246" s="253"/>
      <c r="AG246" s="253"/>
      <c r="AH246" s="253"/>
      <c r="AI246" s="2"/>
      <c r="AJ246" s="253"/>
      <c r="AK246" s="253"/>
      <c r="AL246" s="253"/>
      <c r="AM246" s="253"/>
      <c r="AN246" s="253"/>
      <c r="AO246" s="2"/>
      <c r="AP246" s="253"/>
      <c r="AQ246" s="253"/>
      <c r="AR246" s="253"/>
      <c r="AS246" s="253"/>
      <c r="AT246" s="253"/>
      <c r="AU246" s="2"/>
      <c r="AV246" s="253"/>
      <c r="AW246" s="253"/>
      <c r="AX246" s="253"/>
      <c r="AY246" s="253"/>
    </row>
    <row r="247" ht="15.75" customHeight="1">
      <c r="A247" s="2"/>
      <c r="B247" s="288" t="str">
        <f>Controle!B247</f>
        <v/>
      </c>
      <c r="C247" s="233" t="str">
        <f>Controle!C247</f>
        <v/>
      </c>
      <c r="D247" s="289" t="str">
        <f>Controle!D247</f>
        <v/>
      </c>
      <c r="E247" s="290"/>
      <c r="F247" s="291" t="str">
        <f>Controle!F247</f>
        <v/>
      </c>
      <c r="G247" s="289" t="str">
        <f>Controle!G247</f>
        <v/>
      </c>
      <c r="H247" s="290"/>
      <c r="I247" s="291" t="str">
        <f>Controle!I247</f>
        <v/>
      </c>
      <c r="J247" s="233" t="str">
        <f>Controle!J247</f>
        <v/>
      </c>
      <c r="K247" s="292"/>
      <c r="L247" s="233" t="str">
        <f>Controle!L247</f>
        <v/>
      </c>
      <c r="M247" s="233" t="str">
        <f>Controle!M247</f>
        <v/>
      </c>
      <c r="N247" s="235" t="str">
        <f>Controle!N247</f>
        <v/>
      </c>
      <c r="O247" s="235" t="str">
        <f>Controle!O247</f>
        <v/>
      </c>
      <c r="P247" s="235" t="str">
        <f>Controle!P247</f>
        <v/>
      </c>
      <c r="Q247" s="235" t="str">
        <f>Controle!Q247</f>
        <v/>
      </c>
      <c r="R247" s="303" t="str">
        <f>Controle!R247</f>
        <v/>
      </c>
      <c r="S247" s="287"/>
      <c r="T247" s="301"/>
      <c r="U247" s="301"/>
      <c r="V247" s="301"/>
      <c r="W247" s="294"/>
      <c r="X247" s="294"/>
      <c r="Y247" s="294"/>
      <c r="Z247" s="294"/>
      <c r="AA247" s="294"/>
      <c r="AB247" s="253"/>
      <c r="AC247" s="2"/>
      <c r="AD247" s="253"/>
      <c r="AE247" s="253"/>
      <c r="AF247" s="253"/>
      <c r="AG247" s="253"/>
      <c r="AH247" s="253"/>
      <c r="AI247" s="2"/>
      <c r="AJ247" s="253"/>
      <c r="AK247" s="253"/>
      <c r="AL247" s="253"/>
      <c r="AM247" s="253"/>
      <c r="AN247" s="253"/>
      <c r="AO247" s="2"/>
      <c r="AP247" s="253"/>
      <c r="AQ247" s="253"/>
      <c r="AR247" s="253"/>
      <c r="AS247" s="253"/>
      <c r="AT247" s="253"/>
      <c r="AU247" s="2"/>
      <c r="AV247" s="253"/>
      <c r="AW247" s="253"/>
      <c r="AX247" s="253"/>
      <c r="AY247" s="253"/>
    </row>
    <row r="248" ht="15.75" customHeight="1">
      <c r="A248" s="2"/>
      <c r="B248" s="288" t="str">
        <f>Controle!B248</f>
        <v/>
      </c>
      <c r="C248" s="233" t="str">
        <f>Controle!C248</f>
        <v/>
      </c>
      <c r="D248" s="289" t="str">
        <f>Controle!D248</f>
        <v/>
      </c>
      <c r="E248" s="290"/>
      <c r="F248" s="291" t="str">
        <f>Controle!F248</f>
        <v/>
      </c>
      <c r="G248" s="289" t="str">
        <f>Controle!G248</f>
        <v/>
      </c>
      <c r="H248" s="290"/>
      <c r="I248" s="291" t="str">
        <f>Controle!I248</f>
        <v/>
      </c>
      <c r="J248" s="233" t="str">
        <f>Controle!J248</f>
        <v/>
      </c>
      <c r="K248" s="292"/>
      <c r="L248" s="233" t="str">
        <f>Controle!L248</f>
        <v/>
      </c>
      <c r="M248" s="233" t="str">
        <f>Controle!M248</f>
        <v/>
      </c>
      <c r="N248" s="235" t="str">
        <f>Controle!N248</f>
        <v/>
      </c>
      <c r="O248" s="235" t="str">
        <f>Controle!O248</f>
        <v/>
      </c>
      <c r="P248" s="235" t="str">
        <f>Controle!P248</f>
        <v/>
      </c>
      <c r="Q248" s="235" t="str">
        <f>Controle!Q248</f>
        <v/>
      </c>
      <c r="R248" s="303" t="str">
        <f>Controle!R248</f>
        <v/>
      </c>
      <c r="S248" s="287"/>
      <c r="T248" s="301"/>
      <c r="U248" s="301"/>
      <c r="V248" s="301"/>
      <c r="W248" s="294"/>
      <c r="X248" s="294"/>
      <c r="Y248" s="294"/>
      <c r="Z248" s="294"/>
      <c r="AA248" s="294"/>
      <c r="AB248" s="253"/>
      <c r="AC248" s="2"/>
      <c r="AD248" s="253"/>
      <c r="AE248" s="253"/>
      <c r="AF248" s="253"/>
      <c r="AG248" s="253"/>
      <c r="AH248" s="253"/>
      <c r="AI248" s="2"/>
      <c r="AJ248" s="253"/>
      <c r="AK248" s="253"/>
      <c r="AL248" s="253"/>
      <c r="AM248" s="253"/>
      <c r="AN248" s="253"/>
      <c r="AO248" s="2"/>
      <c r="AP248" s="253"/>
      <c r="AQ248" s="253"/>
      <c r="AR248" s="253"/>
      <c r="AS248" s="253"/>
      <c r="AT248" s="253"/>
      <c r="AU248" s="2"/>
      <c r="AV248" s="253"/>
      <c r="AW248" s="253"/>
      <c r="AX248" s="253"/>
      <c r="AY248" s="253"/>
    </row>
    <row r="249" ht="15.75" customHeight="1">
      <c r="A249" s="2"/>
      <c r="B249" s="288" t="str">
        <f>Controle!B249</f>
        <v/>
      </c>
      <c r="C249" s="233" t="str">
        <f>Controle!C249</f>
        <v/>
      </c>
      <c r="D249" s="289" t="str">
        <f>Controle!D249</f>
        <v/>
      </c>
      <c r="E249" s="290"/>
      <c r="F249" s="291" t="str">
        <f>Controle!F249</f>
        <v/>
      </c>
      <c r="G249" s="289" t="str">
        <f>Controle!G249</f>
        <v/>
      </c>
      <c r="H249" s="290"/>
      <c r="I249" s="291" t="str">
        <f>Controle!I249</f>
        <v/>
      </c>
      <c r="J249" s="233" t="str">
        <f>Controle!J249</f>
        <v/>
      </c>
      <c r="K249" s="292"/>
      <c r="L249" s="233" t="str">
        <f>Controle!L249</f>
        <v/>
      </c>
      <c r="M249" s="233" t="str">
        <f>Controle!M249</f>
        <v/>
      </c>
      <c r="N249" s="235" t="str">
        <f>Controle!N249</f>
        <v/>
      </c>
      <c r="O249" s="235" t="str">
        <f>Controle!O249</f>
        <v/>
      </c>
      <c r="P249" s="235" t="str">
        <f>Controle!P249</f>
        <v/>
      </c>
      <c r="Q249" s="235" t="str">
        <f>Controle!Q249</f>
        <v/>
      </c>
      <c r="R249" s="303" t="str">
        <f>Controle!R249</f>
        <v/>
      </c>
      <c r="S249" s="287"/>
      <c r="T249" s="301"/>
      <c r="U249" s="301"/>
      <c r="V249" s="301"/>
      <c r="W249" s="294"/>
      <c r="X249" s="294"/>
      <c r="Y249" s="294"/>
      <c r="Z249" s="294"/>
      <c r="AA249" s="294"/>
      <c r="AB249" s="253"/>
      <c r="AC249" s="2"/>
      <c r="AD249" s="253"/>
      <c r="AE249" s="253"/>
      <c r="AF249" s="253"/>
      <c r="AG249" s="253"/>
      <c r="AH249" s="253"/>
      <c r="AI249" s="2"/>
      <c r="AJ249" s="253"/>
      <c r="AK249" s="253"/>
      <c r="AL249" s="253"/>
      <c r="AM249" s="253"/>
      <c r="AN249" s="253"/>
      <c r="AO249" s="2"/>
      <c r="AP249" s="253"/>
      <c r="AQ249" s="253"/>
      <c r="AR249" s="253"/>
      <c r="AS249" s="253"/>
      <c r="AT249" s="253"/>
      <c r="AU249" s="2"/>
      <c r="AV249" s="253"/>
      <c r="AW249" s="253"/>
      <c r="AX249" s="253"/>
      <c r="AY249" s="253"/>
    </row>
    <row r="250" ht="15.75" customHeight="1">
      <c r="A250" s="2"/>
      <c r="B250" s="288" t="str">
        <f>Controle!B250</f>
        <v/>
      </c>
      <c r="C250" s="233" t="str">
        <f>Controle!C250</f>
        <v/>
      </c>
      <c r="D250" s="289" t="str">
        <f>Controle!D250</f>
        <v/>
      </c>
      <c r="E250" s="290"/>
      <c r="F250" s="291" t="str">
        <f>Controle!F250</f>
        <v/>
      </c>
      <c r="G250" s="289" t="str">
        <f>Controle!G250</f>
        <v/>
      </c>
      <c r="H250" s="290"/>
      <c r="I250" s="291" t="str">
        <f>Controle!I250</f>
        <v/>
      </c>
      <c r="J250" s="233" t="str">
        <f>Controle!J250</f>
        <v/>
      </c>
      <c r="K250" s="292"/>
      <c r="L250" s="233" t="str">
        <f>Controle!L250</f>
        <v/>
      </c>
      <c r="M250" s="233" t="str">
        <f>Controle!M250</f>
        <v/>
      </c>
      <c r="N250" s="235" t="str">
        <f>Controle!N250</f>
        <v/>
      </c>
      <c r="O250" s="235" t="str">
        <f>Controle!O250</f>
        <v/>
      </c>
      <c r="P250" s="235" t="str">
        <f>Controle!P250</f>
        <v/>
      </c>
      <c r="Q250" s="235" t="str">
        <f>Controle!Q250</f>
        <v/>
      </c>
      <c r="R250" s="303" t="str">
        <f>Controle!R250</f>
        <v/>
      </c>
      <c r="S250" s="287"/>
      <c r="T250" s="301"/>
      <c r="U250" s="301"/>
      <c r="V250" s="301"/>
      <c r="W250" s="294"/>
      <c r="X250" s="294"/>
      <c r="Y250" s="294"/>
      <c r="Z250" s="294"/>
      <c r="AA250" s="294"/>
      <c r="AB250" s="253"/>
      <c r="AC250" s="2"/>
      <c r="AD250" s="253"/>
      <c r="AE250" s="253"/>
      <c r="AF250" s="253"/>
      <c r="AG250" s="253"/>
      <c r="AH250" s="253"/>
      <c r="AI250" s="2"/>
      <c r="AJ250" s="253"/>
      <c r="AK250" s="253"/>
      <c r="AL250" s="253"/>
      <c r="AM250" s="253"/>
      <c r="AN250" s="253"/>
      <c r="AO250" s="2"/>
      <c r="AP250" s="253"/>
      <c r="AQ250" s="253"/>
      <c r="AR250" s="253"/>
      <c r="AS250" s="253"/>
      <c r="AT250" s="253"/>
      <c r="AU250" s="2"/>
      <c r="AV250" s="253"/>
      <c r="AW250" s="253"/>
      <c r="AX250" s="253"/>
      <c r="AY250" s="253"/>
    </row>
    <row r="251" ht="15.75" customHeight="1">
      <c r="A251" s="2"/>
      <c r="B251" s="288" t="str">
        <f>Controle!B251</f>
        <v/>
      </c>
      <c r="C251" s="233" t="str">
        <f>Controle!C251</f>
        <v/>
      </c>
      <c r="D251" s="289" t="str">
        <f>Controle!D251</f>
        <v/>
      </c>
      <c r="E251" s="290"/>
      <c r="F251" s="291" t="str">
        <f>Controle!F251</f>
        <v/>
      </c>
      <c r="G251" s="289" t="str">
        <f>Controle!G251</f>
        <v/>
      </c>
      <c r="H251" s="290"/>
      <c r="I251" s="291" t="str">
        <f>Controle!I251</f>
        <v/>
      </c>
      <c r="J251" s="233" t="str">
        <f>Controle!J251</f>
        <v/>
      </c>
      <c r="K251" s="292"/>
      <c r="L251" s="233" t="str">
        <f>Controle!L251</f>
        <v/>
      </c>
      <c r="M251" s="233" t="str">
        <f>Controle!M251</f>
        <v/>
      </c>
      <c r="N251" s="235" t="str">
        <f>Controle!N251</f>
        <v/>
      </c>
      <c r="O251" s="235" t="str">
        <f>Controle!O251</f>
        <v/>
      </c>
      <c r="P251" s="235" t="str">
        <f>Controle!P251</f>
        <v/>
      </c>
      <c r="Q251" s="235" t="str">
        <f>Controle!Q251</f>
        <v/>
      </c>
      <c r="R251" s="303" t="str">
        <f>Controle!R251</f>
        <v/>
      </c>
      <c r="S251" s="287"/>
      <c r="T251" s="301"/>
      <c r="U251" s="301"/>
      <c r="V251" s="301"/>
      <c r="W251" s="294"/>
      <c r="X251" s="294"/>
      <c r="Y251" s="294"/>
      <c r="Z251" s="294"/>
      <c r="AA251" s="294"/>
      <c r="AB251" s="253"/>
      <c r="AC251" s="2"/>
      <c r="AD251" s="253"/>
      <c r="AE251" s="253"/>
      <c r="AF251" s="253"/>
      <c r="AG251" s="253"/>
      <c r="AH251" s="253"/>
      <c r="AI251" s="2"/>
      <c r="AJ251" s="253"/>
      <c r="AK251" s="253"/>
      <c r="AL251" s="253"/>
      <c r="AM251" s="253"/>
      <c r="AN251" s="253"/>
      <c r="AO251" s="2"/>
      <c r="AP251" s="253"/>
      <c r="AQ251" s="253"/>
      <c r="AR251" s="253"/>
      <c r="AS251" s="253"/>
      <c r="AT251" s="253"/>
      <c r="AU251" s="2"/>
      <c r="AV251" s="253"/>
      <c r="AW251" s="253"/>
      <c r="AX251" s="253"/>
      <c r="AY251" s="253"/>
    </row>
    <row r="252" ht="15.75" customHeight="1">
      <c r="A252" s="2"/>
      <c r="B252" s="288" t="str">
        <f>Controle!B252</f>
        <v/>
      </c>
      <c r="C252" s="233" t="str">
        <f>Controle!C252</f>
        <v/>
      </c>
      <c r="D252" s="289" t="str">
        <f>Controle!D252</f>
        <v/>
      </c>
      <c r="E252" s="290"/>
      <c r="F252" s="291" t="str">
        <f>Controle!F252</f>
        <v/>
      </c>
      <c r="G252" s="289" t="str">
        <f>Controle!G252</f>
        <v/>
      </c>
      <c r="H252" s="290"/>
      <c r="I252" s="291" t="str">
        <f>Controle!I252</f>
        <v/>
      </c>
      <c r="J252" s="233" t="str">
        <f>Controle!J252</f>
        <v/>
      </c>
      <c r="K252" s="292"/>
      <c r="L252" s="233" t="str">
        <f>Controle!L252</f>
        <v/>
      </c>
      <c r="M252" s="233" t="str">
        <f>Controle!M252</f>
        <v/>
      </c>
      <c r="N252" s="235" t="str">
        <f>Controle!N252</f>
        <v/>
      </c>
      <c r="O252" s="235" t="str">
        <f>Controle!O252</f>
        <v/>
      </c>
      <c r="P252" s="235" t="str">
        <f>Controle!P252</f>
        <v/>
      </c>
      <c r="Q252" s="235" t="str">
        <f>Controle!Q252</f>
        <v/>
      </c>
      <c r="R252" s="303" t="str">
        <f>Controle!R252</f>
        <v/>
      </c>
      <c r="S252" s="287"/>
      <c r="T252" s="301"/>
      <c r="U252" s="301"/>
      <c r="V252" s="301"/>
      <c r="W252" s="294"/>
      <c r="X252" s="294"/>
      <c r="Y252" s="294"/>
      <c r="Z252" s="294"/>
      <c r="AA252" s="294"/>
      <c r="AB252" s="253"/>
      <c r="AC252" s="2"/>
      <c r="AD252" s="253"/>
      <c r="AE252" s="253"/>
      <c r="AF252" s="253"/>
      <c r="AG252" s="253"/>
      <c r="AH252" s="253"/>
      <c r="AI252" s="2"/>
      <c r="AJ252" s="253"/>
      <c r="AK252" s="253"/>
      <c r="AL252" s="253"/>
      <c r="AM252" s="253"/>
      <c r="AN252" s="253"/>
      <c r="AO252" s="2"/>
      <c r="AP252" s="253"/>
      <c r="AQ252" s="253"/>
      <c r="AR252" s="253"/>
      <c r="AS252" s="253"/>
      <c r="AT252" s="253"/>
      <c r="AU252" s="2"/>
      <c r="AV252" s="253"/>
      <c r="AW252" s="253"/>
      <c r="AX252" s="253"/>
      <c r="AY252" s="253"/>
    </row>
    <row r="253" ht="15.75" customHeight="1">
      <c r="A253" s="2"/>
      <c r="B253" s="288" t="str">
        <f>Controle!B253</f>
        <v/>
      </c>
      <c r="C253" s="233" t="str">
        <f>Controle!C253</f>
        <v/>
      </c>
      <c r="D253" s="289" t="str">
        <f>Controle!D253</f>
        <v/>
      </c>
      <c r="E253" s="290"/>
      <c r="F253" s="291" t="str">
        <f>Controle!F253</f>
        <v/>
      </c>
      <c r="G253" s="289" t="str">
        <f>Controle!G253</f>
        <v/>
      </c>
      <c r="H253" s="290"/>
      <c r="I253" s="291" t="str">
        <f>Controle!I253</f>
        <v/>
      </c>
      <c r="J253" s="233" t="str">
        <f>Controle!J253</f>
        <v/>
      </c>
      <c r="K253" s="292"/>
      <c r="L253" s="233" t="str">
        <f>Controle!L253</f>
        <v/>
      </c>
      <c r="M253" s="233" t="str">
        <f>Controle!M253</f>
        <v/>
      </c>
      <c r="N253" s="235" t="str">
        <f>Controle!N253</f>
        <v/>
      </c>
      <c r="O253" s="235" t="str">
        <f>Controle!O253</f>
        <v/>
      </c>
      <c r="P253" s="235" t="str">
        <f>Controle!P253</f>
        <v/>
      </c>
      <c r="Q253" s="235" t="str">
        <f>Controle!Q253</f>
        <v/>
      </c>
      <c r="R253" s="303" t="str">
        <f>Controle!R253</f>
        <v/>
      </c>
      <c r="S253" s="287"/>
      <c r="T253" s="301"/>
      <c r="U253" s="301"/>
      <c r="V253" s="301"/>
      <c r="W253" s="294"/>
      <c r="X253" s="294"/>
      <c r="Y253" s="294"/>
      <c r="Z253" s="294"/>
      <c r="AA253" s="294"/>
      <c r="AB253" s="253"/>
      <c r="AC253" s="2"/>
      <c r="AD253" s="253"/>
      <c r="AE253" s="253"/>
      <c r="AF253" s="253"/>
      <c r="AG253" s="253"/>
      <c r="AH253" s="253"/>
      <c r="AI253" s="2"/>
      <c r="AJ253" s="253"/>
      <c r="AK253" s="253"/>
      <c r="AL253" s="253"/>
      <c r="AM253" s="253"/>
      <c r="AN253" s="253"/>
      <c r="AO253" s="2"/>
      <c r="AP253" s="253"/>
      <c r="AQ253" s="253"/>
      <c r="AR253" s="253"/>
      <c r="AS253" s="253"/>
      <c r="AT253" s="253"/>
      <c r="AU253" s="2"/>
      <c r="AV253" s="253"/>
      <c r="AW253" s="253"/>
      <c r="AX253" s="253"/>
      <c r="AY253" s="253"/>
    </row>
    <row r="254" ht="15.75" customHeight="1">
      <c r="A254" s="2"/>
      <c r="B254" s="288" t="str">
        <f>Controle!B254</f>
        <v/>
      </c>
      <c r="C254" s="233" t="str">
        <f>Controle!C254</f>
        <v/>
      </c>
      <c r="D254" s="289" t="str">
        <f>Controle!D254</f>
        <v/>
      </c>
      <c r="E254" s="290"/>
      <c r="F254" s="291" t="str">
        <f>Controle!F254</f>
        <v/>
      </c>
      <c r="G254" s="289" t="str">
        <f>Controle!G254</f>
        <v/>
      </c>
      <c r="H254" s="290"/>
      <c r="I254" s="291" t="str">
        <f>Controle!I254</f>
        <v/>
      </c>
      <c r="J254" s="233" t="str">
        <f>Controle!J254</f>
        <v/>
      </c>
      <c r="K254" s="292"/>
      <c r="L254" s="233" t="str">
        <f>Controle!L254</f>
        <v/>
      </c>
      <c r="M254" s="233" t="str">
        <f>Controle!M254</f>
        <v/>
      </c>
      <c r="N254" s="235" t="str">
        <f>Controle!N254</f>
        <v/>
      </c>
      <c r="O254" s="235" t="str">
        <f>Controle!O254</f>
        <v/>
      </c>
      <c r="P254" s="235" t="str">
        <f>Controle!P254</f>
        <v/>
      </c>
      <c r="Q254" s="235" t="str">
        <f>Controle!Q254</f>
        <v/>
      </c>
      <c r="R254" s="303" t="str">
        <f>Controle!R254</f>
        <v/>
      </c>
      <c r="S254" s="287"/>
      <c r="T254" s="301"/>
      <c r="U254" s="301"/>
      <c r="V254" s="301"/>
      <c r="W254" s="294"/>
      <c r="X254" s="294"/>
      <c r="Y254" s="294"/>
      <c r="Z254" s="294"/>
      <c r="AA254" s="294"/>
      <c r="AB254" s="253"/>
      <c r="AC254" s="2"/>
      <c r="AD254" s="253"/>
      <c r="AE254" s="253"/>
      <c r="AF254" s="253"/>
      <c r="AG254" s="253"/>
      <c r="AH254" s="253"/>
      <c r="AI254" s="2"/>
      <c r="AJ254" s="253"/>
      <c r="AK254" s="253"/>
      <c r="AL254" s="253"/>
      <c r="AM254" s="253"/>
      <c r="AN254" s="253"/>
      <c r="AO254" s="2"/>
      <c r="AP254" s="253"/>
      <c r="AQ254" s="253"/>
      <c r="AR254" s="253"/>
      <c r="AS254" s="253"/>
      <c r="AT254" s="253"/>
      <c r="AU254" s="2"/>
      <c r="AV254" s="253"/>
      <c r="AW254" s="253"/>
      <c r="AX254" s="253"/>
      <c r="AY254" s="253"/>
    </row>
    <row r="255" ht="15.75" customHeight="1">
      <c r="A255" s="2"/>
      <c r="B255" s="288" t="str">
        <f>Controle!B255</f>
        <v/>
      </c>
      <c r="C255" s="233" t="str">
        <f>Controle!C255</f>
        <v/>
      </c>
      <c r="D255" s="289" t="str">
        <f>Controle!D255</f>
        <v/>
      </c>
      <c r="E255" s="290"/>
      <c r="F255" s="291" t="str">
        <f>Controle!F255</f>
        <v/>
      </c>
      <c r="G255" s="289" t="str">
        <f>Controle!G255</f>
        <v/>
      </c>
      <c r="H255" s="290"/>
      <c r="I255" s="291" t="str">
        <f>Controle!I255</f>
        <v/>
      </c>
      <c r="J255" s="233" t="str">
        <f>Controle!J255</f>
        <v/>
      </c>
      <c r="K255" s="292"/>
      <c r="L255" s="233" t="str">
        <f>Controle!L255</f>
        <v/>
      </c>
      <c r="M255" s="233" t="str">
        <f>Controle!M255</f>
        <v/>
      </c>
      <c r="N255" s="235" t="str">
        <f>Controle!N255</f>
        <v/>
      </c>
      <c r="O255" s="235" t="str">
        <f>Controle!O255</f>
        <v/>
      </c>
      <c r="P255" s="235" t="str">
        <f>Controle!P255</f>
        <v/>
      </c>
      <c r="Q255" s="235" t="str">
        <f>Controle!Q255</f>
        <v/>
      </c>
      <c r="R255" s="303" t="str">
        <f>Controle!R255</f>
        <v/>
      </c>
      <c r="S255" s="287"/>
      <c r="T255" s="301"/>
      <c r="U255" s="301"/>
      <c r="V255" s="301"/>
      <c r="W255" s="294"/>
      <c r="X255" s="294"/>
      <c r="Y255" s="294"/>
      <c r="Z255" s="294"/>
      <c r="AA255" s="294"/>
      <c r="AB255" s="253"/>
      <c r="AC255" s="2"/>
      <c r="AD255" s="253"/>
      <c r="AE255" s="253"/>
      <c r="AF255" s="253"/>
      <c r="AG255" s="253"/>
      <c r="AH255" s="253"/>
      <c r="AI255" s="2"/>
      <c r="AJ255" s="253"/>
      <c r="AK255" s="253"/>
      <c r="AL255" s="253"/>
      <c r="AM255" s="253"/>
      <c r="AN255" s="253"/>
      <c r="AO255" s="2"/>
      <c r="AP255" s="253"/>
      <c r="AQ255" s="253"/>
      <c r="AR255" s="253"/>
      <c r="AS255" s="253"/>
      <c r="AT255" s="253"/>
      <c r="AU255" s="2"/>
      <c r="AV255" s="253"/>
      <c r="AW255" s="253"/>
      <c r="AX255" s="253"/>
      <c r="AY255" s="253"/>
    </row>
    <row r="256" ht="15.75" customHeight="1">
      <c r="A256" s="2"/>
      <c r="B256" s="288" t="str">
        <f>Controle!B256</f>
        <v/>
      </c>
      <c r="C256" s="233" t="str">
        <f>Controle!C256</f>
        <v/>
      </c>
      <c r="D256" s="289" t="str">
        <f>Controle!D256</f>
        <v/>
      </c>
      <c r="E256" s="290"/>
      <c r="F256" s="291" t="str">
        <f>Controle!F256</f>
        <v/>
      </c>
      <c r="G256" s="289" t="str">
        <f>Controle!G256</f>
        <v/>
      </c>
      <c r="H256" s="290"/>
      <c r="I256" s="291" t="str">
        <f>Controle!I256</f>
        <v/>
      </c>
      <c r="J256" s="233" t="str">
        <f>Controle!J256</f>
        <v/>
      </c>
      <c r="K256" s="292"/>
      <c r="L256" s="233" t="str">
        <f>Controle!L256</f>
        <v/>
      </c>
      <c r="M256" s="233" t="str">
        <f>Controle!M256</f>
        <v/>
      </c>
      <c r="N256" s="235" t="str">
        <f>Controle!N256</f>
        <v/>
      </c>
      <c r="O256" s="235" t="str">
        <f>Controle!O256</f>
        <v/>
      </c>
      <c r="P256" s="235" t="str">
        <f>Controle!P256</f>
        <v/>
      </c>
      <c r="Q256" s="235" t="str">
        <f>Controle!Q256</f>
        <v/>
      </c>
      <c r="R256" s="303" t="str">
        <f>Controle!R256</f>
        <v/>
      </c>
      <c r="S256" s="287"/>
      <c r="T256" s="301"/>
      <c r="U256" s="301"/>
      <c r="V256" s="301"/>
      <c r="W256" s="294"/>
      <c r="X256" s="294"/>
      <c r="Y256" s="294"/>
      <c r="Z256" s="294"/>
      <c r="AA256" s="294"/>
      <c r="AB256" s="253"/>
      <c r="AC256" s="2"/>
      <c r="AD256" s="253"/>
      <c r="AE256" s="253"/>
      <c r="AF256" s="253"/>
      <c r="AG256" s="253"/>
      <c r="AH256" s="253"/>
      <c r="AI256" s="2"/>
      <c r="AJ256" s="253"/>
      <c r="AK256" s="253"/>
      <c r="AL256" s="253"/>
      <c r="AM256" s="253"/>
      <c r="AN256" s="253"/>
      <c r="AO256" s="2"/>
      <c r="AP256" s="253"/>
      <c r="AQ256" s="253"/>
      <c r="AR256" s="253"/>
      <c r="AS256" s="253"/>
      <c r="AT256" s="253"/>
      <c r="AU256" s="2"/>
      <c r="AV256" s="253"/>
      <c r="AW256" s="253"/>
      <c r="AX256" s="253"/>
      <c r="AY256" s="253"/>
    </row>
    <row r="257" ht="15.75" customHeight="1">
      <c r="A257" s="2"/>
      <c r="B257" s="288" t="str">
        <f>Controle!B257</f>
        <v/>
      </c>
      <c r="C257" s="233" t="str">
        <f>Controle!C257</f>
        <v/>
      </c>
      <c r="D257" s="289" t="str">
        <f>Controle!D257</f>
        <v/>
      </c>
      <c r="E257" s="290"/>
      <c r="F257" s="291" t="str">
        <f>Controle!F257</f>
        <v/>
      </c>
      <c r="G257" s="289" t="str">
        <f>Controle!G257</f>
        <v/>
      </c>
      <c r="H257" s="290"/>
      <c r="I257" s="291" t="str">
        <f>Controle!I257</f>
        <v/>
      </c>
      <c r="J257" s="233" t="str">
        <f>Controle!J257</f>
        <v/>
      </c>
      <c r="K257" s="292"/>
      <c r="L257" s="233" t="str">
        <f>Controle!L257</f>
        <v/>
      </c>
      <c r="M257" s="233" t="str">
        <f>Controle!M257</f>
        <v/>
      </c>
      <c r="N257" s="235" t="str">
        <f>Controle!N257</f>
        <v/>
      </c>
      <c r="O257" s="235" t="str">
        <f>Controle!O257</f>
        <v/>
      </c>
      <c r="P257" s="235" t="str">
        <f>Controle!P257</f>
        <v/>
      </c>
      <c r="Q257" s="235" t="str">
        <f>Controle!Q257</f>
        <v/>
      </c>
      <c r="R257" s="303" t="str">
        <f>Controle!R257</f>
        <v/>
      </c>
      <c r="S257" s="287"/>
      <c r="T257" s="301"/>
      <c r="U257" s="301"/>
      <c r="V257" s="301"/>
      <c r="W257" s="294"/>
      <c r="X257" s="294"/>
      <c r="Y257" s="294"/>
      <c r="Z257" s="294"/>
      <c r="AA257" s="294"/>
      <c r="AB257" s="253"/>
      <c r="AC257" s="2"/>
      <c r="AD257" s="253"/>
      <c r="AE257" s="253"/>
      <c r="AF257" s="253"/>
      <c r="AG257" s="253"/>
      <c r="AH257" s="253"/>
      <c r="AI257" s="2"/>
      <c r="AJ257" s="253"/>
      <c r="AK257" s="253"/>
      <c r="AL257" s="253"/>
      <c r="AM257" s="253"/>
      <c r="AN257" s="253"/>
      <c r="AO257" s="2"/>
      <c r="AP257" s="253"/>
      <c r="AQ257" s="253"/>
      <c r="AR257" s="253"/>
      <c r="AS257" s="253"/>
      <c r="AT257" s="253"/>
      <c r="AU257" s="2"/>
      <c r="AV257" s="253"/>
      <c r="AW257" s="253"/>
      <c r="AX257" s="253"/>
      <c r="AY257" s="253"/>
    </row>
    <row r="258" ht="15.75" customHeight="1">
      <c r="A258" s="2"/>
      <c r="B258" s="288" t="str">
        <f>Controle!B258</f>
        <v/>
      </c>
      <c r="C258" s="233" t="str">
        <f>Controle!C258</f>
        <v/>
      </c>
      <c r="D258" s="289" t="str">
        <f>Controle!D258</f>
        <v/>
      </c>
      <c r="E258" s="290"/>
      <c r="F258" s="291" t="str">
        <f>Controle!F258</f>
        <v/>
      </c>
      <c r="G258" s="289" t="str">
        <f>Controle!G258</f>
        <v/>
      </c>
      <c r="H258" s="290"/>
      <c r="I258" s="291" t="str">
        <f>Controle!I258</f>
        <v/>
      </c>
      <c r="J258" s="233" t="str">
        <f>Controle!J258</f>
        <v/>
      </c>
      <c r="K258" s="292"/>
      <c r="L258" s="233" t="str">
        <f>Controle!L258</f>
        <v/>
      </c>
      <c r="M258" s="233" t="str">
        <f>Controle!M258</f>
        <v/>
      </c>
      <c r="N258" s="235" t="str">
        <f>Controle!N258</f>
        <v/>
      </c>
      <c r="O258" s="235" t="str">
        <f>Controle!O258</f>
        <v/>
      </c>
      <c r="P258" s="235" t="str">
        <f>Controle!P258</f>
        <v/>
      </c>
      <c r="Q258" s="235" t="str">
        <f>Controle!Q258</f>
        <v/>
      </c>
      <c r="R258" s="303" t="str">
        <f>Controle!R258</f>
        <v/>
      </c>
      <c r="S258" s="287"/>
      <c r="T258" s="301"/>
      <c r="U258" s="301"/>
      <c r="V258" s="301"/>
      <c r="W258" s="294"/>
      <c r="X258" s="294"/>
      <c r="Y258" s="294"/>
      <c r="Z258" s="294"/>
      <c r="AA258" s="294"/>
      <c r="AB258" s="253"/>
      <c r="AC258" s="2"/>
      <c r="AD258" s="253"/>
      <c r="AE258" s="253"/>
      <c r="AF258" s="253"/>
      <c r="AG258" s="253"/>
      <c r="AH258" s="253"/>
      <c r="AI258" s="2"/>
      <c r="AJ258" s="253"/>
      <c r="AK258" s="253"/>
      <c r="AL258" s="253"/>
      <c r="AM258" s="253"/>
      <c r="AN258" s="253"/>
      <c r="AO258" s="2"/>
      <c r="AP258" s="253"/>
      <c r="AQ258" s="253"/>
      <c r="AR258" s="253"/>
      <c r="AS258" s="253"/>
      <c r="AT258" s="253"/>
      <c r="AU258" s="2"/>
      <c r="AV258" s="253"/>
      <c r="AW258" s="253"/>
      <c r="AX258" s="253"/>
      <c r="AY258" s="253"/>
    </row>
    <row r="259" ht="15.75" customHeight="1">
      <c r="A259" s="2"/>
      <c r="B259" s="288" t="str">
        <f>Controle!B259</f>
        <v/>
      </c>
      <c r="C259" s="233" t="str">
        <f>Controle!C259</f>
        <v/>
      </c>
      <c r="D259" s="289" t="str">
        <f>Controle!D259</f>
        <v/>
      </c>
      <c r="E259" s="290"/>
      <c r="F259" s="291" t="str">
        <f>Controle!F259</f>
        <v/>
      </c>
      <c r="G259" s="289" t="str">
        <f>Controle!G259</f>
        <v/>
      </c>
      <c r="H259" s="290"/>
      <c r="I259" s="291" t="str">
        <f>Controle!I259</f>
        <v/>
      </c>
      <c r="J259" s="233" t="str">
        <f>Controle!J259</f>
        <v/>
      </c>
      <c r="K259" s="292"/>
      <c r="L259" s="233" t="str">
        <f>Controle!L259</f>
        <v/>
      </c>
      <c r="M259" s="233" t="str">
        <f>Controle!M259</f>
        <v/>
      </c>
      <c r="N259" s="235" t="str">
        <f>Controle!N259</f>
        <v/>
      </c>
      <c r="O259" s="235" t="str">
        <f>Controle!O259</f>
        <v/>
      </c>
      <c r="P259" s="235" t="str">
        <f>Controle!P259</f>
        <v/>
      </c>
      <c r="Q259" s="235" t="str">
        <f>Controle!Q259</f>
        <v/>
      </c>
      <c r="R259" s="303" t="str">
        <f>Controle!R259</f>
        <v/>
      </c>
      <c r="S259" s="287"/>
      <c r="T259" s="301"/>
      <c r="U259" s="301"/>
      <c r="V259" s="301"/>
      <c r="W259" s="294"/>
      <c r="X259" s="294"/>
      <c r="Y259" s="294"/>
      <c r="Z259" s="294"/>
      <c r="AA259" s="294"/>
      <c r="AB259" s="253"/>
      <c r="AC259" s="2"/>
      <c r="AD259" s="253"/>
      <c r="AE259" s="253"/>
      <c r="AF259" s="253"/>
      <c r="AG259" s="253"/>
      <c r="AH259" s="253"/>
      <c r="AI259" s="2"/>
      <c r="AJ259" s="253"/>
      <c r="AK259" s="253"/>
      <c r="AL259" s="253"/>
      <c r="AM259" s="253"/>
      <c r="AN259" s="253"/>
      <c r="AO259" s="2"/>
      <c r="AP259" s="253"/>
      <c r="AQ259" s="253"/>
      <c r="AR259" s="253"/>
      <c r="AS259" s="253"/>
      <c r="AT259" s="253"/>
      <c r="AU259" s="2"/>
      <c r="AV259" s="253"/>
      <c r="AW259" s="253"/>
      <c r="AX259" s="253"/>
      <c r="AY259" s="253"/>
    </row>
    <row r="260" ht="15.75" customHeight="1">
      <c r="A260" s="2"/>
      <c r="B260" s="288" t="str">
        <f>Controle!B260</f>
        <v/>
      </c>
      <c r="C260" s="233" t="str">
        <f>Controle!C260</f>
        <v/>
      </c>
      <c r="D260" s="289" t="str">
        <f>Controle!D260</f>
        <v/>
      </c>
      <c r="E260" s="290"/>
      <c r="F260" s="291" t="str">
        <f>Controle!F260</f>
        <v/>
      </c>
      <c r="G260" s="289" t="str">
        <f>Controle!G260</f>
        <v/>
      </c>
      <c r="H260" s="290"/>
      <c r="I260" s="291" t="str">
        <f>Controle!I260</f>
        <v/>
      </c>
      <c r="J260" s="233" t="str">
        <f>Controle!J260</f>
        <v/>
      </c>
      <c r="K260" s="292"/>
      <c r="L260" s="233" t="str">
        <f>Controle!L260</f>
        <v/>
      </c>
      <c r="M260" s="233" t="str">
        <f>Controle!M260</f>
        <v/>
      </c>
      <c r="N260" s="235" t="str">
        <f>Controle!N260</f>
        <v/>
      </c>
      <c r="O260" s="235" t="str">
        <f>Controle!O260</f>
        <v/>
      </c>
      <c r="P260" s="235" t="str">
        <f>Controle!P260</f>
        <v/>
      </c>
      <c r="Q260" s="235" t="str">
        <f>Controle!Q260</f>
        <v/>
      </c>
      <c r="R260" s="303" t="str">
        <f>Controle!R260</f>
        <v/>
      </c>
      <c r="S260" s="287"/>
      <c r="T260" s="301"/>
      <c r="U260" s="301"/>
      <c r="V260" s="301"/>
      <c r="W260" s="294"/>
      <c r="X260" s="294"/>
      <c r="Y260" s="294"/>
      <c r="Z260" s="294"/>
      <c r="AA260" s="294"/>
      <c r="AB260" s="253"/>
      <c r="AC260" s="2"/>
      <c r="AD260" s="253"/>
      <c r="AE260" s="253"/>
      <c r="AF260" s="253"/>
      <c r="AG260" s="253"/>
      <c r="AH260" s="253"/>
      <c r="AI260" s="2"/>
      <c r="AJ260" s="253"/>
      <c r="AK260" s="253"/>
      <c r="AL260" s="253"/>
      <c r="AM260" s="253"/>
      <c r="AN260" s="253"/>
      <c r="AO260" s="2"/>
      <c r="AP260" s="253"/>
      <c r="AQ260" s="253"/>
      <c r="AR260" s="253"/>
      <c r="AS260" s="253"/>
      <c r="AT260" s="253"/>
      <c r="AU260" s="2"/>
      <c r="AV260" s="253"/>
      <c r="AW260" s="253"/>
      <c r="AX260" s="253"/>
      <c r="AY260" s="253"/>
    </row>
    <row r="261" ht="15.75" customHeight="1">
      <c r="A261" s="2"/>
      <c r="B261" s="288" t="str">
        <f>Controle!B261</f>
        <v/>
      </c>
      <c r="C261" s="233" t="str">
        <f>Controle!C261</f>
        <v/>
      </c>
      <c r="D261" s="289" t="str">
        <f>Controle!D261</f>
        <v/>
      </c>
      <c r="E261" s="290"/>
      <c r="F261" s="291" t="str">
        <f>Controle!F261</f>
        <v/>
      </c>
      <c r="G261" s="289" t="str">
        <f>Controle!G261</f>
        <v/>
      </c>
      <c r="H261" s="290"/>
      <c r="I261" s="291" t="str">
        <f>Controle!I261</f>
        <v/>
      </c>
      <c r="J261" s="233" t="str">
        <f>Controle!J261</f>
        <v/>
      </c>
      <c r="K261" s="292"/>
      <c r="L261" s="233" t="str">
        <f>Controle!L261</f>
        <v/>
      </c>
      <c r="M261" s="233" t="str">
        <f>Controle!M261</f>
        <v/>
      </c>
      <c r="N261" s="235" t="str">
        <f>Controle!N261</f>
        <v/>
      </c>
      <c r="O261" s="235" t="str">
        <f>Controle!O261</f>
        <v/>
      </c>
      <c r="P261" s="235" t="str">
        <f>Controle!P261</f>
        <v/>
      </c>
      <c r="Q261" s="235" t="str">
        <f>Controle!Q261</f>
        <v/>
      </c>
      <c r="R261" s="303" t="str">
        <f>Controle!R261</f>
        <v/>
      </c>
      <c r="S261" s="287"/>
      <c r="T261" s="301"/>
      <c r="U261" s="301"/>
      <c r="V261" s="301"/>
      <c r="W261" s="294"/>
      <c r="X261" s="294"/>
      <c r="Y261" s="294"/>
      <c r="Z261" s="294"/>
      <c r="AA261" s="294"/>
      <c r="AB261" s="253"/>
      <c r="AC261" s="2"/>
      <c r="AD261" s="253"/>
      <c r="AE261" s="253"/>
      <c r="AF261" s="253"/>
      <c r="AG261" s="253"/>
      <c r="AH261" s="253"/>
      <c r="AI261" s="2"/>
      <c r="AJ261" s="253"/>
      <c r="AK261" s="253"/>
      <c r="AL261" s="253"/>
      <c r="AM261" s="253"/>
      <c r="AN261" s="253"/>
      <c r="AO261" s="2"/>
      <c r="AP261" s="253"/>
      <c r="AQ261" s="253"/>
      <c r="AR261" s="253"/>
      <c r="AS261" s="253"/>
      <c r="AT261" s="253"/>
      <c r="AU261" s="2"/>
      <c r="AV261" s="253"/>
      <c r="AW261" s="253"/>
      <c r="AX261" s="253"/>
      <c r="AY261" s="253"/>
    </row>
    <row r="262" ht="15.75" customHeight="1">
      <c r="A262" s="2"/>
      <c r="B262" s="288" t="str">
        <f>Controle!B262</f>
        <v/>
      </c>
      <c r="C262" s="233" t="str">
        <f>Controle!C262</f>
        <v/>
      </c>
      <c r="D262" s="289" t="str">
        <f>Controle!D262</f>
        <v/>
      </c>
      <c r="E262" s="290"/>
      <c r="F262" s="291" t="str">
        <f>Controle!F262</f>
        <v/>
      </c>
      <c r="G262" s="289" t="str">
        <f>Controle!G262</f>
        <v/>
      </c>
      <c r="H262" s="290"/>
      <c r="I262" s="291" t="str">
        <f>Controle!I262</f>
        <v/>
      </c>
      <c r="J262" s="233" t="str">
        <f>Controle!J262</f>
        <v/>
      </c>
      <c r="K262" s="292"/>
      <c r="L262" s="233" t="str">
        <f>Controle!L262</f>
        <v/>
      </c>
      <c r="M262" s="233" t="str">
        <f>Controle!M262</f>
        <v/>
      </c>
      <c r="N262" s="235" t="str">
        <f>Controle!N262</f>
        <v/>
      </c>
      <c r="O262" s="235" t="str">
        <f>Controle!O262</f>
        <v/>
      </c>
      <c r="P262" s="235" t="str">
        <f>Controle!P262</f>
        <v/>
      </c>
      <c r="Q262" s="235" t="str">
        <f>Controle!Q262</f>
        <v/>
      </c>
      <c r="R262" s="303" t="str">
        <f>Controle!R262</f>
        <v/>
      </c>
      <c r="S262" s="287"/>
      <c r="T262" s="301"/>
      <c r="U262" s="301"/>
      <c r="V262" s="301"/>
      <c r="W262" s="294"/>
      <c r="X262" s="294"/>
      <c r="Y262" s="294"/>
      <c r="Z262" s="294"/>
      <c r="AA262" s="294"/>
      <c r="AB262" s="253"/>
      <c r="AC262" s="2"/>
      <c r="AD262" s="253"/>
      <c r="AE262" s="253"/>
      <c r="AF262" s="253"/>
      <c r="AG262" s="253"/>
      <c r="AH262" s="253"/>
      <c r="AI262" s="2"/>
      <c r="AJ262" s="253"/>
      <c r="AK262" s="253"/>
      <c r="AL262" s="253"/>
      <c r="AM262" s="253"/>
      <c r="AN262" s="253"/>
      <c r="AO262" s="2"/>
      <c r="AP262" s="253"/>
      <c r="AQ262" s="253"/>
      <c r="AR262" s="253"/>
      <c r="AS262" s="253"/>
      <c r="AT262" s="253"/>
      <c r="AU262" s="2"/>
      <c r="AV262" s="253"/>
      <c r="AW262" s="253"/>
      <c r="AX262" s="253"/>
      <c r="AY262" s="253"/>
    </row>
    <row r="263" ht="15.75" customHeight="1">
      <c r="A263" s="2"/>
      <c r="B263" s="288" t="str">
        <f>Controle!B263</f>
        <v/>
      </c>
      <c r="C263" s="233" t="str">
        <f>Controle!C263</f>
        <v/>
      </c>
      <c r="D263" s="289" t="str">
        <f>Controle!D263</f>
        <v/>
      </c>
      <c r="E263" s="290"/>
      <c r="F263" s="291" t="str">
        <f>Controle!F263</f>
        <v/>
      </c>
      <c r="G263" s="289" t="str">
        <f>Controle!G263</f>
        <v/>
      </c>
      <c r="H263" s="290"/>
      <c r="I263" s="291" t="str">
        <f>Controle!I263</f>
        <v/>
      </c>
      <c r="J263" s="233" t="str">
        <f>Controle!J263</f>
        <v/>
      </c>
      <c r="K263" s="292"/>
      <c r="L263" s="233" t="str">
        <f>Controle!L263</f>
        <v/>
      </c>
      <c r="M263" s="233" t="str">
        <f>Controle!M263</f>
        <v/>
      </c>
      <c r="N263" s="235" t="str">
        <f>Controle!N263</f>
        <v/>
      </c>
      <c r="O263" s="235" t="str">
        <f>Controle!O263</f>
        <v/>
      </c>
      <c r="P263" s="235" t="str">
        <f>Controle!P263</f>
        <v/>
      </c>
      <c r="Q263" s="235" t="str">
        <f>Controle!Q263</f>
        <v/>
      </c>
      <c r="R263" s="303" t="str">
        <f>Controle!R263</f>
        <v/>
      </c>
      <c r="S263" s="287"/>
      <c r="T263" s="301"/>
      <c r="U263" s="301"/>
      <c r="V263" s="301"/>
      <c r="W263" s="294"/>
      <c r="X263" s="294"/>
      <c r="Y263" s="294"/>
      <c r="Z263" s="294"/>
      <c r="AA263" s="294"/>
      <c r="AB263" s="253"/>
      <c r="AC263" s="2"/>
      <c r="AD263" s="253"/>
      <c r="AE263" s="253"/>
      <c r="AF263" s="253"/>
      <c r="AG263" s="253"/>
      <c r="AH263" s="253"/>
      <c r="AI263" s="2"/>
      <c r="AJ263" s="253"/>
      <c r="AK263" s="253"/>
      <c r="AL263" s="253"/>
      <c r="AM263" s="253"/>
      <c r="AN263" s="253"/>
      <c r="AO263" s="2"/>
      <c r="AP263" s="253"/>
      <c r="AQ263" s="253"/>
      <c r="AR263" s="253"/>
      <c r="AS263" s="253"/>
      <c r="AT263" s="253"/>
      <c r="AU263" s="2"/>
      <c r="AV263" s="253"/>
      <c r="AW263" s="253"/>
      <c r="AX263" s="253"/>
      <c r="AY263" s="253"/>
    </row>
    <row r="264" ht="15.75" customHeight="1">
      <c r="A264" s="2"/>
      <c r="B264" s="288" t="str">
        <f>Controle!B264</f>
        <v/>
      </c>
      <c r="C264" s="233" t="str">
        <f>Controle!C264</f>
        <v/>
      </c>
      <c r="D264" s="289" t="str">
        <f>Controle!D264</f>
        <v/>
      </c>
      <c r="E264" s="290"/>
      <c r="F264" s="291" t="str">
        <f>Controle!F264</f>
        <v/>
      </c>
      <c r="G264" s="289" t="str">
        <f>Controle!G264</f>
        <v/>
      </c>
      <c r="H264" s="290"/>
      <c r="I264" s="291" t="str">
        <f>Controle!I264</f>
        <v/>
      </c>
      <c r="J264" s="233" t="str">
        <f>Controle!J264</f>
        <v/>
      </c>
      <c r="K264" s="292"/>
      <c r="L264" s="233" t="str">
        <f>Controle!L264</f>
        <v/>
      </c>
      <c r="M264" s="233" t="str">
        <f>Controle!M264</f>
        <v/>
      </c>
      <c r="N264" s="235" t="str">
        <f>Controle!N264</f>
        <v/>
      </c>
      <c r="O264" s="235" t="str">
        <f>Controle!O264</f>
        <v/>
      </c>
      <c r="P264" s="235" t="str">
        <f>Controle!P264</f>
        <v/>
      </c>
      <c r="Q264" s="235" t="str">
        <f>Controle!Q264</f>
        <v/>
      </c>
      <c r="R264" s="303" t="str">
        <f>Controle!R264</f>
        <v/>
      </c>
      <c r="S264" s="287"/>
      <c r="T264" s="301"/>
      <c r="U264" s="301"/>
      <c r="V264" s="301"/>
      <c r="W264" s="294"/>
      <c r="X264" s="294"/>
      <c r="Y264" s="294"/>
      <c r="Z264" s="294"/>
      <c r="AA264" s="294"/>
      <c r="AB264" s="253"/>
      <c r="AC264" s="2"/>
      <c r="AD264" s="253"/>
      <c r="AE264" s="253"/>
      <c r="AF264" s="253"/>
      <c r="AG264" s="253"/>
      <c r="AH264" s="253"/>
      <c r="AI264" s="2"/>
      <c r="AJ264" s="253"/>
      <c r="AK264" s="253"/>
      <c r="AL264" s="253"/>
      <c r="AM264" s="253"/>
      <c r="AN264" s="253"/>
      <c r="AO264" s="2"/>
      <c r="AP264" s="253"/>
      <c r="AQ264" s="253"/>
      <c r="AR264" s="253"/>
      <c r="AS264" s="253"/>
      <c r="AT264" s="253"/>
      <c r="AU264" s="2"/>
      <c r="AV264" s="253"/>
      <c r="AW264" s="253"/>
      <c r="AX264" s="253"/>
      <c r="AY264" s="253"/>
    </row>
    <row r="265" ht="15.75" customHeight="1">
      <c r="A265" s="2"/>
      <c r="B265" s="288" t="str">
        <f>Controle!B265</f>
        <v/>
      </c>
      <c r="C265" s="233" t="str">
        <f>Controle!C265</f>
        <v/>
      </c>
      <c r="D265" s="289" t="str">
        <f>Controle!D265</f>
        <v/>
      </c>
      <c r="E265" s="290"/>
      <c r="F265" s="291" t="str">
        <f>Controle!F265</f>
        <v/>
      </c>
      <c r="G265" s="289" t="str">
        <f>Controle!G265</f>
        <v/>
      </c>
      <c r="H265" s="290"/>
      <c r="I265" s="291" t="str">
        <f>Controle!I265</f>
        <v/>
      </c>
      <c r="J265" s="233" t="str">
        <f>Controle!J265</f>
        <v/>
      </c>
      <c r="K265" s="292"/>
      <c r="L265" s="233" t="str">
        <f>Controle!L265</f>
        <v/>
      </c>
      <c r="M265" s="233" t="str">
        <f>Controle!M265</f>
        <v/>
      </c>
      <c r="N265" s="235" t="str">
        <f>Controle!N265</f>
        <v/>
      </c>
      <c r="O265" s="235" t="str">
        <f>Controle!O265</f>
        <v/>
      </c>
      <c r="P265" s="235" t="str">
        <f>Controle!P265</f>
        <v/>
      </c>
      <c r="Q265" s="235" t="str">
        <f>Controle!Q265</f>
        <v/>
      </c>
      <c r="R265" s="303" t="str">
        <f>Controle!R265</f>
        <v/>
      </c>
      <c r="S265" s="287"/>
      <c r="T265" s="301"/>
      <c r="U265" s="301"/>
      <c r="V265" s="301"/>
      <c r="W265" s="294"/>
      <c r="X265" s="294"/>
      <c r="Y265" s="294"/>
      <c r="Z265" s="294"/>
      <c r="AA265" s="294"/>
      <c r="AB265" s="253"/>
      <c r="AC265" s="2"/>
      <c r="AD265" s="253"/>
      <c r="AE265" s="253"/>
      <c r="AF265" s="253"/>
      <c r="AG265" s="253"/>
      <c r="AH265" s="253"/>
      <c r="AI265" s="2"/>
      <c r="AJ265" s="253"/>
      <c r="AK265" s="253"/>
      <c r="AL265" s="253"/>
      <c r="AM265" s="253"/>
      <c r="AN265" s="253"/>
      <c r="AO265" s="2"/>
      <c r="AP265" s="253"/>
      <c r="AQ265" s="253"/>
      <c r="AR265" s="253"/>
      <c r="AS265" s="253"/>
      <c r="AT265" s="253"/>
      <c r="AU265" s="2"/>
      <c r="AV265" s="253"/>
      <c r="AW265" s="253"/>
      <c r="AX265" s="253"/>
      <c r="AY265" s="253"/>
    </row>
    <row r="266" ht="15.75" customHeight="1">
      <c r="A266" s="2"/>
      <c r="B266" s="288" t="str">
        <f>Controle!B266</f>
        <v/>
      </c>
      <c r="C266" s="233" t="str">
        <f>Controle!C266</f>
        <v/>
      </c>
      <c r="D266" s="289" t="str">
        <f>Controle!D266</f>
        <v/>
      </c>
      <c r="E266" s="290"/>
      <c r="F266" s="291" t="str">
        <f>Controle!F266</f>
        <v/>
      </c>
      <c r="G266" s="289" t="str">
        <f>Controle!G266</f>
        <v/>
      </c>
      <c r="H266" s="290"/>
      <c r="I266" s="291" t="str">
        <f>Controle!I266</f>
        <v/>
      </c>
      <c r="J266" s="233" t="str">
        <f>Controle!J266</f>
        <v/>
      </c>
      <c r="K266" s="292"/>
      <c r="L266" s="233" t="str">
        <f>Controle!L266</f>
        <v/>
      </c>
      <c r="M266" s="233" t="str">
        <f>Controle!M266</f>
        <v/>
      </c>
      <c r="N266" s="235" t="str">
        <f>Controle!N266</f>
        <v/>
      </c>
      <c r="O266" s="235" t="str">
        <f>Controle!O266</f>
        <v/>
      </c>
      <c r="P266" s="235" t="str">
        <f>Controle!P266</f>
        <v/>
      </c>
      <c r="Q266" s="235" t="str">
        <f>Controle!Q266</f>
        <v/>
      </c>
      <c r="R266" s="303" t="str">
        <f>Controle!R266</f>
        <v/>
      </c>
      <c r="S266" s="287"/>
      <c r="T266" s="301"/>
      <c r="U266" s="301"/>
      <c r="V266" s="301"/>
      <c r="W266" s="294"/>
      <c r="X266" s="294"/>
      <c r="Y266" s="294"/>
      <c r="Z266" s="294"/>
      <c r="AA266" s="294"/>
      <c r="AB266" s="253"/>
      <c r="AC266" s="2"/>
      <c r="AD266" s="253"/>
      <c r="AE266" s="253"/>
      <c r="AF266" s="253"/>
      <c r="AG266" s="253"/>
      <c r="AH266" s="253"/>
      <c r="AI266" s="2"/>
      <c r="AJ266" s="253"/>
      <c r="AK266" s="253"/>
      <c r="AL266" s="253"/>
      <c r="AM266" s="253"/>
      <c r="AN266" s="253"/>
      <c r="AO266" s="2"/>
      <c r="AP266" s="253"/>
      <c r="AQ266" s="253"/>
      <c r="AR266" s="253"/>
      <c r="AS266" s="253"/>
      <c r="AT266" s="253"/>
      <c r="AU266" s="2"/>
      <c r="AV266" s="253"/>
      <c r="AW266" s="253"/>
      <c r="AX266" s="253"/>
      <c r="AY266" s="253"/>
    </row>
    <row r="267" ht="15.75" customHeight="1">
      <c r="A267" s="2"/>
      <c r="B267" s="288" t="str">
        <f>Controle!B267</f>
        <v/>
      </c>
      <c r="C267" s="233" t="str">
        <f>Controle!C267</f>
        <v/>
      </c>
      <c r="D267" s="289" t="str">
        <f>Controle!D267</f>
        <v/>
      </c>
      <c r="E267" s="290"/>
      <c r="F267" s="291" t="str">
        <f>Controle!F267</f>
        <v/>
      </c>
      <c r="G267" s="289" t="str">
        <f>Controle!G267</f>
        <v/>
      </c>
      <c r="H267" s="290"/>
      <c r="I267" s="291" t="str">
        <f>Controle!I267</f>
        <v/>
      </c>
      <c r="J267" s="233" t="str">
        <f>Controle!J267</f>
        <v/>
      </c>
      <c r="K267" s="292"/>
      <c r="L267" s="233" t="str">
        <f>Controle!L267</f>
        <v/>
      </c>
      <c r="M267" s="233" t="str">
        <f>Controle!M267</f>
        <v/>
      </c>
      <c r="N267" s="235" t="str">
        <f>Controle!N267</f>
        <v/>
      </c>
      <c r="O267" s="235" t="str">
        <f>Controle!O267</f>
        <v/>
      </c>
      <c r="P267" s="235" t="str">
        <f>Controle!P267</f>
        <v/>
      </c>
      <c r="Q267" s="235" t="str">
        <f>Controle!Q267</f>
        <v/>
      </c>
      <c r="R267" s="303" t="str">
        <f>Controle!R267</f>
        <v/>
      </c>
      <c r="S267" s="287"/>
      <c r="T267" s="301"/>
      <c r="U267" s="301"/>
      <c r="V267" s="301"/>
      <c r="W267" s="294"/>
      <c r="X267" s="294"/>
      <c r="Y267" s="294"/>
      <c r="Z267" s="294"/>
      <c r="AA267" s="294"/>
      <c r="AB267" s="253"/>
      <c r="AC267" s="2"/>
      <c r="AD267" s="253"/>
      <c r="AE267" s="253"/>
      <c r="AF267" s="253"/>
      <c r="AG267" s="253"/>
      <c r="AH267" s="253"/>
      <c r="AI267" s="2"/>
      <c r="AJ267" s="253"/>
      <c r="AK267" s="253"/>
      <c r="AL267" s="253"/>
      <c r="AM267" s="253"/>
      <c r="AN267" s="253"/>
      <c r="AO267" s="2"/>
      <c r="AP267" s="253"/>
      <c r="AQ267" s="253"/>
      <c r="AR267" s="253"/>
      <c r="AS267" s="253"/>
      <c r="AT267" s="253"/>
      <c r="AU267" s="2"/>
      <c r="AV267" s="253"/>
      <c r="AW267" s="253"/>
      <c r="AX267" s="253"/>
      <c r="AY267" s="253"/>
    </row>
    <row r="268" ht="15.75" customHeight="1">
      <c r="A268" s="2"/>
      <c r="B268" s="288" t="str">
        <f>Controle!B268</f>
        <v/>
      </c>
      <c r="C268" s="233" t="str">
        <f>Controle!C268</f>
        <v/>
      </c>
      <c r="D268" s="289" t="str">
        <f>Controle!D268</f>
        <v/>
      </c>
      <c r="E268" s="290"/>
      <c r="F268" s="291" t="str">
        <f>Controle!F268</f>
        <v/>
      </c>
      <c r="G268" s="289" t="str">
        <f>Controle!G268</f>
        <v/>
      </c>
      <c r="H268" s="290"/>
      <c r="I268" s="291" t="str">
        <f>Controle!I268</f>
        <v/>
      </c>
      <c r="J268" s="233" t="str">
        <f>Controle!J268</f>
        <v/>
      </c>
      <c r="K268" s="292"/>
      <c r="L268" s="233" t="str">
        <f>Controle!L268</f>
        <v/>
      </c>
      <c r="M268" s="233" t="str">
        <f>Controle!M268</f>
        <v/>
      </c>
      <c r="N268" s="235" t="str">
        <f>Controle!N268</f>
        <v/>
      </c>
      <c r="O268" s="235" t="str">
        <f>Controle!O268</f>
        <v/>
      </c>
      <c r="P268" s="235" t="str">
        <f>Controle!P268</f>
        <v/>
      </c>
      <c r="Q268" s="235" t="str">
        <f>Controle!Q268</f>
        <v/>
      </c>
      <c r="R268" s="303" t="str">
        <f>Controle!R268</f>
        <v/>
      </c>
      <c r="S268" s="287"/>
      <c r="T268" s="301"/>
      <c r="U268" s="301"/>
      <c r="V268" s="301"/>
      <c r="W268" s="294"/>
      <c r="X268" s="294"/>
      <c r="Y268" s="294"/>
      <c r="Z268" s="294"/>
      <c r="AA268" s="294"/>
      <c r="AB268" s="253"/>
      <c r="AC268" s="2"/>
      <c r="AD268" s="253"/>
      <c r="AE268" s="253"/>
      <c r="AF268" s="253"/>
      <c r="AG268" s="253"/>
      <c r="AH268" s="253"/>
      <c r="AI268" s="2"/>
      <c r="AJ268" s="253"/>
      <c r="AK268" s="253"/>
      <c r="AL268" s="253"/>
      <c r="AM268" s="253"/>
      <c r="AN268" s="253"/>
      <c r="AO268" s="2"/>
      <c r="AP268" s="253"/>
      <c r="AQ268" s="253"/>
      <c r="AR268" s="253"/>
      <c r="AS268" s="253"/>
      <c r="AT268" s="253"/>
      <c r="AU268" s="2"/>
      <c r="AV268" s="253"/>
      <c r="AW268" s="253"/>
      <c r="AX268" s="253"/>
      <c r="AY268" s="253"/>
    </row>
    <row r="269" ht="15.75" customHeight="1">
      <c r="A269" s="2"/>
      <c r="B269" s="288" t="str">
        <f>Controle!B269</f>
        <v/>
      </c>
      <c r="C269" s="233" t="str">
        <f>Controle!C269</f>
        <v/>
      </c>
      <c r="D269" s="289" t="str">
        <f>Controle!D269</f>
        <v/>
      </c>
      <c r="E269" s="290"/>
      <c r="F269" s="291" t="str">
        <f>Controle!F269</f>
        <v/>
      </c>
      <c r="G269" s="289" t="str">
        <f>Controle!G269</f>
        <v/>
      </c>
      <c r="H269" s="290"/>
      <c r="I269" s="291" t="str">
        <f>Controle!I269</f>
        <v/>
      </c>
      <c r="J269" s="233" t="str">
        <f>Controle!J269</f>
        <v/>
      </c>
      <c r="K269" s="292"/>
      <c r="L269" s="233" t="str">
        <f>Controle!L269</f>
        <v/>
      </c>
      <c r="M269" s="233" t="str">
        <f>Controle!M269</f>
        <v/>
      </c>
      <c r="N269" s="235" t="str">
        <f>Controle!N269</f>
        <v/>
      </c>
      <c r="O269" s="235" t="str">
        <f>Controle!O269</f>
        <v/>
      </c>
      <c r="P269" s="235" t="str">
        <f>Controle!P269</f>
        <v/>
      </c>
      <c r="Q269" s="235" t="str">
        <f>Controle!Q269</f>
        <v/>
      </c>
      <c r="R269" s="303" t="str">
        <f>Controle!R269</f>
        <v/>
      </c>
      <c r="S269" s="287"/>
      <c r="T269" s="301"/>
      <c r="U269" s="301"/>
      <c r="V269" s="301"/>
      <c r="W269" s="294"/>
      <c r="X269" s="294"/>
      <c r="Y269" s="294"/>
      <c r="Z269" s="294"/>
      <c r="AA269" s="294"/>
      <c r="AB269" s="253"/>
      <c r="AC269" s="2"/>
      <c r="AD269" s="253"/>
      <c r="AE269" s="253"/>
      <c r="AF269" s="253"/>
      <c r="AG269" s="253"/>
      <c r="AH269" s="253"/>
      <c r="AI269" s="2"/>
      <c r="AJ269" s="253"/>
      <c r="AK269" s="253"/>
      <c r="AL269" s="253"/>
      <c r="AM269" s="253"/>
      <c r="AN269" s="253"/>
      <c r="AO269" s="2"/>
      <c r="AP269" s="253"/>
      <c r="AQ269" s="253"/>
      <c r="AR269" s="253"/>
      <c r="AS269" s="253"/>
      <c r="AT269" s="253"/>
      <c r="AU269" s="2"/>
      <c r="AV269" s="253"/>
      <c r="AW269" s="253"/>
      <c r="AX269" s="253"/>
      <c r="AY269" s="253"/>
    </row>
    <row r="270" ht="15.75" customHeight="1">
      <c r="A270" s="2"/>
      <c r="B270" s="288" t="str">
        <f>Controle!B270</f>
        <v/>
      </c>
      <c r="C270" s="233" t="str">
        <f>Controle!C270</f>
        <v/>
      </c>
      <c r="D270" s="289" t="str">
        <f>Controle!D270</f>
        <v/>
      </c>
      <c r="E270" s="290"/>
      <c r="F270" s="291" t="str">
        <f>Controle!F270</f>
        <v/>
      </c>
      <c r="G270" s="289" t="str">
        <f>Controle!G270</f>
        <v/>
      </c>
      <c r="H270" s="290"/>
      <c r="I270" s="291" t="str">
        <f>Controle!I270</f>
        <v/>
      </c>
      <c r="J270" s="233" t="str">
        <f>Controle!J270</f>
        <v/>
      </c>
      <c r="K270" s="292"/>
      <c r="L270" s="233" t="str">
        <f>Controle!L270</f>
        <v/>
      </c>
      <c r="M270" s="233" t="str">
        <f>Controle!M270</f>
        <v/>
      </c>
      <c r="N270" s="235" t="str">
        <f>Controle!N270</f>
        <v/>
      </c>
      <c r="O270" s="235" t="str">
        <f>Controle!O270</f>
        <v/>
      </c>
      <c r="P270" s="235" t="str">
        <f>Controle!P270</f>
        <v/>
      </c>
      <c r="Q270" s="235" t="str">
        <f>Controle!Q270</f>
        <v/>
      </c>
      <c r="R270" s="303" t="str">
        <f>Controle!R270</f>
        <v/>
      </c>
      <c r="S270" s="287"/>
      <c r="T270" s="301"/>
      <c r="U270" s="301"/>
      <c r="V270" s="301"/>
      <c r="W270" s="294"/>
      <c r="X270" s="294"/>
      <c r="Y270" s="294"/>
      <c r="Z270" s="294"/>
      <c r="AA270" s="294"/>
      <c r="AB270" s="253"/>
      <c r="AC270" s="2"/>
      <c r="AD270" s="253"/>
      <c r="AE270" s="253"/>
      <c r="AF270" s="253"/>
      <c r="AG270" s="253"/>
      <c r="AH270" s="253"/>
      <c r="AI270" s="2"/>
      <c r="AJ270" s="253"/>
      <c r="AK270" s="253"/>
      <c r="AL270" s="253"/>
      <c r="AM270" s="253"/>
      <c r="AN270" s="253"/>
      <c r="AO270" s="2"/>
      <c r="AP270" s="253"/>
      <c r="AQ270" s="253"/>
      <c r="AR270" s="253"/>
      <c r="AS270" s="253"/>
      <c r="AT270" s="253"/>
      <c r="AU270" s="2"/>
      <c r="AV270" s="253"/>
      <c r="AW270" s="253"/>
      <c r="AX270" s="253"/>
      <c r="AY270" s="253"/>
    </row>
    <row r="271" ht="15.75" customHeight="1">
      <c r="A271" s="2"/>
      <c r="B271" s="288" t="str">
        <f>Controle!B271</f>
        <v/>
      </c>
      <c r="C271" s="233" t="str">
        <f>Controle!C271</f>
        <v/>
      </c>
      <c r="D271" s="289" t="str">
        <f>Controle!D271</f>
        <v/>
      </c>
      <c r="E271" s="290"/>
      <c r="F271" s="291" t="str">
        <f>Controle!F271</f>
        <v/>
      </c>
      <c r="G271" s="289" t="str">
        <f>Controle!G271</f>
        <v/>
      </c>
      <c r="H271" s="290"/>
      <c r="I271" s="291" t="str">
        <f>Controle!I271</f>
        <v/>
      </c>
      <c r="J271" s="233" t="str">
        <f>Controle!J271</f>
        <v/>
      </c>
      <c r="K271" s="292"/>
      <c r="L271" s="233" t="str">
        <f>Controle!L271</f>
        <v/>
      </c>
      <c r="M271" s="233" t="str">
        <f>Controle!M271</f>
        <v/>
      </c>
      <c r="N271" s="235" t="str">
        <f>Controle!N271</f>
        <v/>
      </c>
      <c r="O271" s="235" t="str">
        <f>Controle!O271</f>
        <v/>
      </c>
      <c r="P271" s="235" t="str">
        <f>Controle!P271</f>
        <v/>
      </c>
      <c r="Q271" s="235" t="str">
        <f>Controle!Q271</f>
        <v/>
      </c>
      <c r="R271" s="303" t="str">
        <f>Controle!R271</f>
        <v/>
      </c>
      <c r="S271" s="287"/>
      <c r="T271" s="301"/>
      <c r="U271" s="301"/>
      <c r="V271" s="301"/>
      <c r="W271" s="294"/>
      <c r="X271" s="294"/>
      <c r="Y271" s="294"/>
      <c r="Z271" s="294"/>
      <c r="AA271" s="294"/>
      <c r="AB271" s="253"/>
      <c r="AC271" s="2"/>
      <c r="AD271" s="253"/>
      <c r="AE271" s="253"/>
      <c r="AF271" s="253"/>
      <c r="AG271" s="253"/>
      <c r="AH271" s="253"/>
      <c r="AI271" s="2"/>
      <c r="AJ271" s="253"/>
      <c r="AK271" s="253"/>
      <c r="AL271" s="253"/>
      <c r="AM271" s="253"/>
      <c r="AN271" s="253"/>
      <c r="AO271" s="2"/>
      <c r="AP271" s="253"/>
      <c r="AQ271" s="253"/>
      <c r="AR271" s="253"/>
      <c r="AS271" s="253"/>
      <c r="AT271" s="253"/>
      <c r="AU271" s="2"/>
      <c r="AV271" s="253"/>
      <c r="AW271" s="253"/>
      <c r="AX271" s="253"/>
      <c r="AY271" s="253"/>
    </row>
    <row r="272" ht="15.75" customHeight="1">
      <c r="A272" s="2"/>
      <c r="B272" s="288" t="str">
        <f>Controle!B272</f>
        <v/>
      </c>
      <c r="C272" s="233" t="str">
        <f>Controle!C272</f>
        <v/>
      </c>
      <c r="D272" s="289" t="str">
        <f>Controle!D272</f>
        <v/>
      </c>
      <c r="E272" s="290"/>
      <c r="F272" s="291" t="str">
        <f>Controle!F272</f>
        <v/>
      </c>
      <c r="G272" s="289" t="str">
        <f>Controle!G272</f>
        <v/>
      </c>
      <c r="H272" s="290"/>
      <c r="I272" s="291" t="str">
        <f>Controle!I272</f>
        <v/>
      </c>
      <c r="J272" s="233" t="str">
        <f>Controle!J272</f>
        <v/>
      </c>
      <c r="K272" s="292"/>
      <c r="L272" s="233" t="str">
        <f>Controle!L272</f>
        <v/>
      </c>
      <c r="M272" s="233" t="str">
        <f>Controle!M272</f>
        <v/>
      </c>
      <c r="N272" s="235" t="str">
        <f>Controle!N272</f>
        <v/>
      </c>
      <c r="O272" s="235" t="str">
        <f>Controle!O272</f>
        <v/>
      </c>
      <c r="P272" s="235" t="str">
        <f>Controle!P272</f>
        <v/>
      </c>
      <c r="Q272" s="235" t="str">
        <f>Controle!Q272</f>
        <v/>
      </c>
      <c r="R272" s="303" t="str">
        <f>Controle!R272</f>
        <v/>
      </c>
      <c r="S272" s="287"/>
      <c r="T272" s="301"/>
      <c r="U272" s="301"/>
      <c r="V272" s="301"/>
      <c r="W272" s="294"/>
      <c r="X272" s="294"/>
      <c r="Y272" s="294"/>
      <c r="Z272" s="294"/>
      <c r="AA272" s="294"/>
      <c r="AB272" s="253"/>
      <c r="AC272" s="2"/>
      <c r="AD272" s="253"/>
      <c r="AE272" s="253"/>
      <c r="AF272" s="253"/>
      <c r="AG272" s="253"/>
      <c r="AH272" s="253"/>
      <c r="AI272" s="2"/>
      <c r="AJ272" s="253"/>
      <c r="AK272" s="253"/>
      <c r="AL272" s="253"/>
      <c r="AM272" s="253"/>
      <c r="AN272" s="253"/>
      <c r="AO272" s="2"/>
      <c r="AP272" s="253"/>
      <c r="AQ272" s="253"/>
      <c r="AR272" s="253"/>
      <c r="AS272" s="253"/>
      <c r="AT272" s="253"/>
      <c r="AU272" s="2"/>
      <c r="AV272" s="253"/>
      <c r="AW272" s="253"/>
      <c r="AX272" s="253"/>
      <c r="AY272" s="253"/>
    </row>
    <row r="273" ht="15.75" customHeight="1">
      <c r="A273" s="2"/>
      <c r="B273" s="288" t="str">
        <f>Controle!B273</f>
        <v/>
      </c>
      <c r="C273" s="233" t="str">
        <f>Controle!C273</f>
        <v/>
      </c>
      <c r="D273" s="289" t="str">
        <f>Controle!D273</f>
        <v/>
      </c>
      <c r="E273" s="290"/>
      <c r="F273" s="291" t="str">
        <f>Controle!F273</f>
        <v/>
      </c>
      <c r="G273" s="289" t="str">
        <f>Controle!G273</f>
        <v/>
      </c>
      <c r="H273" s="290"/>
      <c r="I273" s="291" t="str">
        <f>Controle!I273</f>
        <v/>
      </c>
      <c r="J273" s="233" t="str">
        <f>Controle!J273</f>
        <v/>
      </c>
      <c r="K273" s="292"/>
      <c r="L273" s="233" t="str">
        <f>Controle!L273</f>
        <v/>
      </c>
      <c r="M273" s="233" t="str">
        <f>Controle!M273</f>
        <v/>
      </c>
      <c r="N273" s="235" t="str">
        <f>Controle!N273</f>
        <v/>
      </c>
      <c r="O273" s="235" t="str">
        <f>Controle!O273</f>
        <v/>
      </c>
      <c r="P273" s="235" t="str">
        <f>Controle!P273</f>
        <v/>
      </c>
      <c r="Q273" s="235" t="str">
        <f>Controle!Q273</f>
        <v/>
      </c>
      <c r="R273" s="303" t="str">
        <f>Controle!R273</f>
        <v/>
      </c>
      <c r="S273" s="287"/>
      <c r="T273" s="301"/>
      <c r="U273" s="301"/>
      <c r="V273" s="301"/>
      <c r="W273" s="294"/>
      <c r="X273" s="294"/>
      <c r="Y273" s="294"/>
      <c r="Z273" s="294"/>
      <c r="AA273" s="294"/>
      <c r="AB273" s="253"/>
      <c r="AC273" s="2"/>
      <c r="AD273" s="253"/>
      <c r="AE273" s="253"/>
      <c r="AF273" s="253"/>
      <c r="AG273" s="253"/>
      <c r="AH273" s="253"/>
      <c r="AI273" s="2"/>
      <c r="AJ273" s="253"/>
      <c r="AK273" s="253"/>
      <c r="AL273" s="253"/>
      <c r="AM273" s="253"/>
      <c r="AN273" s="253"/>
      <c r="AO273" s="2"/>
      <c r="AP273" s="253"/>
      <c r="AQ273" s="253"/>
      <c r="AR273" s="253"/>
      <c r="AS273" s="253"/>
      <c r="AT273" s="253"/>
      <c r="AU273" s="2"/>
      <c r="AV273" s="253"/>
      <c r="AW273" s="253"/>
      <c r="AX273" s="253"/>
      <c r="AY273" s="253"/>
    </row>
    <row r="274" ht="15.75" customHeight="1">
      <c r="A274" s="2"/>
      <c r="B274" s="288" t="str">
        <f>Controle!B274</f>
        <v/>
      </c>
      <c r="C274" s="233" t="str">
        <f>Controle!C274</f>
        <v/>
      </c>
      <c r="D274" s="289" t="str">
        <f>Controle!D274</f>
        <v/>
      </c>
      <c r="E274" s="290"/>
      <c r="F274" s="291" t="str">
        <f>Controle!F274</f>
        <v/>
      </c>
      <c r="G274" s="289" t="str">
        <f>Controle!G274</f>
        <v/>
      </c>
      <c r="H274" s="290"/>
      <c r="I274" s="291" t="str">
        <f>Controle!I274</f>
        <v/>
      </c>
      <c r="J274" s="233" t="str">
        <f>Controle!J274</f>
        <v/>
      </c>
      <c r="K274" s="292"/>
      <c r="L274" s="233" t="str">
        <f>Controle!L274</f>
        <v/>
      </c>
      <c r="M274" s="233" t="str">
        <f>Controle!M274</f>
        <v/>
      </c>
      <c r="N274" s="235" t="str">
        <f>Controle!N274</f>
        <v/>
      </c>
      <c r="O274" s="235" t="str">
        <f>Controle!O274</f>
        <v/>
      </c>
      <c r="P274" s="235" t="str">
        <f>Controle!P274</f>
        <v/>
      </c>
      <c r="Q274" s="235" t="str">
        <f>Controle!Q274</f>
        <v/>
      </c>
      <c r="R274" s="303" t="str">
        <f>Controle!R274</f>
        <v/>
      </c>
      <c r="S274" s="287"/>
      <c r="T274" s="301"/>
      <c r="U274" s="301"/>
      <c r="V274" s="301"/>
      <c r="W274" s="294"/>
      <c r="X274" s="294"/>
      <c r="Y274" s="294"/>
      <c r="Z274" s="294"/>
      <c r="AA274" s="294"/>
      <c r="AB274" s="253"/>
      <c r="AC274" s="2"/>
      <c r="AD274" s="253"/>
      <c r="AE274" s="253"/>
      <c r="AF274" s="253"/>
      <c r="AG274" s="253"/>
      <c r="AH274" s="253"/>
      <c r="AI274" s="2"/>
      <c r="AJ274" s="253"/>
      <c r="AK274" s="253"/>
      <c r="AL274" s="253"/>
      <c r="AM274" s="253"/>
      <c r="AN274" s="253"/>
      <c r="AO274" s="2"/>
      <c r="AP274" s="253"/>
      <c r="AQ274" s="253"/>
      <c r="AR274" s="253"/>
      <c r="AS274" s="253"/>
      <c r="AT274" s="253"/>
      <c r="AU274" s="2"/>
      <c r="AV274" s="253"/>
      <c r="AW274" s="253"/>
      <c r="AX274" s="253"/>
      <c r="AY274" s="253"/>
    </row>
    <row r="275" ht="15.75" customHeight="1">
      <c r="A275" s="2"/>
      <c r="B275" s="288" t="str">
        <f>Controle!B275</f>
        <v/>
      </c>
      <c r="C275" s="233" t="str">
        <f>Controle!C275</f>
        <v/>
      </c>
      <c r="D275" s="289" t="str">
        <f>Controle!D275</f>
        <v/>
      </c>
      <c r="E275" s="290"/>
      <c r="F275" s="291" t="str">
        <f>Controle!F275</f>
        <v/>
      </c>
      <c r="G275" s="289" t="str">
        <f>Controle!G275</f>
        <v/>
      </c>
      <c r="H275" s="290"/>
      <c r="I275" s="291" t="str">
        <f>Controle!I275</f>
        <v/>
      </c>
      <c r="J275" s="233" t="str">
        <f>Controle!J275</f>
        <v/>
      </c>
      <c r="K275" s="292"/>
      <c r="L275" s="233" t="str">
        <f>Controle!L275</f>
        <v/>
      </c>
      <c r="M275" s="233" t="str">
        <f>Controle!M275</f>
        <v/>
      </c>
      <c r="N275" s="235" t="str">
        <f>Controle!N275</f>
        <v/>
      </c>
      <c r="O275" s="235" t="str">
        <f>Controle!O275</f>
        <v/>
      </c>
      <c r="P275" s="235" t="str">
        <f>Controle!P275</f>
        <v/>
      </c>
      <c r="Q275" s="235" t="str">
        <f>Controle!Q275</f>
        <v/>
      </c>
      <c r="R275" s="303" t="str">
        <f>Controle!R275</f>
        <v/>
      </c>
      <c r="S275" s="287"/>
      <c r="T275" s="301"/>
      <c r="U275" s="301"/>
      <c r="V275" s="301"/>
      <c r="W275" s="294"/>
      <c r="X275" s="294"/>
      <c r="Y275" s="294"/>
      <c r="Z275" s="294"/>
      <c r="AA275" s="294"/>
      <c r="AB275" s="253"/>
      <c r="AC275" s="2"/>
      <c r="AD275" s="253"/>
      <c r="AE275" s="253"/>
      <c r="AF275" s="253"/>
      <c r="AG275" s="253"/>
      <c r="AH275" s="253"/>
      <c r="AI275" s="2"/>
      <c r="AJ275" s="253"/>
      <c r="AK275" s="253"/>
      <c r="AL275" s="253"/>
      <c r="AM275" s="253"/>
      <c r="AN275" s="253"/>
      <c r="AO275" s="2"/>
      <c r="AP275" s="253"/>
      <c r="AQ275" s="253"/>
      <c r="AR275" s="253"/>
      <c r="AS275" s="253"/>
      <c r="AT275" s="253"/>
      <c r="AU275" s="2"/>
      <c r="AV275" s="253"/>
      <c r="AW275" s="253"/>
      <c r="AX275" s="253"/>
      <c r="AY275" s="253"/>
    </row>
    <row r="276" ht="15.75" customHeight="1">
      <c r="A276" s="2"/>
      <c r="B276" s="288" t="str">
        <f>Controle!B276</f>
        <v/>
      </c>
      <c r="C276" s="233" t="str">
        <f>Controle!C276</f>
        <v/>
      </c>
      <c r="D276" s="289" t="str">
        <f>Controle!D276</f>
        <v/>
      </c>
      <c r="E276" s="290"/>
      <c r="F276" s="291" t="str">
        <f>Controle!F276</f>
        <v/>
      </c>
      <c r="G276" s="289" t="str">
        <f>Controle!G276</f>
        <v/>
      </c>
      <c r="H276" s="290"/>
      <c r="I276" s="291" t="str">
        <f>Controle!I276</f>
        <v/>
      </c>
      <c r="J276" s="233" t="str">
        <f>Controle!J276</f>
        <v/>
      </c>
      <c r="K276" s="292"/>
      <c r="L276" s="233" t="str">
        <f>Controle!L276</f>
        <v/>
      </c>
      <c r="M276" s="233" t="str">
        <f>Controle!M276</f>
        <v/>
      </c>
      <c r="N276" s="235" t="str">
        <f>Controle!N276</f>
        <v/>
      </c>
      <c r="O276" s="235" t="str">
        <f>Controle!O276</f>
        <v/>
      </c>
      <c r="P276" s="235" t="str">
        <f>Controle!P276</f>
        <v/>
      </c>
      <c r="Q276" s="235" t="str">
        <f>Controle!Q276</f>
        <v/>
      </c>
      <c r="R276" s="303" t="str">
        <f>Controle!R276</f>
        <v/>
      </c>
      <c r="S276" s="287"/>
      <c r="T276" s="301"/>
      <c r="U276" s="301"/>
      <c r="V276" s="301"/>
      <c r="W276" s="294"/>
      <c r="X276" s="294"/>
      <c r="Y276" s="294"/>
      <c r="Z276" s="294"/>
      <c r="AA276" s="294"/>
      <c r="AB276" s="253"/>
      <c r="AC276" s="2"/>
      <c r="AD276" s="253"/>
      <c r="AE276" s="253"/>
      <c r="AF276" s="253"/>
      <c r="AG276" s="253"/>
      <c r="AH276" s="253"/>
      <c r="AI276" s="2"/>
      <c r="AJ276" s="253"/>
      <c r="AK276" s="253"/>
      <c r="AL276" s="253"/>
      <c r="AM276" s="253"/>
      <c r="AN276" s="253"/>
      <c r="AO276" s="2"/>
      <c r="AP276" s="253"/>
      <c r="AQ276" s="253"/>
      <c r="AR276" s="253"/>
      <c r="AS276" s="253"/>
      <c r="AT276" s="253"/>
      <c r="AU276" s="2"/>
      <c r="AV276" s="253"/>
      <c r="AW276" s="253"/>
      <c r="AX276" s="253"/>
      <c r="AY276" s="253"/>
    </row>
    <row r="277" ht="15.75" customHeight="1">
      <c r="A277" s="2"/>
      <c r="B277" s="288" t="str">
        <f>Controle!B277</f>
        <v/>
      </c>
      <c r="C277" s="233" t="str">
        <f>Controle!C277</f>
        <v/>
      </c>
      <c r="D277" s="289" t="str">
        <f>Controle!D277</f>
        <v/>
      </c>
      <c r="E277" s="290"/>
      <c r="F277" s="291" t="str">
        <f>Controle!F277</f>
        <v/>
      </c>
      <c r="G277" s="289" t="str">
        <f>Controle!G277</f>
        <v/>
      </c>
      <c r="H277" s="290"/>
      <c r="I277" s="291" t="str">
        <f>Controle!I277</f>
        <v/>
      </c>
      <c r="J277" s="233" t="str">
        <f>Controle!J277</f>
        <v/>
      </c>
      <c r="K277" s="292"/>
      <c r="L277" s="233" t="str">
        <f>Controle!L277</f>
        <v/>
      </c>
      <c r="M277" s="233" t="str">
        <f>Controle!M277</f>
        <v/>
      </c>
      <c r="N277" s="235" t="str">
        <f>Controle!N277</f>
        <v/>
      </c>
      <c r="O277" s="235" t="str">
        <f>Controle!O277</f>
        <v/>
      </c>
      <c r="P277" s="235" t="str">
        <f>Controle!P277</f>
        <v/>
      </c>
      <c r="Q277" s="235" t="str">
        <f>Controle!Q277</f>
        <v/>
      </c>
      <c r="R277" s="303" t="str">
        <f>Controle!R277</f>
        <v/>
      </c>
      <c r="S277" s="287"/>
      <c r="T277" s="301"/>
      <c r="U277" s="301"/>
      <c r="V277" s="301"/>
      <c r="W277" s="294"/>
      <c r="X277" s="294"/>
      <c r="Y277" s="294"/>
      <c r="Z277" s="294"/>
      <c r="AA277" s="294"/>
      <c r="AB277" s="253"/>
      <c r="AC277" s="2"/>
      <c r="AD277" s="253"/>
      <c r="AE277" s="253"/>
      <c r="AF277" s="253"/>
      <c r="AG277" s="253"/>
      <c r="AH277" s="253"/>
      <c r="AI277" s="2"/>
      <c r="AJ277" s="253"/>
      <c r="AK277" s="253"/>
      <c r="AL277" s="253"/>
      <c r="AM277" s="253"/>
      <c r="AN277" s="253"/>
      <c r="AO277" s="2"/>
      <c r="AP277" s="253"/>
      <c r="AQ277" s="253"/>
      <c r="AR277" s="253"/>
      <c r="AS277" s="253"/>
      <c r="AT277" s="253"/>
      <c r="AU277" s="2"/>
      <c r="AV277" s="253"/>
      <c r="AW277" s="253"/>
      <c r="AX277" s="253"/>
      <c r="AY277" s="253"/>
    </row>
    <row r="278" ht="15.75" customHeight="1">
      <c r="A278" s="2"/>
      <c r="B278" s="288" t="str">
        <f>Controle!B278</f>
        <v/>
      </c>
      <c r="C278" s="233" t="str">
        <f>Controle!C278</f>
        <v/>
      </c>
      <c r="D278" s="289" t="str">
        <f>Controle!D278</f>
        <v/>
      </c>
      <c r="E278" s="290"/>
      <c r="F278" s="291" t="str">
        <f>Controle!F278</f>
        <v/>
      </c>
      <c r="G278" s="289" t="str">
        <f>Controle!G278</f>
        <v/>
      </c>
      <c r="H278" s="290"/>
      <c r="I278" s="291" t="str">
        <f>Controle!I278</f>
        <v/>
      </c>
      <c r="J278" s="233" t="str">
        <f>Controle!J278</f>
        <v/>
      </c>
      <c r="K278" s="292"/>
      <c r="L278" s="233" t="str">
        <f>Controle!L278</f>
        <v/>
      </c>
      <c r="M278" s="233" t="str">
        <f>Controle!M278</f>
        <v/>
      </c>
      <c r="N278" s="235" t="str">
        <f>Controle!N278</f>
        <v/>
      </c>
      <c r="O278" s="235" t="str">
        <f>Controle!O278</f>
        <v/>
      </c>
      <c r="P278" s="235" t="str">
        <f>Controle!P278</f>
        <v/>
      </c>
      <c r="Q278" s="235" t="str">
        <f>Controle!Q278</f>
        <v/>
      </c>
      <c r="R278" s="303" t="str">
        <f>Controle!R278</f>
        <v/>
      </c>
      <c r="S278" s="287"/>
      <c r="T278" s="301"/>
      <c r="U278" s="301"/>
      <c r="V278" s="301"/>
      <c r="W278" s="294"/>
      <c r="X278" s="294"/>
      <c r="Y278" s="294"/>
      <c r="Z278" s="294"/>
      <c r="AA278" s="294"/>
      <c r="AB278" s="253"/>
      <c r="AC278" s="2"/>
      <c r="AD278" s="253"/>
      <c r="AE278" s="253"/>
      <c r="AF278" s="253"/>
      <c r="AG278" s="253"/>
      <c r="AH278" s="253"/>
      <c r="AI278" s="2"/>
      <c r="AJ278" s="253"/>
      <c r="AK278" s="253"/>
      <c r="AL278" s="253"/>
      <c r="AM278" s="253"/>
      <c r="AN278" s="253"/>
      <c r="AO278" s="2"/>
      <c r="AP278" s="253"/>
      <c r="AQ278" s="253"/>
      <c r="AR278" s="253"/>
      <c r="AS278" s="253"/>
      <c r="AT278" s="253"/>
      <c r="AU278" s="2"/>
      <c r="AV278" s="253"/>
      <c r="AW278" s="253"/>
      <c r="AX278" s="253"/>
      <c r="AY278" s="253"/>
    </row>
    <row r="279" ht="15.75" customHeight="1">
      <c r="A279" s="2"/>
      <c r="B279" s="288" t="str">
        <f>Controle!B279</f>
        <v/>
      </c>
      <c r="C279" s="233" t="str">
        <f>Controle!C279</f>
        <v/>
      </c>
      <c r="D279" s="289" t="str">
        <f>Controle!D279</f>
        <v/>
      </c>
      <c r="E279" s="290"/>
      <c r="F279" s="291" t="str">
        <f>Controle!F279</f>
        <v/>
      </c>
      <c r="G279" s="289" t="str">
        <f>Controle!G279</f>
        <v/>
      </c>
      <c r="H279" s="290"/>
      <c r="I279" s="291" t="str">
        <f>Controle!I279</f>
        <v/>
      </c>
      <c r="J279" s="233" t="str">
        <f>Controle!J279</f>
        <v/>
      </c>
      <c r="K279" s="292"/>
      <c r="L279" s="233" t="str">
        <f>Controle!L279</f>
        <v/>
      </c>
      <c r="M279" s="233" t="str">
        <f>Controle!M279</f>
        <v/>
      </c>
      <c r="N279" s="235" t="str">
        <f>Controle!N279</f>
        <v/>
      </c>
      <c r="O279" s="235" t="str">
        <f>Controle!O279</f>
        <v/>
      </c>
      <c r="P279" s="235" t="str">
        <f>Controle!P279</f>
        <v/>
      </c>
      <c r="Q279" s="235" t="str">
        <f>Controle!Q279</f>
        <v/>
      </c>
      <c r="R279" s="303" t="str">
        <f>Controle!R279</f>
        <v/>
      </c>
      <c r="S279" s="287"/>
      <c r="T279" s="301"/>
      <c r="U279" s="301"/>
      <c r="V279" s="301"/>
      <c r="W279" s="294"/>
      <c r="X279" s="294"/>
      <c r="Y279" s="294"/>
      <c r="Z279" s="294"/>
      <c r="AA279" s="294"/>
      <c r="AB279" s="253"/>
      <c r="AC279" s="2"/>
      <c r="AD279" s="253"/>
      <c r="AE279" s="253"/>
      <c r="AF279" s="253"/>
      <c r="AG279" s="253"/>
      <c r="AH279" s="253"/>
      <c r="AI279" s="2"/>
      <c r="AJ279" s="253"/>
      <c r="AK279" s="253"/>
      <c r="AL279" s="253"/>
      <c r="AM279" s="253"/>
      <c r="AN279" s="253"/>
      <c r="AO279" s="2"/>
      <c r="AP279" s="253"/>
      <c r="AQ279" s="253"/>
      <c r="AR279" s="253"/>
      <c r="AS279" s="253"/>
      <c r="AT279" s="253"/>
      <c r="AU279" s="2"/>
      <c r="AV279" s="253"/>
      <c r="AW279" s="253"/>
      <c r="AX279" s="253"/>
      <c r="AY279" s="253"/>
    </row>
    <row r="280" ht="15.75" customHeight="1">
      <c r="A280" s="2"/>
      <c r="B280" s="288" t="str">
        <f>Controle!B280</f>
        <v/>
      </c>
      <c r="C280" s="233" t="str">
        <f>Controle!C280</f>
        <v/>
      </c>
      <c r="D280" s="289" t="str">
        <f>Controle!D280</f>
        <v/>
      </c>
      <c r="E280" s="290"/>
      <c r="F280" s="291" t="str">
        <f>Controle!F280</f>
        <v/>
      </c>
      <c r="G280" s="289" t="str">
        <f>Controle!G280</f>
        <v/>
      </c>
      <c r="H280" s="290"/>
      <c r="I280" s="291" t="str">
        <f>Controle!I280</f>
        <v/>
      </c>
      <c r="J280" s="233" t="str">
        <f>Controle!J280</f>
        <v/>
      </c>
      <c r="K280" s="292"/>
      <c r="L280" s="233" t="str">
        <f>Controle!L280</f>
        <v/>
      </c>
      <c r="M280" s="233" t="str">
        <f>Controle!M280</f>
        <v/>
      </c>
      <c r="N280" s="235" t="str">
        <f>Controle!N280</f>
        <v/>
      </c>
      <c r="O280" s="235" t="str">
        <f>Controle!O280</f>
        <v/>
      </c>
      <c r="P280" s="235" t="str">
        <f>Controle!P280</f>
        <v/>
      </c>
      <c r="Q280" s="235" t="str">
        <f>Controle!Q280</f>
        <v/>
      </c>
      <c r="R280" s="303" t="str">
        <f>Controle!R280</f>
        <v/>
      </c>
      <c r="S280" s="287"/>
      <c r="T280" s="301"/>
      <c r="U280" s="301"/>
      <c r="V280" s="301"/>
      <c r="W280" s="294"/>
      <c r="X280" s="294"/>
      <c r="Y280" s="294"/>
      <c r="Z280" s="294"/>
      <c r="AA280" s="294"/>
      <c r="AB280" s="253"/>
      <c r="AC280" s="2"/>
      <c r="AD280" s="253"/>
      <c r="AE280" s="253"/>
      <c r="AF280" s="253"/>
      <c r="AG280" s="253"/>
      <c r="AH280" s="253"/>
      <c r="AI280" s="2"/>
      <c r="AJ280" s="253"/>
      <c r="AK280" s="253"/>
      <c r="AL280" s="253"/>
      <c r="AM280" s="253"/>
      <c r="AN280" s="253"/>
      <c r="AO280" s="2"/>
      <c r="AP280" s="253"/>
      <c r="AQ280" s="253"/>
      <c r="AR280" s="253"/>
      <c r="AS280" s="253"/>
      <c r="AT280" s="253"/>
      <c r="AU280" s="2"/>
      <c r="AV280" s="253"/>
      <c r="AW280" s="253"/>
      <c r="AX280" s="253"/>
      <c r="AY280" s="253"/>
    </row>
    <row r="281" ht="15.75" customHeight="1">
      <c r="A281" s="2"/>
      <c r="B281" s="288" t="str">
        <f>Controle!B281</f>
        <v/>
      </c>
      <c r="C281" s="233" t="str">
        <f>Controle!C281</f>
        <v/>
      </c>
      <c r="D281" s="289" t="str">
        <f>Controle!D281</f>
        <v/>
      </c>
      <c r="E281" s="290"/>
      <c r="F281" s="291" t="str">
        <f>Controle!F281</f>
        <v/>
      </c>
      <c r="G281" s="289" t="str">
        <f>Controle!G281</f>
        <v/>
      </c>
      <c r="H281" s="290"/>
      <c r="I281" s="291" t="str">
        <f>Controle!I281</f>
        <v/>
      </c>
      <c r="J281" s="233" t="str">
        <f>Controle!J281</f>
        <v/>
      </c>
      <c r="K281" s="292"/>
      <c r="L281" s="233" t="str">
        <f>Controle!L281</f>
        <v/>
      </c>
      <c r="M281" s="233" t="str">
        <f>Controle!M281</f>
        <v/>
      </c>
      <c r="N281" s="235" t="str">
        <f>Controle!N281</f>
        <v/>
      </c>
      <c r="O281" s="235" t="str">
        <f>Controle!O281</f>
        <v/>
      </c>
      <c r="P281" s="235" t="str">
        <f>Controle!P281</f>
        <v/>
      </c>
      <c r="Q281" s="235" t="str">
        <f>Controle!Q281</f>
        <v/>
      </c>
      <c r="R281" s="303" t="str">
        <f>Controle!R281</f>
        <v/>
      </c>
      <c r="S281" s="287"/>
      <c r="T281" s="301"/>
      <c r="U281" s="301"/>
      <c r="V281" s="301"/>
      <c r="W281" s="294"/>
      <c r="X281" s="294"/>
      <c r="Y281" s="294"/>
      <c r="Z281" s="294"/>
      <c r="AA281" s="294"/>
      <c r="AB281" s="253"/>
      <c r="AC281" s="2"/>
      <c r="AD281" s="253"/>
      <c r="AE281" s="253"/>
      <c r="AF281" s="253"/>
      <c r="AG281" s="253"/>
      <c r="AH281" s="253"/>
      <c r="AI281" s="2"/>
      <c r="AJ281" s="253"/>
      <c r="AK281" s="253"/>
      <c r="AL281" s="253"/>
      <c r="AM281" s="253"/>
      <c r="AN281" s="253"/>
      <c r="AO281" s="2"/>
      <c r="AP281" s="253"/>
      <c r="AQ281" s="253"/>
      <c r="AR281" s="253"/>
      <c r="AS281" s="253"/>
      <c r="AT281" s="253"/>
      <c r="AU281" s="2"/>
      <c r="AV281" s="253"/>
      <c r="AW281" s="253"/>
      <c r="AX281" s="253"/>
      <c r="AY281" s="253"/>
    </row>
    <row r="282" ht="15.75" customHeight="1">
      <c r="A282" s="2"/>
      <c r="B282" s="288" t="str">
        <f>Controle!B282</f>
        <v/>
      </c>
      <c r="C282" s="233" t="str">
        <f>Controle!C282</f>
        <v/>
      </c>
      <c r="D282" s="289" t="str">
        <f>Controle!D282</f>
        <v/>
      </c>
      <c r="E282" s="290"/>
      <c r="F282" s="291" t="str">
        <f>Controle!F282</f>
        <v/>
      </c>
      <c r="G282" s="289" t="str">
        <f>Controle!G282</f>
        <v/>
      </c>
      <c r="H282" s="290"/>
      <c r="I282" s="291" t="str">
        <f>Controle!I282</f>
        <v/>
      </c>
      <c r="J282" s="233" t="str">
        <f>Controle!J282</f>
        <v/>
      </c>
      <c r="K282" s="292"/>
      <c r="L282" s="233" t="str">
        <f>Controle!L282</f>
        <v/>
      </c>
      <c r="M282" s="233" t="str">
        <f>Controle!M282</f>
        <v/>
      </c>
      <c r="N282" s="235" t="str">
        <f>Controle!N282</f>
        <v/>
      </c>
      <c r="O282" s="235" t="str">
        <f>Controle!O282</f>
        <v/>
      </c>
      <c r="P282" s="235" t="str">
        <f>Controle!P282</f>
        <v/>
      </c>
      <c r="Q282" s="235" t="str">
        <f>Controle!Q282</f>
        <v/>
      </c>
      <c r="R282" s="303" t="str">
        <f>Controle!R282</f>
        <v/>
      </c>
      <c r="S282" s="287"/>
      <c r="T282" s="301"/>
      <c r="U282" s="301"/>
      <c r="V282" s="301"/>
      <c r="W282" s="294"/>
      <c r="X282" s="294"/>
      <c r="Y282" s="294"/>
      <c r="Z282" s="294"/>
      <c r="AA282" s="294"/>
      <c r="AB282" s="253"/>
      <c r="AC282" s="2"/>
      <c r="AD282" s="253"/>
      <c r="AE282" s="253"/>
      <c r="AF282" s="253"/>
      <c r="AG282" s="253"/>
      <c r="AH282" s="253"/>
      <c r="AI282" s="2"/>
      <c r="AJ282" s="253"/>
      <c r="AK282" s="253"/>
      <c r="AL282" s="253"/>
      <c r="AM282" s="253"/>
      <c r="AN282" s="253"/>
      <c r="AO282" s="2"/>
      <c r="AP282" s="253"/>
      <c r="AQ282" s="253"/>
      <c r="AR282" s="253"/>
      <c r="AS282" s="253"/>
      <c r="AT282" s="253"/>
      <c r="AU282" s="2"/>
      <c r="AV282" s="253"/>
      <c r="AW282" s="253"/>
      <c r="AX282" s="253"/>
      <c r="AY282" s="253"/>
    </row>
    <row r="283" ht="15.75" customHeight="1">
      <c r="A283" s="2"/>
      <c r="B283" s="288" t="str">
        <f>Controle!B283</f>
        <v/>
      </c>
      <c r="C283" s="233" t="str">
        <f>Controle!C283</f>
        <v/>
      </c>
      <c r="D283" s="289" t="str">
        <f>Controle!D283</f>
        <v/>
      </c>
      <c r="E283" s="290"/>
      <c r="F283" s="291" t="str">
        <f>Controle!F283</f>
        <v/>
      </c>
      <c r="G283" s="289" t="str">
        <f>Controle!G283</f>
        <v/>
      </c>
      <c r="H283" s="290"/>
      <c r="I283" s="291" t="str">
        <f>Controle!I283</f>
        <v/>
      </c>
      <c r="J283" s="233" t="str">
        <f>Controle!J283</f>
        <v/>
      </c>
      <c r="K283" s="292"/>
      <c r="L283" s="233" t="str">
        <f>Controle!L283</f>
        <v/>
      </c>
      <c r="M283" s="233" t="str">
        <f>Controle!M283</f>
        <v/>
      </c>
      <c r="N283" s="235" t="str">
        <f>Controle!N283</f>
        <v/>
      </c>
      <c r="O283" s="235" t="str">
        <f>Controle!O283</f>
        <v/>
      </c>
      <c r="P283" s="235" t="str">
        <f>Controle!P283</f>
        <v/>
      </c>
      <c r="Q283" s="235" t="str">
        <f>Controle!Q283</f>
        <v/>
      </c>
      <c r="R283" s="303" t="str">
        <f>Controle!R283</f>
        <v/>
      </c>
      <c r="S283" s="287"/>
      <c r="T283" s="301"/>
      <c r="U283" s="301"/>
      <c r="V283" s="301"/>
      <c r="W283" s="294"/>
      <c r="X283" s="294"/>
      <c r="Y283" s="294"/>
      <c r="Z283" s="294"/>
      <c r="AA283" s="294"/>
      <c r="AB283" s="253"/>
      <c r="AC283" s="2"/>
      <c r="AD283" s="253"/>
      <c r="AE283" s="253"/>
      <c r="AF283" s="253"/>
      <c r="AG283" s="253"/>
      <c r="AH283" s="253"/>
      <c r="AI283" s="2"/>
      <c r="AJ283" s="253"/>
      <c r="AK283" s="253"/>
      <c r="AL283" s="253"/>
      <c r="AM283" s="253"/>
      <c r="AN283" s="253"/>
      <c r="AO283" s="2"/>
      <c r="AP283" s="253"/>
      <c r="AQ283" s="253"/>
      <c r="AR283" s="253"/>
      <c r="AS283" s="253"/>
      <c r="AT283" s="253"/>
      <c r="AU283" s="2"/>
      <c r="AV283" s="253"/>
      <c r="AW283" s="253"/>
      <c r="AX283" s="253"/>
      <c r="AY283" s="253"/>
    </row>
    <row r="284" ht="15.75" customHeight="1">
      <c r="A284" s="2"/>
      <c r="B284" s="288" t="str">
        <f>Controle!B284</f>
        <v/>
      </c>
      <c r="C284" s="233" t="str">
        <f>Controle!C284</f>
        <v/>
      </c>
      <c r="D284" s="289" t="str">
        <f>Controle!D284</f>
        <v/>
      </c>
      <c r="E284" s="290"/>
      <c r="F284" s="291" t="str">
        <f>Controle!F284</f>
        <v/>
      </c>
      <c r="G284" s="289" t="str">
        <f>Controle!G284</f>
        <v/>
      </c>
      <c r="H284" s="290"/>
      <c r="I284" s="291" t="str">
        <f>Controle!I284</f>
        <v/>
      </c>
      <c r="J284" s="233" t="str">
        <f>Controle!J284</f>
        <v/>
      </c>
      <c r="K284" s="292"/>
      <c r="L284" s="233" t="str">
        <f>Controle!L284</f>
        <v/>
      </c>
      <c r="M284" s="233" t="str">
        <f>Controle!M284</f>
        <v/>
      </c>
      <c r="N284" s="235" t="str">
        <f>Controle!N284</f>
        <v/>
      </c>
      <c r="O284" s="235" t="str">
        <f>Controle!O284</f>
        <v/>
      </c>
      <c r="P284" s="235" t="str">
        <f>Controle!P284</f>
        <v/>
      </c>
      <c r="Q284" s="235" t="str">
        <f>Controle!Q284</f>
        <v/>
      </c>
      <c r="R284" s="303" t="str">
        <f>Controle!R284</f>
        <v/>
      </c>
      <c r="S284" s="287"/>
      <c r="T284" s="301"/>
      <c r="U284" s="301"/>
      <c r="V284" s="301"/>
      <c r="W284" s="294"/>
      <c r="X284" s="294"/>
      <c r="Y284" s="294"/>
      <c r="Z284" s="294"/>
      <c r="AA284" s="294"/>
      <c r="AB284" s="253"/>
      <c r="AC284" s="2"/>
      <c r="AD284" s="253"/>
      <c r="AE284" s="253"/>
      <c r="AF284" s="253"/>
      <c r="AG284" s="253"/>
      <c r="AH284" s="253"/>
      <c r="AI284" s="2"/>
      <c r="AJ284" s="253"/>
      <c r="AK284" s="253"/>
      <c r="AL284" s="253"/>
      <c r="AM284" s="253"/>
      <c r="AN284" s="253"/>
      <c r="AO284" s="2"/>
      <c r="AP284" s="253"/>
      <c r="AQ284" s="253"/>
      <c r="AR284" s="253"/>
      <c r="AS284" s="253"/>
      <c r="AT284" s="253"/>
      <c r="AU284" s="2"/>
      <c r="AV284" s="253"/>
      <c r="AW284" s="253"/>
      <c r="AX284" s="253"/>
      <c r="AY284" s="253"/>
    </row>
    <row r="285" ht="15.75" customHeight="1">
      <c r="A285" s="2"/>
      <c r="B285" s="288" t="str">
        <f>Controle!B285</f>
        <v/>
      </c>
      <c r="C285" s="233" t="str">
        <f>Controle!C285</f>
        <v/>
      </c>
      <c r="D285" s="289" t="str">
        <f>Controle!D285</f>
        <v/>
      </c>
      <c r="E285" s="290"/>
      <c r="F285" s="291" t="str">
        <f>Controle!F285</f>
        <v/>
      </c>
      <c r="G285" s="289" t="str">
        <f>Controle!G285</f>
        <v/>
      </c>
      <c r="H285" s="290"/>
      <c r="I285" s="291" t="str">
        <f>Controle!I285</f>
        <v/>
      </c>
      <c r="J285" s="233" t="str">
        <f>Controle!J285</f>
        <v/>
      </c>
      <c r="K285" s="292"/>
      <c r="L285" s="233" t="str">
        <f>Controle!L285</f>
        <v/>
      </c>
      <c r="M285" s="233" t="str">
        <f>Controle!M285</f>
        <v/>
      </c>
      <c r="N285" s="235" t="str">
        <f>Controle!N285</f>
        <v/>
      </c>
      <c r="O285" s="235" t="str">
        <f>Controle!O285</f>
        <v/>
      </c>
      <c r="P285" s="235" t="str">
        <f>Controle!P285</f>
        <v/>
      </c>
      <c r="Q285" s="235" t="str">
        <f>Controle!Q285</f>
        <v/>
      </c>
      <c r="R285" s="303" t="str">
        <f>Controle!R285</f>
        <v/>
      </c>
      <c r="S285" s="287"/>
      <c r="T285" s="301"/>
      <c r="U285" s="301"/>
      <c r="V285" s="301"/>
      <c r="W285" s="294"/>
      <c r="X285" s="294"/>
      <c r="Y285" s="294"/>
      <c r="Z285" s="294"/>
      <c r="AA285" s="294"/>
      <c r="AB285" s="253"/>
      <c r="AC285" s="2"/>
      <c r="AD285" s="253"/>
      <c r="AE285" s="253"/>
      <c r="AF285" s="253"/>
      <c r="AG285" s="253"/>
      <c r="AH285" s="253"/>
      <c r="AI285" s="2"/>
      <c r="AJ285" s="253"/>
      <c r="AK285" s="253"/>
      <c r="AL285" s="253"/>
      <c r="AM285" s="253"/>
      <c r="AN285" s="253"/>
      <c r="AO285" s="2"/>
      <c r="AP285" s="253"/>
      <c r="AQ285" s="253"/>
      <c r="AR285" s="253"/>
      <c r="AS285" s="253"/>
      <c r="AT285" s="253"/>
      <c r="AU285" s="2"/>
      <c r="AV285" s="253"/>
      <c r="AW285" s="253"/>
      <c r="AX285" s="253"/>
      <c r="AY285" s="253"/>
    </row>
    <row r="286" ht="15.75" customHeight="1">
      <c r="A286" s="2"/>
      <c r="B286" s="288" t="str">
        <f>Controle!B286</f>
        <v/>
      </c>
      <c r="C286" s="233" t="str">
        <f>Controle!C286</f>
        <v/>
      </c>
      <c r="D286" s="289" t="str">
        <f>Controle!D286</f>
        <v/>
      </c>
      <c r="E286" s="290"/>
      <c r="F286" s="291" t="str">
        <f>Controle!F286</f>
        <v/>
      </c>
      <c r="G286" s="289" t="str">
        <f>Controle!G286</f>
        <v/>
      </c>
      <c r="H286" s="290"/>
      <c r="I286" s="291" t="str">
        <f>Controle!I286</f>
        <v/>
      </c>
      <c r="J286" s="233" t="str">
        <f>Controle!J286</f>
        <v/>
      </c>
      <c r="K286" s="292"/>
      <c r="L286" s="233" t="str">
        <f>Controle!L286</f>
        <v/>
      </c>
      <c r="M286" s="233" t="str">
        <f>Controle!M286</f>
        <v/>
      </c>
      <c r="N286" s="235" t="str">
        <f>Controle!N286</f>
        <v/>
      </c>
      <c r="O286" s="235" t="str">
        <f>Controle!O286</f>
        <v/>
      </c>
      <c r="P286" s="235" t="str">
        <f>Controle!P286</f>
        <v/>
      </c>
      <c r="Q286" s="235" t="str">
        <f>Controle!Q286</f>
        <v/>
      </c>
      <c r="R286" s="303" t="str">
        <f>Controle!R286</f>
        <v/>
      </c>
      <c r="S286" s="287"/>
      <c r="T286" s="301"/>
      <c r="U286" s="301"/>
      <c r="V286" s="301"/>
      <c r="W286" s="294"/>
      <c r="X286" s="294"/>
      <c r="Y286" s="294"/>
      <c r="Z286" s="294"/>
      <c r="AA286" s="294"/>
      <c r="AB286" s="253"/>
      <c r="AC286" s="2"/>
      <c r="AD286" s="253"/>
      <c r="AE286" s="253"/>
      <c r="AF286" s="253"/>
      <c r="AG286" s="253"/>
      <c r="AH286" s="253"/>
      <c r="AI286" s="2"/>
      <c r="AJ286" s="253"/>
      <c r="AK286" s="253"/>
      <c r="AL286" s="253"/>
      <c r="AM286" s="253"/>
      <c r="AN286" s="253"/>
      <c r="AO286" s="2"/>
      <c r="AP286" s="253"/>
      <c r="AQ286" s="253"/>
      <c r="AR286" s="253"/>
      <c r="AS286" s="253"/>
      <c r="AT286" s="253"/>
      <c r="AU286" s="2"/>
      <c r="AV286" s="253"/>
      <c r="AW286" s="253"/>
      <c r="AX286" s="253"/>
      <c r="AY286" s="253"/>
    </row>
    <row r="287" ht="15.75" customHeight="1">
      <c r="A287" s="2"/>
      <c r="B287" s="288" t="str">
        <f>Controle!B287</f>
        <v/>
      </c>
      <c r="C287" s="233" t="str">
        <f>Controle!C287</f>
        <v/>
      </c>
      <c r="D287" s="289" t="str">
        <f>Controle!D287</f>
        <v/>
      </c>
      <c r="E287" s="290"/>
      <c r="F287" s="291" t="str">
        <f>Controle!F287</f>
        <v/>
      </c>
      <c r="G287" s="289" t="str">
        <f>Controle!G287</f>
        <v/>
      </c>
      <c r="H287" s="290"/>
      <c r="I287" s="291" t="str">
        <f>Controle!I287</f>
        <v/>
      </c>
      <c r="J287" s="233" t="str">
        <f>Controle!J287</f>
        <v/>
      </c>
      <c r="K287" s="292"/>
      <c r="L287" s="233" t="str">
        <f>Controle!L287</f>
        <v/>
      </c>
      <c r="M287" s="233" t="str">
        <f>Controle!M287</f>
        <v/>
      </c>
      <c r="N287" s="235" t="str">
        <f>Controle!N287</f>
        <v/>
      </c>
      <c r="O287" s="235" t="str">
        <f>Controle!O287</f>
        <v/>
      </c>
      <c r="P287" s="235" t="str">
        <f>Controle!P287</f>
        <v/>
      </c>
      <c r="Q287" s="235" t="str">
        <f>Controle!Q287</f>
        <v/>
      </c>
      <c r="R287" s="303" t="str">
        <f>Controle!R287</f>
        <v/>
      </c>
      <c r="S287" s="287"/>
      <c r="T287" s="301"/>
      <c r="U287" s="301"/>
      <c r="V287" s="301"/>
      <c r="W287" s="294"/>
      <c r="X287" s="294"/>
      <c r="Y287" s="294"/>
      <c r="Z287" s="294"/>
      <c r="AA287" s="294"/>
      <c r="AB287" s="253"/>
      <c r="AC287" s="2"/>
      <c r="AD287" s="253"/>
      <c r="AE287" s="253"/>
      <c r="AF287" s="253"/>
      <c r="AG287" s="253"/>
      <c r="AH287" s="253"/>
      <c r="AI287" s="2"/>
      <c r="AJ287" s="253"/>
      <c r="AK287" s="253"/>
      <c r="AL287" s="253"/>
      <c r="AM287" s="253"/>
      <c r="AN287" s="253"/>
      <c r="AO287" s="2"/>
      <c r="AP287" s="253"/>
      <c r="AQ287" s="253"/>
      <c r="AR287" s="253"/>
      <c r="AS287" s="253"/>
      <c r="AT287" s="253"/>
      <c r="AU287" s="2"/>
      <c r="AV287" s="253"/>
      <c r="AW287" s="253"/>
      <c r="AX287" s="253"/>
      <c r="AY287" s="253"/>
    </row>
    <row r="288" ht="15.75" customHeight="1">
      <c r="A288" s="2"/>
      <c r="B288" s="288" t="str">
        <f>Controle!B288</f>
        <v/>
      </c>
      <c r="C288" s="233" t="str">
        <f>Controle!C288</f>
        <v/>
      </c>
      <c r="D288" s="289" t="str">
        <f>Controle!D288</f>
        <v/>
      </c>
      <c r="E288" s="290"/>
      <c r="F288" s="291" t="str">
        <f>Controle!F288</f>
        <v/>
      </c>
      <c r="G288" s="289" t="str">
        <f>Controle!G288</f>
        <v/>
      </c>
      <c r="H288" s="290"/>
      <c r="I288" s="291" t="str">
        <f>Controle!I288</f>
        <v/>
      </c>
      <c r="J288" s="233" t="str">
        <f>Controle!J288</f>
        <v/>
      </c>
      <c r="K288" s="292"/>
      <c r="L288" s="233" t="str">
        <f>Controle!L288</f>
        <v/>
      </c>
      <c r="M288" s="233" t="str">
        <f>Controle!M288</f>
        <v/>
      </c>
      <c r="N288" s="235" t="str">
        <f>Controle!N288</f>
        <v/>
      </c>
      <c r="O288" s="235" t="str">
        <f>Controle!O288</f>
        <v/>
      </c>
      <c r="P288" s="235" t="str">
        <f>Controle!P288</f>
        <v/>
      </c>
      <c r="Q288" s="235" t="str">
        <f>Controle!Q288</f>
        <v/>
      </c>
      <c r="R288" s="303" t="str">
        <f>Controle!R288</f>
        <v/>
      </c>
      <c r="S288" s="287"/>
      <c r="T288" s="301"/>
      <c r="U288" s="301"/>
      <c r="V288" s="301"/>
      <c r="W288" s="294"/>
      <c r="X288" s="294"/>
      <c r="Y288" s="294"/>
      <c r="Z288" s="294"/>
      <c r="AA288" s="294"/>
      <c r="AB288" s="253"/>
      <c r="AC288" s="2"/>
      <c r="AD288" s="253"/>
      <c r="AE288" s="253"/>
      <c r="AF288" s="253"/>
      <c r="AG288" s="253"/>
      <c r="AH288" s="253"/>
      <c r="AI288" s="2"/>
      <c r="AJ288" s="253"/>
      <c r="AK288" s="253"/>
      <c r="AL288" s="253"/>
      <c r="AM288" s="253"/>
      <c r="AN288" s="253"/>
      <c r="AO288" s="2"/>
      <c r="AP288" s="253"/>
      <c r="AQ288" s="253"/>
      <c r="AR288" s="253"/>
      <c r="AS288" s="253"/>
      <c r="AT288" s="253"/>
      <c r="AU288" s="2"/>
      <c r="AV288" s="253"/>
      <c r="AW288" s="253"/>
      <c r="AX288" s="253"/>
      <c r="AY288" s="253"/>
    </row>
    <row r="289" ht="15.75" customHeight="1">
      <c r="A289" s="2"/>
      <c r="B289" s="288" t="str">
        <f>Controle!B289</f>
        <v/>
      </c>
      <c r="C289" s="233" t="str">
        <f>Controle!C289</f>
        <v/>
      </c>
      <c r="D289" s="289" t="str">
        <f>Controle!D289</f>
        <v/>
      </c>
      <c r="E289" s="290"/>
      <c r="F289" s="291" t="str">
        <f>Controle!F289</f>
        <v/>
      </c>
      <c r="G289" s="289" t="str">
        <f>Controle!G289</f>
        <v/>
      </c>
      <c r="H289" s="290"/>
      <c r="I289" s="291" t="str">
        <f>Controle!I289</f>
        <v/>
      </c>
      <c r="J289" s="233" t="str">
        <f>Controle!J289</f>
        <v/>
      </c>
      <c r="K289" s="292"/>
      <c r="L289" s="233" t="str">
        <f>Controle!L289</f>
        <v/>
      </c>
      <c r="M289" s="233" t="str">
        <f>Controle!M289</f>
        <v/>
      </c>
      <c r="N289" s="235" t="str">
        <f>Controle!N289</f>
        <v/>
      </c>
      <c r="O289" s="235" t="str">
        <f>Controle!O289</f>
        <v/>
      </c>
      <c r="P289" s="235" t="str">
        <f>Controle!P289</f>
        <v/>
      </c>
      <c r="Q289" s="235" t="str">
        <f>Controle!Q289</f>
        <v/>
      </c>
      <c r="R289" s="303" t="str">
        <f>Controle!R289</f>
        <v/>
      </c>
      <c r="S289" s="287"/>
      <c r="T289" s="301"/>
      <c r="U289" s="301"/>
      <c r="V289" s="301"/>
      <c r="W289" s="294"/>
      <c r="X289" s="294"/>
      <c r="Y289" s="294"/>
      <c r="Z289" s="294"/>
      <c r="AA289" s="294"/>
      <c r="AB289" s="253"/>
      <c r="AC289" s="2"/>
      <c r="AD289" s="253"/>
      <c r="AE289" s="253"/>
      <c r="AF289" s="253"/>
      <c r="AG289" s="253"/>
      <c r="AH289" s="253"/>
      <c r="AI289" s="2"/>
      <c r="AJ289" s="253"/>
      <c r="AK289" s="253"/>
      <c r="AL289" s="253"/>
      <c r="AM289" s="253"/>
      <c r="AN289" s="253"/>
      <c r="AO289" s="2"/>
      <c r="AP289" s="253"/>
      <c r="AQ289" s="253"/>
      <c r="AR289" s="253"/>
      <c r="AS289" s="253"/>
      <c r="AT289" s="253"/>
      <c r="AU289" s="2"/>
      <c r="AV289" s="253"/>
      <c r="AW289" s="253"/>
      <c r="AX289" s="253"/>
      <c r="AY289" s="253"/>
    </row>
    <row r="290" ht="15.75" customHeight="1">
      <c r="A290" s="2"/>
      <c r="B290" s="288" t="str">
        <f>Controle!B290</f>
        <v/>
      </c>
      <c r="C290" s="233" t="str">
        <f>Controle!C290</f>
        <v/>
      </c>
      <c r="D290" s="289" t="str">
        <f>Controle!D290</f>
        <v/>
      </c>
      <c r="E290" s="290"/>
      <c r="F290" s="291" t="str">
        <f>Controle!F290</f>
        <v/>
      </c>
      <c r="G290" s="289" t="str">
        <f>Controle!G290</f>
        <v/>
      </c>
      <c r="H290" s="290"/>
      <c r="I290" s="291" t="str">
        <f>Controle!I290</f>
        <v/>
      </c>
      <c r="J290" s="233" t="str">
        <f>Controle!J290</f>
        <v/>
      </c>
      <c r="K290" s="292"/>
      <c r="L290" s="233" t="str">
        <f>Controle!L290</f>
        <v/>
      </c>
      <c r="M290" s="233" t="str">
        <f>Controle!M290</f>
        <v/>
      </c>
      <c r="N290" s="235" t="str">
        <f>Controle!N290</f>
        <v/>
      </c>
      <c r="O290" s="235" t="str">
        <f>Controle!O290</f>
        <v/>
      </c>
      <c r="P290" s="235" t="str">
        <f>Controle!P290</f>
        <v/>
      </c>
      <c r="Q290" s="235" t="str">
        <f>Controle!Q290</f>
        <v/>
      </c>
      <c r="R290" s="303" t="str">
        <f>Controle!R290</f>
        <v/>
      </c>
      <c r="S290" s="287"/>
      <c r="T290" s="301"/>
      <c r="U290" s="301"/>
      <c r="V290" s="301"/>
      <c r="W290" s="294"/>
      <c r="X290" s="294"/>
      <c r="Y290" s="294"/>
      <c r="Z290" s="294"/>
      <c r="AA290" s="294"/>
      <c r="AB290" s="253"/>
      <c r="AC290" s="2"/>
      <c r="AD290" s="253"/>
      <c r="AE290" s="253"/>
      <c r="AF290" s="253"/>
      <c r="AG290" s="253"/>
      <c r="AH290" s="253"/>
      <c r="AI290" s="2"/>
      <c r="AJ290" s="253"/>
      <c r="AK290" s="253"/>
      <c r="AL290" s="253"/>
      <c r="AM290" s="253"/>
      <c r="AN290" s="253"/>
      <c r="AO290" s="2"/>
      <c r="AP290" s="253"/>
      <c r="AQ290" s="253"/>
      <c r="AR290" s="253"/>
      <c r="AS290" s="253"/>
      <c r="AT290" s="253"/>
      <c r="AU290" s="2"/>
      <c r="AV290" s="253"/>
      <c r="AW290" s="253"/>
      <c r="AX290" s="253"/>
      <c r="AY290" s="253"/>
    </row>
    <row r="291" ht="15.75" customHeight="1">
      <c r="A291" s="2"/>
      <c r="B291" s="288" t="str">
        <f>Controle!B291</f>
        <v/>
      </c>
      <c r="C291" s="233" t="str">
        <f>Controle!C291</f>
        <v/>
      </c>
      <c r="D291" s="289" t="str">
        <f>Controle!D291</f>
        <v/>
      </c>
      <c r="E291" s="290"/>
      <c r="F291" s="291" t="str">
        <f>Controle!F291</f>
        <v/>
      </c>
      <c r="G291" s="289" t="str">
        <f>Controle!G291</f>
        <v/>
      </c>
      <c r="H291" s="290"/>
      <c r="I291" s="291" t="str">
        <f>Controle!I291</f>
        <v/>
      </c>
      <c r="J291" s="233" t="str">
        <f>Controle!J291</f>
        <v/>
      </c>
      <c r="K291" s="292"/>
      <c r="L291" s="233" t="str">
        <f>Controle!L291</f>
        <v/>
      </c>
      <c r="M291" s="233" t="str">
        <f>Controle!M291</f>
        <v/>
      </c>
      <c r="N291" s="235" t="str">
        <f>Controle!N291</f>
        <v/>
      </c>
      <c r="O291" s="235" t="str">
        <f>Controle!O291</f>
        <v/>
      </c>
      <c r="P291" s="235" t="str">
        <f>Controle!P291</f>
        <v/>
      </c>
      <c r="Q291" s="235" t="str">
        <f>Controle!Q291</f>
        <v/>
      </c>
      <c r="R291" s="303" t="str">
        <f>Controle!R291</f>
        <v/>
      </c>
      <c r="S291" s="287"/>
      <c r="T291" s="301"/>
      <c r="U291" s="301"/>
      <c r="V291" s="301"/>
      <c r="W291" s="294"/>
      <c r="X291" s="294"/>
      <c r="Y291" s="294"/>
      <c r="Z291" s="294"/>
      <c r="AA291" s="294"/>
      <c r="AB291" s="253"/>
      <c r="AC291" s="2"/>
      <c r="AD291" s="253"/>
      <c r="AE291" s="253"/>
      <c r="AF291" s="253"/>
      <c r="AG291" s="253"/>
      <c r="AH291" s="253"/>
      <c r="AI291" s="2"/>
      <c r="AJ291" s="253"/>
      <c r="AK291" s="253"/>
      <c r="AL291" s="253"/>
      <c r="AM291" s="253"/>
      <c r="AN291" s="253"/>
      <c r="AO291" s="2"/>
      <c r="AP291" s="253"/>
      <c r="AQ291" s="253"/>
      <c r="AR291" s="253"/>
      <c r="AS291" s="253"/>
      <c r="AT291" s="253"/>
      <c r="AU291" s="2"/>
      <c r="AV291" s="253"/>
      <c r="AW291" s="253"/>
      <c r="AX291" s="253"/>
      <c r="AY291" s="253"/>
    </row>
    <row r="292" ht="15.75" customHeight="1">
      <c r="A292" s="2"/>
      <c r="B292" s="288" t="str">
        <f>Controle!B292</f>
        <v/>
      </c>
      <c r="C292" s="233" t="str">
        <f>Controle!C292</f>
        <v/>
      </c>
      <c r="D292" s="289" t="str">
        <f>Controle!D292</f>
        <v/>
      </c>
      <c r="E292" s="290"/>
      <c r="F292" s="291" t="str">
        <f>Controle!F292</f>
        <v/>
      </c>
      <c r="G292" s="289" t="str">
        <f>Controle!G292</f>
        <v/>
      </c>
      <c r="H292" s="290"/>
      <c r="I292" s="291" t="str">
        <f>Controle!I292</f>
        <v/>
      </c>
      <c r="J292" s="233" t="str">
        <f>Controle!J292</f>
        <v/>
      </c>
      <c r="K292" s="292"/>
      <c r="L292" s="233" t="str">
        <f>Controle!L292</f>
        <v/>
      </c>
      <c r="M292" s="233" t="str">
        <f>Controle!M292</f>
        <v/>
      </c>
      <c r="N292" s="235" t="str">
        <f>Controle!N292</f>
        <v/>
      </c>
      <c r="O292" s="235" t="str">
        <f>Controle!O292</f>
        <v/>
      </c>
      <c r="P292" s="235" t="str">
        <f>Controle!P292</f>
        <v/>
      </c>
      <c r="Q292" s="235" t="str">
        <f>Controle!Q292</f>
        <v/>
      </c>
      <c r="R292" s="303" t="str">
        <f>Controle!R292</f>
        <v/>
      </c>
      <c r="S292" s="287"/>
      <c r="T292" s="301"/>
      <c r="U292" s="301"/>
      <c r="V292" s="301"/>
      <c r="W292" s="294"/>
      <c r="X292" s="294"/>
      <c r="Y292" s="294"/>
      <c r="Z292" s="294"/>
      <c r="AA292" s="294"/>
      <c r="AB292" s="253"/>
      <c r="AC292" s="2"/>
      <c r="AD292" s="253"/>
      <c r="AE292" s="253"/>
      <c r="AF292" s="253"/>
      <c r="AG292" s="253"/>
      <c r="AH292" s="253"/>
      <c r="AI292" s="2"/>
      <c r="AJ292" s="253"/>
      <c r="AK292" s="253"/>
      <c r="AL292" s="253"/>
      <c r="AM292" s="253"/>
      <c r="AN292" s="253"/>
      <c r="AO292" s="2"/>
      <c r="AP292" s="253"/>
      <c r="AQ292" s="253"/>
      <c r="AR292" s="253"/>
      <c r="AS292" s="253"/>
      <c r="AT292" s="253"/>
      <c r="AU292" s="2"/>
      <c r="AV292" s="253"/>
      <c r="AW292" s="253"/>
      <c r="AX292" s="253"/>
      <c r="AY292" s="253"/>
    </row>
    <row r="293" ht="15.75" customHeight="1">
      <c r="A293" s="2"/>
      <c r="B293" s="288" t="str">
        <f>Controle!B293</f>
        <v/>
      </c>
      <c r="C293" s="233" t="str">
        <f>Controle!C293</f>
        <v/>
      </c>
      <c r="D293" s="289" t="str">
        <f>Controle!D293</f>
        <v/>
      </c>
      <c r="E293" s="290"/>
      <c r="F293" s="291" t="str">
        <f>Controle!F293</f>
        <v/>
      </c>
      <c r="G293" s="289" t="str">
        <f>Controle!G293</f>
        <v/>
      </c>
      <c r="H293" s="290"/>
      <c r="I293" s="291" t="str">
        <f>Controle!I293</f>
        <v/>
      </c>
      <c r="J293" s="233" t="str">
        <f>Controle!J293</f>
        <v/>
      </c>
      <c r="K293" s="292"/>
      <c r="L293" s="233" t="str">
        <f>Controle!L293</f>
        <v/>
      </c>
      <c r="M293" s="233" t="str">
        <f>Controle!M293</f>
        <v/>
      </c>
      <c r="N293" s="235" t="str">
        <f>Controle!N293</f>
        <v/>
      </c>
      <c r="O293" s="235" t="str">
        <f>Controle!O293</f>
        <v/>
      </c>
      <c r="P293" s="235" t="str">
        <f>Controle!P293</f>
        <v/>
      </c>
      <c r="Q293" s="235" t="str">
        <f>Controle!Q293</f>
        <v/>
      </c>
      <c r="R293" s="303" t="str">
        <f>Controle!R293</f>
        <v/>
      </c>
      <c r="S293" s="287"/>
      <c r="T293" s="301"/>
      <c r="U293" s="301"/>
      <c r="V293" s="301"/>
      <c r="W293" s="294"/>
      <c r="X293" s="294"/>
      <c r="Y293" s="294"/>
      <c r="Z293" s="294"/>
      <c r="AA293" s="294"/>
      <c r="AB293" s="253"/>
      <c r="AC293" s="2"/>
      <c r="AD293" s="253"/>
      <c r="AE293" s="253"/>
      <c r="AF293" s="253"/>
      <c r="AG293" s="253"/>
      <c r="AH293" s="253"/>
      <c r="AI293" s="2"/>
      <c r="AJ293" s="253"/>
      <c r="AK293" s="253"/>
      <c r="AL293" s="253"/>
      <c r="AM293" s="253"/>
      <c r="AN293" s="253"/>
      <c r="AO293" s="2"/>
      <c r="AP293" s="253"/>
      <c r="AQ293" s="253"/>
      <c r="AR293" s="253"/>
      <c r="AS293" s="253"/>
      <c r="AT293" s="253"/>
      <c r="AU293" s="2"/>
      <c r="AV293" s="253"/>
      <c r="AW293" s="253"/>
      <c r="AX293" s="253"/>
      <c r="AY293" s="253"/>
    </row>
    <row r="294" ht="15.75" customHeight="1">
      <c r="A294" s="2"/>
      <c r="B294" s="288" t="str">
        <f>Controle!B294</f>
        <v/>
      </c>
      <c r="C294" s="233" t="str">
        <f>Controle!C294</f>
        <v/>
      </c>
      <c r="D294" s="289" t="str">
        <f>Controle!D294</f>
        <v/>
      </c>
      <c r="E294" s="290"/>
      <c r="F294" s="291" t="str">
        <f>Controle!F294</f>
        <v/>
      </c>
      <c r="G294" s="289" t="str">
        <f>Controle!G294</f>
        <v/>
      </c>
      <c r="H294" s="290"/>
      <c r="I294" s="291" t="str">
        <f>Controle!I294</f>
        <v/>
      </c>
      <c r="J294" s="233" t="str">
        <f>Controle!J294</f>
        <v/>
      </c>
      <c r="K294" s="292"/>
      <c r="L294" s="233" t="str">
        <f>Controle!L294</f>
        <v/>
      </c>
      <c r="M294" s="233" t="str">
        <f>Controle!M294</f>
        <v/>
      </c>
      <c r="N294" s="235" t="str">
        <f>Controle!N294</f>
        <v/>
      </c>
      <c r="O294" s="235" t="str">
        <f>Controle!O294</f>
        <v/>
      </c>
      <c r="P294" s="235" t="str">
        <f>Controle!P294</f>
        <v/>
      </c>
      <c r="Q294" s="235" t="str">
        <f>Controle!Q294</f>
        <v/>
      </c>
      <c r="R294" s="303" t="str">
        <f>Controle!R294</f>
        <v/>
      </c>
      <c r="S294" s="287"/>
      <c r="T294" s="301"/>
      <c r="U294" s="301"/>
      <c r="V294" s="301"/>
      <c r="W294" s="294"/>
      <c r="X294" s="294"/>
      <c r="Y294" s="294"/>
      <c r="Z294" s="294"/>
      <c r="AA294" s="294"/>
      <c r="AB294" s="253"/>
      <c r="AC294" s="2"/>
      <c r="AD294" s="253"/>
      <c r="AE294" s="253"/>
      <c r="AF294" s="253"/>
      <c r="AG294" s="253"/>
      <c r="AH294" s="253"/>
      <c r="AI294" s="2"/>
      <c r="AJ294" s="253"/>
      <c r="AK294" s="253"/>
      <c r="AL294" s="253"/>
      <c r="AM294" s="253"/>
      <c r="AN294" s="253"/>
      <c r="AO294" s="2"/>
      <c r="AP294" s="253"/>
      <c r="AQ294" s="253"/>
      <c r="AR294" s="253"/>
      <c r="AS294" s="253"/>
      <c r="AT294" s="253"/>
      <c r="AU294" s="2"/>
      <c r="AV294" s="253"/>
      <c r="AW294" s="253"/>
      <c r="AX294" s="253"/>
      <c r="AY294" s="253"/>
    </row>
    <row r="295" ht="15.75" customHeight="1">
      <c r="A295" s="2"/>
      <c r="B295" s="288" t="str">
        <f>Controle!B295</f>
        <v/>
      </c>
      <c r="C295" s="233" t="str">
        <f>Controle!C295</f>
        <v/>
      </c>
      <c r="D295" s="289" t="str">
        <f>Controle!D295</f>
        <v/>
      </c>
      <c r="E295" s="290"/>
      <c r="F295" s="291" t="str">
        <f>Controle!F295</f>
        <v/>
      </c>
      <c r="G295" s="289" t="str">
        <f>Controle!G295</f>
        <v/>
      </c>
      <c r="H295" s="290"/>
      <c r="I295" s="291" t="str">
        <f>Controle!I295</f>
        <v/>
      </c>
      <c r="J295" s="233" t="str">
        <f>Controle!J295</f>
        <v/>
      </c>
      <c r="K295" s="292"/>
      <c r="L295" s="233" t="str">
        <f>Controle!L295</f>
        <v/>
      </c>
      <c r="M295" s="233" t="str">
        <f>Controle!M295</f>
        <v/>
      </c>
      <c r="N295" s="235" t="str">
        <f>Controle!N295</f>
        <v/>
      </c>
      <c r="O295" s="235" t="str">
        <f>Controle!O295</f>
        <v/>
      </c>
      <c r="P295" s="235" t="str">
        <f>Controle!P295</f>
        <v/>
      </c>
      <c r="Q295" s="235" t="str">
        <f>Controle!Q295</f>
        <v/>
      </c>
      <c r="R295" s="303" t="str">
        <f>Controle!R295</f>
        <v/>
      </c>
      <c r="S295" s="287"/>
      <c r="T295" s="301"/>
      <c r="U295" s="301"/>
      <c r="V295" s="301"/>
      <c r="W295" s="294"/>
      <c r="X295" s="294"/>
      <c r="Y295" s="294"/>
      <c r="Z295" s="294"/>
      <c r="AA295" s="294"/>
      <c r="AB295" s="253"/>
      <c r="AC295" s="2"/>
      <c r="AD295" s="253"/>
      <c r="AE295" s="253"/>
      <c r="AF295" s="253"/>
      <c r="AG295" s="253"/>
      <c r="AH295" s="253"/>
      <c r="AI295" s="2"/>
      <c r="AJ295" s="253"/>
      <c r="AK295" s="253"/>
      <c r="AL295" s="253"/>
      <c r="AM295" s="253"/>
      <c r="AN295" s="253"/>
      <c r="AO295" s="2"/>
      <c r="AP295" s="253"/>
      <c r="AQ295" s="253"/>
      <c r="AR295" s="253"/>
      <c r="AS295" s="253"/>
      <c r="AT295" s="253"/>
      <c r="AU295" s="2"/>
      <c r="AV295" s="253"/>
      <c r="AW295" s="253"/>
      <c r="AX295" s="253"/>
      <c r="AY295" s="253"/>
    </row>
    <row r="296" ht="15.75" customHeight="1">
      <c r="A296" s="2"/>
      <c r="B296" s="288" t="str">
        <f>Controle!B296</f>
        <v/>
      </c>
      <c r="C296" s="233" t="str">
        <f>Controle!C296</f>
        <v/>
      </c>
      <c r="D296" s="289" t="str">
        <f>Controle!D296</f>
        <v/>
      </c>
      <c r="E296" s="290"/>
      <c r="F296" s="291" t="str">
        <f>Controle!F296</f>
        <v/>
      </c>
      <c r="G296" s="289" t="str">
        <f>Controle!G296</f>
        <v/>
      </c>
      <c r="H296" s="290"/>
      <c r="I296" s="291" t="str">
        <f>Controle!I296</f>
        <v/>
      </c>
      <c r="J296" s="233" t="str">
        <f>Controle!J296</f>
        <v/>
      </c>
      <c r="K296" s="292"/>
      <c r="L296" s="233" t="str">
        <f>Controle!L296</f>
        <v/>
      </c>
      <c r="M296" s="233" t="str">
        <f>Controle!M296</f>
        <v/>
      </c>
      <c r="N296" s="235" t="str">
        <f>Controle!N296</f>
        <v/>
      </c>
      <c r="O296" s="235" t="str">
        <f>Controle!O296</f>
        <v/>
      </c>
      <c r="P296" s="235" t="str">
        <f>Controle!P296</f>
        <v/>
      </c>
      <c r="Q296" s="235" t="str">
        <f>Controle!Q296</f>
        <v/>
      </c>
      <c r="R296" s="303" t="str">
        <f>Controle!R296</f>
        <v/>
      </c>
      <c r="S296" s="287"/>
      <c r="T296" s="301"/>
      <c r="U296" s="301"/>
      <c r="V296" s="301"/>
      <c r="W296" s="294"/>
      <c r="X296" s="294"/>
      <c r="Y296" s="294"/>
      <c r="Z296" s="294"/>
      <c r="AA296" s="294"/>
      <c r="AB296" s="253"/>
      <c r="AC296" s="2"/>
      <c r="AD296" s="253"/>
      <c r="AE296" s="253"/>
      <c r="AF296" s="253"/>
      <c r="AG296" s="253"/>
      <c r="AH296" s="253"/>
      <c r="AI296" s="2"/>
      <c r="AJ296" s="253"/>
      <c r="AK296" s="253"/>
      <c r="AL296" s="253"/>
      <c r="AM296" s="253"/>
      <c r="AN296" s="253"/>
      <c r="AO296" s="2"/>
      <c r="AP296" s="253"/>
      <c r="AQ296" s="253"/>
      <c r="AR296" s="253"/>
      <c r="AS296" s="253"/>
      <c r="AT296" s="253"/>
      <c r="AU296" s="2"/>
      <c r="AV296" s="253"/>
      <c r="AW296" s="253"/>
      <c r="AX296" s="253"/>
      <c r="AY296" s="253"/>
    </row>
    <row r="297" ht="15.75" customHeight="1">
      <c r="A297" s="2"/>
      <c r="B297" s="288" t="str">
        <f>Controle!B297</f>
        <v/>
      </c>
      <c r="C297" s="233" t="str">
        <f>Controle!C297</f>
        <v/>
      </c>
      <c r="D297" s="289" t="str">
        <f>Controle!D297</f>
        <v/>
      </c>
      <c r="E297" s="290"/>
      <c r="F297" s="291" t="str">
        <f>Controle!F297</f>
        <v/>
      </c>
      <c r="G297" s="289" t="str">
        <f>Controle!G297</f>
        <v/>
      </c>
      <c r="H297" s="290"/>
      <c r="I297" s="291" t="str">
        <f>Controle!I297</f>
        <v/>
      </c>
      <c r="J297" s="233" t="str">
        <f>Controle!J297</f>
        <v/>
      </c>
      <c r="K297" s="292"/>
      <c r="L297" s="233" t="str">
        <f>Controle!L297</f>
        <v/>
      </c>
      <c r="M297" s="233" t="str">
        <f>Controle!M297</f>
        <v/>
      </c>
      <c r="N297" s="235" t="str">
        <f>Controle!N297</f>
        <v/>
      </c>
      <c r="O297" s="235" t="str">
        <f>Controle!O297</f>
        <v/>
      </c>
      <c r="P297" s="235" t="str">
        <f>Controle!P297</f>
        <v/>
      </c>
      <c r="Q297" s="235" t="str">
        <f>Controle!Q297</f>
        <v/>
      </c>
      <c r="R297" s="303" t="str">
        <f>Controle!R297</f>
        <v/>
      </c>
      <c r="S297" s="287"/>
      <c r="T297" s="301"/>
      <c r="U297" s="301"/>
      <c r="V297" s="301"/>
      <c r="W297" s="294"/>
      <c r="X297" s="294"/>
      <c r="Y297" s="294"/>
      <c r="Z297" s="294"/>
      <c r="AA297" s="294"/>
      <c r="AB297" s="253"/>
      <c r="AC297" s="2"/>
      <c r="AD297" s="253"/>
      <c r="AE297" s="253"/>
      <c r="AF297" s="253"/>
      <c r="AG297" s="253"/>
      <c r="AH297" s="253"/>
      <c r="AI297" s="2"/>
      <c r="AJ297" s="253"/>
      <c r="AK297" s="253"/>
      <c r="AL297" s="253"/>
      <c r="AM297" s="253"/>
      <c r="AN297" s="253"/>
      <c r="AO297" s="2"/>
      <c r="AP297" s="253"/>
      <c r="AQ297" s="253"/>
      <c r="AR297" s="253"/>
      <c r="AS297" s="253"/>
      <c r="AT297" s="253"/>
      <c r="AU297" s="2"/>
      <c r="AV297" s="253"/>
      <c r="AW297" s="253"/>
      <c r="AX297" s="253"/>
      <c r="AY297" s="253"/>
    </row>
    <row r="298" ht="15.75" customHeight="1">
      <c r="A298" s="2"/>
      <c r="B298" s="288" t="str">
        <f>Controle!B298</f>
        <v/>
      </c>
      <c r="C298" s="233" t="str">
        <f>Controle!C298</f>
        <v/>
      </c>
      <c r="D298" s="289" t="str">
        <f>Controle!D298</f>
        <v/>
      </c>
      <c r="E298" s="290"/>
      <c r="F298" s="291" t="str">
        <f>Controle!F298</f>
        <v/>
      </c>
      <c r="G298" s="289" t="str">
        <f>Controle!G298</f>
        <v/>
      </c>
      <c r="H298" s="290"/>
      <c r="I298" s="291" t="str">
        <f>Controle!I298</f>
        <v/>
      </c>
      <c r="J298" s="233" t="str">
        <f>Controle!J298</f>
        <v/>
      </c>
      <c r="K298" s="292"/>
      <c r="L298" s="233" t="str">
        <f>Controle!L298</f>
        <v/>
      </c>
      <c r="M298" s="233" t="str">
        <f>Controle!M298</f>
        <v/>
      </c>
      <c r="N298" s="235" t="str">
        <f>Controle!N298</f>
        <v/>
      </c>
      <c r="O298" s="235" t="str">
        <f>Controle!O298</f>
        <v/>
      </c>
      <c r="P298" s="235" t="str">
        <f>Controle!P298</f>
        <v/>
      </c>
      <c r="Q298" s="235" t="str">
        <f>Controle!Q298</f>
        <v/>
      </c>
      <c r="R298" s="303" t="str">
        <f>Controle!R298</f>
        <v/>
      </c>
      <c r="S298" s="287"/>
      <c r="T298" s="301"/>
      <c r="U298" s="301"/>
      <c r="V298" s="301"/>
      <c r="W298" s="294"/>
      <c r="X298" s="294"/>
      <c r="Y298" s="294"/>
      <c r="Z298" s="294"/>
      <c r="AA298" s="294"/>
      <c r="AB298" s="253"/>
      <c r="AC298" s="2"/>
      <c r="AD298" s="253"/>
      <c r="AE298" s="253"/>
      <c r="AF298" s="253"/>
      <c r="AG298" s="253"/>
      <c r="AH298" s="253"/>
      <c r="AI298" s="2"/>
      <c r="AJ298" s="253"/>
      <c r="AK298" s="253"/>
      <c r="AL298" s="253"/>
      <c r="AM298" s="253"/>
      <c r="AN298" s="253"/>
      <c r="AO298" s="2"/>
      <c r="AP298" s="253"/>
      <c r="AQ298" s="253"/>
      <c r="AR298" s="253"/>
      <c r="AS298" s="253"/>
      <c r="AT298" s="253"/>
      <c r="AU298" s="2"/>
      <c r="AV298" s="253"/>
      <c r="AW298" s="253"/>
      <c r="AX298" s="253"/>
      <c r="AY298" s="253"/>
    </row>
    <row r="299" ht="15.75" customHeight="1">
      <c r="A299" s="2"/>
      <c r="B299" s="288" t="str">
        <f>Controle!B299</f>
        <v/>
      </c>
      <c r="C299" s="233" t="str">
        <f>Controle!C299</f>
        <v/>
      </c>
      <c r="D299" s="289" t="str">
        <f>Controle!D299</f>
        <v/>
      </c>
      <c r="E299" s="290"/>
      <c r="F299" s="291" t="str">
        <f>Controle!F299</f>
        <v/>
      </c>
      <c r="G299" s="289" t="str">
        <f>Controle!G299</f>
        <v/>
      </c>
      <c r="H299" s="290"/>
      <c r="I299" s="291" t="str">
        <f>Controle!I299</f>
        <v/>
      </c>
      <c r="J299" s="233" t="str">
        <f>Controle!J299</f>
        <v/>
      </c>
      <c r="K299" s="292"/>
      <c r="L299" s="233" t="str">
        <f>Controle!L299</f>
        <v/>
      </c>
      <c r="M299" s="233" t="str">
        <f>Controle!M299</f>
        <v/>
      </c>
      <c r="N299" s="235" t="str">
        <f>Controle!N299</f>
        <v/>
      </c>
      <c r="O299" s="235" t="str">
        <f>Controle!O299</f>
        <v/>
      </c>
      <c r="P299" s="235" t="str">
        <f>Controle!P299</f>
        <v/>
      </c>
      <c r="Q299" s="235" t="str">
        <f>Controle!Q299</f>
        <v/>
      </c>
      <c r="R299" s="303" t="str">
        <f>Controle!R299</f>
        <v/>
      </c>
      <c r="S299" s="287"/>
      <c r="T299" s="301"/>
      <c r="U299" s="301"/>
      <c r="V299" s="301"/>
      <c r="W299" s="294"/>
      <c r="X299" s="294"/>
      <c r="Y299" s="294"/>
      <c r="Z299" s="294"/>
      <c r="AA299" s="294"/>
      <c r="AB299" s="253"/>
      <c r="AC299" s="2"/>
      <c r="AD299" s="253"/>
      <c r="AE299" s="253"/>
      <c r="AF299" s="253"/>
      <c r="AG299" s="253"/>
      <c r="AH299" s="253"/>
      <c r="AI299" s="2"/>
      <c r="AJ299" s="253"/>
      <c r="AK299" s="253"/>
      <c r="AL299" s="253"/>
      <c r="AM299" s="253"/>
      <c r="AN299" s="253"/>
      <c r="AO299" s="2"/>
      <c r="AP299" s="253"/>
      <c r="AQ299" s="253"/>
      <c r="AR299" s="253"/>
      <c r="AS299" s="253"/>
      <c r="AT299" s="253"/>
      <c r="AU299" s="2"/>
      <c r="AV299" s="253"/>
      <c r="AW299" s="253"/>
      <c r="AX299" s="253"/>
      <c r="AY299" s="253"/>
    </row>
    <row r="300" ht="15.75" customHeight="1">
      <c r="A300" s="2"/>
      <c r="B300" s="288" t="str">
        <f>Controle!B300</f>
        <v/>
      </c>
      <c r="C300" s="233" t="str">
        <f>Controle!C300</f>
        <v/>
      </c>
      <c r="D300" s="289" t="str">
        <f>Controle!D300</f>
        <v/>
      </c>
      <c r="E300" s="290"/>
      <c r="F300" s="291" t="str">
        <f>Controle!F300</f>
        <v/>
      </c>
      <c r="G300" s="289" t="str">
        <f>Controle!G300</f>
        <v/>
      </c>
      <c r="H300" s="290"/>
      <c r="I300" s="291" t="str">
        <f>Controle!I300</f>
        <v/>
      </c>
      <c r="J300" s="233" t="str">
        <f>Controle!J300</f>
        <v/>
      </c>
      <c r="K300" s="292"/>
      <c r="L300" s="233" t="str">
        <f>Controle!L300</f>
        <v/>
      </c>
      <c r="M300" s="233" t="str">
        <f>Controle!M300</f>
        <v/>
      </c>
      <c r="N300" s="235" t="str">
        <f>Controle!N300</f>
        <v/>
      </c>
      <c r="O300" s="235" t="str">
        <f>Controle!O300</f>
        <v/>
      </c>
      <c r="P300" s="235" t="str">
        <f>Controle!P300</f>
        <v/>
      </c>
      <c r="Q300" s="235" t="str">
        <f>Controle!Q300</f>
        <v/>
      </c>
      <c r="R300" s="303" t="str">
        <f>Controle!R300</f>
        <v/>
      </c>
      <c r="S300" s="287"/>
      <c r="T300" s="301"/>
      <c r="U300" s="301"/>
      <c r="V300" s="301"/>
      <c r="W300" s="294"/>
      <c r="X300" s="294"/>
      <c r="Y300" s="294"/>
      <c r="Z300" s="294"/>
      <c r="AA300" s="294"/>
      <c r="AB300" s="253"/>
      <c r="AC300" s="2"/>
      <c r="AD300" s="253"/>
      <c r="AE300" s="253"/>
      <c r="AF300" s="253"/>
      <c r="AG300" s="253"/>
      <c r="AH300" s="253"/>
      <c r="AI300" s="2"/>
      <c r="AJ300" s="253"/>
      <c r="AK300" s="253"/>
      <c r="AL300" s="253"/>
      <c r="AM300" s="253"/>
      <c r="AN300" s="253"/>
      <c r="AO300" s="2"/>
      <c r="AP300" s="253"/>
      <c r="AQ300" s="253"/>
      <c r="AR300" s="253"/>
      <c r="AS300" s="253"/>
      <c r="AT300" s="253"/>
      <c r="AU300" s="2"/>
      <c r="AV300" s="253"/>
      <c r="AW300" s="253"/>
      <c r="AX300" s="253"/>
      <c r="AY300" s="253"/>
    </row>
    <row r="301" ht="15.75" customHeight="1">
      <c r="A301" s="2"/>
      <c r="B301" s="288" t="str">
        <f>Controle!B301</f>
        <v/>
      </c>
      <c r="C301" s="233" t="str">
        <f>Controle!C301</f>
        <v/>
      </c>
      <c r="D301" s="289" t="str">
        <f>Controle!D301</f>
        <v/>
      </c>
      <c r="E301" s="290"/>
      <c r="F301" s="291" t="str">
        <f>Controle!F301</f>
        <v/>
      </c>
      <c r="G301" s="289" t="str">
        <f>Controle!G301</f>
        <v/>
      </c>
      <c r="H301" s="290"/>
      <c r="I301" s="291" t="str">
        <f>Controle!I301</f>
        <v/>
      </c>
      <c r="J301" s="233" t="str">
        <f>Controle!J301</f>
        <v/>
      </c>
      <c r="K301" s="292"/>
      <c r="L301" s="233" t="str">
        <f>Controle!L301</f>
        <v/>
      </c>
      <c r="M301" s="233" t="str">
        <f>Controle!M301</f>
        <v/>
      </c>
      <c r="N301" s="235" t="str">
        <f>Controle!N301</f>
        <v/>
      </c>
      <c r="O301" s="235" t="str">
        <f>Controle!O301</f>
        <v/>
      </c>
      <c r="P301" s="235" t="str">
        <f>Controle!P301</f>
        <v/>
      </c>
      <c r="Q301" s="235" t="str">
        <f>Controle!Q301</f>
        <v/>
      </c>
      <c r="R301" s="303" t="str">
        <f>Controle!R301</f>
        <v/>
      </c>
      <c r="S301" s="287"/>
      <c r="T301" s="301"/>
      <c r="U301" s="301"/>
      <c r="V301" s="301"/>
      <c r="W301" s="294"/>
      <c r="X301" s="294"/>
      <c r="Y301" s="294"/>
      <c r="Z301" s="294"/>
      <c r="AA301" s="294"/>
      <c r="AB301" s="253"/>
      <c r="AC301" s="2"/>
      <c r="AD301" s="253"/>
      <c r="AE301" s="253"/>
      <c r="AF301" s="253"/>
      <c r="AG301" s="253"/>
      <c r="AH301" s="253"/>
      <c r="AI301" s="2"/>
      <c r="AJ301" s="253"/>
      <c r="AK301" s="253"/>
      <c r="AL301" s="253"/>
      <c r="AM301" s="253"/>
      <c r="AN301" s="253"/>
      <c r="AO301" s="2"/>
      <c r="AP301" s="253"/>
      <c r="AQ301" s="253"/>
      <c r="AR301" s="253"/>
      <c r="AS301" s="253"/>
      <c r="AT301" s="253"/>
      <c r="AU301" s="2"/>
      <c r="AV301" s="253"/>
      <c r="AW301" s="253"/>
      <c r="AX301" s="253"/>
      <c r="AY301" s="253"/>
    </row>
    <row r="302" ht="15.75" customHeight="1">
      <c r="A302" s="2"/>
      <c r="B302" s="288" t="str">
        <f>Controle!B302</f>
        <v/>
      </c>
      <c r="C302" s="233" t="str">
        <f>Controle!C302</f>
        <v/>
      </c>
      <c r="D302" s="289" t="str">
        <f>Controle!D302</f>
        <v/>
      </c>
      <c r="E302" s="290"/>
      <c r="F302" s="291" t="str">
        <f>Controle!F302</f>
        <v/>
      </c>
      <c r="G302" s="289" t="str">
        <f>Controle!G302</f>
        <v/>
      </c>
      <c r="H302" s="290"/>
      <c r="I302" s="291" t="str">
        <f>Controle!I302</f>
        <v/>
      </c>
      <c r="J302" s="233" t="str">
        <f>Controle!J302</f>
        <v/>
      </c>
      <c r="K302" s="292"/>
      <c r="L302" s="233" t="str">
        <f>Controle!L302</f>
        <v/>
      </c>
      <c r="M302" s="233" t="str">
        <f>Controle!M302</f>
        <v/>
      </c>
      <c r="N302" s="235" t="str">
        <f>Controle!N302</f>
        <v/>
      </c>
      <c r="O302" s="235" t="str">
        <f>Controle!O302</f>
        <v/>
      </c>
      <c r="P302" s="235" t="str">
        <f>Controle!P302</f>
        <v/>
      </c>
      <c r="Q302" s="235" t="str">
        <f>Controle!Q302</f>
        <v/>
      </c>
      <c r="R302" s="303" t="str">
        <f>Controle!R302</f>
        <v/>
      </c>
      <c r="S302" s="287"/>
      <c r="T302" s="301"/>
      <c r="U302" s="301"/>
      <c r="V302" s="301"/>
      <c r="W302" s="294"/>
      <c r="X302" s="294"/>
      <c r="Y302" s="294"/>
      <c r="Z302" s="294"/>
      <c r="AA302" s="294"/>
      <c r="AB302" s="253"/>
      <c r="AC302" s="2"/>
      <c r="AD302" s="253"/>
      <c r="AE302" s="253"/>
      <c r="AF302" s="253"/>
      <c r="AG302" s="253"/>
      <c r="AH302" s="253"/>
      <c r="AI302" s="2"/>
      <c r="AJ302" s="253"/>
      <c r="AK302" s="253"/>
      <c r="AL302" s="253"/>
      <c r="AM302" s="253"/>
      <c r="AN302" s="253"/>
      <c r="AO302" s="2"/>
      <c r="AP302" s="253"/>
      <c r="AQ302" s="253"/>
      <c r="AR302" s="253"/>
      <c r="AS302" s="253"/>
      <c r="AT302" s="253"/>
      <c r="AU302" s="2"/>
      <c r="AV302" s="253"/>
      <c r="AW302" s="253"/>
      <c r="AX302" s="253"/>
      <c r="AY302" s="253"/>
    </row>
    <row r="303" ht="15.75" customHeight="1">
      <c r="A303" s="2"/>
      <c r="B303" s="288" t="str">
        <f>Controle!B303</f>
        <v/>
      </c>
      <c r="C303" s="233" t="str">
        <f>Controle!C303</f>
        <v/>
      </c>
      <c r="D303" s="289" t="str">
        <f>Controle!D303</f>
        <v/>
      </c>
      <c r="E303" s="290"/>
      <c r="F303" s="291" t="str">
        <f>Controle!F303</f>
        <v/>
      </c>
      <c r="G303" s="289" t="str">
        <f>Controle!G303</f>
        <v/>
      </c>
      <c r="H303" s="290"/>
      <c r="I303" s="291" t="str">
        <f>Controle!I303</f>
        <v/>
      </c>
      <c r="J303" s="233" t="str">
        <f>Controle!J303</f>
        <v/>
      </c>
      <c r="K303" s="292"/>
      <c r="L303" s="233" t="str">
        <f>Controle!L303</f>
        <v/>
      </c>
      <c r="M303" s="233" t="str">
        <f>Controle!M303</f>
        <v/>
      </c>
      <c r="N303" s="235" t="str">
        <f>Controle!N303</f>
        <v/>
      </c>
      <c r="O303" s="235" t="str">
        <f>Controle!O303</f>
        <v/>
      </c>
      <c r="P303" s="235" t="str">
        <f>Controle!P303</f>
        <v/>
      </c>
      <c r="Q303" s="235" t="str">
        <f>Controle!Q303</f>
        <v/>
      </c>
      <c r="R303" s="303" t="str">
        <f>Controle!R303</f>
        <v/>
      </c>
      <c r="S303" s="287"/>
      <c r="T303" s="301"/>
      <c r="U303" s="301"/>
      <c r="V303" s="301"/>
      <c r="W303" s="294"/>
      <c r="X303" s="294"/>
      <c r="Y303" s="294"/>
      <c r="Z303" s="294"/>
      <c r="AA303" s="294"/>
      <c r="AB303" s="253"/>
      <c r="AC303" s="2"/>
      <c r="AD303" s="253"/>
      <c r="AE303" s="253"/>
      <c r="AF303" s="253"/>
      <c r="AG303" s="253"/>
      <c r="AH303" s="253"/>
      <c r="AI303" s="2"/>
      <c r="AJ303" s="253"/>
      <c r="AK303" s="253"/>
      <c r="AL303" s="253"/>
      <c r="AM303" s="253"/>
      <c r="AN303" s="253"/>
      <c r="AO303" s="2"/>
      <c r="AP303" s="253"/>
      <c r="AQ303" s="253"/>
      <c r="AR303" s="253"/>
      <c r="AS303" s="253"/>
      <c r="AT303" s="253"/>
      <c r="AU303" s="2"/>
      <c r="AV303" s="253"/>
      <c r="AW303" s="253"/>
      <c r="AX303" s="253"/>
      <c r="AY303" s="253"/>
    </row>
    <row r="304" ht="15.75" customHeight="1">
      <c r="A304" s="2"/>
      <c r="B304" s="288" t="str">
        <f>Controle!B304</f>
        <v/>
      </c>
      <c r="C304" s="233" t="str">
        <f>Controle!C304</f>
        <v/>
      </c>
      <c r="D304" s="289" t="str">
        <f>Controle!D304</f>
        <v/>
      </c>
      <c r="E304" s="290"/>
      <c r="F304" s="291" t="str">
        <f>Controle!F304</f>
        <v/>
      </c>
      <c r="G304" s="289" t="str">
        <f>Controle!G304</f>
        <v/>
      </c>
      <c r="H304" s="290"/>
      <c r="I304" s="291" t="str">
        <f>Controle!I304</f>
        <v/>
      </c>
      <c r="J304" s="233" t="str">
        <f>Controle!J304</f>
        <v/>
      </c>
      <c r="K304" s="292"/>
      <c r="L304" s="233" t="str">
        <f>Controle!L304</f>
        <v/>
      </c>
      <c r="M304" s="233" t="str">
        <f>Controle!M304</f>
        <v/>
      </c>
      <c r="N304" s="235" t="str">
        <f>Controle!N304</f>
        <v/>
      </c>
      <c r="O304" s="235" t="str">
        <f>Controle!O304</f>
        <v/>
      </c>
      <c r="P304" s="235" t="str">
        <f>Controle!P304</f>
        <v/>
      </c>
      <c r="Q304" s="235" t="str">
        <f>Controle!Q304</f>
        <v/>
      </c>
      <c r="R304" s="303" t="str">
        <f>Controle!R304</f>
        <v/>
      </c>
      <c r="S304" s="287"/>
      <c r="T304" s="301"/>
      <c r="U304" s="301"/>
      <c r="V304" s="301"/>
      <c r="W304" s="294"/>
      <c r="X304" s="294"/>
      <c r="Y304" s="294"/>
      <c r="Z304" s="294"/>
      <c r="AA304" s="294"/>
      <c r="AB304" s="253"/>
      <c r="AC304" s="2"/>
      <c r="AD304" s="253"/>
      <c r="AE304" s="253"/>
      <c r="AF304" s="253"/>
      <c r="AG304" s="253"/>
      <c r="AH304" s="253"/>
      <c r="AI304" s="2"/>
      <c r="AJ304" s="253"/>
      <c r="AK304" s="253"/>
      <c r="AL304" s="253"/>
      <c r="AM304" s="253"/>
      <c r="AN304" s="253"/>
      <c r="AO304" s="2"/>
      <c r="AP304" s="253"/>
      <c r="AQ304" s="253"/>
      <c r="AR304" s="253"/>
      <c r="AS304" s="253"/>
      <c r="AT304" s="253"/>
      <c r="AU304" s="2"/>
      <c r="AV304" s="253"/>
      <c r="AW304" s="253"/>
      <c r="AX304" s="253"/>
      <c r="AY304" s="253"/>
    </row>
    <row r="305" ht="15.75" customHeight="1">
      <c r="A305" s="2"/>
      <c r="B305" s="288" t="str">
        <f>Controle!B305</f>
        <v/>
      </c>
      <c r="C305" s="233" t="str">
        <f>Controle!C305</f>
        <v/>
      </c>
      <c r="D305" s="289" t="str">
        <f>Controle!D305</f>
        <v/>
      </c>
      <c r="E305" s="290"/>
      <c r="F305" s="291" t="str">
        <f>Controle!F305</f>
        <v/>
      </c>
      <c r="G305" s="289" t="str">
        <f>Controle!G305</f>
        <v/>
      </c>
      <c r="H305" s="290"/>
      <c r="I305" s="291" t="str">
        <f>Controle!I305</f>
        <v/>
      </c>
      <c r="J305" s="233" t="str">
        <f>Controle!J305</f>
        <v/>
      </c>
      <c r="K305" s="292"/>
      <c r="L305" s="233" t="str">
        <f>Controle!L305</f>
        <v/>
      </c>
      <c r="M305" s="233" t="str">
        <f>Controle!M305</f>
        <v/>
      </c>
      <c r="N305" s="235" t="str">
        <f>Controle!N305</f>
        <v/>
      </c>
      <c r="O305" s="235" t="str">
        <f>Controle!O305</f>
        <v/>
      </c>
      <c r="P305" s="235" t="str">
        <f>Controle!P305</f>
        <v/>
      </c>
      <c r="Q305" s="235" t="str">
        <f>Controle!Q305</f>
        <v/>
      </c>
      <c r="R305" s="303" t="str">
        <f>Controle!R305</f>
        <v/>
      </c>
      <c r="S305" s="287"/>
      <c r="T305" s="301"/>
      <c r="U305" s="301"/>
      <c r="V305" s="301"/>
      <c r="W305" s="294"/>
      <c r="X305" s="294"/>
      <c r="Y305" s="294"/>
      <c r="Z305" s="294"/>
      <c r="AA305" s="294"/>
      <c r="AB305" s="253"/>
      <c r="AC305" s="2"/>
      <c r="AD305" s="253"/>
      <c r="AE305" s="253"/>
      <c r="AF305" s="253"/>
      <c r="AG305" s="253"/>
      <c r="AH305" s="253"/>
      <c r="AI305" s="2"/>
      <c r="AJ305" s="253"/>
      <c r="AK305" s="253"/>
      <c r="AL305" s="253"/>
      <c r="AM305" s="253"/>
      <c r="AN305" s="253"/>
      <c r="AO305" s="2"/>
      <c r="AP305" s="253"/>
      <c r="AQ305" s="253"/>
      <c r="AR305" s="253"/>
      <c r="AS305" s="253"/>
      <c r="AT305" s="253"/>
      <c r="AU305" s="2"/>
      <c r="AV305" s="253"/>
      <c r="AW305" s="253"/>
      <c r="AX305" s="253"/>
      <c r="AY305" s="253"/>
    </row>
    <row r="306" ht="15.75" customHeight="1">
      <c r="A306" s="2"/>
      <c r="B306" s="288" t="str">
        <f>Controle!B306</f>
        <v/>
      </c>
      <c r="C306" s="233" t="str">
        <f>Controle!C306</f>
        <v/>
      </c>
      <c r="D306" s="289" t="str">
        <f>Controle!D306</f>
        <v/>
      </c>
      <c r="E306" s="290"/>
      <c r="F306" s="291" t="str">
        <f>Controle!F306</f>
        <v/>
      </c>
      <c r="G306" s="289" t="str">
        <f>Controle!G306</f>
        <v/>
      </c>
      <c r="H306" s="290"/>
      <c r="I306" s="291" t="str">
        <f>Controle!I306</f>
        <v/>
      </c>
      <c r="J306" s="233" t="str">
        <f>Controle!J306</f>
        <v/>
      </c>
      <c r="K306" s="292"/>
      <c r="L306" s="233" t="str">
        <f>Controle!L306</f>
        <v/>
      </c>
      <c r="M306" s="233" t="str">
        <f>Controle!M306</f>
        <v/>
      </c>
      <c r="N306" s="235" t="str">
        <f>Controle!N306</f>
        <v/>
      </c>
      <c r="O306" s="235" t="str">
        <f>Controle!O306</f>
        <v/>
      </c>
      <c r="P306" s="235" t="str">
        <f>Controle!P306</f>
        <v/>
      </c>
      <c r="Q306" s="235" t="str">
        <f>Controle!Q306</f>
        <v/>
      </c>
      <c r="R306" s="303" t="str">
        <f>Controle!R306</f>
        <v/>
      </c>
      <c r="S306" s="287"/>
      <c r="T306" s="301"/>
      <c r="U306" s="301"/>
      <c r="V306" s="301"/>
      <c r="W306" s="294"/>
      <c r="X306" s="294"/>
      <c r="Y306" s="294"/>
      <c r="Z306" s="294"/>
      <c r="AA306" s="294"/>
      <c r="AB306" s="253"/>
      <c r="AC306" s="2"/>
      <c r="AD306" s="253"/>
      <c r="AE306" s="253"/>
      <c r="AF306" s="253"/>
      <c r="AG306" s="253"/>
      <c r="AH306" s="253"/>
      <c r="AI306" s="2"/>
      <c r="AJ306" s="253"/>
      <c r="AK306" s="253"/>
      <c r="AL306" s="253"/>
      <c r="AM306" s="253"/>
      <c r="AN306" s="253"/>
      <c r="AO306" s="2"/>
      <c r="AP306" s="253"/>
      <c r="AQ306" s="253"/>
      <c r="AR306" s="253"/>
      <c r="AS306" s="253"/>
      <c r="AT306" s="253"/>
      <c r="AU306" s="2"/>
      <c r="AV306" s="253"/>
      <c r="AW306" s="253"/>
      <c r="AX306" s="253"/>
      <c r="AY306" s="253"/>
    </row>
    <row r="307" ht="15.75" customHeight="1">
      <c r="A307" s="2"/>
      <c r="B307" s="288" t="str">
        <f>Controle!B307</f>
        <v/>
      </c>
      <c r="C307" s="233" t="str">
        <f>Controle!C307</f>
        <v/>
      </c>
      <c r="D307" s="289" t="str">
        <f>Controle!D307</f>
        <v/>
      </c>
      <c r="E307" s="290"/>
      <c r="F307" s="291" t="str">
        <f>Controle!F307</f>
        <v/>
      </c>
      <c r="G307" s="289" t="str">
        <f>Controle!G307</f>
        <v/>
      </c>
      <c r="H307" s="290"/>
      <c r="I307" s="291" t="str">
        <f>Controle!I307</f>
        <v/>
      </c>
      <c r="J307" s="233" t="str">
        <f>Controle!J307</f>
        <v/>
      </c>
      <c r="K307" s="292"/>
      <c r="L307" s="233" t="str">
        <f>Controle!L307</f>
        <v/>
      </c>
      <c r="M307" s="233" t="str">
        <f>Controle!M307</f>
        <v/>
      </c>
      <c r="N307" s="235" t="str">
        <f>Controle!N307</f>
        <v/>
      </c>
      <c r="O307" s="235" t="str">
        <f>Controle!O307</f>
        <v/>
      </c>
      <c r="P307" s="235" t="str">
        <f>Controle!P307</f>
        <v/>
      </c>
      <c r="Q307" s="235" t="str">
        <f>Controle!Q307</f>
        <v/>
      </c>
      <c r="R307" s="303" t="str">
        <f>Controle!R307</f>
        <v/>
      </c>
      <c r="S307" s="287"/>
      <c r="T307" s="301"/>
      <c r="U307" s="301"/>
      <c r="V307" s="301"/>
      <c r="W307" s="294"/>
      <c r="X307" s="294"/>
      <c r="Y307" s="294"/>
      <c r="Z307" s="294"/>
      <c r="AA307" s="294"/>
      <c r="AB307" s="253"/>
      <c r="AC307" s="2"/>
      <c r="AD307" s="253"/>
      <c r="AE307" s="253"/>
      <c r="AF307" s="253"/>
      <c r="AG307" s="253"/>
      <c r="AH307" s="253"/>
      <c r="AI307" s="2"/>
      <c r="AJ307" s="253"/>
      <c r="AK307" s="253"/>
      <c r="AL307" s="253"/>
      <c r="AM307" s="253"/>
      <c r="AN307" s="253"/>
      <c r="AO307" s="2"/>
      <c r="AP307" s="253"/>
      <c r="AQ307" s="253"/>
      <c r="AR307" s="253"/>
      <c r="AS307" s="253"/>
      <c r="AT307" s="253"/>
      <c r="AU307" s="2"/>
      <c r="AV307" s="253"/>
      <c r="AW307" s="253"/>
      <c r="AX307" s="253"/>
      <c r="AY307" s="253"/>
    </row>
    <row r="308" ht="15.75" customHeight="1">
      <c r="A308" s="2"/>
      <c r="B308" s="288" t="str">
        <f>Controle!B308</f>
        <v/>
      </c>
      <c r="C308" s="233" t="str">
        <f>Controle!C308</f>
        <v/>
      </c>
      <c r="D308" s="289" t="str">
        <f>Controle!D308</f>
        <v/>
      </c>
      <c r="E308" s="290"/>
      <c r="F308" s="291" t="str">
        <f>Controle!F308</f>
        <v/>
      </c>
      <c r="G308" s="289" t="str">
        <f>Controle!G308</f>
        <v/>
      </c>
      <c r="H308" s="290"/>
      <c r="I308" s="291" t="str">
        <f>Controle!I308</f>
        <v/>
      </c>
      <c r="J308" s="233" t="str">
        <f>Controle!J308</f>
        <v/>
      </c>
      <c r="K308" s="292"/>
      <c r="L308" s="233" t="str">
        <f>Controle!L308</f>
        <v/>
      </c>
      <c r="M308" s="233" t="str">
        <f>Controle!M308</f>
        <v/>
      </c>
      <c r="N308" s="235" t="str">
        <f>Controle!N308</f>
        <v/>
      </c>
      <c r="O308" s="235" t="str">
        <f>Controle!O308</f>
        <v/>
      </c>
      <c r="P308" s="235" t="str">
        <f>Controle!P308</f>
        <v/>
      </c>
      <c r="Q308" s="235" t="str">
        <f>Controle!Q308</f>
        <v/>
      </c>
      <c r="R308" s="303" t="str">
        <f>Controle!R308</f>
        <v/>
      </c>
      <c r="S308" s="287"/>
      <c r="T308" s="301"/>
      <c r="U308" s="301"/>
      <c r="V308" s="301"/>
      <c r="W308" s="294"/>
      <c r="X308" s="294"/>
      <c r="Y308" s="294"/>
      <c r="Z308" s="294"/>
      <c r="AA308" s="294"/>
      <c r="AB308" s="253"/>
      <c r="AC308" s="2"/>
      <c r="AD308" s="253"/>
      <c r="AE308" s="253"/>
      <c r="AF308" s="253"/>
      <c r="AG308" s="253"/>
      <c r="AH308" s="253"/>
      <c r="AI308" s="2"/>
      <c r="AJ308" s="253"/>
      <c r="AK308" s="253"/>
      <c r="AL308" s="253"/>
      <c r="AM308" s="253"/>
      <c r="AN308" s="253"/>
      <c r="AO308" s="2"/>
      <c r="AP308" s="253"/>
      <c r="AQ308" s="253"/>
      <c r="AR308" s="253"/>
      <c r="AS308" s="253"/>
      <c r="AT308" s="253"/>
      <c r="AU308" s="2"/>
      <c r="AV308" s="253"/>
      <c r="AW308" s="253"/>
      <c r="AX308" s="253"/>
      <c r="AY308" s="253"/>
    </row>
    <row r="309" ht="15.75" customHeight="1">
      <c r="A309" s="2"/>
      <c r="B309" s="288" t="str">
        <f>Controle!B309</f>
        <v/>
      </c>
      <c r="C309" s="233" t="str">
        <f>Controle!C309</f>
        <v/>
      </c>
      <c r="D309" s="289" t="str">
        <f>Controle!D309</f>
        <v/>
      </c>
      <c r="E309" s="290"/>
      <c r="F309" s="291" t="str">
        <f>Controle!F309</f>
        <v/>
      </c>
      <c r="G309" s="289" t="str">
        <f>Controle!G309</f>
        <v/>
      </c>
      <c r="H309" s="290"/>
      <c r="I309" s="291" t="str">
        <f>Controle!I309</f>
        <v/>
      </c>
      <c r="J309" s="233" t="str">
        <f>Controle!J309</f>
        <v/>
      </c>
      <c r="K309" s="292"/>
      <c r="L309" s="233" t="str">
        <f>Controle!L309</f>
        <v/>
      </c>
      <c r="M309" s="233" t="str">
        <f>Controle!M309</f>
        <v/>
      </c>
      <c r="N309" s="235" t="str">
        <f>Controle!N309</f>
        <v/>
      </c>
      <c r="O309" s="235" t="str">
        <f>Controle!O309</f>
        <v/>
      </c>
      <c r="P309" s="235" t="str">
        <f>Controle!P309</f>
        <v/>
      </c>
      <c r="Q309" s="235" t="str">
        <f>Controle!Q309</f>
        <v/>
      </c>
      <c r="R309" s="303" t="str">
        <f>Controle!R309</f>
        <v/>
      </c>
      <c r="S309" s="287"/>
      <c r="T309" s="301"/>
      <c r="U309" s="301"/>
      <c r="V309" s="301"/>
      <c r="W309" s="294"/>
      <c r="X309" s="294"/>
      <c r="Y309" s="294"/>
      <c r="Z309" s="294"/>
      <c r="AA309" s="294"/>
      <c r="AB309" s="253"/>
      <c r="AC309" s="2"/>
      <c r="AD309" s="253"/>
      <c r="AE309" s="253"/>
      <c r="AF309" s="253"/>
      <c r="AG309" s="253"/>
      <c r="AH309" s="253"/>
      <c r="AI309" s="2"/>
      <c r="AJ309" s="253"/>
      <c r="AK309" s="253"/>
      <c r="AL309" s="253"/>
      <c r="AM309" s="253"/>
      <c r="AN309" s="253"/>
      <c r="AO309" s="2"/>
      <c r="AP309" s="253"/>
      <c r="AQ309" s="253"/>
      <c r="AR309" s="253"/>
      <c r="AS309" s="253"/>
      <c r="AT309" s="253"/>
      <c r="AU309" s="2"/>
      <c r="AV309" s="253"/>
      <c r="AW309" s="253"/>
      <c r="AX309" s="253"/>
      <c r="AY309" s="253"/>
    </row>
    <row r="310" ht="15.75" customHeight="1">
      <c r="A310" s="2"/>
      <c r="B310" s="288" t="str">
        <f>Controle!B310</f>
        <v/>
      </c>
      <c r="C310" s="233" t="str">
        <f>Controle!C310</f>
        <v/>
      </c>
      <c r="D310" s="289" t="str">
        <f>Controle!D310</f>
        <v/>
      </c>
      <c r="E310" s="290"/>
      <c r="F310" s="291" t="str">
        <f>Controle!F310</f>
        <v/>
      </c>
      <c r="G310" s="289" t="str">
        <f>Controle!G310</f>
        <v/>
      </c>
      <c r="H310" s="290"/>
      <c r="I310" s="291" t="str">
        <f>Controle!I310</f>
        <v/>
      </c>
      <c r="J310" s="233" t="str">
        <f>Controle!J310</f>
        <v/>
      </c>
      <c r="K310" s="292"/>
      <c r="L310" s="233" t="str">
        <f>Controle!L310</f>
        <v/>
      </c>
      <c r="M310" s="233" t="str">
        <f>Controle!M310</f>
        <v/>
      </c>
      <c r="N310" s="235" t="str">
        <f>Controle!N310</f>
        <v/>
      </c>
      <c r="O310" s="235" t="str">
        <f>Controle!O310</f>
        <v/>
      </c>
      <c r="P310" s="235" t="str">
        <f>Controle!P310</f>
        <v/>
      </c>
      <c r="Q310" s="235" t="str">
        <f>Controle!Q310</f>
        <v/>
      </c>
      <c r="R310" s="303" t="str">
        <f>Controle!R310</f>
        <v/>
      </c>
      <c r="S310" s="287"/>
      <c r="T310" s="301"/>
      <c r="U310" s="301"/>
      <c r="V310" s="301"/>
      <c r="W310" s="294"/>
      <c r="X310" s="294"/>
      <c r="Y310" s="294"/>
      <c r="Z310" s="294"/>
      <c r="AA310" s="294"/>
      <c r="AB310" s="253"/>
      <c r="AC310" s="2"/>
      <c r="AD310" s="253"/>
      <c r="AE310" s="253"/>
      <c r="AF310" s="253"/>
      <c r="AG310" s="253"/>
      <c r="AH310" s="253"/>
      <c r="AI310" s="2"/>
      <c r="AJ310" s="253"/>
      <c r="AK310" s="253"/>
      <c r="AL310" s="253"/>
      <c r="AM310" s="253"/>
      <c r="AN310" s="253"/>
      <c r="AO310" s="2"/>
      <c r="AP310" s="253"/>
      <c r="AQ310" s="253"/>
      <c r="AR310" s="253"/>
      <c r="AS310" s="253"/>
      <c r="AT310" s="253"/>
      <c r="AU310" s="2"/>
      <c r="AV310" s="253"/>
      <c r="AW310" s="253"/>
      <c r="AX310" s="253"/>
      <c r="AY310" s="253"/>
    </row>
    <row r="311" ht="15.75" customHeight="1">
      <c r="A311" s="2"/>
      <c r="B311" s="288" t="str">
        <f>Controle!B311</f>
        <v/>
      </c>
      <c r="C311" s="233" t="str">
        <f>Controle!C311</f>
        <v/>
      </c>
      <c r="D311" s="289" t="str">
        <f>Controle!D311</f>
        <v/>
      </c>
      <c r="E311" s="290"/>
      <c r="F311" s="291" t="str">
        <f>Controle!F311</f>
        <v/>
      </c>
      <c r="G311" s="289" t="str">
        <f>Controle!G311</f>
        <v/>
      </c>
      <c r="H311" s="290"/>
      <c r="I311" s="291" t="str">
        <f>Controle!I311</f>
        <v/>
      </c>
      <c r="J311" s="233" t="str">
        <f>Controle!J311</f>
        <v/>
      </c>
      <c r="K311" s="292"/>
      <c r="L311" s="233" t="str">
        <f>Controle!L311</f>
        <v/>
      </c>
      <c r="M311" s="233" t="str">
        <f>Controle!M311</f>
        <v/>
      </c>
      <c r="N311" s="235" t="str">
        <f>Controle!N311</f>
        <v/>
      </c>
      <c r="O311" s="235" t="str">
        <f>Controle!O311</f>
        <v/>
      </c>
      <c r="P311" s="235" t="str">
        <f>Controle!P311</f>
        <v/>
      </c>
      <c r="Q311" s="235" t="str">
        <f>Controle!Q311</f>
        <v/>
      </c>
      <c r="R311" s="303" t="str">
        <f>Controle!R311</f>
        <v/>
      </c>
      <c r="S311" s="287"/>
      <c r="T311" s="301"/>
      <c r="U311" s="301"/>
      <c r="V311" s="301"/>
      <c r="W311" s="294"/>
      <c r="X311" s="294"/>
      <c r="Y311" s="294"/>
      <c r="Z311" s="294"/>
      <c r="AA311" s="294"/>
      <c r="AB311" s="253"/>
      <c r="AC311" s="2"/>
      <c r="AD311" s="253"/>
      <c r="AE311" s="253"/>
      <c r="AF311" s="253"/>
      <c r="AG311" s="253"/>
      <c r="AH311" s="253"/>
      <c r="AI311" s="2"/>
      <c r="AJ311" s="253"/>
      <c r="AK311" s="253"/>
      <c r="AL311" s="253"/>
      <c r="AM311" s="253"/>
      <c r="AN311" s="253"/>
      <c r="AO311" s="2"/>
      <c r="AP311" s="253"/>
      <c r="AQ311" s="253"/>
      <c r="AR311" s="253"/>
      <c r="AS311" s="253"/>
      <c r="AT311" s="253"/>
      <c r="AU311" s="2"/>
      <c r="AV311" s="253"/>
      <c r="AW311" s="253"/>
      <c r="AX311" s="253"/>
      <c r="AY311" s="253"/>
    </row>
    <row r="312" ht="15.75" customHeight="1">
      <c r="A312" s="2"/>
      <c r="B312" s="288" t="str">
        <f>Controle!B312</f>
        <v/>
      </c>
      <c r="C312" s="233" t="str">
        <f>Controle!C312</f>
        <v/>
      </c>
      <c r="D312" s="289" t="str">
        <f>Controle!D312</f>
        <v/>
      </c>
      <c r="E312" s="290"/>
      <c r="F312" s="291" t="str">
        <f>Controle!F312</f>
        <v/>
      </c>
      <c r="G312" s="289" t="str">
        <f>Controle!G312</f>
        <v/>
      </c>
      <c r="H312" s="290"/>
      <c r="I312" s="291" t="str">
        <f>Controle!I312</f>
        <v/>
      </c>
      <c r="J312" s="233" t="str">
        <f>Controle!J312</f>
        <v/>
      </c>
      <c r="K312" s="292"/>
      <c r="L312" s="233" t="str">
        <f>Controle!L312</f>
        <v/>
      </c>
      <c r="M312" s="233" t="str">
        <f>Controle!M312</f>
        <v/>
      </c>
      <c r="N312" s="235" t="str">
        <f>Controle!N312</f>
        <v/>
      </c>
      <c r="O312" s="235" t="str">
        <f>Controle!O312</f>
        <v/>
      </c>
      <c r="P312" s="235" t="str">
        <f>Controle!P312</f>
        <v/>
      </c>
      <c r="Q312" s="235" t="str">
        <f>Controle!Q312</f>
        <v/>
      </c>
      <c r="R312" s="303" t="str">
        <f>Controle!R312</f>
        <v/>
      </c>
      <c r="S312" s="287"/>
      <c r="T312" s="301"/>
      <c r="U312" s="301"/>
      <c r="V312" s="301"/>
      <c r="W312" s="294"/>
      <c r="X312" s="294"/>
      <c r="Y312" s="294"/>
      <c r="Z312" s="294"/>
      <c r="AA312" s="294"/>
      <c r="AB312" s="253"/>
      <c r="AC312" s="2"/>
      <c r="AD312" s="253"/>
      <c r="AE312" s="253"/>
      <c r="AF312" s="253"/>
      <c r="AG312" s="253"/>
      <c r="AH312" s="253"/>
      <c r="AI312" s="2"/>
      <c r="AJ312" s="253"/>
      <c r="AK312" s="253"/>
      <c r="AL312" s="253"/>
      <c r="AM312" s="253"/>
      <c r="AN312" s="253"/>
      <c r="AO312" s="2"/>
      <c r="AP312" s="253"/>
      <c r="AQ312" s="253"/>
      <c r="AR312" s="253"/>
      <c r="AS312" s="253"/>
      <c r="AT312" s="253"/>
      <c r="AU312" s="2"/>
      <c r="AV312" s="253"/>
      <c r="AW312" s="253"/>
      <c r="AX312" s="253"/>
      <c r="AY312" s="253"/>
    </row>
    <row r="313" ht="15.75" customHeight="1">
      <c r="A313" s="2"/>
      <c r="B313" s="288" t="str">
        <f>Controle!B313</f>
        <v/>
      </c>
      <c r="C313" s="233" t="str">
        <f>Controle!C313</f>
        <v/>
      </c>
      <c r="D313" s="289" t="str">
        <f>Controle!D313</f>
        <v/>
      </c>
      <c r="E313" s="290"/>
      <c r="F313" s="291" t="str">
        <f>Controle!F313</f>
        <v/>
      </c>
      <c r="G313" s="289" t="str">
        <f>Controle!G313</f>
        <v/>
      </c>
      <c r="H313" s="290"/>
      <c r="I313" s="291" t="str">
        <f>Controle!I313</f>
        <v/>
      </c>
      <c r="J313" s="233" t="str">
        <f>Controle!J313</f>
        <v/>
      </c>
      <c r="K313" s="292"/>
      <c r="L313" s="233" t="str">
        <f>Controle!L313</f>
        <v/>
      </c>
      <c r="M313" s="233" t="str">
        <f>Controle!M313</f>
        <v/>
      </c>
      <c r="N313" s="235" t="str">
        <f>Controle!N313</f>
        <v/>
      </c>
      <c r="O313" s="235" t="str">
        <f>Controle!O313</f>
        <v/>
      </c>
      <c r="P313" s="235" t="str">
        <f>Controle!P313</f>
        <v/>
      </c>
      <c r="Q313" s="235" t="str">
        <f>Controle!Q313</f>
        <v/>
      </c>
      <c r="R313" s="303" t="str">
        <f>Controle!R313</f>
        <v/>
      </c>
      <c r="S313" s="287"/>
      <c r="T313" s="301"/>
      <c r="U313" s="301"/>
      <c r="V313" s="301"/>
      <c r="W313" s="294"/>
      <c r="X313" s="294"/>
      <c r="Y313" s="294"/>
      <c r="Z313" s="294"/>
      <c r="AA313" s="294"/>
      <c r="AB313" s="253"/>
      <c r="AC313" s="2"/>
      <c r="AD313" s="253"/>
      <c r="AE313" s="253"/>
      <c r="AF313" s="253"/>
      <c r="AG313" s="253"/>
      <c r="AH313" s="253"/>
      <c r="AI313" s="2"/>
      <c r="AJ313" s="253"/>
      <c r="AK313" s="253"/>
      <c r="AL313" s="253"/>
      <c r="AM313" s="253"/>
      <c r="AN313" s="253"/>
      <c r="AO313" s="2"/>
      <c r="AP313" s="253"/>
      <c r="AQ313" s="253"/>
      <c r="AR313" s="253"/>
      <c r="AS313" s="253"/>
      <c r="AT313" s="253"/>
      <c r="AU313" s="2"/>
      <c r="AV313" s="253"/>
      <c r="AW313" s="253"/>
      <c r="AX313" s="253"/>
      <c r="AY313" s="253"/>
    </row>
    <row r="314" ht="15.75" customHeight="1">
      <c r="A314" s="2"/>
      <c r="B314" s="288" t="str">
        <f>Controle!B314</f>
        <v/>
      </c>
      <c r="C314" s="233" t="str">
        <f>Controle!C314</f>
        <v/>
      </c>
      <c r="D314" s="289" t="str">
        <f>Controle!D314</f>
        <v/>
      </c>
      <c r="E314" s="290"/>
      <c r="F314" s="291" t="str">
        <f>Controle!F314</f>
        <v/>
      </c>
      <c r="G314" s="289" t="str">
        <f>Controle!G314</f>
        <v/>
      </c>
      <c r="H314" s="290"/>
      <c r="I314" s="291" t="str">
        <f>Controle!I314</f>
        <v/>
      </c>
      <c r="J314" s="233" t="str">
        <f>Controle!J314</f>
        <v/>
      </c>
      <c r="K314" s="292"/>
      <c r="L314" s="233" t="str">
        <f>Controle!L314</f>
        <v/>
      </c>
      <c r="M314" s="233" t="str">
        <f>Controle!M314</f>
        <v/>
      </c>
      <c r="N314" s="235" t="str">
        <f>Controle!N314</f>
        <v/>
      </c>
      <c r="O314" s="235" t="str">
        <f>Controle!O314</f>
        <v/>
      </c>
      <c r="P314" s="235" t="str">
        <f>Controle!P314</f>
        <v/>
      </c>
      <c r="Q314" s="235" t="str">
        <f>Controle!Q314</f>
        <v/>
      </c>
      <c r="R314" s="303" t="str">
        <f>Controle!R314</f>
        <v/>
      </c>
      <c r="S314" s="287"/>
      <c r="T314" s="301"/>
      <c r="U314" s="301"/>
      <c r="V314" s="301"/>
      <c r="W314" s="294"/>
      <c r="X314" s="294"/>
      <c r="Y314" s="294"/>
      <c r="Z314" s="294"/>
      <c r="AA314" s="294"/>
      <c r="AB314" s="253"/>
      <c r="AC314" s="2"/>
      <c r="AD314" s="253"/>
      <c r="AE314" s="253"/>
      <c r="AF314" s="253"/>
      <c r="AG314" s="253"/>
      <c r="AH314" s="253"/>
      <c r="AI314" s="2"/>
      <c r="AJ314" s="253"/>
      <c r="AK314" s="253"/>
      <c r="AL314" s="253"/>
      <c r="AM314" s="253"/>
      <c r="AN314" s="253"/>
      <c r="AO314" s="2"/>
      <c r="AP314" s="253"/>
      <c r="AQ314" s="253"/>
      <c r="AR314" s="253"/>
      <c r="AS314" s="253"/>
      <c r="AT314" s="253"/>
      <c r="AU314" s="2"/>
      <c r="AV314" s="253"/>
      <c r="AW314" s="253"/>
      <c r="AX314" s="253"/>
      <c r="AY314" s="253"/>
    </row>
    <row r="315" ht="15.75" customHeight="1">
      <c r="A315" s="2"/>
      <c r="B315" s="288" t="str">
        <f>Controle!B315</f>
        <v/>
      </c>
      <c r="C315" s="233" t="str">
        <f>Controle!C315</f>
        <v/>
      </c>
      <c r="D315" s="289" t="str">
        <f>Controle!D315</f>
        <v/>
      </c>
      <c r="E315" s="290"/>
      <c r="F315" s="291" t="str">
        <f>Controle!F315</f>
        <v/>
      </c>
      <c r="G315" s="289" t="str">
        <f>Controle!G315</f>
        <v/>
      </c>
      <c r="H315" s="290"/>
      <c r="I315" s="291" t="str">
        <f>Controle!I315</f>
        <v/>
      </c>
      <c r="J315" s="233" t="str">
        <f>Controle!J315</f>
        <v/>
      </c>
      <c r="K315" s="292"/>
      <c r="L315" s="233" t="str">
        <f>Controle!L315</f>
        <v/>
      </c>
      <c r="M315" s="233" t="str">
        <f>Controle!M315</f>
        <v/>
      </c>
      <c r="N315" s="235" t="str">
        <f>Controle!N315</f>
        <v/>
      </c>
      <c r="O315" s="235" t="str">
        <f>Controle!O315</f>
        <v/>
      </c>
      <c r="P315" s="235" t="str">
        <f>Controle!P315</f>
        <v/>
      </c>
      <c r="Q315" s="235" t="str">
        <f>Controle!Q315</f>
        <v/>
      </c>
      <c r="R315" s="303" t="str">
        <f>Controle!R315</f>
        <v/>
      </c>
      <c r="S315" s="287"/>
      <c r="T315" s="301"/>
      <c r="U315" s="301"/>
      <c r="V315" s="301"/>
      <c r="W315" s="294"/>
      <c r="X315" s="294"/>
      <c r="Y315" s="294"/>
      <c r="Z315" s="294"/>
      <c r="AA315" s="294"/>
      <c r="AB315" s="253"/>
      <c r="AC315" s="2"/>
      <c r="AD315" s="253"/>
      <c r="AE315" s="253"/>
      <c r="AF315" s="253"/>
      <c r="AG315" s="253"/>
      <c r="AH315" s="253"/>
      <c r="AI315" s="2"/>
      <c r="AJ315" s="253"/>
      <c r="AK315" s="253"/>
      <c r="AL315" s="253"/>
      <c r="AM315" s="253"/>
      <c r="AN315" s="253"/>
      <c r="AO315" s="2"/>
      <c r="AP315" s="253"/>
      <c r="AQ315" s="253"/>
      <c r="AR315" s="253"/>
      <c r="AS315" s="253"/>
      <c r="AT315" s="253"/>
      <c r="AU315" s="2"/>
      <c r="AV315" s="253"/>
      <c r="AW315" s="253"/>
      <c r="AX315" s="253"/>
      <c r="AY315" s="253"/>
    </row>
    <row r="316" ht="15.75" customHeight="1">
      <c r="A316" s="2"/>
      <c r="B316" s="288" t="str">
        <f>Controle!B316</f>
        <v/>
      </c>
      <c r="C316" s="233" t="str">
        <f>Controle!C316</f>
        <v/>
      </c>
      <c r="D316" s="289" t="str">
        <f>Controle!D316</f>
        <v/>
      </c>
      <c r="E316" s="290"/>
      <c r="F316" s="291" t="str">
        <f>Controle!F316</f>
        <v/>
      </c>
      <c r="G316" s="289" t="str">
        <f>Controle!G316</f>
        <v/>
      </c>
      <c r="H316" s="290"/>
      <c r="I316" s="291" t="str">
        <f>Controle!I316</f>
        <v/>
      </c>
      <c r="J316" s="233" t="str">
        <f>Controle!J316</f>
        <v/>
      </c>
      <c r="K316" s="292"/>
      <c r="L316" s="233" t="str">
        <f>Controle!L316</f>
        <v/>
      </c>
      <c r="M316" s="233" t="str">
        <f>Controle!M316</f>
        <v/>
      </c>
      <c r="N316" s="235" t="str">
        <f>Controle!N316</f>
        <v/>
      </c>
      <c r="O316" s="235" t="str">
        <f>Controle!O316</f>
        <v/>
      </c>
      <c r="P316" s="235" t="str">
        <f>Controle!P316</f>
        <v/>
      </c>
      <c r="Q316" s="235" t="str">
        <f>Controle!Q316</f>
        <v/>
      </c>
      <c r="R316" s="303" t="str">
        <f>Controle!R316</f>
        <v/>
      </c>
      <c r="S316" s="287"/>
      <c r="T316" s="301"/>
      <c r="U316" s="301"/>
      <c r="V316" s="301"/>
      <c r="W316" s="294"/>
      <c r="X316" s="294"/>
      <c r="Y316" s="294"/>
      <c r="Z316" s="294"/>
      <c r="AA316" s="294"/>
      <c r="AB316" s="253"/>
      <c r="AC316" s="2"/>
      <c r="AD316" s="253"/>
      <c r="AE316" s="253"/>
      <c r="AF316" s="253"/>
      <c r="AG316" s="253"/>
      <c r="AH316" s="253"/>
      <c r="AI316" s="2"/>
      <c r="AJ316" s="253"/>
      <c r="AK316" s="253"/>
      <c r="AL316" s="253"/>
      <c r="AM316" s="253"/>
      <c r="AN316" s="253"/>
      <c r="AO316" s="2"/>
      <c r="AP316" s="253"/>
      <c r="AQ316" s="253"/>
      <c r="AR316" s="253"/>
      <c r="AS316" s="253"/>
      <c r="AT316" s="253"/>
      <c r="AU316" s="2"/>
      <c r="AV316" s="253"/>
      <c r="AW316" s="253"/>
      <c r="AX316" s="253"/>
      <c r="AY316" s="253"/>
    </row>
    <row r="317" ht="15.75" customHeight="1">
      <c r="A317" s="2"/>
      <c r="B317" s="288" t="str">
        <f>Controle!B317</f>
        <v/>
      </c>
      <c r="C317" s="233" t="str">
        <f>Controle!C317</f>
        <v/>
      </c>
      <c r="D317" s="289" t="str">
        <f>Controle!D317</f>
        <v/>
      </c>
      <c r="E317" s="290"/>
      <c r="F317" s="291" t="str">
        <f>Controle!F317</f>
        <v/>
      </c>
      <c r="G317" s="289" t="str">
        <f>Controle!G317</f>
        <v/>
      </c>
      <c r="H317" s="290"/>
      <c r="I317" s="291" t="str">
        <f>Controle!I317</f>
        <v/>
      </c>
      <c r="J317" s="233" t="str">
        <f>Controle!J317</f>
        <v/>
      </c>
      <c r="K317" s="292"/>
      <c r="L317" s="233" t="str">
        <f>Controle!L317</f>
        <v/>
      </c>
      <c r="M317" s="233" t="str">
        <f>Controle!M317</f>
        <v/>
      </c>
      <c r="N317" s="235" t="str">
        <f>Controle!N317</f>
        <v/>
      </c>
      <c r="O317" s="235" t="str">
        <f>Controle!O317</f>
        <v/>
      </c>
      <c r="P317" s="235" t="str">
        <f>Controle!P317</f>
        <v/>
      </c>
      <c r="Q317" s="235" t="str">
        <f>Controle!Q317</f>
        <v/>
      </c>
      <c r="R317" s="303" t="str">
        <f>Controle!R317</f>
        <v/>
      </c>
      <c r="S317" s="287"/>
      <c r="T317" s="301"/>
      <c r="U317" s="301"/>
      <c r="V317" s="301"/>
      <c r="W317" s="294"/>
      <c r="X317" s="294"/>
      <c r="Y317" s="294"/>
      <c r="Z317" s="294"/>
      <c r="AA317" s="294"/>
      <c r="AB317" s="253"/>
      <c r="AC317" s="2"/>
      <c r="AD317" s="253"/>
      <c r="AE317" s="253"/>
      <c r="AF317" s="253"/>
      <c r="AG317" s="253"/>
      <c r="AH317" s="253"/>
      <c r="AI317" s="2"/>
      <c r="AJ317" s="253"/>
      <c r="AK317" s="253"/>
      <c r="AL317" s="253"/>
      <c r="AM317" s="253"/>
      <c r="AN317" s="253"/>
      <c r="AO317" s="2"/>
      <c r="AP317" s="253"/>
      <c r="AQ317" s="253"/>
      <c r="AR317" s="253"/>
      <c r="AS317" s="253"/>
      <c r="AT317" s="253"/>
      <c r="AU317" s="2"/>
      <c r="AV317" s="253"/>
      <c r="AW317" s="253"/>
      <c r="AX317" s="253"/>
      <c r="AY317" s="253"/>
    </row>
    <row r="318" ht="15.75" customHeight="1">
      <c r="A318" s="2"/>
      <c r="B318" s="288" t="str">
        <f>Controle!B318</f>
        <v/>
      </c>
      <c r="C318" s="233" t="str">
        <f>Controle!C318</f>
        <v/>
      </c>
      <c r="D318" s="289" t="str">
        <f>Controle!D318</f>
        <v/>
      </c>
      <c r="E318" s="290"/>
      <c r="F318" s="291" t="str">
        <f>Controle!F318</f>
        <v/>
      </c>
      <c r="G318" s="289" t="str">
        <f>Controle!G318</f>
        <v/>
      </c>
      <c r="H318" s="290"/>
      <c r="I318" s="291" t="str">
        <f>Controle!I318</f>
        <v/>
      </c>
      <c r="J318" s="233" t="str">
        <f>Controle!J318</f>
        <v/>
      </c>
      <c r="K318" s="292"/>
      <c r="L318" s="233" t="str">
        <f>Controle!L318</f>
        <v/>
      </c>
      <c r="M318" s="233" t="str">
        <f>Controle!M318</f>
        <v/>
      </c>
      <c r="N318" s="235" t="str">
        <f>Controle!N318</f>
        <v/>
      </c>
      <c r="O318" s="235" t="str">
        <f>Controle!O318</f>
        <v/>
      </c>
      <c r="P318" s="235" t="str">
        <f>Controle!P318</f>
        <v/>
      </c>
      <c r="Q318" s="235" t="str">
        <f>Controle!Q318</f>
        <v/>
      </c>
      <c r="R318" s="303" t="str">
        <f>Controle!R318</f>
        <v/>
      </c>
      <c r="S318" s="287"/>
      <c r="T318" s="301"/>
      <c r="U318" s="301"/>
      <c r="V318" s="301"/>
      <c r="W318" s="294"/>
      <c r="X318" s="294"/>
      <c r="Y318" s="294"/>
      <c r="Z318" s="294"/>
      <c r="AA318" s="294"/>
      <c r="AB318" s="253"/>
      <c r="AC318" s="2"/>
      <c r="AD318" s="253"/>
      <c r="AE318" s="253"/>
      <c r="AF318" s="253"/>
      <c r="AG318" s="253"/>
      <c r="AH318" s="253"/>
      <c r="AI318" s="2"/>
      <c r="AJ318" s="253"/>
      <c r="AK318" s="253"/>
      <c r="AL318" s="253"/>
      <c r="AM318" s="253"/>
      <c r="AN318" s="253"/>
      <c r="AO318" s="2"/>
      <c r="AP318" s="253"/>
      <c r="AQ318" s="253"/>
      <c r="AR318" s="253"/>
      <c r="AS318" s="253"/>
      <c r="AT318" s="253"/>
      <c r="AU318" s="2"/>
      <c r="AV318" s="253"/>
      <c r="AW318" s="253"/>
      <c r="AX318" s="253"/>
      <c r="AY318" s="253"/>
    </row>
    <row r="319" ht="15.75" customHeight="1">
      <c r="A319" s="2"/>
      <c r="B319" s="288" t="str">
        <f>Controle!B319</f>
        <v/>
      </c>
      <c r="C319" s="233" t="str">
        <f>Controle!C319</f>
        <v/>
      </c>
      <c r="D319" s="289" t="str">
        <f>Controle!D319</f>
        <v/>
      </c>
      <c r="E319" s="290"/>
      <c r="F319" s="291" t="str">
        <f>Controle!F319</f>
        <v/>
      </c>
      <c r="G319" s="289" t="str">
        <f>Controle!G319</f>
        <v/>
      </c>
      <c r="H319" s="290"/>
      <c r="I319" s="291" t="str">
        <f>Controle!I319</f>
        <v/>
      </c>
      <c r="J319" s="233" t="str">
        <f>Controle!J319</f>
        <v/>
      </c>
      <c r="K319" s="292"/>
      <c r="L319" s="233" t="str">
        <f>Controle!L319</f>
        <v/>
      </c>
      <c r="M319" s="233" t="str">
        <f>Controle!M319</f>
        <v/>
      </c>
      <c r="N319" s="235" t="str">
        <f>Controle!N319</f>
        <v/>
      </c>
      <c r="O319" s="235" t="str">
        <f>Controle!O319</f>
        <v/>
      </c>
      <c r="P319" s="235" t="str">
        <f>Controle!P319</f>
        <v/>
      </c>
      <c r="Q319" s="235" t="str">
        <f>Controle!Q319</f>
        <v/>
      </c>
      <c r="R319" s="303" t="str">
        <f>Controle!R319</f>
        <v/>
      </c>
      <c r="S319" s="287"/>
      <c r="T319" s="301"/>
      <c r="U319" s="301"/>
      <c r="V319" s="301"/>
      <c r="W319" s="294"/>
      <c r="X319" s="294"/>
      <c r="Y319" s="294"/>
      <c r="Z319" s="294"/>
      <c r="AA319" s="294"/>
      <c r="AB319" s="253"/>
      <c r="AC319" s="2"/>
      <c r="AD319" s="253"/>
      <c r="AE319" s="253"/>
      <c r="AF319" s="253"/>
      <c r="AG319" s="253"/>
      <c r="AH319" s="253"/>
      <c r="AI319" s="2"/>
      <c r="AJ319" s="253"/>
      <c r="AK319" s="253"/>
      <c r="AL319" s="253"/>
      <c r="AM319" s="253"/>
      <c r="AN319" s="253"/>
      <c r="AO319" s="2"/>
      <c r="AP319" s="253"/>
      <c r="AQ319" s="253"/>
      <c r="AR319" s="253"/>
      <c r="AS319" s="253"/>
      <c r="AT319" s="253"/>
      <c r="AU319" s="2"/>
      <c r="AV319" s="253"/>
      <c r="AW319" s="253"/>
      <c r="AX319" s="253"/>
      <c r="AY319" s="253"/>
    </row>
    <row r="320" ht="15.75" customHeight="1">
      <c r="A320" s="2"/>
      <c r="B320" s="288" t="str">
        <f>Controle!B320</f>
        <v/>
      </c>
      <c r="C320" s="233" t="str">
        <f>Controle!C320</f>
        <v/>
      </c>
      <c r="D320" s="289" t="str">
        <f>Controle!D320</f>
        <v/>
      </c>
      <c r="E320" s="290"/>
      <c r="F320" s="291" t="str">
        <f>Controle!F320</f>
        <v/>
      </c>
      <c r="G320" s="289" t="str">
        <f>Controle!G320</f>
        <v/>
      </c>
      <c r="H320" s="290"/>
      <c r="I320" s="291" t="str">
        <f>Controle!I320</f>
        <v/>
      </c>
      <c r="J320" s="233" t="str">
        <f>Controle!J320</f>
        <v/>
      </c>
      <c r="K320" s="292"/>
      <c r="L320" s="233" t="str">
        <f>Controle!L320</f>
        <v/>
      </c>
      <c r="M320" s="233" t="str">
        <f>Controle!M320</f>
        <v/>
      </c>
      <c r="N320" s="235" t="str">
        <f>Controle!N320</f>
        <v/>
      </c>
      <c r="O320" s="235" t="str">
        <f>Controle!O320</f>
        <v/>
      </c>
      <c r="P320" s="235" t="str">
        <f>Controle!P320</f>
        <v/>
      </c>
      <c r="Q320" s="235" t="str">
        <f>Controle!Q320</f>
        <v/>
      </c>
      <c r="R320" s="303" t="str">
        <f>Controle!R320</f>
        <v/>
      </c>
      <c r="S320" s="287"/>
      <c r="T320" s="301"/>
      <c r="U320" s="301"/>
      <c r="V320" s="301"/>
      <c r="W320" s="294"/>
      <c r="X320" s="294"/>
      <c r="Y320" s="294"/>
      <c r="Z320" s="294"/>
      <c r="AA320" s="294"/>
      <c r="AB320" s="253"/>
      <c r="AC320" s="2"/>
      <c r="AD320" s="253"/>
      <c r="AE320" s="253"/>
      <c r="AF320" s="253"/>
      <c r="AG320" s="253"/>
      <c r="AH320" s="253"/>
      <c r="AI320" s="2"/>
      <c r="AJ320" s="253"/>
      <c r="AK320" s="253"/>
      <c r="AL320" s="253"/>
      <c r="AM320" s="253"/>
      <c r="AN320" s="253"/>
      <c r="AO320" s="2"/>
      <c r="AP320" s="253"/>
      <c r="AQ320" s="253"/>
      <c r="AR320" s="253"/>
      <c r="AS320" s="253"/>
      <c r="AT320" s="253"/>
      <c r="AU320" s="2"/>
      <c r="AV320" s="253"/>
      <c r="AW320" s="253"/>
      <c r="AX320" s="253"/>
      <c r="AY320" s="253"/>
    </row>
    <row r="321" ht="15.75" customHeight="1">
      <c r="A321" s="2"/>
      <c r="B321" s="288" t="str">
        <f>Controle!B321</f>
        <v/>
      </c>
      <c r="C321" s="233" t="str">
        <f>Controle!C321</f>
        <v/>
      </c>
      <c r="D321" s="289" t="str">
        <f>Controle!D321</f>
        <v/>
      </c>
      <c r="E321" s="290"/>
      <c r="F321" s="291" t="str">
        <f>Controle!F321</f>
        <v/>
      </c>
      <c r="G321" s="289" t="str">
        <f>Controle!G321</f>
        <v/>
      </c>
      <c r="H321" s="290"/>
      <c r="I321" s="291" t="str">
        <f>Controle!I321</f>
        <v/>
      </c>
      <c r="J321" s="233" t="str">
        <f>Controle!J321</f>
        <v/>
      </c>
      <c r="K321" s="292"/>
      <c r="L321" s="233" t="str">
        <f>Controle!L321</f>
        <v/>
      </c>
      <c r="M321" s="233" t="str">
        <f>Controle!M321</f>
        <v/>
      </c>
      <c r="N321" s="235" t="str">
        <f>Controle!N321</f>
        <v/>
      </c>
      <c r="O321" s="235" t="str">
        <f>Controle!O321</f>
        <v/>
      </c>
      <c r="P321" s="235" t="str">
        <f>Controle!P321</f>
        <v/>
      </c>
      <c r="Q321" s="235" t="str">
        <f>Controle!Q321</f>
        <v/>
      </c>
      <c r="R321" s="303" t="str">
        <f>Controle!R321</f>
        <v/>
      </c>
      <c r="S321" s="287"/>
      <c r="T321" s="301"/>
      <c r="U321" s="301"/>
      <c r="V321" s="301"/>
      <c r="W321" s="294"/>
      <c r="X321" s="294"/>
      <c r="Y321" s="294"/>
      <c r="Z321" s="294"/>
      <c r="AA321" s="294"/>
      <c r="AB321" s="253"/>
      <c r="AC321" s="2"/>
      <c r="AD321" s="253"/>
      <c r="AE321" s="253"/>
      <c r="AF321" s="253"/>
      <c r="AG321" s="253"/>
      <c r="AH321" s="253"/>
      <c r="AI321" s="2"/>
      <c r="AJ321" s="253"/>
      <c r="AK321" s="253"/>
      <c r="AL321" s="253"/>
      <c r="AM321" s="253"/>
      <c r="AN321" s="253"/>
      <c r="AO321" s="2"/>
      <c r="AP321" s="253"/>
      <c r="AQ321" s="253"/>
      <c r="AR321" s="253"/>
      <c r="AS321" s="253"/>
      <c r="AT321" s="253"/>
      <c r="AU321" s="2"/>
      <c r="AV321" s="253"/>
      <c r="AW321" s="253"/>
      <c r="AX321" s="253"/>
      <c r="AY321" s="253"/>
    </row>
    <row r="322" ht="15.75" customHeight="1">
      <c r="A322" s="2"/>
      <c r="B322" s="288" t="str">
        <f>Controle!B322</f>
        <v/>
      </c>
      <c r="C322" s="233" t="str">
        <f>Controle!C322</f>
        <v/>
      </c>
      <c r="D322" s="289" t="str">
        <f>Controle!D322</f>
        <v/>
      </c>
      <c r="E322" s="290"/>
      <c r="F322" s="291" t="str">
        <f>Controle!F322</f>
        <v/>
      </c>
      <c r="G322" s="289" t="str">
        <f>Controle!G322</f>
        <v/>
      </c>
      <c r="H322" s="290"/>
      <c r="I322" s="291" t="str">
        <f>Controle!I322</f>
        <v/>
      </c>
      <c r="J322" s="233" t="str">
        <f>Controle!J322</f>
        <v/>
      </c>
      <c r="K322" s="292"/>
      <c r="L322" s="233" t="str">
        <f>Controle!L322</f>
        <v/>
      </c>
      <c r="M322" s="233" t="str">
        <f>Controle!M322</f>
        <v/>
      </c>
      <c r="N322" s="235" t="str">
        <f>Controle!N322</f>
        <v/>
      </c>
      <c r="O322" s="235" t="str">
        <f>Controle!O322</f>
        <v/>
      </c>
      <c r="P322" s="235" t="str">
        <f>Controle!P322</f>
        <v/>
      </c>
      <c r="Q322" s="235" t="str">
        <f>Controle!Q322</f>
        <v/>
      </c>
      <c r="R322" s="303" t="str">
        <f>Controle!R322</f>
        <v/>
      </c>
      <c r="S322" s="287"/>
      <c r="T322" s="301"/>
      <c r="U322" s="301"/>
      <c r="V322" s="301"/>
      <c r="W322" s="294"/>
      <c r="X322" s="294"/>
      <c r="Y322" s="294"/>
      <c r="Z322" s="294"/>
      <c r="AA322" s="294"/>
      <c r="AB322" s="253"/>
      <c r="AC322" s="2"/>
      <c r="AD322" s="253"/>
      <c r="AE322" s="253"/>
      <c r="AF322" s="253"/>
      <c r="AG322" s="253"/>
      <c r="AH322" s="253"/>
      <c r="AI322" s="2"/>
      <c r="AJ322" s="253"/>
      <c r="AK322" s="253"/>
      <c r="AL322" s="253"/>
      <c r="AM322" s="253"/>
      <c r="AN322" s="253"/>
      <c r="AO322" s="2"/>
      <c r="AP322" s="253"/>
      <c r="AQ322" s="253"/>
      <c r="AR322" s="253"/>
      <c r="AS322" s="253"/>
      <c r="AT322" s="253"/>
      <c r="AU322" s="2"/>
      <c r="AV322" s="253"/>
      <c r="AW322" s="253"/>
      <c r="AX322" s="253"/>
      <c r="AY322" s="253"/>
    </row>
    <row r="323" ht="15.75" customHeight="1">
      <c r="A323" s="2"/>
      <c r="B323" s="288" t="str">
        <f>Controle!B323</f>
        <v/>
      </c>
      <c r="C323" s="233" t="str">
        <f>Controle!C323</f>
        <v/>
      </c>
      <c r="D323" s="289" t="str">
        <f>Controle!D323</f>
        <v/>
      </c>
      <c r="E323" s="290"/>
      <c r="F323" s="291" t="str">
        <f>Controle!F323</f>
        <v/>
      </c>
      <c r="G323" s="289" t="str">
        <f>Controle!G323</f>
        <v/>
      </c>
      <c r="H323" s="290"/>
      <c r="I323" s="291" t="str">
        <f>Controle!I323</f>
        <v/>
      </c>
      <c r="J323" s="233" t="str">
        <f>Controle!J323</f>
        <v/>
      </c>
      <c r="K323" s="292"/>
      <c r="L323" s="233" t="str">
        <f>Controle!L323</f>
        <v/>
      </c>
      <c r="M323" s="233" t="str">
        <f>Controle!M323</f>
        <v/>
      </c>
      <c r="N323" s="235" t="str">
        <f>Controle!N323</f>
        <v/>
      </c>
      <c r="O323" s="235" t="str">
        <f>Controle!O323</f>
        <v/>
      </c>
      <c r="P323" s="235" t="str">
        <f>Controle!P323</f>
        <v/>
      </c>
      <c r="Q323" s="235" t="str">
        <f>Controle!Q323</f>
        <v/>
      </c>
      <c r="R323" s="303" t="str">
        <f>Controle!R323</f>
        <v/>
      </c>
      <c r="S323" s="287"/>
      <c r="T323" s="301"/>
      <c r="U323" s="301"/>
      <c r="V323" s="301"/>
      <c r="W323" s="294"/>
      <c r="X323" s="294"/>
      <c r="Y323" s="294"/>
      <c r="Z323" s="294"/>
      <c r="AA323" s="294"/>
      <c r="AB323" s="253"/>
      <c r="AC323" s="2"/>
      <c r="AD323" s="253"/>
      <c r="AE323" s="253"/>
      <c r="AF323" s="253"/>
      <c r="AG323" s="253"/>
      <c r="AH323" s="253"/>
      <c r="AI323" s="2"/>
      <c r="AJ323" s="253"/>
      <c r="AK323" s="253"/>
      <c r="AL323" s="253"/>
      <c r="AM323" s="253"/>
      <c r="AN323" s="253"/>
      <c r="AO323" s="2"/>
      <c r="AP323" s="253"/>
      <c r="AQ323" s="253"/>
      <c r="AR323" s="253"/>
      <c r="AS323" s="253"/>
      <c r="AT323" s="253"/>
      <c r="AU323" s="2"/>
      <c r="AV323" s="253"/>
      <c r="AW323" s="253"/>
      <c r="AX323" s="253"/>
      <c r="AY323" s="253"/>
    </row>
    <row r="324" ht="15.75" customHeight="1">
      <c r="A324" s="2"/>
      <c r="B324" s="288" t="str">
        <f>Controle!B324</f>
        <v/>
      </c>
      <c r="C324" s="233" t="str">
        <f>Controle!C324</f>
        <v/>
      </c>
      <c r="D324" s="289" t="str">
        <f>Controle!D324</f>
        <v/>
      </c>
      <c r="E324" s="290"/>
      <c r="F324" s="291" t="str">
        <f>Controle!F324</f>
        <v/>
      </c>
      <c r="G324" s="289" t="str">
        <f>Controle!G324</f>
        <v/>
      </c>
      <c r="H324" s="290"/>
      <c r="I324" s="291" t="str">
        <f>Controle!I324</f>
        <v/>
      </c>
      <c r="J324" s="233" t="str">
        <f>Controle!J324</f>
        <v/>
      </c>
      <c r="K324" s="292"/>
      <c r="L324" s="233" t="str">
        <f>Controle!L324</f>
        <v/>
      </c>
      <c r="M324" s="233" t="str">
        <f>Controle!M324</f>
        <v/>
      </c>
      <c r="N324" s="235" t="str">
        <f>Controle!N324</f>
        <v/>
      </c>
      <c r="O324" s="235" t="str">
        <f>Controle!O324</f>
        <v/>
      </c>
      <c r="P324" s="235" t="str">
        <f>Controle!P324</f>
        <v/>
      </c>
      <c r="Q324" s="235" t="str">
        <f>Controle!Q324</f>
        <v/>
      </c>
      <c r="R324" s="303" t="str">
        <f>Controle!R324</f>
        <v/>
      </c>
      <c r="S324" s="287"/>
      <c r="T324" s="301"/>
      <c r="U324" s="301"/>
      <c r="V324" s="301"/>
      <c r="W324" s="294"/>
      <c r="X324" s="294"/>
      <c r="Y324" s="294"/>
      <c r="Z324" s="294"/>
      <c r="AA324" s="294"/>
      <c r="AB324" s="253"/>
      <c r="AC324" s="2"/>
      <c r="AD324" s="253"/>
      <c r="AE324" s="253"/>
      <c r="AF324" s="253"/>
      <c r="AG324" s="253"/>
      <c r="AH324" s="253"/>
      <c r="AI324" s="2"/>
      <c r="AJ324" s="253"/>
      <c r="AK324" s="253"/>
      <c r="AL324" s="253"/>
      <c r="AM324" s="253"/>
      <c r="AN324" s="253"/>
      <c r="AO324" s="2"/>
      <c r="AP324" s="253"/>
      <c r="AQ324" s="253"/>
      <c r="AR324" s="253"/>
      <c r="AS324" s="253"/>
      <c r="AT324" s="253"/>
      <c r="AU324" s="2"/>
      <c r="AV324" s="253"/>
      <c r="AW324" s="253"/>
      <c r="AX324" s="253"/>
      <c r="AY324" s="253"/>
    </row>
    <row r="325" ht="15.75" customHeight="1">
      <c r="A325" s="2"/>
      <c r="B325" s="288" t="str">
        <f>Controle!B325</f>
        <v/>
      </c>
      <c r="C325" s="233" t="str">
        <f>Controle!C325</f>
        <v/>
      </c>
      <c r="D325" s="289" t="str">
        <f>Controle!D325</f>
        <v/>
      </c>
      <c r="E325" s="290"/>
      <c r="F325" s="291" t="str">
        <f>Controle!F325</f>
        <v/>
      </c>
      <c r="G325" s="289" t="str">
        <f>Controle!G325</f>
        <v/>
      </c>
      <c r="H325" s="290"/>
      <c r="I325" s="291" t="str">
        <f>Controle!I325</f>
        <v/>
      </c>
      <c r="J325" s="233" t="str">
        <f>Controle!J325</f>
        <v/>
      </c>
      <c r="K325" s="292"/>
      <c r="L325" s="233" t="str">
        <f>Controle!L325</f>
        <v/>
      </c>
      <c r="M325" s="233" t="str">
        <f>Controle!M325</f>
        <v/>
      </c>
      <c r="N325" s="235" t="str">
        <f>Controle!N325</f>
        <v/>
      </c>
      <c r="O325" s="235" t="str">
        <f>Controle!O325</f>
        <v/>
      </c>
      <c r="P325" s="235" t="str">
        <f>Controle!P325</f>
        <v/>
      </c>
      <c r="Q325" s="235" t="str">
        <f>Controle!Q325</f>
        <v/>
      </c>
      <c r="R325" s="303" t="str">
        <f>Controle!R325</f>
        <v/>
      </c>
      <c r="S325" s="287"/>
      <c r="T325" s="301"/>
      <c r="U325" s="301"/>
      <c r="V325" s="301"/>
      <c r="W325" s="294"/>
      <c r="X325" s="294"/>
      <c r="Y325" s="294"/>
      <c r="Z325" s="294"/>
      <c r="AA325" s="294"/>
      <c r="AB325" s="253"/>
      <c r="AC325" s="2"/>
      <c r="AD325" s="253"/>
      <c r="AE325" s="253"/>
      <c r="AF325" s="253"/>
      <c r="AG325" s="253"/>
      <c r="AH325" s="253"/>
      <c r="AI325" s="2"/>
      <c r="AJ325" s="253"/>
      <c r="AK325" s="253"/>
      <c r="AL325" s="253"/>
      <c r="AM325" s="253"/>
      <c r="AN325" s="253"/>
      <c r="AO325" s="2"/>
      <c r="AP325" s="253"/>
      <c r="AQ325" s="253"/>
      <c r="AR325" s="253"/>
      <c r="AS325" s="253"/>
      <c r="AT325" s="253"/>
      <c r="AU325" s="2"/>
      <c r="AV325" s="253"/>
      <c r="AW325" s="253"/>
      <c r="AX325" s="253"/>
      <c r="AY325" s="253"/>
    </row>
    <row r="326" ht="15.75" customHeight="1">
      <c r="A326" s="2"/>
      <c r="B326" s="288" t="str">
        <f>Controle!B326</f>
        <v/>
      </c>
      <c r="C326" s="233" t="str">
        <f>Controle!C326</f>
        <v/>
      </c>
      <c r="D326" s="289" t="str">
        <f>Controle!D326</f>
        <v/>
      </c>
      <c r="E326" s="290"/>
      <c r="F326" s="291" t="str">
        <f>Controle!F326</f>
        <v/>
      </c>
      <c r="G326" s="289" t="str">
        <f>Controle!G326</f>
        <v/>
      </c>
      <c r="H326" s="290"/>
      <c r="I326" s="291" t="str">
        <f>Controle!I326</f>
        <v/>
      </c>
      <c r="J326" s="233" t="str">
        <f>Controle!J326</f>
        <v/>
      </c>
      <c r="K326" s="292"/>
      <c r="L326" s="233" t="str">
        <f>Controle!L326</f>
        <v/>
      </c>
      <c r="M326" s="233" t="str">
        <f>Controle!M326</f>
        <v/>
      </c>
      <c r="N326" s="235" t="str">
        <f>Controle!N326</f>
        <v/>
      </c>
      <c r="O326" s="235" t="str">
        <f>Controle!O326</f>
        <v/>
      </c>
      <c r="P326" s="235" t="str">
        <f>Controle!P326</f>
        <v/>
      </c>
      <c r="Q326" s="235" t="str">
        <f>Controle!Q326</f>
        <v/>
      </c>
      <c r="R326" s="303" t="str">
        <f>Controle!R326</f>
        <v/>
      </c>
      <c r="S326" s="287"/>
      <c r="T326" s="301"/>
      <c r="U326" s="301"/>
      <c r="V326" s="301"/>
      <c r="W326" s="294"/>
      <c r="X326" s="294"/>
      <c r="Y326" s="294"/>
      <c r="Z326" s="294"/>
      <c r="AA326" s="294"/>
      <c r="AB326" s="253"/>
      <c r="AC326" s="2"/>
      <c r="AD326" s="253"/>
      <c r="AE326" s="253"/>
      <c r="AF326" s="253"/>
      <c r="AG326" s="253"/>
      <c r="AH326" s="253"/>
      <c r="AI326" s="2"/>
      <c r="AJ326" s="253"/>
      <c r="AK326" s="253"/>
      <c r="AL326" s="253"/>
      <c r="AM326" s="253"/>
      <c r="AN326" s="253"/>
      <c r="AO326" s="2"/>
      <c r="AP326" s="253"/>
      <c r="AQ326" s="253"/>
      <c r="AR326" s="253"/>
      <c r="AS326" s="253"/>
      <c r="AT326" s="253"/>
      <c r="AU326" s="2"/>
      <c r="AV326" s="253"/>
      <c r="AW326" s="253"/>
      <c r="AX326" s="253"/>
      <c r="AY326" s="253"/>
    </row>
    <row r="327" ht="15.75" customHeight="1">
      <c r="A327" s="2"/>
      <c r="B327" s="288" t="str">
        <f>Controle!B327</f>
        <v/>
      </c>
      <c r="C327" s="233" t="str">
        <f>Controle!C327</f>
        <v/>
      </c>
      <c r="D327" s="289" t="str">
        <f>Controle!D327</f>
        <v/>
      </c>
      <c r="E327" s="290"/>
      <c r="F327" s="291" t="str">
        <f>Controle!F327</f>
        <v/>
      </c>
      <c r="G327" s="289" t="str">
        <f>Controle!G327</f>
        <v/>
      </c>
      <c r="H327" s="290"/>
      <c r="I327" s="291" t="str">
        <f>Controle!I327</f>
        <v/>
      </c>
      <c r="J327" s="233" t="str">
        <f>Controle!J327</f>
        <v/>
      </c>
      <c r="K327" s="292"/>
      <c r="L327" s="233" t="str">
        <f>Controle!L327</f>
        <v/>
      </c>
      <c r="M327" s="233" t="str">
        <f>Controle!M327</f>
        <v/>
      </c>
      <c r="N327" s="235" t="str">
        <f>Controle!N327</f>
        <v/>
      </c>
      <c r="O327" s="235" t="str">
        <f>Controle!O327</f>
        <v/>
      </c>
      <c r="P327" s="235" t="str">
        <f>Controle!P327</f>
        <v/>
      </c>
      <c r="Q327" s="235" t="str">
        <f>Controle!Q327</f>
        <v/>
      </c>
      <c r="R327" s="303" t="str">
        <f>Controle!R327</f>
        <v/>
      </c>
      <c r="S327" s="287"/>
      <c r="T327" s="301"/>
      <c r="U327" s="301"/>
      <c r="V327" s="301"/>
      <c r="W327" s="294"/>
      <c r="X327" s="294"/>
      <c r="Y327" s="294"/>
      <c r="Z327" s="294"/>
      <c r="AA327" s="294"/>
      <c r="AB327" s="253"/>
      <c r="AC327" s="2"/>
      <c r="AD327" s="253"/>
      <c r="AE327" s="253"/>
      <c r="AF327" s="253"/>
      <c r="AG327" s="253"/>
      <c r="AH327" s="253"/>
      <c r="AI327" s="2"/>
      <c r="AJ327" s="253"/>
      <c r="AK327" s="253"/>
      <c r="AL327" s="253"/>
      <c r="AM327" s="253"/>
      <c r="AN327" s="253"/>
      <c r="AO327" s="2"/>
      <c r="AP327" s="253"/>
      <c r="AQ327" s="253"/>
      <c r="AR327" s="253"/>
      <c r="AS327" s="253"/>
      <c r="AT327" s="253"/>
      <c r="AU327" s="2"/>
      <c r="AV327" s="253"/>
      <c r="AW327" s="253"/>
      <c r="AX327" s="253"/>
      <c r="AY327" s="253"/>
    </row>
    <row r="328" ht="15.75" customHeight="1">
      <c r="A328" s="2"/>
      <c r="B328" s="288" t="str">
        <f>Controle!B328</f>
        <v/>
      </c>
      <c r="C328" s="233" t="str">
        <f>Controle!C328</f>
        <v/>
      </c>
      <c r="D328" s="289" t="str">
        <f>Controle!D328</f>
        <v/>
      </c>
      <c r="E328" s="290"/>
      <c r="F328" s="291" t="str">
        <f>Controle!F328</f>
        <v/>
      </c>
      <c r="G328" s="289" t="str">
        <f>Controle!G328</f>
        <v/>
      </c>
      <c r="H328" s="290"/>
      <c r="I328" s="291" t="str">
        <f>Controle!I328</f>
        <v/>
      </c>
      <c r="J328" s="233" t="str">
        <f>Controle!J328</f>
        <v/>
      </c>
      <c r="K328" s="292"/>
      <c r="L328" s="233" t="str">
        <f>Controle!L328</f>
        <v/>
      </c>
      <c r="M328" s="233" t="str">
        <f>Controle!M328</f>
        <v/>
      </c>
      <c r="N328" s="235" t="str">
        <f>Controle!N328</f>
        <v/>
      </c>
      <c r="O328" s="235" t="str">
        <f>Controle!O328</f>
        <v/>
      </c>
      <c r="P328" s="235" t="str">
        <f>Controle!P328</f>
        <v/>
      </c>
      <c r="Q328" s="235" t="str">
        <f>Controle!Q328</f>
        <v/>
      </c>
      <c r="R328" s="303" t="str">
        <f>Controle!R328</f>
        <v/>
      </c>
      <c r="S328" s="287"/>
      <c r="T328" s="301"/>
      <c r="U328" s="301"/>
      <c r="V328" s="301"/>
      <c r="W328" s="294"/>
      <c r="X328" s="294"/>
      <c r="Y328" s="294"/>
      <c r="Z328" s="294"/>
      <c r="AA328" s="294"/>
      <c r="AB328" s="253"/>
      <c r="AC328" s="2"/>
      <c r="AD328" s="253"/>
      <c r="AE328" s="253"/>
      <c r="AF328" s="253"/>
      <c r="AG328" s="253"/>
      <c r="AH328" s="253"/>
      <c r="AI328" s="2"/>
      <c r="AJ328" s="253"/>
      <c r="AK328" s="253"/>
      <c r="AL328" s="253"/>
      <c r="AM328" s="253"/>
      <c r="AN328" s="253"/>
      <c r="AO328" s="2"/>
      <c r="AP328" s="253"/>
      <c r="AQ328" s="253"/>
      <c r="AR328" s="253"/>
      <c r="AS328" s="253"/>
      <c r="AT328" s="253"/>
      <c r="AU328" s="2"/>
      <c r="AV328" s="253"/>
      <c r="AW328" s="253"/>
      <c r="AX328" s="253"/>
      <c r="AY328" s="253"/>
    </row>
    <row r="329" ht="15.75" customHeight="1">
      <c r="A329" s="2"/>
      <c r="B329" s="288" t="str">
        <f>Controle!B329</f>
        <v/>
      </c>
      <c r="C329" s="233" t="str">
        <f>Controle!C329</f>
        <v/>
      </c>
      <c r="D329" s="289" t="str">
        <f>Controle!D329</f>
        <v/>
      </c>
      <c r="E329" s="290"/>
      <c r="F329" s="291" t="str">
        <f>Controle!F329</f>
        <v/>
      </c>
      <c r="G329" s="289" t="str">
        <f>Controle!G329</f>
        <v/>
      </c>
      <c r="H329" s="290"/>
      <c r="I329" s="291" t="str">
        <f>Controle!I329</f>
        <v/>
      </c>
      <c r="J329" s="233" t="str">
        <f>Controle!J329</f>
        <v/>
      </c>
      <c r="K329" s="292"/>
      <c r="L329" s="233" t="str">
        <f>Controle!L329</f>
        <v/>
      </c>
      <c r="M329" s="233" t="str">
        <f>Controle!M329</f>
        <v/>
      </c>
      <c r="N329" s="235" t="str">
        <f>Controle!N329</f>
        <v/>
      </c>
      <c r="O329" s="235" t="str">
        <f>Controle!O329</f>
        <v/>
      </c>
      <c r="P329" s="235" t="str">
        <f>Controle!P329</f>
        <v/>
      </c>
      <c r="Q329" s="235" t="str">
        <f>Controle!Q329</f>
        <v/>
      </c>
      <c r="R329" s="303" t="str">
        <f>Controle!R329</f>
        <v/>
      </c>
      <c r="S329" s="287"/>
      <c r="T329" s="301"/>
      <c r="U329" s="301"/>
      <c r="V329" s="301"/>
      <c r="W329" s="294"/>
      <c r="X329" s="294"/>
      <c r="Y329" s="294"/>
      <c r="Z329" s="294"/>
      <c r="AA329" s="294"/>
      <c r="AB329" s="253"/>
      <c r="AC329" s="2"/>
      <c r="AD329" s="253"/>
      <c r="AE329" s="253"/>
      <c r="AF329" s="253"/>
      <c r="AG329" s="253"/>
      <c r="AH329" s="253"/>
      <c r="AI329" s="2"/>
      <c r="AJ329" s="253"/>
      <c r="AK329" s="253"/>
      <c r="AL329" s="253"/>
      <c r="AM329" s="253"/>
      <c r="AN329" s="253"/>
      <c r="AO329" s="2"/>
      <c r="AP329" s="253"/>
      <c r="AQ329" s="253"/>
      <c r="AR329" s="253"/>
      <c r="AS329" s="253"/>
      <c r="AT329" s="253"/>
      <c r="AU329" s="2"/>
      <c r="AV329" s="253"/>
      <c r="AW329" s="253"/>
      <c r="AX329" s="253"/>
      <c r="AY329" s="253"/>
    </row>
    <row r="330" ht="15.75" customHeight="1">
      <c r="A330" s="2"/>
      <c r="B330" s="288" t="str">
        <f>Controle!B330</f>
        <v/>
      </c>
      <c r="C330" s="233" t="str">
        <f>Controle!C330</f>
        <v/>
      </c>
      <c r="D330" s="289" t="str">
        <f>Controle!D330</f>
        <v/>
      </c>
      <c r="E330" s="290"/>
      <c r="F330" s="291" t="str">
        <f>Controle!F330</f>
        <v/>
      </c>
      <c r="G330" s="289" t="str">
        <f>Controle!G330</f>
        <v/>
      </c>
      <c r="H330" s="290"/>
      <c r="I330" s="291" t="str">
        <f>Controle!I330</f>
        <v/>
      </c>
      <c r="J330" s="233" t="str">
        <f>Controle!J330</f>
        <v/>
      </c>
      <c r="K330" s="292"/>
      <c r="L330" s="233" t="str">
        <f>Controle!L330</f>
        <v/>
      </c>
      <c r="M330" s="233" t="str">
        <f>Controle!M330</f>
        <v/>
      </c>
      <c r="N330" s="235" t="str">
        <f>Controle!N330</f>
        <v/>
      </c>
      <c r="O330" s="235" t="str">
        <f>Controle!O330</f>
        <v/>
      </c>
      <c r="P330" s="235" t="str">
        <f>Controle!P330</f>
        <v/>
      </c>
      <c r="Q330" s="235" t="str">
        <f>Controle!Q330</f>
        <v/>
      </c>
      <c r="R330" s="303" t="str">
        <f>Controle!R330</f>
        <v/>
      </c>
      <c r="S330" s="287"/>
      <c r="T330" s="301"/>
      <c r="U330" s="301"/>
      <c r="V330" s="301"/>
      <c r="W330" s="294"/>
      <c r="X330" s="294"/>
      <c r="Y330" s="294"/>
      <c r="Z330" s="294"/>
      <c r="AA330" s="294"/>
      <c r="AB330" s="253"/>
      <c r="AC330" s="2"/>
      <c r="AD330" s="253"/>
      <c r="AE330" s="253"/>
      <c r="AF330" s="253"/>
      <c r="AG330" s="253"/>
      <c r="AH330" s="253"/>
      <c r="AI330" s="2"/>
      <c r="AJ330" s="253"/>
      <c r="AK330" s="253"/>
      <c r="AL330" s="253"/>
      <c r="AM330" s="253"/>
      <c r="AN330" s="253"/>
      <c r="AO330" s="2"/>
      <c r="AP330" s="253"/>
      <c r="AQ330" s="253"/>
      <c r="AR330" s="253"/>
      <c r="AS330" s="253"/>
      <c r="AT330" s="253"/>
      <c r="AU330" s="2"/>
      <c r="AV330" s="253"/>
      <c r="AW330" s="253"/>
      <c r="AX330" s="253"/>
      <c r="AY330" s="253"/>
    </row>
    <row r="331" ht="15.75" customHeight="1">
      <c r="A331" s="2"/>
      <c r="B331" s="288" t="str">
        <f>Controle!B331</f>
        <v/>
      </c>
      <c r="C331" s="233" t="str">
        <f>Controle!C331</f>
        <v/>
      </c>
      <c r="D331" s="289" t="str">
        <f>Controle!D331</f>
        <v/>
      </c>
      <c r="E331" s="290"/>
      <c r="F331" s="291" t="str">
        <f>Controle!F331</f>
        <v/>
      </c>
      <c r="G331" s="289" t="str">
        <f>Controle!G331</f>
        <v/>
      </c>
      <c r="H331" s="290"/>
      <c r="I331" s="291" t="str">
        <f>Controle!I331</f>
        <v/>
      </c>
      <c r="J331" s="233" t="str">
        <f>Controle!J331</f>
        <v/>
      </c>
      <c r="K331" s="292"/>
      <c r="L331" s="233" t="str">
        <f>Controle!L331</f>
        <v/>
      </c>
      <c r="M331" s="233" t="str">
        <f>Controle!M331</f>
        <v/>
      </c>
      <c r="N331" s="235" t="str">
        <f>Controle!N331</f>
        <v/>
      </c>
      <c r="O331" s="235" t="str">
        <f>Controle!O331</f>
        <v/>
      </c>
      <c r="P331" s="235" t="str">
        <f>Controle!P331</f>
        <v/>
      </c>
      <c r="Q331" s="235" t="str">
        <f>Controle!Q331</f>
        <v/>
      </c>
      <c r="R331" s="303" t="str">
        <f>Controle!R331</f>
        <v/>
      </c>
      <c r="S331" s="287"/>
      <c r="T331" s="301"/>
      <c r="U331" s="301"/>
      <c r="V331" s="301"/>
      <c r="W331" s="294"/>
      <c r="X331" s="294"/>
      <c r="Y331" s="294"/>
      <c r="Z331" s="294"/>
      <c r="AA331" s="294"/>
      <c r="AB331" s="253"/>
      <c r="AC331" s="2"/>
      <c r="AD331" s="253"/>
      <c r="AE331" s="253"/>
      <c r="AF331" s="253"/>
      <c r="AG331" s="253"/>
      <c r="AH331" s="253"/>
      <c r="AI331" s="2"/>
      <c r="AJ331" s="253"/>
      <c r="AK331" s="253"/>
      <c r="AL331" s="253"/>
      <c r="AM331" s="253"/>
      <c r="AN331" s="253"/>
      <c r="AO331" s="2"/>
      <c r="AP331" s="253"/>
      <c r="AQ331" s="253"/>
      <c r="AR331" s="253"/>
      <c r="AS331" s="253"/>
      <c r="AT331" s="253"/>
      <c r="AU331" s="2"/>
      <c r="AV331" s="253"/>
      <c r="AW331" s="253"/>
      <c r="AX331" s="253"/>
      <c r="AY331" s="253"/>
    </row>
    <row r="332" ht="15.75" customHeight="1">
      <c r="A332" s="2"/>
      <c r="B332" s="288" t="str">
        <f>Controle!B332</f>
        <v/>
      </c>
      <c r="C332" s="233" t="str">
        <f>Controle!C332</f>
        <v/>
      </c>
      <c r="D332" s="289" t="str">
        <f>Controle!D332</f>
        <v/>
      </c>
      <c r="E332" s="290"/>
      <c r="F332" s="291" t="str">
        <f>Controle!F332</f>
        <v/>
      </c>
      <c r="G332" s="289" t="str">
        <f>Controle!G332</f>
        <v/>
      </c>
      <c r="H332" s="290"/>
      <c r="I332" s="291" t="str">
        <f>Controle!I332</f>
        <v/>
      </c>
      <c r="J332" s="233" t="str">
        <f>Controle!J332</f>
        <v/>
      </c>
      <c r="K332" s="292"/>
      <c r="L332" s="233" t="str">
        <f>Controle!L332</f>
        <v/>
      </c>
      <c r="M332" s="233" t="str">
        <f>Controle!M332</f>
        <v/>
      </c>
      <c r="N332" s="235" t="str">
        <f>Controle!N332</f>
        <v/>
      </c>
      <c r="O332" s="235" t="str">
        <f>Controle!O332</f>
        <v/>
      </c>
      <c r="P332" s="235" t="str">
        <f>Controle!P332</f>
        <v/>
      </c>
      <c r="Q332" s="235" t="str">
        <f>Controle!Q332</f>
        <v/>
      </c>
      <c r="R332" s="303" t="str">
        <f>Controle!R332</f>
        <v/>
      </c>
      <c r="S332" s="287"/>
      <c r="T332" s="301"/>
      <c r="U332" s="301"/>
      <c r="V332" s="301"/>
      <c r="W332" s="294"/>
      <c r="X332" s="294"/>
      <c r="Y332" s="294"/>
      <c r="Z332" s="294"/>
      <c r="AA332" s="294"/>
      <c r="AB332" s="253"/>
      <c r="AC332" s="2"/>
      <c r="AD332" s="253"/>
      <c r="AE332" s="253"/>
      <c r="AF332" s="253"/>
      <c r="AG332" s="253"/>
      <c r="AH332" s="253"/>
      <c r="AI332" s="2"/>
      <c r="AJ332" s="253"/>
      <c r="AK332" s="253"/>
      <c r="AL332" s="253"/>
      <c r="AM332" s="253"/>
      <c r="AN332" s="253"/>
      <c r="AO332" s="2"/>
      <c r="AP332" s="253"/>
      <c r="AQ332" s="253"/>
      <c r="AR332" s="253"/>
      <c r="AS332" s="253"/>
      <c r="AT332" s="253"/>
      <c r="AU332" s="2"/>
      <c r="AV332" s="253"/>
      <c r="AW332" s="253"/>
      <c r="AX332" s="253"/>
      <c r="AY332" s="253"/>
    </row>
    <row r="333" ht="15.75" customHeight="1">
      <c r="A333" s="2"/>
      <c r="B333" s="288" t="str">
        <f>Controle!B333</f>
        <v/>
      </c>
      <c r="C333" s="233" t="str">
        <f>Controle!C333</f>
        <v/>
      </c>
      <c r="D333" s="289" t="str">
        <f>Controle!D333</f>
        <v/>
      </c>
      <c r="E333" s="290"/>
      <c r="F333" s="291" t="str">
        <f>Controle!F333</f>
        <v/>
      </c>
      <c r="G333" s="289" t="str">
        <f>Controle!G333</f>
        <v/>
      </c>
      <c r="H333" s="290"/>
      <c r="I333" s="291" t="str">
        <f>Controle!I333</f>
        <v/>
      </c>
      <c r="J333" s="233" t="str">
        <f>Controle!J333</f>
        <v/>
      </c>
      <c r="K333" s="292"/>
      <c r="L333" s="233" t="str">
        <f>Controle!L333</f>
        <v/>
      </c>
      <c r="M333" s="233" t="str">
        <f>Controle!M333</f>
        <v/>
      </c>
      <c r="N333" s="235" t="str">
        <f>Controle!N333</f>
        <v/>
      </c>
      <c r="O333" s="235" t="str">
        <f>Controle!O333</f>
        <v/>
      </c>
      <c r="P333" s="235" t="str">
        <f>Controle!P333</f>
        <v/>
      </c>
      <c r="Q333" s="235" t="str">
        <f>Controle!Q333</f>
        <v/>
      </c>
      <c r="R333" s="303" t="str">
        <f>Controle!R333</f>
        <v/>
      </c>
      <c r="S333" s="287"/>
      <c r="T333" s="301"/>
      <c r="U333" s="301"/>
      <c r="V333" s="301"/>
      <c r="W333" s="294"/>
      <c r="X333" s="294"/>
      <c r="Y333" s="294"/>
      <c r="Z333" s="294"/>
      <c r="AA333" s="294"/>
      <c r="AB333" s="253"/>
      <c r="AC333" s="2"/>
      <c r="AD333" s="253"/>
      <c r="AE333" s="253"/>
      <c r="AF333" s="253"/>
      <c r="AG333" s="253"/>
      <c r="AH333" s="253"/>
      <c r="AI333" s="2"/>
      <c r="AJ333" s="253"/>
      <c r="AK333" s="253"/>
      <c r="AL333" s="253"/>
      <c r="AM333" s="253"/>
      <c r="AN333" s="253"/>
      <c r="AO333" s="2"/>
      <c r="AP333" s="253"/>
      <c r="AQ333" s="253"/>
      <c r="AR333" s="253"/>
      <c r="AS333" s="253"/>
      <c r="AT333" s="253"/>
      <c r="AU333" s="2"/>
      <c r="AV333" s="253"/>
      <c r="AW333" s="253"/>
      <c r="AX333" s="253"/>
      <c r="AY333" s="253"/>
    </row>
    <row r="334" ht="15.75" customHeight="1">
      <c r="A334" s="2"/>
      <c r="B334" s="288" t="str">
        <f>Controle!B334</f>
        <v/>
      </c>
      <c r="C334" s="233" t="str">
        <f>Controle!C334</f>
        <v/>
      </c>
      <c r="D334" s="289" t="str">
        <f>Controle!D334</f>
        <v/>
      </c>
      <c r="E334" s="290"/>
      <c r="F334" s="291" t="str">
        <f>Controle!F334</f>
        <v/>
      </c>
      <c r="G334" s="289" t="str">
        <f>Controle!G334</f>
        <v/>
      </c>
      <c r="H334" s="290"/>
      <c r="I334" s="291" t="str">
        <f>Controle!I334</f>
        <v/>
      </c>
      <c r="J334" s="233" t="str">
        <f>Controle!J334</f>
        <v/>
      </c>
      <c r="K334" s="292"/>
      <c r="L334" s="233" t="str">
        <f>Controle!L334</f>
        <v/>
      </c>
      <c r="M334" s="233" t="str">
        <f>Controle!M334</f>
        <v/>
      </c>
      <c r="N334" s="235" t="str">
        <f>Controle!N334</f>
        <v/>
      </c>
      <c r="O334" s="235" t="str">
        <f>Controle!O334</f>
        <v/>
      </c>
      <c r="P334" s="235" t="str">
        <f>Controle!P334</f>
        <v/>
      </c>
      <c r="Q334" s="235" t="str">
        <f>Controle!Q334</f>
        <v/>
      </c>
      <c r="R334" s="303" t="str">
        <f>Controle!R334</f>
        <v/>
      </c>
      <c r="S334" s="287"/>
      <c r="T334" s="301"/>
      <c r="U334" s="301"/>
      <c r="V334" s="301"/>
      <c r="W334" s="294"/>
      <c r="X334" s="294"/>
      <c r="Y334" s="294"/>
      <c r="Z334" s="294"/>
      <c r="AA334" s="294"/>
      <c r="AB334" s="253"/>
      <c r="AC334" s="2"/>
      <c r="AD334" s="253"/>
      <c r="AE334" s="253"/>
      <c r="AF334" s="253"/>
      <c r="AG334" s="253"/>
      <c r="AH334" s="253"/>
      <c r="AI334" s="2"/>
      <c r="AJ334" s="253"/>
      <c r="AK334" s="253"/>
      <c r="AL334" s="253"/>
      <c r="AM334" s="253"/>
      <c r="AN334" s="253"/>
      <c r="AO334" s="2"/>
      <c r="AP334" s="253"/>
      <c r="AQ334" s="253"/>
      <c r="AR334" s="253"/>
      <c r="AS334" s="253"/>
      <c r="AT334" s="253"/>
      <c r="AU334" s="2"/>
      <c r="AV334" s="253"/>
      <c r="AW334" s="253"/>
      <c r="AX334" s="253"/>
      <c r="AY334" s="253"/>
    </row>
    <row r="335" ht="15.75" customHeight="1">
      <c r="A335" s="2"/>
      <c r="B335" s="288" t="str">
        <f>Controle!B335</f>
        <v/>
      </c>
      <c r="C335" s="233" t="str">
        <f>Controle!C335</f>
        <v/>
      </c>
      <c r="D335" s="289" t="str">
        <f>Controle!D335</f>
        <v/>
      </c>
      <c r="E335" s="290"/>
      <c r="F335" s="291" t="str">
        <f>Controle!F335</f>
        <v/>
      </c>
      <c r="G335" s="289" t="str">
        <f>Controle!G335</f>
        <v/>
      </c>
      <c r="H335" s="290"/>
      <c r="I335" s="291" t="str">
        <f>Controle!I335</f>
        <v/>
      </c>
      <c r="J335" s="233" t="str">
        <f>Controle!J335</f>
        <v/>
      </c>
      <c r="K335" s="292"/>
      <c r="L335" s="233" t="str">
        <f>Controle!L335</f>
        <v/>
      </c>
      <c r="M335" s="233" t="str">
        <f>Controle!M335</f>
        <v/>
      </c>
      <c r="N335" s="235" t="str">
        <f>Controle!N335</f>
        <v/>
      </c>
      <c r="O335" s="235" t="str">
        <f>Controle!O335</f>
        <v/>
      </c>
      <c r="P335" s="235" t="str">
        <f>Controle!P335</f>
        <v/>
      </c>
      <c r="Q335" s="235" t="str">
        <f>Controle!Q335</f>
        <v/>
      </c>
      <c r="R335" s="303" t="str">
        <f>Controle!R335</f>
        <v/>
      </c>
      <c r="S335" s="287"/>
      <c r="T335" s="301"/>
      <c r="U335" s="301"/>
      <c r="V335" s="301"/>
      <c r="W335" s="294"/>
      <c r="X335" s="294"/>
      <c r="Y335" s="294"/>
      <c r="Z335" s="294"/>
      <c r="AA335" s="294"/>
      <c r="AB335" s="253"/>
      <c r="AC335" s="2"/>
      <c r="AD335" s="253"/>
      <c r="AE335" s="253"/>
      <c r="AF335" s="253"/>
      <c r="AG335" s="253"/>
      <c r="AH335" s="253"/>
      <c r="AI335" s="2"/>
      <c r="AJ335" s="253"/>
      <c r="AK335" s="253"/>
      <c r="AL335" s="253"/>
      <c r="AM335" s="253"/>
      <c r="AN335" s="253"/>
      <c r="AO335" s="2"/>
      <c r="AP335" s="253"/>
      <c r="AQ335" s="253"/>
      <c r="AR335" s="253"/>
      <c r="AS335" s="253"/>
      <c r="AT335" s="253"/>
      <c r="AU335" s="2"/>
      <c r="AV335" s="253"/>
      <c r="AW335" s="253"/>
      <c r="AX335" s="253"/>
      <c r="AY335" s="253"/>
    </row>
    <row r="336" ht="15.75" customHeight="1">
      <c r="A336" s="2"/>
      <c r="B336" s="288" t="str">
        <f>Controle!B336</f>
        <v/>
      </c>
      <c r="C336" s="233" t="str">
        <f>Controle!C336</f>
        <v/>
      </c>
      <c r="D336" s="289" t="str">
        <f>Controle!D336</f>
        <v/>
      </c>
      <c r="E336" s="290"/>
      <c r="F336" s="291" t="str">
        <f>Controle!F336</f>
        <v/>
      </c>
      <c r="G336" s="289" t="str">
        <f>Controle!G336</f>
        <v/>
      </c>
      <c r="H336" s="290"/>
      <c r="I336" s="291" t="str">
        <f>Controle!I336</f>
        <v/>
      </c>
      <c r="J336" s="233" t="str">
        <f>Controle!J336</f>
        <v/>
      </c>
      <c r="K336" s="292"/>
      <c r="L336" s="233" t="str">
        <f>Controle!L336</f>
        <v/>
      </c>
      <c r="M336" s="233" t="str">
        <f>Controle!M336</f>
        <v/>
      </c>
      <c r="N336" s="235" t="str">
        <f>Controle!N336</f>
        <v/>
      </c>
      <c r="O336" s="235" t="str">
        <f>Controle!O336</f>
        <v/>
      </c>
      <c r="P336" s="235" t="str">
        <f>Controle!P336</f>
        <v/>
      </c>
      <c r="Q336" s="235" t="str">
        <f>Controle!Q336</f>
        <v/>
      </c>
      <c r="R336" s="303" t="str">
        <f>Controle!R336</f>
        <v/>
      </c>
      <c r="S336" s="287"/>
      <c r="T336" s="301"/>
      <c r="U336" s="301"/>
      <c r="V336" s="301"/>
      <c r="W336" s="294"/>
      <c r="X336" s="294"/>
      <c r="Y336" s="294"/>
      <c r="Z336" s="294"/>
      <c r="AA336" s="294"/>
      <c r="AB336" s="253"/>
      <c r="AC336" s="2"/>
      <c r="AD336" s="253"/>
      <c r="AE336" s="253"/>
      <c r="AF336" s="253"/>
      <c r="AG336" s="253"/>
      <c r="AH336" s="253"/>
      <c r="AI336" s="2"/>
      <c r="AJ336" s="253"/>
      <c r="AK336" s="253"/>
      <c r="AL336" s="253"/>
      <c r="AM336" s="253"/>
      <c r="AN336" s="253"/>
      <c r="AO336" s="2"/>
      <c r="AP336" s="253"/>
      <c r="AQ336" s="253"/>
      <c r="AR336" s="253"/>
      <c r="AS336" s="253"/>
      <c r="AT336" s="253"/>
      <c r="AU336" s="2"/>
      <c r="AV336" s="253"/>
      <c r="AW336" s="253"/>
      <c r="AX336" s="253"/>
      <c r="AY336" s="253"/>
    </row>
    <row r="337" ht="15.75" customHeight="1">
      <c r="A337" s="2"/>
      <c r="B337" s="288" t="str">
        <f>Controle!B337</f>
        <v/>
      </c>
      <c r="C337" s="233" t="str">
        <f>Controle!C337</f>
        <v/>
      </c>
      <c r="D337" s="289" t="str">
        <f>Controle!D337</f>
        <v/>
      </c>
      <c r="E337" s="290"/>
      <c r="F337" s="291" t="str">
        <f>Controle!F337</f>
        <v/>
      </c>
      <c r="G337" s="289" t="str">
        <f>Controle!G337</f>
        <v/>
      </c>
      <c r="H337" s="290"/>
      <c r="I337" s="291" t="str">
        <f>Controle!I337</f>
        <v/>
      </c>
      <c r="J337" s="233" t="str">
        <f>Controle!J337</f>
        <v/>
      </c>
      <c r="K337" s="292"/>
      <c r="L337" s="233" t="str">
        <f>Controle!L337</f>
        <v/>
      </c>
      <c r="M337" s="233" t="str">
        <f>Controle!M337</f>
        <v/>
      </c>
      <c r="N337" s="235" t="str">
        <f>Controle!N337</f>
        <v/>
      </c>
      <c r="O337" s="235" t="str">
        <f>Controle!O337</f>
        <v/>
      </c>
      <c r="P337" s="235" t="str">
        <f>Controle!P337</f>
        <v/>
      </c>
      <c r="Q337" s="235" t="str">
        <f>Controle!Q337</f>
        <v/>
      </c>
      <c r="R337" s="303" t="str">
        <f>Controle!R337</f>
        <v/>
      </c>
      <c r="S337" s="287"/>
      <c r="T337" s="301"/>
      <c r="U337" s="301"/>
      <c r="V337" s="301"/>
      <c r="W337" s="294"/>
      <c r="X337" s="294"/>
      <c r="Y337" s="294"/>
      <c r="Z337" s="294"/>
      <c r="AA337" s="294"/>
      <c r="AB337" s="253"/>
      <c r="AC337" s="2"/>
      <c r="AD337" s="253"/>
      <c r="AE337" s="253"/>
      <c r="AF337" s="253"/>
      <c r="AG337" s="253"/>
      <c r="AH337" s="253"/>
      <c r="AI337" s="2"/>
      <c r="AJ337" s="253"/>
      <c r="AK337" s="253"/>
      <c r="AL337" s="253"/>
      <c r="AM337" s="253"/>
      <c r="AN337" s="253"/>
      <c r="AO337" s="2"/>
      <c r="AP337" s="253"/>
      <c r="AQ337" s="253"/>
      <c r="AR337" s="253"/>
      <c r="AS337" s="253"/>
      <c r="AT337" s="253"/>
      <c r="AU337" s="2"/>
      <c r="AV337" s="253"/>
      <c r="AW337" s="253"/>
      <c r="AX337" s="253"/>
      <c r="AY337" s="253"/>
    </row>
    <row r="338" ht="15.75" customHeight="1">
      <c r="A338" s="2"/>
      <c r="B338" s="288" t="str">
        <f>Controle!B338</f>
        <v/>
      </c>
      <c r="C338" s="233" t="str">
        <f>Controle!C338</f>
        <v/>
      </c>
      <c r="D338" s="289" t="str">
        <f>Controle!D338</f>
        <v/>
      </c>
      <c r="E338" s="290"/>
      <c r="F338" s="291" t="str">
        <f>Controle!F338</f>
        <v/>
      </c>
      <c r="G338" s="289" t="str">
        <f>Controle!G338</f>
        <v/>
      </c>
      <c r="H338" s="290"/>
      <c r="I338" s="291" t="str">
        <f>Controle!I338</f>
        <v/>
      </c>
      <c r="J338" s="233" t="str">
        <f>Controle!J338</f>
        <v/>
      </c>
      <c r="K338" s="292"/>
      <c r="L338" s="233" t="str">
        <f>Controle!L338</f>
        <v/>
      </c>
      <c r="M338" s="233" t="str">
        <f>Controle!M338</f>
        <v/>
      </c>
      <c r="N338" s="235" t="str">
        <f>Controle!N338</f>
        <v/>
      </c>
      <c r="O338" s="235" t="str">
        <f>Controle!O338</f>
        <v/>
      </c>
      <c r="P338" s="235" t="str">
        <f>Controle!P338</f>
        <v/>
      </c>
      <c r="Q338" s="235" t="str">
        <f>Controle!Q338</f>
        <v/>
      </c>
      <c r="R338" s="303" t="str">
        <f>Controle!R338</f>
        <v/>
      </c>
      <c r="S338" s="287"/>
      <c r="T338" s="301"/>
      <c r="U338" s="301"/>
      <c r="V338" s="301"/>
      <c r="W338" s="294"/>
      <c r="X338" s="294"/>
      <c r="Y338" s="294"/>
      <c r="Z338" s="294"/>
      <c r="AA338" s="294"/>
      <c r="AB338" s="253"/>
      <c r="AC338" s="2"/>
      <c r="AD338" s="253"/>
      <c r="AE338" s="253"/>
      <c r="AF338" s="253"/>
      <c r="AG338" s="253"/>
      <c r="AH338" s="253"/>
      <c r="AI338" s="2"/>
      <c r="AJ338" s="253"/>
      <c r="AK338" s="253"/>
      <c r="AL338" s="253"/>
      <c r="AM338" s="253"/>
      <c r="AN338" s="253"/>
      <c r="AO338" s="2"/>
      <c r="AP338" s="253"/>
      <c r="AQ338" s="253"/>
      <c r="AR338" s="253"/>
      <c r="AS338" s="253"/>
      <c r="AT338" s="253"/>
      <c r="AU338" s="2"/>
      <c r="AV338" s="253"/>
      <c r="AW338" s="253"/>
      <c r="AX338" s="253"/>
      <c r="AY338" s="253"/>
    </row>
    <row r="339" ht="15.75" customHeight="1">
      <c r="A339" s="2"/>
      <c r="B339" s="288" t="str">
        <f>Controle!B339</f>
        <v/>
      </c>
      <c r="C339" s="233" t="str">
        <f>Controle!C339</f>
        <v/>
      </c>
      <c r="D339" s="289" t="str">
        <f>Controle!D339</f>
        <v/>
      </c>
      <c r="E339" s="290"/>
      <c r="F339" s="291" t="str">
        <f>Controle!F339</f>
        <v/>
      </c>
      <c r="G339" s="289" t="str">
        <f>Controle!G339</f>
        <v/>
      </c>
      <c r="H339" s="290"/>
      <c r="I339" s="291" t="str">
        <f>Controle!I339</f>
        <v/>
      </c>
      <c r="J339" s="233" t="str">
        <f>Controle!J339</f>
        <v/>
      </c>
      <c r="K339" s="292"/>
      <c r="L339" s="233" t="str">
        <f>Controle!L339</f>
        <v/>
      </c>
      <c r="M339" s="233" t="str">
        <f>Controle!M339</f>
        <v/>
      </c>
      <c r="N339" s="235" t="str">
        <f>Controle!N339</f>
        <v/>
      </c>
      <c r="O339" s="235" t="str">
        <f>Controle!O339</f>
        <v/>
      </c>
      <c r="P339" s="235" t="str">
        <f>Controle!P339</f>
        <v/>
      </c>
      <c r="Q339" s="235" t="str">
        <f>Controle!Q339</f>
        <v/>
      </c>
      <c r="R339" s="303" t="str">
        <f>Controle!R339</f>
        <v/>
      </c>
      <c r="S339" s="287"/>
      <c r="T339" s="301"/>
      <c r="U339" s="301"/>
      <c r="V339" s="301"/>
      <c r="W339" s="294"/>
      <c r="X339" s="294"/>
      <c r="Y339" s="294"/>
      <c r="Z339" s="294"/>
      <c r="AA339" s="294"/>
      <c r="AB339" s="253"/>
      <c r="AC339" s="2"/>
      <c r="AD339" s="253"/>
      <c r="AE339" s="253"/>
      <c r="AF339" s="253"/>
      <c r="AG339" s="253"/>
      <c r="AH339" s="253"/>
      <c r="AI339" s="2"/>
      <c r="AJ339" s="253"/>
      <c r="AK339" s="253"/>
      <c r="AL339" s="253"/>
      <c r="AM339" s="253"/>
      <c r="AN339" s="253"/>
      <c r="AO339" s="2"/>
      <c r="AP339" s="253"/>
      <c r="AQ339" s="253"/>
      <c r="AR339" s="253"/>
      <c r="AS339" s="253"/>
      <c r="AT339" s="253"/>
      <c r="AU339" s="2"/>
      <c r="AV339" s="253"/>
      <c r="AW339" s="253"/>
      <c r="AX339" s="253"/>
      <c r="AY339" s="253"/>
    </row>
    <row r="340" ht="15.75" customHeight="1">
      <c r="A340" s="2"/>
      <c r="B340" s="288" t="str">
        <f>Controle!B340</f>
        <v/>
      </c>
      <c r="C340" s="233" t="str">
        <f>Controle!C340</f>
        <v/>
      </c>
      <c r="D340" s="289" t="str">
        <f>Controle!D340</f>
        <v/>
      </c>
      <c r="E340" s="290"/>
      <c r="F340" s="291" t="str">
        <f>Controle!F340</f>
        <v/>
      </c>
      <c r="G340" s="289" t="str">
        <f>Controle!G340</f>
        <v/>
      </c>
      <c r="H340" s="290"/>
      <c r="I340" s="291" t="str">
        <f>Controle!I340</f>
        <v/>
      </c>
      <c r="J340" s="233" t="str">
        <f>Controle!J340</f>
        <v/>
      </c>
      <c r="K340" s="292"/>
      <c r="L340" s="233" t="str">
        <f>Controle!L340</f>
        <v/>
      </c>
      <c r="M340" s="233" t="str">
        <f>Controle!M340</f>
        <v/>
      </c>
      <c r="N340" s="235" t="str">
        <f>Controle!N340</f>
        <v/>
      </c>
      <c r="O340" s="235" t="str">
        <f>Controle!O340</f>
        <v/>
      </c>
      <c r="P340" s="235" t="str">
        <f>Controle!P340</f>
        <v/>
      </c>
      <c r="Q340" s="235" t="str">
        <f>Controle!Q340</f>
        <v/>
      </c>
      <c r="R340" s="303" t="str">
        <f>Controle!R340</f>
        <v/>
      </c>
      <c r="S340" s="287"/>
      <c r="T340" s="301"/>
      <c r="U340" s="301"/>
      <c r="V340" s="301"/>
      <c r="W340" s="294"/>
      <c r="X340" s="294"/>
      <c r="Y340" s="294"/>
      <c r="Z340" s="294"/>
      <c r="AA340" s="294"/>
      <c r="AB340" s="253"/>
      <c r="AC340" s="2"/>
      <c r="AD340" s="253"/>
      <c r="AE340" s="253"/>
      <c r="AF340" s="253"/>
      <c r="AG340" s="253"/>
      <c r="AH340" s="253"/>
      <c r="AI340" s="2"/>
      <c r="AJ340" s="253"/>
      <c r="AK340" s="253"/>
      <c r="AL340" s="253"/>
      <c r="AM340" s="253"/>
      <c r="AN340" s="253"/>
      <c r="AO340" s="2"/>
      <c r="AP340" s="253"/>
      <c r="AQ340" s="253"/>
      <c r="AR340" s="253"/>
      <c r="AS340" s="253"/>
      <c r="AT340" s="253"/>
      <c r="AU340" s="2"/>
      <c r="AV340" s="253"/>
      <c r="AW340" s="253"/>
      <c r="AX340" s="253"/>
      <c r="AY340" s="253"/>
    </row>
    <row r="341" ht="15.75" customHeight="1">
      <c r="A341" s="2"/>
      <c r="B341" s="288" t="str">
        <f>Controle!B341</f>
        <v/>
      </c>
      <c r="C341" s="233" t="str">
        <f>Controle!C341</f>
        <v/>
      </c>
      <c r="D341" s="289" t="str">
        <f>Controle!D341</f>
        <v/>
      </c>
      <c r="E341" s="290"/>
      <c r="F341" s="291" t="str">
        <f>Controle!F341</f>
        <v/>
      </c>
      <c r="G341" s="289" t="str">
        <f>Controle!G341</f>
        <v/>
      </c>
      <c r="H341" s="290"/>
      <c r="I341" s="291" t="str">
        <f>Controle!I341</f>
        <v/>
      </c>
      <c r="J341" s="233" t="str">
        <f>Controle!J341</f>
        <v/>
      </c>
      <c r="K341" s="292"/>
      <c r="L341" s="233" t="str">
        <f>Controle!L341</f>
        <v/>
      </c>
      <c r="M341" s="233" t="str">
        <f>Controle!M341</f>
        <v/>
      </c>
      <c r="N341" s="235" t="str">
        <f>Controle!N341</f>
        <v/>
      </c>
      <c r="O341" s="235" t="str">
        <f>Controle!O341</f>
        <v/>
      </c>
      <c r="P341" s="235" t="str">
        <f>Controle!P341</f>
        <v/>
      </c>
      <c r="Q341" s="235" t="str">
        <f>Controle!Q341</f>
        <v/>
      </c>
      <c r="R341" s="303" t="str">
        <f>Controle!R341</f>
        <v/>
      </c>
      <c r="S341" s="287"/>
      <c r="T341" s="301"/>
      <c r="U341" s="301"/>
      <c r="V341" s="301"/>
      <c r="W341" s="294"/>
      <c r="X341" s="294"/>
      <c r="Y341" s="294"/>
      <c r="Z341" s="294"/>
      <c r="AA341" s="294"/>
      <c r="AB341" s="253"/>
      <c r="AC341" s="2"/>
      <c r="AD341" s="253"/>
      <c r="AE341" s="253"/>
      <c r="AF341" s="253"/>
      <c r="AG341" s="253"/>
      <c r="AH341" s="253"/>
      <c r="AI341" s="2"/>
      <c r="AJ341" s="253"/>
      <c r="AK341" s="253"/>
      <c r="AL341" s="253"/>
      <c r="AM341" s="253"/>
      <c r="AN341" s="253"/>
      <c r="AO341" s="2"/>
      <c r="AP341" s="253"/>
      <c r="AQ341" s="253"/>
      <c r="AR341" s="253"/>
      <c r="AS341" s="253"/>
      <c r="AT341" s="253"/>
      <c r="AU341" s="2"/>
      <c r="AV341" s="253"/>
      <c r="AW341" s="253"/>
      <c r="AX341" s="253"/>
      <c r="AY341" s="253"/>
    </row>
    <row r="342" ht="15.75" customHeight="1">
      <c r="A342" s="2"/>
      <c r="B342" s="288" t="str">
        <f>Controle!B342</f>
        <v/>
      </c>
      <c r="C342" s="233" t="str">
        <f>Controle!C342</f>
        <v/>
      </c>
      <c r="D342" s="289" t="str">
        <f>Controle!D342</f>
        <v/>
      </c>
      <c r="E342" s="290"/>
      <c r="F342" s="291" t="str">
        <f>Controle!F342</f>
        <v/>
      </c>
      <c r="G342" s="289" t="str">
        <f>Controle!G342</f>
        <v/>
      </c>
      <c r="H342" s="290"/>
      <c r="I342" s="291" t="str">
        <f>Controle!I342</f>
        <v/>
      </c>
      <c r="J342" s="233" t="str">
        <f>Controle!J342</f>
        <v/>
      </c>
      <c r="K342" s="292"/>
      <c r="L342" s="233" t="str">
        <f>Controle!L342</f>
        <v/>
      </c>
      <c r="M342" s="233" t="str">
        <f>Controle!M342</f>
        <v/>
      </c>
      <c r="N342" s="235" t="str">
        <f>Controle!N342</f>
        <v/>
      </c>
      <c r="O342" s="235" t="str">
        <f>Controle!O342</f>
        <v/>
      </c>
      <c r="P342" s="235" t="str">
        <f>Controle!P342</f>
        <v/>
      </c>
      <c r="Q342" s="235" t="str">
        <f>Controle!Q342</f>
        <v/>
      </c>
      <c r="R342" s="303" t="str">
        <f>Controle!R342</f>
        <v/>
      </c>
      <c r="S342" s="287"/>
      <c r="T342" s="301"/>
      <c r="U342" s="301"/>
      <c r="V342" s="301"/>
      <c r="W342" s="294"/>
      <c r="X342" s="294"/>
      <c r="Y342" s="294"/>
      <c r="Z342" s="294"/>
      <c r="AA342" s="294"/>
      <c r="AB342" s="253"/>
      <c r="AC342" s="2"/>
      <c r="AD342" s="253"/>
      <c r="AE342" s="253"/>
      <c r="AF342" s="253"/>
      <c r="AG342" s="253"/>
      <c r="AH342" s="253"/>
      <c r="AI342" s="2"/>
      <c r="AJ342" s="253"/>
      <c r="AK342" s="253"/>
      <c r="AL342" s="253"/>
      <c r="AM342" s="253"/>
      <c r="AN342" s="253"/>
      <c r="AO342" s="2"/>
      <c r="AP342" s="253"/>
      <c r="AQ342" s="253"/>
      <c r="AR342" s="253"/>
      <c r="AS342" s="253"/>
      <c r="AT342" s="253"/>
      <c r="AU342" s="2"/>
      <c r="AV342" s="253"/>
      <c r="AW342" s="253"/>
      <c r="AX342" s="253"/>
      <c r="AY342" s="253"/>
    </row>
    <row r="343" ht="15.75" customHeight="1">
      <c r="A343" s="2"/>
      <c r="B343" s="288" t="str">
        <f>Controle!B343</f>
        <v/>
      </c>
      <c r="C343" s="233" t="str">
        <f>Controle!C343</f>
        <v/>
      </c>
      <c r="D343" s="289" t="str">
        <f>Controle!D343</f>
        <v/>
      </c>
      <c r="E343" s="290"/>
      <c r="F343" s="291" t="str">
        <f>Controle!F343</f>
        <v/>
      </c>
      <c r="G343" s="289" t="str">
        <f>Controle!G343</f>
        <v/>
      </c>
      <c r="H343" s="290"/>
      <c r="I343" s="291" t="str">
        <f>Controle!I343</f>
        <v/>
      </c>
      <c r="J343" s="233" t="str">
        <f>Controle!J343</f>
        <v/>
      </c>
      <c r="K343" s="292"/>
      <c r="L343" s="233" t="str">
        <f>Controle!L343</f>
        <v/>
      </c>
      <c r="M343" s="233" t="str">
        <f>Controle!M343</f>
        <v/>
      </c>
      <c r="N343" s="235" t="str">
        <f>Controle!N343</f>
        <v/>
      </c>
      <c r="O343" s="235" t="str">
        <f>Controle!O343</f>
        <v/>
      </c>
      <c r="P343" s="235" t="str">
        <f>Controle!P343</f>
        <v/>
      </c>
      <c r="Q343" s="235" t="str">
        <f>Controle!Q343</f>
        <v/>
      </c>
      <c r="R343" s="303" t="str">
        <f>Controle!R343</f>
        <v/>
      </c>
      <c r="S343" s="287"/>
      <c r="T343" s="301"/>
      <c r="U343" s="301"/>
      <c r="V343" s="301"/>
      <c r="W343" s="294"/>
      <c r="X343" s="294"/>
      <c r="Y343" s="294"/>
      <c r="Z343" s="294"/>
      <c r="AA343" s="294"/>
      <c r="AB343" s="253"/>
      <c r="AC343" s="2"/>
      <c r="AD343" s="253"/>
      <c r="AE343" s="253"/>
      <c r="AF343" s="253"/>
      <c r="AG343" s="253"/>
      <c r="AH343" s="253"/>
      <c r="AI343" s="2"/>
      <c r="AJ343" s="253"/>
      <c r="AK343" s="253"/>
      <c r="AL343" s="253"/>
      <c r="AM343" s="253"/>
      <c r="AN343" s="253"/>
      <c r="AO343" s="2"/>
      <c r="AP343" s="253"/>
      <c r="AQ343" s="253"/>
      <c r="AR343" s="253"/>
      <c r="AS343" s="253"/>
      <c r="AT343" s="253"/>
      <c r="AU343" s="2"/>
      <c r="AV343" s="253"/>
      <c r="AW343" s="253"/>
      <c r="AX343" s="253"/>
      <c r="AY343" s="253"/>
    </row>
    <row r="344" ht="15.75" customHeight="1">
      <c r="A344" s="2"/>
      <c r="B344" s="288" t="str">
        <f>Controle!B344</f>
        <v/>
      </c>
      <c r="C344" s="233" t="str">
        <f>Controle!C344</f>
        <v/>
      </c>
      <c r="D344" s="289" t="str">
        <f>Controle!D344</f>
        <v/>
      </c>
      <c r="E344" s="290"/>
      <c r="F344" s="291" t="str">
        <f>Controle!F344</f>
        <v/>
      </c>
      <c r="G344" s="289" t="str">
        <f>Controle!G344</f>
        <v/>
      </c>
      <c r="H344" s="290"/>
      <c r="I344" s="291" t="str">
        <f>Controle!I344</f>
        <v/>
      </c>
      <c r="J344" s="233" t="str">
        <f>Controle!J344</f>
        <v/>
      </c>
      <c r="K344" s="292"/>
      <c r="L344" s="233" t="str">
        <f>Controle!L344</f>
        <v/>
      </c>
      <c r="M344" s="233" t="str">
        <f>Controle!M344</f>
        <v/>
      </c>
      <c r="N344" s="235" t="str">
        <f>Controle!N344</f>
        <v/>
      </c>
      <c r="O344" s="235" t="str">
        <f>Controle!O344</f>
        <v/>
      </c>
      <c r="P344" s="235" t="str">
        <f>Controle!P344</f>
        <v/>
      </c>
      <c r="Q344" s="235" t="str">
        <f>Controle!Q344</f>
        <v/>
      </c>
      <c r="R344" s="303" t="str">
        <f>Controle!R344</f>
        <v/>
      </c>
      <c r="S344" s="287"/>
      <c r="T344" s="301"/>
      <c r="U344" s="301"/>
      <c r="V344" s="301"/>
      <c r="W344" s="294"/>
      <c r="X344" s="294"/>
      <c r="Y344" s="294"/>
      <c r="Z344" s="294"/>
      <c r="AA344" s="294"/>
      <c r="AB344" s="253"/>
      <c r="AC344" s="2"/>
      <c r="AD344" s="253"/>
      <c r="AE344" s="253"/>
      <c r="AF344" s="253"/>
      <c r="AG344" s="253"/>
      <c r="AH344" s="253"/>
      <c r="AI344" s="2"/>
      <c r="AJ344" s="253"/>
      <c r="AK344" s="253"/>
      <c r="AL344" s="253"/>
      <c r="AM344" s="253"/>
      <c r="AN344" s="253"/>
      <c r="AO344" s="2"/>
      <c r="AP344" s="253"/>
      <c r="AQ344" s="253"/>
      <c r="AR344" s="253"/>
      <c r="AS344" s="253"/>
      <c r="AT344" s="253"/>
      <c r="AU344" s="2"/>
      <c r="AV344" s="253"/>
      <c r="AW344" s="253"/>
      <c r="AX344" s="253"/>
      <c r="AY344" s="253"/>
    </row>
    <row r="345" ht="15.75" customHeight="1">
      <c r="A345" s="2"/>
      <c r="B345" s="288" t="str">
        <f>Controle!B345</f>
        <v/>
      </c>
      <c r="C345" s="233" t="str">
        <f>Controle!C345</f>
        <v/>
      </c>
      <c r="D345" s="289" t="str">
        <f>Controle!D345</f>
        <v/>
      </c>
      <c r="E345" s="290"/>
      <c r="F345" s="291" t="str">
        <f>Controle!F345</f>
        <v/>
      </c>
      <c r="G345" s="289" t="str">
        <f>Controle!G345</f>
        <v/>
      </c>
      <c r="H345" s="290"/>
      <c r="I345" s="291" t="str">
        <f>Controle!I345</f>
        <v/>
      </c>
      <c r="J345" s="233" t="str">
        <f>Controle!J345</f>
        <v/>
      </c>
      <c r="K345" s="292"/>
      <c r="L345" s="233" t="str">
        <f>Controle!L345</f>
        <v/>
      </c>
      <c r="M345" s="233" t="str">
        <f>Controle!M345</f>
        <v/>
      </c>
      <c r="N345" s="235" t="str">
        <f>Controle!N345</f>
        <v/>
      </c>
      <c r="O345" s="235" t="str">
        <f>Controle!O345</f>
        <v/>
      </c>
      <c r="P345" s="235" t="str">
        <f>Controle!P345</f>
        <v/>
      </c>
      <c r="Q345" s="235" t="str">
        <f>Controle!Q345</f>
        <v/>
      </c>
      <c r="R345" s="303" t="str">
        <f>Controle!R345</f>
        <v/>
      </c>
      <c r="S345" s="287"/>
      <c r="T345" s="301"/>
      <c r="U345" s="301"/>
      <c r="V345" s="301"/>
      <c r="W345" s="294"/>
      <c r="X345" s="294"/>
      <c r="Y345" s="294"/>
      <c r="Z345" s="294"/>
      <c r="AA345" s="294"/>
      <c r="AB345" s="253"/>
      <c r="AC345" s="2"/>
      <c r="AD345" s="253"/>
      <c r="AE345" s="253"/>
      <c r="AF345" s="253"/>
      <c r="AG345" s="253"/>
      <c r="AH345" s="253"/>
      <c r="AI345" s="2"/>
      <c r="AJ345" s="253"/>
      <c r="AK345" s="253"/>
      <c r="AL345" s="253"/>
      <c r="AM345" s="253"/>
      <c r="AN345" s="253"/>
      <c r="AO345" s="2"/>
      <c r="AP345" s="253"/>
      <c r="AQ345" s="253"/>
      <c r="AR345" s="253"/>
      <c r="AS345" s="253"/>
      <c r="AT345" s="253"/>
      <c r="AU345" s="2"/>
      <c r="AV345" s="253"/>
      <c r="AW345" s="253"/>
      <c r="AX345" s="253"/>
      <c r="AY345" s="253"/>
    </row>
    <row r="346" ht="15.75" customHeight="1">
      <c r="A346" s="2"/>
      <c r="B346" s="288" t="str">
        <f>Controle!B346</f>
        <v/>
      </c>
      <c r="C346" s="233" t="str">
        <f>Controle!C346</f>
        <v/>
      </c>
      <c r="D346" s="289" t="str">
        <f>Controle!D346</f>
        <v/>
      </c>
      <c r="E346" s="290"/>
      <c r="F346" s="291" t="str">
        <f>Controle!F346</f>
        <v/>
      </c>
      <c r="G346" s="289" t="str">
        <f>Controle!G346</f>
        <v/>
      </c>
      <c r="H346" s="290"/>
      <c r="I346" s="291" t="str">
        <f>Controle!I346</f>
        <v/>
      </c>
      <c r="J346" s="233" t="str">
        <f>Controle!J346</f>
        <v/>
      </c>
      <c r="K346" s="292"/>
      <c r="L346" s="233" t="str">
        <f>Controle!L346</f>
        <v/>
      </c>
      <c r="M346" s="233" t="str">
        <f>Controle!M346</f>
        <v/>
      </c>
      <c r="N346" s="235" t="str">
        <f>Controle!N346</f>
        <v/>
      </c>
      <c r="O346" s="235" t="str">
        <f>Controle!O346</f>
        <v/>
      </c>
      <c r="P346" s="235" t="str">
        <f>Controle!P346</f>
        <v/>
      </c>
      <c r="Q346" s="235" t="str">
        <f>Controle!Q346</f>
        <v/>
      </c>
      <c r="R346" s="303" t="str">
        <f>Controle!R346</f>
        <v/>
      </c>
      <c r="S346" s="287"/>
      <c r="T346" s="301"/>
      <c r="U346" s="301"/>
      <c r="V346" s="301"/>
      <c r="W346" s="294"/>
      <c r="X346" s="294"/>
      <c r="Y346" s="294"/>
      <c r="Z346" s="294"/>
      <c r="AA346" s="294"/>
      <c r="AB346" s="253"/>
      <c r="AC346" s="2"/>
      <c r="AD346" s="253"/>
      <c r="AE346" s="253"/>
      <c r="AF346" s="253"/>
      <c r="AG346" s="253"/>
      <c r="AH346" s="253"/>
      <c r="AI346" s="2"/>
      <c r="AJ346" s="253"/>
      <c r="AK346" s="253"/>
      <c r="AL346" s="253"/>
      <c r="AM346" s="253"/>
      <c r="AN346" s="253"/>
      <c r="AO346" s="2"/>
      <c r="AP346" s="253"/>
      <c r="AQ346" s="253"/>
      <c r="AR346" s="253"/>
      <c r="AS346" s="253"/>
      <c r="AT346" s="253"/>
      <c r="AU346" s="2"/>
      <c r="AV346" s="253"/>
      <c r="AW346" s="253"/>
      <c r="AX346" s="253"/>
      <c r="AY346" s="253"/>
    </row>
    <row r="347" ht="15.75" customHeight="1">
      <c r="A347" s="2"/>
      <c r="B347" s="288" t="str">
        <f>Controle!B347</f>
        <v/>
      </c>
      <c r="C347" s="233" t="str">
        <f>Controle!C347</f>
        <v/>
      </c>
      <c r="D347" s="289" t="str">
        <f>Controle!D347</f>
        <v/>
      </c>
      <c r="E347" s="290"/>
      <c r="F347" s="291" t="str">
        <f>Controle!F347</f>
        <v/>
      </c>
      <c r="G347" s="289" t="str">
        <f>Controle!G347</f>
        <v/>
      </c>
      <c r="H347" s="290"/>
      <c r="I347" s="291" t="str">
        <f>Controle!I347</f>
        <v/>
      </c>
      <c r="J347" s="233" t="str">
        <f>Controle!J347</f>
        <v/>
      </c>
      <c r="K347" s="292"/>
      <c r="L347" s="233" t="str">
        <f>Controle!L347</f>
        <v/>
      </c>
      <c r="M347" s="233" t="str">
        <f>Controle!M347</f>
        <v/>
      </c>
      <c r="N347" s="235" t="str">
        <f>Controle!N347</f>
        <v/>
      </c>
      <c r="O347" s="235" t="str">
        <f>Controle!O347</f>
        <v/>
      </c>
      <c r="P347" s="235" t="str">
        <f>Controle!P347</f>
        <v/>
      </c>
      <c r="Q347" s="235" t="str">
        <f>Controle!Q347</f>
        <v/>
      </c>
      <c r="R347" s="303" t="str">
        <f>Controle!R347</f>
        <v/>
      </c>
      <c r="S347" s="287"/>
      <c r="T347" s="301"/>
      <c r="U347" s="301"/>
      <c r="V347" s="301"/>
      <c r="W347" s="294"/>
      <c r="X347" s="294"/>
      <c r="Y347" s="294"/>
      <c r="Z347" s="294"/>
      <c r="AA347" s="294"/>
      <c r="AB347" s="253"/>
      <c r="AC347" s="2"/>
      <c r="AD347" s="253"/>
      <c r="AE347" s="253"/>
      <c r="AF347" s="253"/>
      <c r="AG347" s="253"/>
      <c r="AH347" s="253"/>
      <c r="AI347" s="2"/>
      <c r="AJ347" s="253"/>
      <c r="AK347" s="253"/>
      <c r="AL347" s="253"/>
      <c r="AM347" s="253"/>
      <c r="AN347" s="253"/>
      <c r="AO347" s="2"/>
      <c r="AP347" s="253"/>
      <c r="AQ347" s="253"/>
      <c r="AR347" s="253"/>
      <c r="AS347" s="253"/>
      <c r="AT347" s="253"/>
      <c r="AU347" s="2"/>
      <c r="AV347" s="253"/>
      <c r="AW347" s="253"/>
      <c r="AX347" s="253"/>
      <c r="AY347" s="253"/>
    </row>
    <row r="348" ht="15.75" customHeight="1">
      <c r="A348" s="2"/>
      <c r="B348" s="288" t="str">
        <f>Controle!B348</f>
        <v/>
      </c>
      <c r="C348" s="233" t="str">
        <f>Controle!C348</f>
        <v/>
      </c>
      <c r="D348" s="289" t="str">
        <f>Controle!D348</f>
        <v/>
      </c>
      <c r="E348" s="290"/>
      <c r="F348" s="291" t="str">
        <f>Controle!F348</f>
        <v/>
      </c>
      <c r="G348" s="289" t="str">
        <f>Controle!G348</f>
        <v/>
      </c>
      <c r="H348" s="290"/>
      <c r="I348" s="291" t="str">
        <f>Controle!I348</f>
        <v/>
      </c>
      <c r="J348" s="233" t="str">
        <f>Controle!J348</f>
        <v/>
      </c>
      <c r="K348" s="292"/>
      <c r="L348" s="233" t="str">
        <f>Controle!L348</f>
        <v/>
      </c>
      <c r="M348" s="233" t="str">
        <f>Controle!M348</f>
        <v/>
      </c>
      <c r="N348" s="235" t="str">
        <f>Controle!N348</f>
        <v/>
      </c>
      <c r="O348" s="235" t="str">
        <f>Controle!O348</f>
        <v/>
      </c>
      <c r="P348" s="235" t="str">
        <f>Controle!P348</f>
        <v/>
      </c>
      <c r="Q348" s="235" t="str">
        <f>Controle!Q348</f>
        <v/>
      </c>
      <c r="R348" s="303" t="str">
        <f>Controle!R348</f>
        <v/>
      </c>
      <c r="S348" s="287"/>
      <c r="T348" s="301"/>
      <c r="U348" s="301"/>
      <c r="V348" s="301"/>
      <c r="W348" s="294"/>
      <c r="X348" s="294"/>
      <c r="Y348" s="294"/>
      <c r="Z348" s="294"/>
      <c r="AA348" s="294"/>
      <c r="AB348" s="253"/>
      <c r="AC348" s="2"/>
      <c r="AD348" s="253"/>
      <c r="AE348" s="253"/>
      <c r="AF348" s="253"/>
      <c r="AG348" s="253"/>
      <c r="AH348" s="253"/>
      <c r="AI348" s="2"/>
      <c r="AJ348" s="253"/>
      <c r="AK348" s="253"/>
      <c r="AL348" s="253"/>
      <c r="AM348" s="253"/>
      <c r="AN348" s="253"/>
      <c r="AO348" s="2"/>
      <c r="AP348" s="253"/>
      <c r="AQ348" s="253"/>
      <c r="AR348" s="253"/>
      <c r="AS348" s="253"/>
      <c r="AT348" s="253"/>
      <c r="AU348" s="2"/>
      <c r="AV348" s="253"/>
      <c r="AW348" s="253"/>
      <c r="AX348" s="253"/>
      <c r="AY348" s="253"/>
    </row>
    <row r="349" ht="15.75" customHeight="1">
      <c r="A349" s="2"/>
      <c r="B349" s="288" t="str">
        <f>Controle!B349</f>
        <v/>
      </c>
      <c r="C349" s="233" t="str">
        <f>Controle!C349</f>
        <v/>
      </c>
      <c r="D349" s="289" t="str">
        <f>Controle!D349</f>
        <v/>
      </c>
      <c r="E349" s="290"/>
      <c r="F349" s="291" t="str">
        <f>Controle!F349</f>
        <v/>
      </c>
      <c r="G349" s="289" t="str">
        <f>Controle!G349</f>
        <v/>
      </c>
      <c r="H349" s="290"/>
      <c r="I349" s="291" t="str">
        <f>Controle!I349</f>
        <v/>
      </c>
      <c r="J349" s="233" t="str">
        <f>Controle!J349</f>
        <v/>
      </c>
      <c r="K349" s="292"/>
      <c r="L349" s="233" t="str">
        <f>Controle!L349</f>
        <v/>
      </c>
      <c r="M349" s="233" t="str">
        <f>Controle!M349</f>
        <v/>
      </c>
      <c r="N349" s="235" t="str">
        <f>Controle!N349</f>
        <v/>
      </c>
      <c r="O349" s="235" t="str">
        <f>Controle!O349</f>
        <v/>
      </c>
      <c r="P349" s="235" t="str">
        <f>Controle!P349</f>
        <v/>
      </c>
      <c r="Q349" s="235" t="str">
        <f>Controle!Q349</f>
        <v/>
      </c>
      <c r="R349" s="303" t="str">
        <f>Controle!R349</f>
        <v/>
      </c>
      <c r="S349" s="287"/>
      <c r="T349" s="301"/>
      <c r="U349" s="301"/>
      <c r="V349" s="301"/>
      <c r="W349" s="294"/>
      <c r="X349" s="294"/>
      <c r="Y349" s="294"/>
      <c r="Z349" s="294"/>
      <c r="AA349" s="294"/>
      <c r="AB349" s="253"/>
      <c r="AC349" s="2"/>
      <c r="AD349" s="253"/>
      <c r="AE349" s="253"/>
      <c r="AF349" s="253"/>
      <c r="AG349" s="253"/>
      <c r="AH349" s="253"/>
      <c r="AI349" s="2"/>
      <c r="AJ349" s="253"/>
      <c r="AK349" s="253"/>
      <c r="AL349" s="253"/>
      <c r="AM349" s="253"/>
      <c r="AN349" s="253"/>
      <c r="AO349" s="2"/>
      <c r="AP349" s="253"/>
      <c r="AQ349" s="253"/>
      <c r="AR349" s="253"/>
      <c r="AS349" s="253"/>
      <c r="AT349" s="253"/>
      <c r="AU349" s="2"/>
      <c r="AV349" s="253"/>
      <c r="AW349" s="253"/>
      <c r="AX349" s="253"/>
      <c r="AY349" s="253"/>
    </row>
    <row r="350" ht="15.75" customHeight="1">
      <c r="A350" s="2"/>
      <c r="B350" s="288" t="str">
        <f>Controle!B350</f>
        <v/>
      </c>
      <c r="C350" s="233" t="str">
        <f>Controle!C350</f>
        <v/>
      </c>
      <c r="D350" s="289" t="str">
        <f>Controle!D350</f>
        <v/>
      </c>
      <c r="E350" s="290"/>
      <c r="F350" s="291" t="str">
        <f>Controle!F350</f>
        <v/>
      </c>
      <c r="G350" s="289" t="str">
        <f>Controle!G350</f>
        <v/>
      </c>
      <c r="H350" s="290"/>
      <c r="I350" s="291" t="str">
        <f>Controle!I350</f>
        <v/>
      </c>
      <c r="J350" s="233" t="str">
        <f>Controle!J350</f>
        <v/>
      </c>
      <c r="K350" s="292"/>
      <c r="L350" s="233" t="str">
        <f>Controle!L350</f>
        <v/>
      </c>
      <c r="M350" s="233" t="str">
        <f>Controle!M350</f>
        <v/>
      </c>
      <c r="N350" s="235" t="str">
        <f>Controle!N350</f>
        <v/>
      </c>
      <c r="O350" s="235" t="str">
        <f>Controle!O350</f>
        <v/>
      </c>
      <c r="P350" s="235" t="str">
        <f>Controle!P350</f>
        <v/>
      </c>
      <c r="Q350" s="235" t="str">
        <f>Controle!Q350</f>
        <v/>
      </c>
      <c r="R350" s="303" t="str">
        <f>Controle!R350</f>
        <v/>
      </c>
      <c r="S350" s="287"/>
      <c r="T350" s="301"/>
      <c r="U350" s="301"/>
      <c r="V350" s="301"/>
      <c r="W350" s="294"/>
      <c r="X350" s="294"/>
      <c r="Y350" s="294"/>
      <c r="Z350" s="294"/>
      <c r="AA350" s="294"/>
      <c r="AB350" s="253"/>
      <c r="AC350" s="2"/>
      <c r="AD350" s="253"/>
      <c r="AE350" s="253"/>
      <c r="AF350" s="253"/>
      <c r="AG350" s="253"/>
      <c r="AH350" s="253"/>
      <c r="AI350" s="2"/>
      <c r="AJ350" s="253"/>
      <c r="AK350" s="253"/>
      <c r="AL350" s="253"/>
      <c r="AM350" s="253"/>
      <c r="AN350" s="253"/>
      <c r="AO350" s="2"/>
      <c r="AP350" s="253"/>
      <c r="AQ350" s="253"/>
      <c r="AR350" s="253"/>
      <c r="AS350" s="253"/>
      <c r="AT350" s="253"/>
      <c r="AU350" s="2"/>
      <c r="AV350" s="253"/>
      <c r="AW350" s="253"/>
      <c r="AX350" s="253"/>
      <c r="AY350" s="253"/>
    </row>
    <row r="351" ht="15.75" customHeight="1">
      <c r="A351" s="2"/>
      <c r="B351" s="288" t="str">
        <f>Controle!B351</f>
        <v/>
      </c>
      <c r="C351" s="233" t="str">
        <f>Controle!C351</f>
        <v/>
      </c>
      <c r="D351" s="289" t="str">
        <f>Controle!D351</f>
        <v/>
      </c>
      <c r="E351" s="290"/>
      <c r="F351" s="291" t="str">
        <f>Controle!F351</f>
        <v/>
      </c>
      <c r="G351" s="289" t="str">
        <f>Controle!G351</f>
        <v/>
      </c>
      <c r="H351" s="290"/>
      <c r="I351" s="291" t="str">
        <f>Controle!I351</f>
        <v/>
      </c>
      <c r="J351" s="233" t="str">
        <f>Controle!J351</f>
        <v/>
      </c>
      <c r="K351" s="292"/>
      <c r="L351" s="233" t="str">
        <f>Controle!L351</f>
        <v/>
      </c>
      <c r="M351" s="233" t="str">
        <f>Controle!M351</f>
        <v/>
      </c>
      <c r="N351" s="235" t="str">
        <f>Controle!N351</f>
        <v/>
      </c>
      <c r="O351" s="235" t="str">
        <f>Controle!O351</f>
        <v/>
      </c>
      <c r="P351" s="235" t="str">
        <f>Controle!P351</f>
        <v/>
      </c>
      <c r="Q351" s="235" t="str">
        <f>Controle!Q351</f>
        <v/>
      </c>
      <c r="R351" s="303" t="str">
        <f>Controle!R351</f>
        <v/>
      </c>
      <c r="S351" s="287"/>
      <c r="T351" s="301"/>
      <c r="U351" s="301"/>
      <c r="V351" s="301"/>
      <c r="W351" s="294"/>
      <c r="X351" s="294"/>
      <c r="Y351" s="294"/>
      <c r="Z351" s="294"/>
      <c r="AA351" s="294"/>
      <c r="AB351" s="253"/>
      <c r="AC351" s="2"/>
      <c r="AD351" s="253"/>
      <c r="AE351" s="253"/>
      <c r="AF351" s="253"/>
      <c r="AG351" s="253"/>
      <c r="AH351" s="253"/>
      <c r="AI351" s="2"/>
      <c r="AJ351" s="253"/>
      <c r="AK351" s="253"/>
      <c r="AL351" s="253"/>
      <c r="AM351" s="253"/>
      <c r="AN351" s="253"/>
      <c r="AO351" s="2"/>
      <c r="AP351" s="253"/>
      <c r="AQ351" s="253"/>
      <c r="AR351" s="253"/>
      <c r="AS351" s="253"/>
      <c r="AT351" s="253"/>
      <c r="AU351" s="2"/>
      <c r="AV351" s="253"/>
      <c r="AW351" s="253"/>
      <c r="AX351" s="253"/>
      <c r="AY351" s="253"/>
    </row>
    <row r="352" ht="15.75" customHeight="1">
      <c r="A352" s="2"/>
      <c r="B352" s="288" t="str">
        <f>Controle!B352</f>
        <v/>
      </c>
      <c r="C352" s="233" t="str">
        <f>Controle!C352</f>
        <v/>
      </c>
      <c r="D352" s="289" t="str">
        <f>Controle!D352</f>
        <v/>
      </c>
      <c r="E352" s="290"/>
      <c r="F352" s="291" t="str">
        <f>Controle!F352</f>
        <v/>
      </c>
      <c r="G352" s="289" t="str">
        <f>Controle!G352</f>
        <v/>
      </c>
      <c r="H352" s="290"/>
      <c r="I352" s="291" t="str">
        <f>Controle!I352</f>
        <v/>
      </c>
      <c r="J352" s="233" t="str">
        <f>Controle!J352</f>
        <v/>
      </c>
      <c r="K352" s="292"/>
      <c r="L352" s="233" t="str">
        <f>Controle!L352</f>
        <v/>
      </c>
      <c r="M352" s="233" t="str">
        <f>Controle!M352</f>
        <v/>
      </c>
      <c r="N352" s="235" t="str">
        <f>Controle!N352</f>
        <v/>
      </c>
      <c r="O352" s="235" t="str">
        <f>Controle!O352</f>
        <v/>
      </c>
      <c r="P352" s="235" t="str">
        <f>Controle!P352</f>
        <v/>
      </c>
      <c r="Q352" s="235" t="str">
        <f>Controle!Q352</f>
        <v/>
      </c>
      <c r="R352" s="303" t="str">
        <f>Controle!R352</f>
        <v/>
      </c>
      <c r="S352" s="287"/>
      <c r="T352" s="301"/>
      <c r="U352" s="301"/>
      <c r="V352" s="301"/>
      <c r="W352" s="294"/>
      <c r="X352" s="294"/>
      <c r="Y352" s="294"/>
      <c r="Z352" s="294"/>
      <c r="AA352" s="294"/>
      <c r="AB352" s="253"/>
      <c r="AC352" s="2"/>
      <c r="AD352" s="253"/>
      <c r="AE352" s="253"/>
      <c r="AF352" s="253"/>
      <c r="AG352" s="253"/>
      <c r="AH352" s="253"/>
      <c r="AI352" s="2"/>
      <c r="AJ352" s="253"/>
      <c r="AK352" s="253"/>
      <c r="AL352" s="253"/>
      <c r="AM352" s="253"/>
      <c r="AN352" s="253"/>
      <c r="AO352" s="2"/>
      <c r="AP352" s="253"/>
      <c r="AQ352" s="253"/>
      <c r="AR352" s="253"/>
      <c r="AS352" s="253"/>
      <c r="AT352" s="253"/>
      <c r="AU352" s="2"/>
      <c r="AV352" s="253"/>
      <c r="AW352" s="253"/>
      <c r="AX352" s="253"/>
      <c r="AY352" s="253"/>
    </row>
    <row r="353" ht="15.75" customHeight="1">
      <c r="A353" s="2"/>
      <c r="B353" s="288" t="str">
        <f>Controle!B353</f>
        <v/>
      </c>
      <c r="C353" s="233" t="str">
        <f>Controle!C353</f>
        <v/>
      </c>
      <c r="D353" s="289" t="str">
        <f>Controle!D353</f>
        <v/>
      </c>
      <c r="E353" s="290"/>
      <c r="F353" s="291" t="str">
        <f>Controle!F353</f>
        <v/>
      </c>
      <c r="G353" s="289" t="str">
        <f>Controle!G353</f>
        <v/>
      </c>
      <c r="H353" s="290"/>
      <c r="I353" s="291" t="str">
        <f>Controle!I353</f>
        <v/>
      </c>
      <c r="J353" s="233" t="str">
        <f>Controle!J353</f>
        <v/>
      </c>
      <c r="K353" s="292"/>
      <c r="L353" s="233" t="str">
        <f>Controle!L353</f>
        <v/>
      </c>
      <c r="M353" s="233" t="str">
        <f>Controle!M353</f>
        <v/>
      </c>
      <c r="N353" s="235" t="str">
        <f>Controle!N353</f>
        <v/>
      </c>
      <c r="O353" s="235" t="str">
        <f>Controle!O353</f>
        <v/>
      </c>
      <c r="P353" s="235" t="str">
        <f>Controle!P353</f>
        <v/>
      </c>
      <c r="Q353" s="235" t="str">
        <f>Controle!Q353</f>
        <v/>
      </c>
      <c r="R353" s="303" t="str">
        <f>Controle!R353</f>
        <v/>
      </c>
      <c r="S353" s="287"/>
      <c r="T353" s="301"/>
      <c r="U353" s="301"/>
      <c r="V353" s="301"/>
      <c r="W353" s="294"/>
      <c r="X353" s="294"/>
      <c r="Y353" s="294"/>
      <c r="Z353" s="294"/>
      <c r="AA353" s="294"/>
      <c r="AB353" s="253"/>
      <c r="AC353" s="2"/>
      <c r="AD353" s="253"/>
      <c r="AE353" s="253"/>
      <c r="AF353" s="253"/>
      <c r="AG353" s="253"/>
      <c r="AH353" s="253"/>
      <c r="AI353" s="2"/>
      <c r="AJ353" s="253"/>
      <c r="AK353" s="253"/>
      <c r="AL353" s="253"/>
      <c r="AM353" s="253"/>
      <c r="AN353" s="253"/>
      <c r="AO353" s="2"/>
      <c r="AP353" s="253"/>
      <c r="AQ353" s="253"/>
      <c r="AR353" s="253"/>
      <c r="AS353" s="253"/>
      <c r="AT353" s="253"/>
      <c r="AU353" s="2"/>
      <c r="AV353" s="253"/>
      <c r="AW353" s="253"/>
      <c r="AX353" s="253"/>
      <c r="AY353" s="253"/>
    </row>
    <row r="354" ht="15.75" customHeight="1">
      <c r="A354" s="2"/>
      <c r="B354" s="288" t="str">
        <f>Controle!B354</f>
        <v/>
      </c>
      <c r="C354" s="233" t="str">
        <f>Controle!C354</f>
        <v/>
      </c>
      <c r="D354" s="289" t="str">
        <f>Controle!D354</f>
        <v/>
      </c>
      <c r="E354" s="290"/>
      <c r="F354" s="291" t="str">
        <f>Controle!F354</f>
        <v/>
      </c>
      <c r="G354" s="289" t="str">
        <f>Controle!G354</f>
        <v/>
      </c>
      <c r="H354" s="290"/>
      <c r="I354" s="291" t="str">
        <f>Controle!I354</f>
        <v/>
      </c>
      <c r="J354" s="233" t="str">
        <f>Controle!J354</f>
        <v/>
      </c>
      <c r="K354" s="292"/>
      <c r="L354" s="233" t="str">
        <f>Controle!L354</f>
        <v/>
      </c>
      <c r="M354" s="233" t="str">
        <f>Controle!M354</f>
        <v/>
      </c>
      <c r="N354" s="235" t="str">
        <f>Controle!N354</f>
        <v/>
      </c>
      <c r="O354" s="235" t="str">
        <f>Controle!O354</f>
        <v/>
      </c>
      <c r="P354" s="235" t="str">
        <f>Controle!P354</f>
        <v/>
      </c>
      <c r="Q354" s="235" t="str">
        <f>Controle!Q354</f>
        <v/>
      </c>
      <c r="R354" s="303" t="str">
        <f>Controle!R354</f>
        <v/>
      </c>
      <c r="S354" s="287"/>
      <c r="T354" s="301"/>
      <c r="U354" s="301"/>
      <c r="V354" s="301"/>
      <c r="W354" s="294"/>
      <c r="X354" s="294"/>
      <c r="Y354" s="294"/>
      <c r="Z354" s="294"/>
      <c r="AA354" s="294"/>
      <c r="AB354" s="253"/>
      <c r="AC354" s="2"/>
      <c r="AD354" s="253"/>
      <c r="AE354" s="253"/>
      <c r="AF354" s="253"/>
      <c r="AG354" s="253"/>
      <c r="AH354" s="253"/>
      <c r="AI354" s="2"/>
      <c r="AJ354" s="253"/>
      <c r="AK354" s="253"/>
      <c r="AL354" s="253"/>
      <c r="AM354" s="253"/>
      <c r="AN354" s="253"/>
      <c r="AO354" s="2"/>
      <c r="AP354" s="253"/>
      <c r="AQ354" s="253"/>
      <c r="AR354" s="253"/>
      <c r="AS354" s="253"/>
      <c r="AT354" s="253"/>
      <c r="AU354" s="2"/>
      <c r="AV354" s="253"/>
      <c r="AW354" s="253"/>
      <c r="AX354" s="253"/>
      <c r="AY354" s="253"/>
    </row>
    <row r="355" ht="15.75" customHeight="1">
      <c r="A355" s="2"/>
      <c r="B355" s="288" t="str">
        <f>Controle!B355</f>
        <v/>
      </c>
      <c r="C355" s="233" t="str">
        <f>Controle!C355</f>
        <v/>
      </c>
      <c r="D355" s="289" t="str">
        <f>Controle!D355</f>
        <v/>
      </c>
      <c r="E355" s="290"/>
      <c r="F355" s="291" t="str">
        <f>Controle!F355</f>
        <v/>
      </c>
      <c r="G355" s="289" t="str">
        <f>Controle!G355</f>
        <v/>
      </c>
      <c r="H355" s="290"/>
      <c r="I355" s="291" t="str">
        <f>Controle!I355</f>
        <v/>
      </c>
      <c r="J355" s="233" t="str">
        <f>Controle!J355</f>
        <v/>
      </c>
      <c r="K355" s="292"/>
      <c r="L355" s="233" t="str">
        <f>Controle!L355</f>
        <v/>
      </c>
      <c r="M355" s="233" t="str">
        <f>Controle!M355</f>
        <v/>
      </c>
      <c r="N355" s="235" t="str">
        <f>Controle!N355</f>
        <v/>
      </c>
      <c r="O355" s="235" t="str">
        <f>Controle!O355</f>
        <v/>
      </c>
      <c r="P355" s="235" t="str">
        <f>Controle!P355</f>
        <v/>
      </c>
      <c r="Q355" s="235" t="str">
        <f>Controle!Q355</f>
        <v/>
      </c>
      <c r="R355" s="303" t="str">
        <f>Controle!R355</f>
        <v/>
      </c>
      <c r="S355" s="287"/>
      <c r="T355" s="301"/>
      <c r="U355" s="301"/>
      <c r="V355" s="301"/>
      <c r="W355" s="294"/>
      <c r="X355" s="294"/>
      <c r="Y355" s="294"/>
      <c r="Z355" s="294"/>
      <c r="AA355" s="294"/>
      <c r="AB355" s="253"/>
      <c r="AC355" s="2"/>
      <c r="AD355" s="253"/>
      <c r="AE355" s="253"/>
      <c r="AF355" s="253"/>
      <c r="AG355" s="253"/>
      <c r="AH355" s="253"/>
      <c r="AI355" s="2"/>
      <c r="AJ355" s="253"/>
      <c r="AK355" s="253"/>
      <c r="AL355" s="253"/>
      <c r="AM355" s="253"/>
      <c r="AN355" s="253"/>
      <c r="AO355" s="2"/>
      <c r="AP355" s="253"/>
      <c r="AQ355" s="253"/>
      <c r="AR355" s="253"/>
      <c r="AS355" s="253"/>
      <c r="AT355" s="253"/>
      <c r="AU355" s="2"/>
      <c r="AV355" s="253"/>
      <c r="AW355" s="253"/>
      <c r="AX355" s="253"/>
      <c r="AY355" s="253"/>
    </row>
    <row r="356" ht="15.75" customHeight="1">
      <c r="A356" s="2"/>
      <c r="B356" s="288" t="str">
        <f>Controle!B356</f>
        <v/>
      </c>
      <c r="C356" s="233" t="str">
        <f>Controle!C356</f>
        <v/>
      </c>
      <c r="D356" s="289" t="str">
        <f>Controle!D356</f>
        <v/>
      </c>
      <c r="E356" s="290"/>
      <c r="F356" s="291" t="str">
        <f>Controle!F356</f>
        <v/>
      </c>
      <c r="G356" s="289" t="str">
        <f>Controle!G356</f>
        <v/>
      </c>
      <c r="H356" s="290"/>
      <c r="I356" s="291" t="str">
        <f>Controle!I356</f>
        <v/>
      </c>
      <c r="J356" s="233" t="str">
        <f>Controle!J356</f>
        <v/>
      </c>
      <c r="K356" s="292"/>
      <c r="L356" s="233" t="str">
        <f>Controle!L356</f>
        <v/>
      </c>
      <c r="M356" s="233" t="str">
        <f>Controle!M356</f>
        <v/>
      </c>
      <c r="N356" s="235" t="str">
        <f>Controle!N356</f>
        <v/>
      </c>
      <c r="O356" s="235" t="str">
        <f>Controle!O356</f>
        <v/>
      </c>
      <c r="P356" s="235" t="str">
        <f>Controle!P356</f>
        <v/>
      </c>
      <c r="Q356" s="235" t="str">
        <f>Controle!Q356</f>
        <v/>
      </c>
      <c r="R356" s="303" t="str">
        <f>Controle!R356</f>
        <v/>
      </c>
      <c r="S356" s="287"/>
      <c r="T356" s="301"/>
      <c r="U356" s="301"/>
      <c r="V356" s="301"/>
      <c r="W356" s="294"/>
      <c r="X356" s="294"/>
      <c r="Y356" s="294"/>
      <c r="Z356" s="294"/>
      <c r="AA356" s="294"/>
      <c r="AB356" s="253"/>
      <c r="AC356" s="2"/>
      <c r="AD356" s="253"/>
      <c r="AE356" s="253"/>
      <c r="AF356" s="253"/>
      <c r="AG356" s="253"/>
      <c r="AH356" s="253"/>
      <c r="AI356" s="2"/>
      <c r="AJ356" s="253"/>
      <c r="AK356" s="253"/>
      <c r="AL356" s="253"/>
      <c r="AM356" s="253"/>
      <c r="AN356" s="253"/>
      <c r="AO356" s="2"/>
      <c r="AP356" s="253"/>
      <c r="AQ356" s="253"/>
      <c r="AR356" s="253"/>
      <c r="AS356" s="253"/>
      <c r="AT356" s="253"/>
      <c r="AU356" s="2"/>
      <c r="AV356" s="253"/>
      <c r="AW356" s="253"/>
      <c r="AX356" s="253"/>
      <c r="AY356" s="253"/>
    </row>
    <row r="357" ht="15.75" customHeight="1">
      <c r="A357" s="2"/>
      <c r="B357" s="288" t="str">
        <f>Controle!B357</f>
        <v/>
      </c>
      <c r="C357" s="233" t="str">
        <f>Controle!C357</f>
        <v/>
      </c>
      <c r="D357" s="289" t="str">
        <f>Controle!D357</f>
        <v/>
      </c>
      <c r="E357" s="290"/>
      <c r="F357" s="291" t="str">
        <f>Controle!F357</f>
        <v/>
      </c>
      <c r="G357" s="289" t="str">
        <f>Controle!G357</f>
        <v/>
      </c>
      <c r="H357" s="290"/>
      <c r="I357" s="291" t="str">
        <f>Controle!I357</f>
        <v/>
      </c>
      <c r="J357" s="233" t="str">
        <f>Controle!J357</f>
        <v/>
      </c>
      <c r="K357" s="292"/>
      <c r="L357" s="233" t="str">
        <f>Controle!L357</f>
        <v/>
      </c>
      <c r="M357" s="233" t="str">
        <f>Controle!M357</f>
        <v/>
      </c>
      <c r="N357" s="235" t="str">
        <f>Controle!N357</f>
        <v/>
      </c>
      <c r="O357" s="235" t="str">
        <f>Controle!O357</f>
        <v/>
      </c>
      <c r="P357" s="235" t="str">
        <f>Controle!P357</f>
        <v/>
      </c>
      <c r="Q357" s="235" t="str">
        <f>Controle!Q357</f>
        <v/>
      </c>
      <c r="R357" s="303" t="str">
        <f>Controle!R357</f>
        <v/>
      </c>
      <c r="S357" s="287"/>
      <c r="T357" s="301"/>
      <c r="U357" s="301"/>
      <c r="V357" s="301"/>
      <c r="W357" s="294"/>
      <c r="X357" s="294"/>
      <c r="Y357" s="294"/>
      <c r="Z357" s="294"/>
      <c r="AA357" s="294"/>
      <c r="AB357" s="253"/>
      <c r="AC357" s="2"/>
      <c r="AD357" s="253"/>
      <c r="AE357" s="253"/>
      <c r="AF357" s="253"/>
      <c r="AG357" s="253"/>
      <c r="AH357" s="253"/>
      <c r="AI357" s="2"/>
      <c r="AJ357" s="253"/>
      <c r="AK357" s="253"/>
      <c r="AL357" s="253"/>
      <c r="AM357" s="253"/>
      <c r="AN357" s="253"/>
      <c r="AO357" s="2"/>
      <c r="AP357" s="253"/>
      <c r="AQ357" s="253"/>
      <c r="AR357" s="253"/>
      <c r="AS357" s="253"/>
      <c r="AT357" s="253"/>
      <c r="AU357" s="2"/>
      <c r="AV357" s="253"/>
      <c r="AW357" s="253"/>
      <c r="AX357" s="253"/>
      <c r="AY357" s="253"/>
    </row>
    <row r="358" ht="15.75" customHeight="1">
      <c r="A358" s="2"/>
      <c r="B358" s="288" t="str">
        <f>Controle!B358</f>
        <v/>
      </c>
      <c r="C358" s="233" t="str">
        <f>Controle!C358</f>
        <v/>
      </c>
      <c r="D358" s="289" t="str">
        <f>Controle!D358</f>
        <v/>
      </c>
      <c r="E358" s="290"/>
      <c r="F358" s="291" t="str">
        <f>Controle!F358</f>
        <v/>
      </c>
      <c r="G358" s="289" t="str">
        <f>Controle!G358</f>
        <v/>
      </c>
      <c r="H358" s="290"/>
      <c r="I358" s="291" t="str">
        <f>Controle!I358</f>
        <v/>
      </c>
      <c r="J358" s="233" t="str">
        <f>Controle!J358</f>
        <v/>
      </c>
      <c r="K358" s="292"/>
      <c r="L358" s="233" t="str">
        <f>Controle!L358</f>
        <v/>
      </c>
      <c r="M358" s="233" t="str">
        <f>Controle!M358</f>
        <v/>
      </c>
      <c r="N358" s="235" t="str">
        <f>Controle!N358</f>
        <v/>
      </c>
      <c r="O358" s="235" t="str">
        <f>Controle!O358</f>
        <v/>
      </c>
      <c r="P358" s="235" t="str">
        <f>Controle!P358</f>
        <v/>
      </c>
      <c r="Q358" s="235" t="str">
        <f>Controle!Q358</f>
        <v/>
      </c>
      <c r="R358" s="303" t="str">
        <f>Controle!R358</f>
        <v/>
      </c>
      <c r="S358" s="287"/>
      <c r="T358" s="301"/>
      <c r="U358" s="301"/>
      <c r="V358" s="301"/>
      <c r="W358" s="294"/>
      <c r="X358" s="294"/>
      <c r="Y358" s="294"/>
      <c r="Z358" s="294"/>
      <c r="AA358" s="294"/>
      <c r="AB358" s="253"/>
      <c r="AC358" s="2"/>
      <c r="AD358" s="253"/>
      <c r="AE358" s="253"/>
      <c r="AF358" s="253"/>
      <c r="AG358" s="253"/>
      <c r="AH358" s="253"/>
      <c r="AI358" s="2"/>
      <c r="AJ358" s="253"/>
      <c r="AK358" s="253"/>
      <c r="AL358" s="253"/>
      <c r="AM358" s="253"/>
      <c r="AN358" s="253"/>
      <c r="AO358" s="2"/>
      <c r="AP358" s="253"/>
      <c r="AQ358" s="253"/>
      <c r="AR358" s="253"/>
      <c r="AS358" s="253"/>
      <c r="AT358" s="253"/>
      <c r="AU358" s="2"/>
      <c r="AV358" s="253"/>
      <c r="AW358" s="253"/>
      <c r="AX358" s="253"/>
      <c r="AY358" s="253"/>
    </row>
    <row r="359" ht="15.75" customHeight="1">
      <c r="A359" s="2"/>
      <c r="B359" s="288" t="str">
        <f>Controle!B359</f>
        <v/>
      </c>
      <c r="C359" s="233" t="str">
        <f>Controle!C359</f>
        <v/>
      </c>
      <c r="D359" s="289" t="str">
        <f>Controle!D359</f>
        <v/>
      </c>
      <c r="E359" s="290"/>
      <c r="F359" s="291" t="str">
        <f>Controle!F359</f>
        <v/>
      </c>
      <c r="G359" s="289" t="str">
        <f>Controle!G359</f>
        <v/>
      </c>
      <c r="H359" s="290"/>
      <c r="I359" s="291" t="str">
        <f>Controle!I359</f>
        <v/>
      </c>
      <c r="J359" s="233" t="str">
        <f>Controle!J359</f>
        <v/>
      </c>
      <c r="K359" s="292"/>
      <c r="L359" s="233" t="str">
        <f>Controle!L359</f>
        <v/>
      </c>
      <c r="M359" s="233" t="str">
        <f>Controle!M359</f>
        <v/>
      </c>
      <c r="N359" s="235" t="str">
        <f>Controle!N359</f>
        <v/>
      </c>
      <c r="O359" s="235" t="str">
        <f>Controle!O359</f>
        <v/>
      </c>
      <c r="P359" s="235" t="str">
        <f>Controle!P359</f>
        <v/>
      </c>
      <c r="Q359" s="235" t="str">
        <f>Controle!Q359</f>
        <v/>
      </c>
      <c r="R359" s="303" t="str">
        <f>Controle!R359</f>
        <v/>
      </c>
      <c r="S359" s="287"/>
      <c r="T359" s="301"/>
      <c r="U359" s="301"/>
      <c r="V359" s="301"/>
      <c r="W359" s="294"/>
      <c r="X359" s="294"/>
      <c r="Y359" s="294"/>
      <c r="Z359" s="294"/>
      <c r="AA359" s="294"/>
      <c r="AB359" s="253"/>
      <c r="AC359" s="2"/>
      <c r="AD359" s="253"/>
      <c r="AE359" s="253"/>
      <c r="AF359" s="253"/>
      <c r="AG359" s="253"/>
      <c r="AH359" s="253"/>
      <c r="AI359" s="2"/>
      <c r="AJ359" s="253"/>
      <c r="AK359" s="253"/>
      <c r="AL359" s="253"/>
      <c r="AM359" s="253"/>
      <c r="AN359" s="253"/>
      <c r="AO359" s="2"/>
      <c r="AP359" s="253"/>
      <c r="AQ359" s="253"/>
      <c r="AR359" s="253"/>
      <c r="AS359" s="253"/>
      <c r="AT359" s="253"/>
      <c r="AU359" s="2"/>
      <c r="AV359" s="253"/>
      <c r="AW359" s="253"/>
      <c r="AX359" s="253"/>
      <c r="AY359" s="253"/>
    </row>
    <row r="360" ht="15.75" customHeight="1">
      <c r="A360" s="2"/>
      <c r="B360" s="288" t="str">
        <f>Controle!B360</f>
        <v/>
      </c>
      <c r="C360" s="233" t="str">
        <f>Controle!C360</f>
        <v/>
      </c>
      <c r="D360" s="289" t="str">
        <f>Controle!D360</f>
        <v/>
      </c>
      <c r="E360" s="290"/>
      <c r="F360" s="291" t="str">
        <f>Controle!F360</f>
        <v/>
      </c>
      <c r="G360" s="289" t="str">
        <f>Controle!G360</f>
        <v/>
      </c>
      <c r="H360" s="290"/>
      <c r="I360" s="291" t="str">
        <f>Controle!I360</f>
        <v/>
      </c>
      <c r="J360" s="233" t="str">
        <f>Controle!J360</f>
        <v/>
      </c>
      <c r="K360" s="292"/>
      <c r="L360" s="233" t="str">
        <f>Controle!L360</f>
        <v/>
      </c>
      <c r="M360" s="233" t="str">
        <f>Controle!M360</f>
        <v/>
      </c>
      <c r="N360" s="235" t="str">
        <f>Controle!N360</f>
        <v/>
      </c>
      <c r="O360" s="235" t="str">
        <f>Controle!O360</f>
        <v/>
      </c>
      <c r="P360" s="235" t="str">
        <f>Controle!P360</f>
        <v/>
      </c>
      <c r="Q360" s="235" t="str">
        <f>Controle!Q360</f>
        <v/>
      </c>
      <c r="R360" s="303" t="str">
        <f>Controle!R360</f>
        <v/>
      </c>
      <c r="S360" s="287"/>
      <c r="T360" s="301"/>
      <c r="U360" s="301"/>
      <c r="V360" s="301"/>
      <c r="W360" s="294"/>
      <c r="X360" s="294"/>
      <c r="Y360" s="294"/>
      <c r="Z360" s="294"/>
      <c r="AA360" s="294"/>
      <c r="AB360" s="253"/>
      <c r="AC360" s="2"/>
      <c r="AD360" s="253"/>
      <c r="AE360" s="253"/>
      <c r="AF360" s="253"/>
      <c r="AG360" s="253"/>
      <c r="AH360" s="253"/>
      <c r="AI360" s="2"/>
      <c r="AJ360" s="253"/>
      <c r="AK360" s="253"/>
      <c r="AL360" s="253"/>
      <c r="AM360" s="253"/>
      <c r="AN360" s="253"/>
      <c r="AO360" s="2"/>
      <c r="AP360" s="253"/>
      <c r="AQ360" s="253"/>
      <c r="AR360" s="253"/>
      <c r="AS360" s="253"/>
      <c r="AT360" s="253"/>
      <c r="AU360" s="2"/>
      <c r="AV360" s="253"/>
      <c r="AW360" s="253"/>
      <c r="AX360" s="253"/>
      <c r="AY360" s="253"/>
    </row>
    <row r="361" ht="15.75" customHeight="1">
      <c r="A361" s="2"/>
      <c r="B361" s="288" t="str">
        <f>Controle!B361</f>
        <v/>
      </c>
      <c r="C361" s="233" t="str">
        <f>Controle!C361</f>
        <v/>
      </c>
      <c r="D361" s="289" t="str">
        <f>Controle!D361</f>
        <v/>
      </c>
      <c r="E361" s="290"/>
      <c r="F361" s="291" t="str">
        <f>Controle!F361</f>
        <v/>
      </c>
      <c r="G361" s="289" t="str">
        <f>Controle!G361</f>
        <v/>
      </c>
      <c r="H361" s="290"/>
      <c r="I361" s="291" t="str">
        <f>Controle!I361</f>
        <v/>
      </c>
      <c r="J361" s="233" t="str">
        <f>Controle!J361</f>
        <v/>
      </c>
      <c r="K361" s="292"/>
      <c r="L361" s="233" t="str">
        <f>Controle!L361</f>
        <v/>
      </c>
      <c r="M361" s="233" t="str">
        <f>Controle!M361</f>
        <v/>
      </c>
      <c r="N361" s="235" t="str">
        <f>Controle!N361</f>
        <v/>
      </c>
      <c r="O361" s="235" t="str">
        <f>Controle!O361</f>
        <v/>
      </c>
      <c r="P361" s="235" t="str">
        <f>Controle!P361</f>
        <v/>
      </c>
      <c r="Q361" s="235" t="str">
        <f>Controle!Q361</f>
        <v/>
      </c>
      <c r="R361" s="303" t="str">
        <f>Controle!R361</f>
        <v/>
      </c>
      <c r="S361" s="287"/>
      <c r="T361" s="301"/>
      <c r="U361" s="301"/>
      <c r="V361" s="301"/>
      <c r="W361" s="294"/>
      <c r="X361" s="294"/>
      <c r="Y361" s="294"/>
      <c r="Z361" s="294"/>
      <c r="AA361" s="294"/>
      <c r="AB361" s="253"/>
      <c r="AC361" s="2"/>
      <c r="AD361" s="253"/>
      <c r="AE361" s="253"/>
      <c r="AF361" s="253"/>
      <c r="AG361" s="253"/>
      <c r="AH361" s="253"/>
      <c r="AI361" s="2"/>
      <c r="AJ361" s="253"/>
      <c r="AK361" s="253"/>
      <c r="AL361" s="253"/>
      <c r="AM361" s="253"/>
      <c r="AN361" s="253"/>
      <c r="AO361" s="2"/>
      <c r="AP361" s="253"/>
      <c r="AQ361" s="253"/>
      <c r="AR361" s="253"/>
      <c r="AS361" s="253"/>
      <c r="AT361" s="253"/>
      <c r="AU361" s="2"/>
      <c r="AV361" s="253"/>
      <c r="AW361" s="253"/>
      <c r="AX361" s="253"/>
      <c r="AY361" s="253"/>
    </row>
    <row r="362" ht="15.75" customHeight="1">
      <c r="A362" s="2"/>
      <c r="B362" s="288" t="str">
        <f>Controle!B362</f>
        <v/>
      </c>
      <c r="C362" s="233" t="str">
        <f>Controle!C362</f>
        <v/>
      </c>
      <c r="D362" s="289" t="str">
        <f>Controle!D362</f>
        <v/>
      </c>
      <c r="E362" s="290"/>
      <c r="F362" s="291" t="str">
        <f>Controle!F362</f>
        <v/>
      </c>
      <c r="G362" s="289" t="str">
        <f>Controle!G362</f>
        <v/>
      </c>
      <c r="H362" s="290"/>
      <c r="I362" s="291" t="str">
        <f>Controle!I362</f>
        <v/>
      </c>
      <c r="J362" s="233" t="str">
        <f>Controle!J362</f>
        <v/>
      </c>
      <c r="K362" s="292"/>
      <c r="L362" s="233" t="str">
        <f>Controle!L362</f>
        <v/>
      </c>
      <c r="M362" s="233" t="str">
        <f>Controle!M362</f>
        <v/>
      </c>
      <c r="N362" s="235" t="str">
        <f>Controle!N362</f>
        <v/>
      </c>
      <c r="O362" s="235" t="str">
        <f>Controle!O362</f>
        <v/>
      </c>
      <c r="P362" s="235" t="str">
        <f>Controle!P362</f>
        <v/>
      </c>
      <c r="Q362" s="235" t="str">
        <f>Controle!Q362</f>
        <v/>
      </c>
      <c r="R362" s="303" t="str">
        <f>Controle!R362</f>
        <v/>
      </c>
      <c r="S362" s="287"/>
      <c r="T362" s="301"/>
      <c r="U362" s="301"/>
      <c r="V362" s="301"/>
      <c r="W362" s="294"/>
      <c r="X362" s="294"/>
      <c r="Y362" s="294"/>
      <c r="Z362" s="294"/>
      <c r="AA362" s="294"/>
      <c r="AB362" s="253"/>
      <c r="AC362" s="2"/>
      <c r="AD362" s="253"/>
      <c r="AE362" s="253"/>
      <c r="AF362" s="253"/>
      <c r="AG362" s="253"/>
      <c r="AH362" s="253"/>
      <c r="AI362" s="2"/>
      <c r="AJ362" s="253"/>
      <c r="AK362" s="253"/>
      <c r="AL362" s="253"/>
      <c r="AM362" s="253"/>
      <c r="AN362" s="253"/>
      <c r="AO362" s="2"/>
      <c r="AP362" s="253"/>
      <c r="AQ362" s="253"/>
      <c r="AR362" s="253"/>
      <c r="AS362" s="253"/>
      <c r="AT362" s="253"/>
      <c r="AU362" s="2"/>
      <c r="AV362" s="253"/>
      <c r="AW362" s="253"/>
      <c r="AX362" s="253"/>
      <c r="AY362" s="253"/>
    </row>
    <row r="363" ht="15.75" customHeight="1">
      <c r="A363" s="2"/>
      <c r="B363" s="288" t="str">
        <f>Controle!B363</f>
        <v/>
      </c>
      <c r="C363" s="233" t="str">
        <f>Controle!C363</f>
        <v/>
      </c>
      <c r="D363" s="289" t="str">
        <f>Controle!D363</f>
        <v/>
      </c>
      <c r="E363" s="290"/>
      <c r="F363" s="291" t="str">
        <f>Controle!F363</f>
        <v/>
      </c>
      <c r="G363" s="289" t="str">
        <f>Controle!G363</f>
        <v/>
      </c>
      <c r="H363" s="290"/>
      <c r="I363" s="291" t="str">
        <f>Controle!I363</f>
        <v/>
      </c>
      <c r="J363" s="233" t="str">
        <f>Controle!J363</f>
        <v/>
      </c>
      <c r="K363" s="292"/>
      <c r="L363" s="233" t="str">
        <f>Controle!L363</f>
        <v/>
      </c>
      <c r="M363" s="233" t="str">
        <f>Controle!M363</f>
        <v/>
      </c>
      <c r="N363" s="235" t="str">
        <f>Controle!N363</f>
        <v/>
      </c>
      <c r="O363" s="235" t="str">
        <f>Controle!O363</f>
        <v/>
      </c>
      <c r="P363" s="235" t="str">
        <f>Controle!P363</f>
        <v/>
      </c>
      <c r="Q363" s="235" t="str">
        <f>Controle!Q363</f>
        <v/>
      </c>
      <c r="R363" s="303" t="str">
        <f>Controle!R363</f>
        <v/>
      </c>
      <c r="S363" s="287"/>
      <c r="T363" s="301"/>
      <c r="U363" s="301"/>
      <c r="V363" s="301"/>
      <c r="W363" s="294"/>
      <c r="X363" s="294"/>
      <c r="Y363" s="294"/>
      <c r="Z363" s="294"/>
      <c r="AA363" s="294"/>
      <c r="AB363" s="253"/>
      <c r="AC363" s="2"/>
      <c r="AD363" s="253"/>
      <c r="AE363" s="253"/>
      <c r="AF363" s="253"/>
      <c r="AG363" s="253"/>
      <c r="AH363" s="253"/>
      <c r="AI363" s="2"/>
      <c r="AJ363" s="253"/>
      <c r="AK363" s="253"/>
      <c r="AL363" s="253"/>
      <c r="AM363" s="253"/>
      <c r="AN363" s="253"/>
      <c r="AO363" s="2"/>
      <c r="AP363" s="253"/>
      <c r="AQ363" s="253"/>
      <c r="AR363" s="253"/>
      <c r="AS363" s="253"/>
      <c r="AT363" s="253"/>
      <c r="AU363" s="2"/>
      <c r="AV363" s="253"/>
      <c r="AW363" s="253"/>
      <c r="AX363" s="253"/>
      <c r="AY363" s="253"/>
    </row>
    <row r="364" ht="15.75" customHeight="1">
      <c r="A364" s="2"/>
      <c r="B364" s="288" t="str">
        <f>Controle!B364</f>
        <v/>
      </c>
      <c r="C364" s="233" t="str">
        <f>Controle!C364</f>
        <v/>
      </c>
      <c r="D364" s="289" t="str">
        <f>Controle!D364</f>
        <v/>
      </c>
      <c r="E364" s="290"/>
      <c r="F364" s="291" t="str">
        <f>Controle!F364</f>
        <v/>
      </c>
      <c r="G364" s="289" t="str">
        <f>Controle!G364</f>
        <v/>
      </c>
      <c r="H364" s="290"/>
      <c r="I364" s="291" t="str">
        <f>Controle!I364</f>
        <v/>
      </c>
      <c r="J364" s="233" t="str">
        <f>Controle!J364</f>
        <v/>
      </c>
      <c r="K364" s="292"/>
      <c r="L364" s="233" t="str">
        <f>Controle!L364</f>
        <v/>
      </c>
      <c r="M364" s="233" t="str">
        <f>Controle!M364</f>
        <v/>
      </c>
      <c r="N364" s="235" t="str">
        <f>Controle!N364</f>
        <v/>
      </c>
      <c r="O364" s="235" t="str">
        <f>Controle!O364</f>
        <v/>
      </c>
      <c r="P364" s="235" t="str">
        <f>Controle!P364</f>
        <v/>
      </c>
      <c r="Q364" s="235" t="str">
        <f>Controle!Q364</f>
        <v/>
      </c>
      <c r="R364" s="303" t="str">
        <f>Controle!R364</f>
        <v/>
      </c>
      <c r="S364" s="287"/>
      <c r="T364" s="301"/>
      <c r="U364" s="301"/>
      <c r="V364" s="301"/>
      <c r="W364" s="294"/>
      <c r="X364" s="294"/>
      <c r="Y364" s="294"/>
      <c r="Z364" s="294"/>
      <c r="AA364" s="294"/>
      <c r="AB364" s="253"/>
      <c r="AC364" s="2"/>
      <c r="AD364" s="253"/>
      <c r="AE364" s="253"/>
      <c r="AF364" s="253"/>
      <c r="AG364" s="253"/>
      <c r="AH364" s="253"/>
      <c r="AI364" s="2"/>
      <c r="AJ364" s="253"/>
      <c r="AK364" s="253"/>
      <c r="AL364" s="253"/>
      <c r="AM364" s="253"/>
      <c r="AN364" s="253"/>
      <c r="AO364" s="2"/>
      <c r="AP364" s="253"/>
      <c r="AQ364" s="253"/>
      <c r="AR364" s="253"/>
      <c r="AS364" s="253"/>
      <c r="AT364" s="253"/>
      <c r="AU364" s="2"/>
      <c r="AV364" s="253"/>
      <c r="AW364" s="253"/>
      <c r="AX364" s="253"/>
      <c r="AY364" s="253"/>
    </row>
    <row r="365" ht="15.75" customHeight="1">
      <c r="A365" s="2"/>
      <c r="B365" s="288" t="str">
        <f>Controle!B365</f>
        <v/>
      </c>
      <c r="C365" s="233" t="str">
        <f>Controle!C365</f>
        <v/>
      </c>
      <c r="D365" s="289" t="str">
        <f>Controle!D365</f>
        <v/>
      </c>
      <c r="E365" s="290"/>
      <c r="F365" s="291" t="str">
        <f>Controle!F365</f>
        <v/>
      </c>
      <c r="G365" s="289" t="str">
        <f>Controle!G365</f>
        <v/>
      </c>
      <c r="H365" s="290"/>
      <c r="I365" s="291" t="str">
        <f>Controle!I365</f>
        <v/>
      </c>
      <c r="J365" s="233" t="str">
        <f>Controle!J365</f>
        <v/>
      </c>
      <c r="K365" s="292"/>
      <c r="L365" s="233" t="str">
        <f>Controle!L365</f>
        <v/>
      </c>
      <c r="M365" s="233" t="str">
        <f>Controle!M365</f>
        <v/>
      </c>
      <c r="N365" s="235" t="str">
        <f>Controle!N365</f>
        <v/>
      </c>
      <c r="O365" s="235" t="str">
        <f>Controle!O365</f>
        <v/>
      </c>
      <c r="P365" s="235" t="str">
        <f>Controle!P365</f>
        <v/>
      </c>
      <c r="Q365" s="235" t="str">
        <f>Controle!Q365</f>
        <v/>
      </c>
      <c r="R365" s="303" t="str">
        <f>Controle!R365</f>
        <v/>
      </c>
      <c r="S365" s="287"/>
      <c r="T365" s="301"/>
      <c r="U365" s="301"/>
      <c r="V365" s="301"/>
      <c r="W365" s="294"/>
      <c r="X365" s="294"/>
      <c r="Y365" s="294"/>
      <c r="Z365" s="294"/>
      <c r="AA365" s="294"/>
      <c r="AB365" s="253"/>
      <c r="AC365" s="2"/>
      <c r="AD365" s="253"/>
      <c r="AE365" s="253"/>
      <c r="AF365" s="253"/>
      <c r="AG365" s="253"/>
      <c r="AH365" s="253"/>
      <c r="AI365" s="2"/>
      <c r="AJ365" s="253"/>
      <c r="AK365" s="253"/>
      <c r="AL365" s="253"/>
      <c r="AM365" s="253"/>
      <c r="AN365" s="253"/>
      <c r="AO365" s="2"/>
      <c r="AP365" s="253"/>
      <c r="AQ365" s="253"/>
      <c r="AR365" s="253"/>
      <c r="AS365" s="253"/>
      <c r="AT365" s="253"/>
      <c r="AU365" s="2"/>
      <c r="AV365" s="253"/>
      <c r="AW365" s="253"/>
      <c r="AX365" s="253"/>
      <c r="AY365" s="253"/>
    </row>
    <row r="366" ht="15.75" customHeight="1">
      <c r="A366" s="2"/>
      <c r="B366" s="288" t="str">
        <f>Controle!B366</f>
        <v/>
      </c>
      <c r="C366" s="233" t="str">
        <f>Controle!C366</f>
        <v/>
      </c>
      <c r="D366" s="289" t="str">
        <f>Controle!D366</f>
        <v/>
      </c>
      <c r="E366" s="290"/>
      <c r="F366" s="291" t="str">
        <f>Controle!F366</f>
        <v/>
      </c>
      <c r="G366" s="289" t="str">
        <f>Controle!G366</f>
        <v/>
      </c>
      <c r="H366" s="290"/>
      <c r="I366" s="291" t="str">
        <f>Controle!I366</f>
        <v/>
      </c>
      <c r="J366" s="233" t="str">
        <f>Controle!J366</f>
        <v/>
      </c>
      <c r="K366" s="292"/>
      <c r="L366" s="233" t="str">
        <f>Controle!L366</f>
        <v/>
      </c>
      <c r="M366" s="233" t="str">
        <f>Controle!M366</f>
        <v/>
      </c>
      <c r="N366" s="235" t="str">
        <f>Controle!N366</f>
        <v/>
      </c>
      <c r="O366" s="235" t="str">
        <f>Controle!O366</f>
        <v/>
      </c>
      <c r="P366" s="235" t="str">
        <f>Controle!P366</f>
        <v/>
      </c>
      <c r="Q366" s="235" t="str">
        <f>Controle!Q366</f>
        <v/>
      </c>
      <c r="R366" s="303" t="str">
        <f>Controle!R366</f>
        <v/>
      </c>
      <c r="S366" s="287"/>
      <c r="T366" s="301"/>
      <c r="U366" s="301"/>
      <c r="V366" s="301"/>
      <c r="W366" s="294"/>
      <c r="X366" s="294"/>
      <c r="Y366" s="294"/>
      <c r="Z366" s="294"/>
      <c r="AA366" s="294"/>
      <c r="AB366" s="253"/>
      <c r="AC366" s="2"/>
      <c r="AD366" s="253"/>
      <c r="AE366" s="253"/>
      <c r="AF366" s="253"/>
      <c r="AG366" s="253"/>
      <c r="AH366" s="253"/>
      <c r="AI366" s="2"/>
      <c r="AJ366" s="253"/>
      <c r="AK366" s="253"/>
      <c r="AL366" s="253"/>
      <c r="AM366" s="253"/>
      <c r="AN366" s="253"/>
      <c r="AO366" s="2"/>
      <c r="AP366" s="253"/>
      <c r="AQ366" s="253"/>
      <c r="AR366" s="253"/>
      <c r="AS366" s="253"/>
      <c r="AT366" s="253"/>
      <c r="AU366" s="2"/>
      <c r="AV366" s="253"/>
      <c r="AW366" s="253"/>
      <c r="AX366" s="253"/>
      <c r="AY366" s="253"/>
    </row>
    <row r="367" ht="15.75" customHeight="1">
      <c r="A367" s="2"/>
      <c r="B367" s="288" t="str">
        <f>Controle!B367</f>
        <v/>
      </c>
      <c r="C367" s="233" t="str">
        <f>Controle!C367</f>
        <v/>
      </c>
      <c r="D367" s="289" t="str">
        <f>Controle!D367</f>
        <v/>
      </c>
      <c r="E367" s="290"/>
      <c r="F367" s="291" t="str">
        <f>Controle!F367</f>
        <v/>
      </c>
      <c r="G367" s="289" t="str">
        <f>Controle!G367</f>
        <v/>
      </c>
      <c r="H367" s="290"/>
      <c r="I367" s="291" t="str">
        <f>Controle!I367</f>
        <v/>
      </c>
      <c r="J367" s="233" t="str">
        <f>Controle!J367</f>
        <v/>
      </c>
      <c r="K367" s="292"/>
      <c r="L367" s="233" t="str">
        <f>Controle!L367</f>
        <v/>
      </c>
      <c r="M367" s="233" t="str">
        <f>Controle!M367</f>
        <v/>
      </c>
      <c r="N367" s="235" t="str">
        <f>Controle!N367</f>
        <v/>
      </c>
      <c r="O367" s="235" t="str">
        <f>Controle!O367</f>
        <v/>
      </c>
      <c r="P367" s="235" t="str">
        <f>Controle!P367</f>
        <v/>
      </c>
      <c r="Q367" s="235" t="str">
        <f>Controle!Q367</f>
        <v/>
      </c>
      <c r="R367" s="303" t="str">
        <f>Controle!R367</f>
        <v/>
      </c>
      <c r="S367" s="287"/>
      <c r="T367" s="301"/>
      <c r="U367" s="301"/>
      <c r="V367" s="301"/>
      <c r="W367" s="294"/>
      <c r="X367" s="294"/>
      <c r="Y367" s="294"/>
      <c r="Z367" s="294"/>
      <c r="AA367" s="294"/>
      <c r="AB367" s="253"/>
      <c r="AC367" s="2"/>
      <c r="AD367" s="253"/>
      <c r="AE367" s="253"/>
      <c r="AF367" s="253"/>
      <c r="AG367" s="253"/>
      <c r="AH367" s="253"/>
      <c r="AI367" s="2"/>
      <c r="AJ367" s="253"/>
      <c r="AK367" s="253"/>
      <c r="AL367" s="253"/>
      <c r="AM367" s="253"/>
      <c r="AN367" s="253"/>
      <c r="AO367" s="2"/>
      <c r="AP367" s="253"/>
      <c r="AQ367" s="253"/>
      <c r="AR367" s="253"/>
      <c r="AS367" s="253"/>
      <c r="AT367" s="253"/>
      <c r="AU367" s="2"/>
      <c r="AV367" s="253"/>
      <c r="AW367" s="253"/>
      <c r="AX367" s="253"/>
      <c r="AY367" s="253"/>
    </row>
    <row r="368" ht="15.75" customHeight="1">
      <c r="A368" s="2"/>
      <c r="B368" s="288" t="str">
        <f>Controle!B368</f>
        <v/>
      </c>
      <c r="C368" s="233" t="str">
        <f>Controle!C368</f>
        <v/>
      </c>
      <c r="D368" s="289" t="str">
        <f>Controle!D368</f>
        <v/>
      </c>
      <c r="E368" s="290"/>
      <c r="F368" s="291" t="str">
        <f>Controle!F368</f>
        <v/>
      </c>
      <c r="G368" s="289" t="str">
        <f>Controle!G368</f>
        <v/>
      </c>
      <c r="H368" s="290"/>
      <c r="I368" s="291" t="str">
        <f>Controle!I368</f>
        <v/>
      </c>
      <c r="J368" s="233" t="str">
        <f>Controle!J368</f>
        <v/>
      </c>
      <c r="K368" s="292"/>
      <c r="L368" s="233" t="str">
        <f>Controle!L368</f>
        <v/>
      </c>
      <c r="M368" s="233" t="str">
        <f>Controle!M368</f>
        <v/>
      </c>
      <c r="N368" s="235" t="str">
        <f>Controle!N368</f>
        <v/>
      </c>
      <c r="O368" s="235" t="str">
        <f>Controle!O368</f>
        <v/>
      </c>
      <c r="P368" s="235" t="str">
        <f>Controle!P368</f>
        <v/>
      </c>
      <c r="Q368" s="235" t="str">
        <f>Controle!Q368</f>
        <v/>
      </c>
      <c r="R368" s="303" t="str">
        <f>Controle!R368</f>
        <v/>
      </c>
      <c r="S368" s="287"/>
      <c r="T368" s="301"/>
      <c r="U368" s="301"/>
      <c r="V368" s="301"/>
      <c r="W368" s="294"/>
      <c r="X368" s="294"/>
      <c r="Y368" s="294"/>
      <c r="Z368" s="294"/>
      <c r="AA368" s="294"/>
      <c r="AB368" s="253"/>
      <c r="AC368" s="2"/>
      <c r="AD368" s="253"/>
      <c r="AE368" s="253"/>
      <c r="AF368" s="253"/>
      <c r="AG368" s="253"/>
      <c r="AH368" s="253"/>
      <c r="AI368" s="2"/>
      <c r="AJ368" s="253"/>
      <c r="AK368" s="253"/>
      <c r="AL368" s="253"/>
      <c r="AM368" s="253"/>
      <c r="AN368" s="253"/>
      <c r="AO368" s="2"/>
      <c r="AP368" s="253"/>
      <c r="AQ368" s="253"/>
      <c r="AR368" s="253"/>
      <c r="AS368" s="253"/>
      <c r="AT368" s="253"/>
      <c r="AU368" s="2"/>
      <c r="AV368" s="253"/>
      <c r="AW368" s="253"/>
      <c r="AX368" s="253"/>
      <c r="AY368" s="253"/>
    </row>
    <row r="369" ht="15.75" customHeight="1">
      <c r="A369" s="2"/>
      <c r="B369" s="288" t="str">
        <f>Controle!B369</f>
        <v/>
      </c>
      <c r="C369" s="233" t="str">
        <f>Controle!C369</f>
        <v/>
      </c>
      <c r="D369" s="289" t="str">
        <f>Controle!D369</f>
        <v/>
      </c>
      <c r="E369" s="290"/>
      <c r="F369" s="291" t="str">
        <f>Controle!F369</f>
        <v/>
      </c>
      <c r="G369" s="289" t="str">
        <f>Controle!G369</f>
        <v/>
      </c>
      <c r="H369" s="290"/>
      <c r="I369" s="291" t="str">
        <f>Controle!I369</f>
        <v/>
      </c>
      <c r="J369" s="233" t="str">
        <f>Controle!J369</f>
        <v/>
      </c>
      <c r="K369" s="292"/>
      <c r="L369" s="233" t="str">
        <f>Controle!L369</f>
        <v/>
      </c>
      <c r="M369" s="233" t="str">
        <f>Controle!M369</f>
        <v/>
      </c>
      <c r="N369" s="235" t="str">
        <f>Controle!N369</f>
        <v/>
      </c>
      <c r="O369" s="235" t="str">
        <f>Controle!O369</f>
        <v/>
      </c>
      <c r="P369" s="235" t="str">
        <f>Controle!P369</f>
        <v/>
      </c>
      <c r="Q369" s="235" t="str">
        <f>Controle!Q369</f>
        <v/>
      </c>
      <c r="R369" s="303" t="str">
        <f>Controle!R369</f>
        <v/>
      </c>
      <c r="S369" s="287"/>
      <c r="T369" s="301"/>
      <c r="U369" s="301"/>
      <c r="V369" s="301"/>
      <c r="W369" s="294"/>
      <c r="X369" s="294"/>
      <c r="Y369" s="294"/>
      <c r="Z369" s="294"/>
      <c r="AA369" s="294"/>
      <c r="AB369" s="253"/>
      <c r="AC369" s="2"/>
      <c r="AD369" s="253"/>
      <c r="AE369" s="253"/>
      <c r="AF369" s="253"/>
      <c r="AG369" s="253"/>
      <c r="AH369" s="253"/>
      <c r="AI369" s="2"/>
      <c r="AJ369" s="253"/>
      <c r="AK369" s="253"/>
      <c r="AL369" s="253"/>
      <c r="AM369" s="253"/>
      <c r="AN369" s="253"/>
      <c r="AO369" s="2"/>
      <c r="AP369" s="253"/>
      <c r="AQ369" s="253"/>
      <c r="AR369" s="253"/>
      <c r="AS369" s="253"/>
      <c r="AT369" s="253"/>
      <c r="AU369" s="2"/>
      <c r="AV369" s="253"/>
      <c r="AW369" s="253"/>
      <c r="AX369" s="253"/>
      <c r="AY369" s="253"/>
    </row>
    <row r="370" ht="15.75" customHeight="1">
      <c r="A370" s="2"/>
      <c r="B370" s="288" t="str">
        <f>Controle!B370</f>
        <v/>
      </c>
      <c r="C370" s="233" t="str">
        <f>Controle!C370</f>
        <v/>
      </c>
      <c r="D370" s="289" t="str">
        <f>Controle!D370</f>
        <v/>
      </c>
      <c r="E370" s="290"/>
      <c r="F370" s="291" t="str">
        <f>Controle!F370</f>
        <v/>
      </c>
      <c r="G370" s="289" t="str">
        <f>Controle!G370</f>
        <v/>
      </c>
      <c r="H370" s="290"/>
      <c r="I370" s="291" t="str">
        <f>Controle!I370</f>
        <v/>
      </c>
      <c r="J370" s="233" t="str">
        <f>Controle!J370</f>
        <v/>
      </c>
      <c r="K370" s="292"/>
      <c r="L370" s="233" t="str">
        <f>Controle!L370</f>
        <v/>
      </c>
      <c r="M370" s="233" t="str">
        <f>Controle!M370</f>
        <v/>
      </c>
      <c r="N370" s="235" t="str">
        <f>Controle!N370</f>
        <v/>
      </c>
      <c r="O370" s="235" t="str">
        <f>Controle!O370</f>
        <v/>
      </c>
      <c r="P370" s="235" t="str">
        <f>Controle!P370</f>
        <v/>
      </c>
      <c r="Q370" s="235" t="str">
        <f>Controle!Q370</f>
        <v/>
      </c>
      <c r="R370" s="303" t="str">
        <f>Controle!R370</f>
        <v/>
      </c>
      <c r="S370" s="287"/>
      <c r="T370" s="301"/>
      <c r="U370" s="301"/>
      <c r="V370" s="301"/>
      <c r="W370" s="294"/>
      <c r="X370" s="294"/>
      <c r="Y370" s="294"/>
      <c r="Z370" s="294"/>
      <c r="AA370" s="294"/>
      <c r="AB370" s="253"/>
      <c r="AC370" s="2"/>
      <c r="AD370" s="253"/>
      <c r="AE370" s="253"/>
      <c r="AF370" s="253"/>
      <c r="AG370" s="253"/>
      <c r="AH370" s="253"/>
      <c r="AI370" s="2"/>
      <c r="AJ370" s="253"/>
      <c r="AK370" s="253"/>
      <c r="AL370" s="253"/>
      <c r="AM370" s="253"/>
      <c r="AN370" s="253"/>
      <c r="AO370" s="2"/>
      <c r="AP370" s="253"/>
      <c r="AQ370" s="253"/>
      <c r="AR370" s="253"/>
      <c r="AS370" s="253"/>
      <c r="AT370" s="253"/>
      <c r="AU370" s="2"/>
      <c r="AV370" s="253"/>
      <c r="AW370" s="253"/>
      <c r="AX370" s="253"/>
      <c r="AY370" s="253"/>
    </row>
    <row r="371" ht="15.75" customHeight="1">
      <c r="A371" s="2"/>
      <c r="B371" s="288" t="str">
        <f>Controle!B371</f>
        <v/>
      </c>
      <c r="C371" s="233" t="str">
        <f>Controle!C371</f>
        <v/>
      </c>
      <c r="D371" s="289" t="str">
        <f>Controle!D371</f>
        <v/>
      </c>
      <c r="E371" s="290"/>
      <c r="F371" s="291" t="str">
        <f>Controle!F371</f>
        <v/>
      </c>
      <c r="G371" s="289" t="str">
        <f>Controle!G371</f>
        <v/>
      </c>
      <c r="H371" s="290"/>
      <c r="I371" s="291" t="str">
        <f>Controle!I371</f>
        <v/>
      </c>
      <c r="J371" s="233" t="str">
        <f>Controle!J371</f>
        <v/>
      </c>
      <c r="K371" s="292"/>
      <c r="L371" s="233" t="str">
        <f>Controle!L371</f>
        <v/>
      </c>
      <c r="M371" s="233" t="str">
        <f>Controle!M371</f>
        <v/>
      </c>
      <c r="N371" s="235" t="str">
        <f>Controle!N371</f>
        <v/>
      </c>
      <c r="O371" s="235" t="str">
        <f>Controle!O371</f>
        <v/>
      </c>
      <c r="P371" s="235" t="str">
        <f>Controle!P371</f>
        <v/>
      </c>
      <c r="Q371" s="235" t="str">
        <f>Controle!Q371</f>
        <v/>
      </c>
      <c r="R371" s="303" t="str">
        <f>Controle!R371</f>
        <v/>
      </c>
      <c r="S371" s="287"/>
      <c r="T371" s="301"/>
      <c r="U371" s="301"/>
      <c r="V371" s="301"/>
      <c r="W371" s="294"/>
      <c r="X371" s="294"/>
      <c r="Y371" s="294"/>
      <c r="Z371" s="294"/>
      <c r="AA371" s="294"/>
      <c r="AB371" s="253"/>
      <c r="AC371" s="2"/>
      <c r="AD371" s="253"/>
      <c r="AE371" s="253"/>
      <c r="AF371" s="253"/>
      <c r="AG371" s="253"/>
      <c r="AH371" s="253"/>
      <c r="AI371" s="2"/>
      <c r="AJ371" s="253"/>
      <c r="AK371" s="253"/>
      <c r="AL371" s="253"/>
      <c r="AM371" s="253"/>
      <c r="AN371" s="253"/>
      <c r="AO371" s="2"/>
      <c r="AP371" s="253"/>
      <c r="AQ371" s="253"/>
      <c r="AR371" s="253"/>
      <c r="AS371" s="253"/>
      <c r="AT371" s="253"/>
      <c r="AU371" s="2"/>
      <c r="AV371" s="253"/>
      <c r="AW371" s="253"/>
      <c r="AX371" s="253"/>
      <c r="AY371" s="253"/>
    </row>
    <row r="372" ht="15.75" customHeight="1">
      <c r="A372" s="2"/>
      <c r="B372" s="288" t="str">
        <f>Controle!B372</f>
        <v/>
      </c>
      <c r="C372" s="233" t="str">
        <f>Controle!C372</f>
        <v/>
      </c>
      <c r="D372" s="289" t="str">
        <f>Controle!D372</f>
        <v/>
      </c>
      <c r="E372" s="290"/>
      <c r="F372" s="291" t="str">
        <f>Controle!F372</f>
        <v/>
      </c>
      <c r="G372" s="289" t="str">
        <f>Controle!G372</f>
        <v/>
      </c>
      <c r="H372" s="290"/>
      <c r="I372" s="291" t="str">
        <f>Controle!I372</f>
        <v/>
      </c>
      <c r="J372" s="233" t="str">
        <f>Controle!J372</f>
        <v/>
      </c>
      <c r="K372" s="292"/>
      <c r="L372" s="233" t="str">
        <f>Controle!L372</f>
        <v/>
      </c>
      <c r="M372" s="233" t="str">
        <f>Controle!M372</f>
        <v/>
      </c>
      <c r="N372" s="235" t="str">
        <f>Controle!N372</f>
        <v/>
      </c>
      <c r="O372" s="235" t="str">
        <f>Controle!O372</f>
        <v/>
      </c>
      <c r="P372" s="235" t="str">
        <f>Controle!P372</f>
        <v/>
      </c>
      <c r="Q372" s="235" t="str">
        <f>Controle!Q372</f>
        <v/>
      </c>
      <c r="R372" s="303" t="str">
        <f>Controle!R372</f>
        <v/>
      </c>
      <c r="S372" s="287"/>
      <c r="T372" s="301"/>
      <c r="U372" s="301"/>
      <c r="V372" s="301"/>
      <c r="W372" s="294"/>
      <c r="X372" s="294"/>
      <c r="Y372" s="294"/>
      <c r="Z372" s="294"/>
      <c r="AA372" s="294"/>
      <c r="AB372" s="253"/>
      <c r="AC372" s="2"/>
      <c r="AD372" s="253"/>
      <c r="AE372" s="253"/>
      <c r="AF372" s="253"/>
      <c r="AG372" s="253"/>
      <c r="AH372" s="253"/>
      <c r="AI372" s="2"/>
      <c r="AJ372" s="253"/>
      <c r="AK372" s="253"/>
      <c r="AL372" s="253"/>
      <c r="AM372" s="253"/>
      <c r="AN372" s="253"/>
      <c r="AO372" s="2"/>
      <c r="AP372" s="253"/>
      <c r="AQ372" s="253"/>
      <c r="AR372" s="253"/>
      <c r="AS372" s="253"/>
      <c r="AT372" s="253"/>
      <c r="AU372" s="2"/>
      <c r="AV372" s="253"/>
      <c r="AW372" s="253"/>
      <c r="AX372" s="253"/>
      <c r="AY372" s="253"/>
    </row>
    <row r="373" ht="15.75" customHeight="1">
      <c r="A373" s="2"/>
      <c r="B373" s="288" t="str">
        <f>Controle!B373</f>
        <v/>
      </c>
      <c r="C373" s="233" t="str">
        <f>Controle!C373</f>
        <v/>
      </c>
      <c r="D373" s="289" t="str">
        <f>Controle!D373</f>
        <v/>
      </c>
      <c r="E373" s="290"/>
      <c r="F373" s="291" t="str">
        <f>Controle!F373</f>
        <v/>
      </c>
      <c r="G373" s="289" t="str">
        <f>Controle!G373</f>
        <v/>
      </c>
      <c r="H373" s="290"/>
      <c r="I373" s="291" t="str">
        <f>Controle!I373</f>
        <v/>
      </c>
      <c r="J373" s="233" t="str">
        <f>Controle!J373</f>
        <v/>
      </c>
      <c r="K373" s="292"/>
      <c r="L373" s="233" t="str">
        <f>Controle!L373</f>
        <v/>
      </c>
      <c r="M373" s="233" t="str">
        <f>Controle!M373</f>
        <v/>
      </c>
      <c r="N373" s="235" t="str">
        <f>Controle!N373</f>
        <v/>
      </c>
      <c r="O373" s="235" t="str">
        <f>Controle!O373</f>
        <v/>
      </c>
      <c r="P373" s="235" t="str">
        <f>Controle!P373</f>
        <v/>
      </c>
      <c r="Q373" s="235" t="str">
        <f>Controle!Q373</f>
        <v/>
      </c>
      <c r="R373" s="303" t="str">
        <f>Controle!R373</f>
        <v/>
      </c>
      <c r="S373" s="287"/>
      <c r="T373" s="301"/>
      <c r="U373" s="301"/>
      <c r="V373" s="301"/>
      <c r="W373" s="294"/>
      <c r="X373" s="294"/>
      <c r="Y373" s="294"/>
      <c r="Z373" s="294"/>
      <c r="AA373" s="294"/>
      <c r="AB373" s="253"/>
      <c r="AC373" s="2"/>
      <c r="AD373" s="253"/>
      <c r="AE373" s="253"/>
      <c r="AF373" s="253"/>
      <c r="AG373" s="253"/>
      <c r="AH373" s="253"/>
      <c r="AI373" s="2"/>
      <c r="AJ373" s="253"/>
      <c r="AK373" s="253"/>
      <c r="AL373" s="253"/>
      <c r="AM373" s="253"/>
      <c r="AN373" s="253"/>
      <c r="AO373" s="2"/>
      <c r="AP373" s="253"/>
      <c r="AQ373" s="253"/>
      <c r="AR373" s="253"/>
      <c r="AS373" s="253"/>
      <c r="AT373" s="253"/>
      <c r="AU373" s="2"/>
      <c r="AV373" s="253"/>
      <c r="AW373" s="253"/>
      <c r="AX373" s="253"/>
      <c r="AY373" s="253"/>
    </row>
    <row r="374" ht="15.75" customHeight="1">
      <c r="A374" s="2"/>
      <c r="B374" s="288" t="str">
        <f>Controle!B374</f>
        <v/>
      </c>
      <c r="C374" s="233" t="str">
        <f>Controle!C374</f>
        <v/>
      </c>
      <c r="D374" s="289" t="str">
        <f>Controle!D374</f>
        <v/>
      </c>
      <c r="E374" s="290"/>
      <c r="F374" s="291" t="str">
        <f>Controle!F374</f>
        <v/>
      </c>
      <c r="G374" s="289" t="str">
        <f>Controle!G374</f>
        <v/>
      </c>
      <c r="H374" s="290"/>
      <c r="I374" s="291" t="str">
        <f>Controle!I374</f>
        <v/>
      </c>
      <c r="J374" s="233" t="str">
        <f>Controle!J374</f>
        <v/>
      </c>
      <c r="K374" s="292"/>
      <c r="L374" s="233" t="str">
        <f>Controle!L374</f>
        <v/>
      </c>
      <c r="M374" s="233" t="str">
        <f>Controle!M374</f>
        <v/>
      </c>
      <c r="N374" s="235" t="str">
        <f>Controle!N374</f>
        <v/>
      </c>
      <c r="O374" s="235" t="str">
        <f>Controle!O374</f>
        <v/>
      </c>
      <c r="P374" s="235" t="str">
        <f>Controle!P374</f>
        <v/>
      </c>
      <c r="Q374" s="235" t="str">
        <f>Controle!Q374</f>
        <v/>
      </c>
      <c r="R374" s="303" t="str">
        <f>Controle!R374</f>
        <v/>
      </c>
      <c r="S374" s="287"/>
      <c r="T374" s="301"/>
      <c r="U374" s="301"/>
      <c r="V374" s="301"/>
      <c r="W374" s="294"/>
      <c r="X374" s="294"/>
      <c r="Y374" s="294"/>
      <c r="Z374" s="294"/>
      <c r="AA374" s="294"/>
      <c r="AB374" s="253"/>
      <c r="AC374" s="2"/>
      <c r="AD374" s="253"/>
      <c r="AE374" s="253"/>
      <c r="AF374" s="253"/>
      <c r="AG374" s="253"/>
      <c r="AH374" s="253"/>
      <c r="AI374" s="2"/>
      <c r="AJ374" s="253"/>
      <c r="AK374" s="253"/>
      <c r="AL374" s="253"/>
      <c r="AM374" s="253"/>
      <c r="AN374" s="253"/>
      <c r="AO374" s="2"/>
      <c r="AP374" s="253"/>
      <c r="AQ374" s="253"/>
      <c r="AR374" s="253"/>
      <c r="AS374" s="253"/>
      <c r="AT374" s="253"/>
      <c r="AU374" s="2"/>
      <c r="AV374" s="253"/>
      <c r="AW374" s="253"/>
      <c r="AX374" s="253"/>
      <c r="AY374" s="253"/>
    </row>
    <row r="375" ht="15.75" customHeight="1">
      <c r="A375" s="2"/>
      <c r="B375" s="288" t="str">
        <f>Controle!B375</f>
        <v/>
      </c>
      <c r="C375" s="233" t="str">
        <f>Controle!C375</f>
        <v/>
      </c>
      <c r="D375" s="289" t="str">
        <f>Controle!D375</f>
        <v/>
      </c>
      <c r="E375" s="290"/>
      <c r="F375" s="291" t="str">
        <f>Controle!F375</f>
        <v/>
      </c>
      <c r="G375" s="289" t="str">
        <f>Controle!G375</f>
        <v/>
      </c>
      <c r="H375" s="290"/>
      <c r="I375" s="291" t="str">
        <f>Controle!I375</f>
        <v/>
      </c>
      <c r="J375" s="233" t="str">
        <f>Controle!J375</f>
        <v/>
      </c>
      <c r="K375" s="292"/>
      <c r="L375" s="233" t="str">
        <f>Controle!L375</f>
        <v/>
      </c>
      <c r="M375" s="233" t="str">
        <f>Controle!M375</f>
        <v/>
      </c>
      <c r="N375" s="235" t="str">
        <f>Controle!N375</f>
        <v/>
      </c>
      <c r="O375" s="235" t="str">
        <f>Controle!O375</f>
        <v/>
      </c>
      <c r="P375" s="235" t="str">
        <f>Controle!P375</f>
        <v/>
      </c>
      <c r="Q375" s="235" t="str">
        <f>Controle!Q375</f>
        <v/>
      </c>
      <c r="R375" s="303" t="str">
        <f>Controle!R375</f>
        <v/>
      </c>
      <c r="S375" s="287"/>
      <c r="T375" s="301"/>
      <c r="U375" s="301"/>
      <c r="V375" s="301"/>
      <c r="W375" s="294"/>
      <c r="X375" s="294"/>
      <c r="Y375" s="294"/>
      <c r="Z375" s="294"/>
      <c r="AA375" s="294"/>
      <c r="AB375" s="253"/>
      <c r="AC375" s="2"/>
      <c r="AD375" s="253"/>
      <c r="AE375" s="253"/>
      <c r="AF375" s="253"/>
      <c r="AG375" s="253"/>
      <c r="AH375" s="253"/>
      <c r="AI375" s="2"/>
      <c r="AJ375" s="253"/>
      <c r="AK375" s="253"/>
      <c r="AL375" s="253"/>
      <c r="AM375" s="253"/>
      <c r="AN375" s="253"/>
      <c r="AO375" s="2"/>
      <c r="AP375" s="253"/>
      <c r="AQ375" s="253"/>
      <c r="AR375" s="253"/>
      <c r="AS375" s="253"/>
      <c r="AT375" s="253"/>
      <c r="AU375" s="2"/>
      <c r="AV375" s="253"/>
      <c r="AW375" s="253"/>
      <c r="AX375" s="253"/>
      <c r="AY375" s="253"/>
    </row>
    <row r="376" ht="15.75" customHeight="1">
      <c r="A376" s="2"/>
      <c r="B376" s="288" t="str">
        <f>Controle!B376</f>
        <v/>
      </c>
      <c r="C376" s="233" t="str">
        <f>Controle!C376</f>
        <v/>
      </c>
      <c r="D376" s="289" t="str">
        <f>Controle!D376</f>
        <v/>
      </c>
      <c r="E376" s="290"/>
      <c r="F376" s="291" t="str">
        <f>Controle!F376</f>
        <v/>
      </c>
      <c r="G376" s="289" t="str">
        <f>Controle!G376</f>
        <v/>
      </c>
      <c r="H376" s="290"/>
      <c r="I376" s="291" t="str">
        <f>Controle!I376</f>
        <v/>
      </c>
      <c r="J376" s="233" t="str">
        <f>Controle!J376</f>
        <v/>
      </c>
      <c r="K376" s="292"/>
      <c r="L376" s="233" t="str">
        <f>Controle!L376</f>
        <v/>
      </c>
      <c r="M376" s="233" t="str">
        <f>Controle!M376</f>
        <v/>
      </c>
      <c r="N376" s="235" t="str">
        <f>Controle!N376</f>
        <v/>
      </c>
      <c r="O376" s="235" t="str">
        <f>Controle!O376</f>
        <v/>
      </c>
      <c r="P376" s="235" t="str">
        <f>Controle!P376</f>
        <v/>
      </c>
      <c r="Q376" s="235" t="str">
        <f>Controle!Q376</f>
        <v/>
      </c>
      <c r="R376" s="303" t="str">
        <f>Controle!R376</f>
        <v/>
      </c>
      <c r="S376" s="287"/>
      <c r="T376" s="301"/>
      <c r="U376" s="301"/>
      <c r="V376" s="301"/>
      <c r="W376" s="294"/>
      <c r="X376" s="294"/>
      <c r="Y376" s="294"/>
      <c r="Z376" s="294"/>
      <c r="AA376" s="294"/>
      <c r="AB376" s="253"/>
      <c r="AC376" s="2"/>
      <c r="AD376" s="253"/>
      <c r="AE376" s="253"/>
      <c r="AF376" s="253"/>
      <c r="AG376" s="253"/>
      <c r="AH376" s="253"/>
      <c r="AI376" s="2"/>
      <c r="AJ376" s="253"/>
      <c r="AK376" s="253"/>
      <c r="AL376" s="253"/>
      <c r="AM376" s="253"/>
      <c r="AN376" s="253"/>
      <c r="AO376" s="2"/>
      <c r="AP376" s="253"/>
      <c r="AQ376" s="253"/>
      <c r="AR376" s="253"/>
      <c r="AS376" s="253"/>
      <c r="AT376" s="253"/>
      <c r="AU376" s="2"/>
      <c r="AV376" s="253"/>
      <c r="AW376" s="253"/>
      <c r="AX376" s="253"/>
      <c r="AY376" s="253"/>
    </row>
    <row r="377" ht="15.75" customHeight="1">
      <c r="A377" s="2"/>
      <c r="B377" s="288" t="str">
        <f>Controle!B377</f>
        <v/>
      </c>
      <c r="C377" s="233" t="str">
        <f>Controle!C377</f>
        <v/>
      </c>
      <c r="D377" s="289" t="str">
        <f>Controle!D377</f>
        <v/>
      </c>
      <c r="E377" s="290"/>
      <c r="F377" s="291" t="str">
        <f>Controle!F377</f>
        <v/>
      </c>
      <c r="G377" s="289" t="str">
        <f>Controle!G377</f>
        <v/>
      </c>
      <c r="H377" s="290"/>
      <c r="I377" s="291" t="str">
        <f>Controle!I377</f>
        <v/>
      </c>
      <c r="J377" s="233" t="str">
        <f>Controle!J377</f>
        <v/>
      </c>
      <c r="K377" s="292"/>
      <c r="L377" s="233" t="str">
        <f>Controle!L377</f>
        <v/>
      </c>
      <c r="M377" s="233" t="str">
        <f>Controle!M377</f>
        <v/>
      </c>
      <c r="N377" s="235" t="str">
        <f>Controle!N377</f>
        <v/>
      </c>
      <c r="O377" s="235" t="str">
        <f>Controle!O377</f>
        <v/>
      </c>
      <c r="P377" s="235" t="str">
        <f>Controle!P377</f>
        <v/>
      </c>
      <c r="Q377" s="235" t="str">
        <f>Controle!Q377</f>
        <v/>
      </c>
      <c r="R377" s="303" t="str">
        <f>Controle!R377</f>
        <v/>
      </c>
      <c r="S377" s="287"/>
      <c r="T377" s="301"/>
      <c r="U377" s="301"/>
      <c r="V377" s="301"/>
      <c r="W377" s="294"/>
      <c r="X377" s="294"/>
      <c r="Y377" s="294"/>
      <c r="Z377" s="294"/>
      <c r="AA377" s="294"/>
      <c r="AB377" s="253"/>
      <c r="AC377" s="2"/>
      <c r="AD377" s="253"/>
      <c r="AE377" s="253"/>
      <c r="AF377" s="253"/>
      <c r="AG377" s="253"/>
      <c r="AH377" s="253"/>
      <c r="AI377" s="2"/>
      <c r="AJ377" s="253"/>
      <c r="AK377" s="253"/>
      <c r="AL377" s="253"/>
      <c r="AM377" s="253"/>
      <c r="AN377" s="253"/>
      <c r="AO377" s="2"/>
      <c r="AP377" s="253"/>
      <c r="AQ377" s="253"/>
      <c r="AR377" s="253"/>
      <c r="AS377" s="253"/>
      <c r="AT377" s="253"/>
      <c r="AU377" s="2"/>
      <c r="AV377" s="253"/>
      <c r="AW377" s="253"/>
      <c r="AX377" s="253"/>
      <c r="AY377" s="253"/>
    </row>
    <row r="378" ht="15.75" customHeight="1">
      <c r="A378" s="2"/>
      <c r="B378" s="288" t="str">
        <f>Controle!B378</f>
        <v/>
      </c>
      <c r="C378" s="233" t="str">
        <f>Controle!C378</f>
        <v/>
      </c>
      <c r="D378" s="289" t="str">
        <f>Controle!D378</f>
        <v/>
      </c>
      <c r="E378" s="290"/>
      <c r="F378" s="291" t="str">
        <f>Controle!F378</f>
        <v/>
      </c>
      <c r="G378" s="289" t="str">
        <f>Controle!G378</f>
        <v/>
      </c>
      <c r="H378" s="290"/>
      <c r="I378" s="291" t="str">
        <f>Controle!I378</f>
        <v/>
      </c>
      <c r="J378" s="233" t="str">
        <f>Controle!J378</f>
        <v/>
      </c>
      <c r="K378" s="292"/>
      <c r="L378" s="233" t="str">
        <f>Controle!L378</f>
        <v/>
      </c>
      <c r="M378" s="233" t="str">
        <f>Controle!M378</f>
        <v/>
      </c>
      <c r="N378" s="235" t="str">
        <f>Controle!N378</f>
        <v/>
      </c>
      <c r="O378" s="235" t="str">
        <f>Controle!O378</f>
        <v/>
      </c>
      <c r="P378" s="235" t="str">
        <f>Controle!P378</f>
        <v/>
      </c>
      <c r="Q378" s="235" t="str">
        <f>Controle!Q378</f>
        <v/>
      </c>
      <c r="R378" s="303" t="str">
        <f>Controle!R378</f>
        <v/>
      </c>
      <c r="S378" s="287"/>
      <c r="T378" s="301"/>
      <c r="U378" s="301"/>
      <c r="V378" s="301"/>
      <c r="W378" s="294"/>
      <c r="X378" s="294"/>
      <c r="Y378" s="294"/>
      <c r="Z378" s="294"/>
      <c r="AA378" s="294"/>
      <c r="AB378" s="253"/>
      <c r="AC378" s="2"/>
      <c r="AD378" s="253"/>
      <c r="AE378" s="253"/>
      <c r="AF378" s="253"/>
      <c r="AG378" s="253"/>
      <c r="AH378" s="253"/>
      <c r="AI378" s="2"/>
      <c r="AJ378" s="253"/>
      <c r="AK378" s="253"/>
      <c r="AL378" s="253"/>
      <c r="AM378" s="253"/>
      <c r="AN378" s="253"/>
      <c r="AO378" s="2"/>
      <c r="AP378" s="253"/>
      <c r="AQ378" s="253"/>
      <c r="AR378" s="253"/>
      <c r="AS378" s="253"/>
      <c r="AT378" s="253"/>
      <c r="AU378" s="2"/>
      <c r="AV378" s="253"/>
      <c r="AW378" s="253"/>
      <c r="AX378" s="253"/>
      <c r="AY378" s="253"/>
    </row>
    <row r="379" ht="15.75" customHeight="1">
      <c r="A379" s="2"/>
      <c r="B379" s="288" t="str">
        <f>Controle!B379</f>
        <v/>
      </c>
      <c r="C379" s="233" t="str">
        <f>Controle!C379</f>
        <v/>
      </c>
      <c r="D379" s="289" t="str">
        <f>Controle!D379</f>
        <v/>
      </c>
      <c r="E379" s="290"/>
      <c r="F379" s="291" t="str">
        <f>Controle!F379</f>
        <v/>
      </c>
      <c r="G379" s="289" t="str">
        <f>Controle!G379</f>
        <v/>
      </c>
      <c r="H379" s="290"/>
      <c r="I379" s="291" t="str">
        <f>Controle!I379</f>
        <v/>
      </c>
      <c r="J379" s="233" t="str">
        <f>Controle!J379</f>
        <v/>
      </c>
      <c r="K379" s="292"/>
      <c r="L379" s="233" t="str">
        <f>Controle!L379</f>
        <v/>
      </c>
      <c r="M379" s="233" t="str">
        <f>Controle!M379</f>
        <v/>
      </c>
      <c r="N379" s="235" t="str">
        <f>Controle!N379</f>
        <v/>
      </c>
      <c r="O379" s="235" t="str">
        <f>Controle!O379</f>
        <v/>
      </c>
      <c r="P379" s="235" t="str">
        <f>Controle!P379</f>
        <v/>
      </c>
      <c r="Q379" s="235" t="str">
        <f>Controle!Q379</f>
        <v/>
      </c>
      <c r="R379" s="303" t="str">
        <f>Controle!R379</f>
        <v/>
      </c>
      <c r="S379" s="287"/>
      <c r="T379" s="301"/>
      <c r="U379" s="301"/>
      <c r="V379" s="301"/>
      <c r="W379" s="294"/>
      <c r="X379" s="294"/>
      <c r="Y379" s="294"/>
      <c r="Z379" s="294"/>
      <c r="AA379" s="294"/>
      <c r="AB379" s="253"/>
      <c r="AC379" s="2"/>
      <c r="AD379" s="253"/>
      <c r="AE379" s="253"/>
      <c r="AF379" s="253"/>
      <c r="AG379" s="253"/>
      <c r="AH379" s="253"/>
      <c r="AI379" s="2"/>
      <c r="AJ379" s="253"/>
      <c r="AK379" s="253"/>
      <c r="AL379" s="253"/>
      <c r="AM379" s="253"/>
      <c r="AN379" s="253"/>
      <c r="AO379" s="2"/>
      <c r="AP379" s="253"/>
      <c r="AQ379" s="253"/>
      <c r="AR379" s="253"/>
      <c r="AS379" s="253"/>
      <c r="AT379" s="253"/>
      <c r="AU379" s="2"/>
      <c r="AV379" s="253"/>
      <c r="AW379" s="253"/>
      <c r="AX379" s="253"/>
      <c r="AY379" s="253"/>
    </row>
    <row r="380" ht="15.75" customHeight="1">
      <c r="A380" s="2"/>
      <c r="B380" s="288" t="str">
        <f>Controle!B380</f>
        <v/>
      </c>
      <c r="C380" s="233" t="str">
        <f>Controle!C380</f>
        <v/>
      </c>
      <c r="D380" s="289" t="str">
        <f>Controle!D380</f>
        <v/>
      </c>
      <c r="E380" s="290"/>
      <c r="F380" s="291" t="str">
        <f>Controle!F380</f>
        <v/>
      </c>
      <c r="G380" s="289" t="str">
        <f>Controle!G380</f>
        <v/>
      </c>
      <c r="H380" s="290"/>
      <c r="I380" s="291" t="str">
        <f>Controle!I380</f>
        <v/>
      </c>
      <c r="J380" s="233" t="str">
        <f>Controle!J380</f>
        <v/>
      </c>
      <c r="K380" s="292"/>
      <c r="L380" s="233" t="str">
        <f>Controle!L380</f>
        <v/>
      </c>
      <c r="M380" s="233" t="str">
        <f>Controle!M380</f>
        <v/>
      </c>
      <c r="N380" s="235" t="str">
        <f>Controle!N380</f>
        <v/>
      </c>
      <c r="O380" s="235" t="str">
        <f>Controle!O380</f>
        <v/>
      </c>
      <c r="P380" s="235" t="str">
        <f>Controle!P380</f>
        <v/>
      </c>
      <c r="Q380" s="235" t="str">
        <f>Controle!Q380</f>
        <v/>
      </c>
      <c r="R380" s="303" t="str">
        <f>Controle!R380</f>
        <v/>
      </c>
      <c r="S380" s="287"/>
      <c r="T380" s="301"/>
      <c r="U380" s="301"/>
      <c r="V380" s="301"/>
      <c r="W380" s="294"/>
      <c r="X380" s="294"/>
      <c r="Y380" s="294"/>
      <c r="Z380" s="294"/>
      <c r="AA380" s="294"/>
      <c r="AB380" s="253"/>
      <c r="AC380" s="2"/>
      <c r="AD380" s="253"/>
      <c r="AE380" s="253"/>
      <c r="AF380" s="253"/>
      <c r="AG380" s="253"/>
      <c r="AH380" s="253"/>
      <c r="AI380" s="2"/>
      <c r="AJ380" s="253"/>
      <c r="AK380" s="253"/>
      <c r="AL380" s="253"/>
      <c r="AM380" s="253"/>
      <c r="AN380" s="253"/>
      <c r="AO380" s="2"/>
      <c r="AP380" s="253"/>
      <c r="AQ380" s="253"/>
      <c r="AR380" s="253"/>
      <c r="AS380" s="253"/>
      <c r="AT380" s="253"/>
      <c r="AU380" s="2"/>
      <c r="AV380" s="253"/>
      <c r="AW380" s="253"/>
      <c r="AX380" s="253"/>
      <c r="AY380" s="253"/>
    </row>
    <row r="381" ht="15.75" customHeight="1">
      <c r="A381" s="2"/>
      <c r="B381" s="288" t="str">
        <f>Controle!B381</f>
        <v/>
      </c>
      <c r="C381" s="233" t="str">
        <f>Controle!C381</f>
        <v/>
      </c>
      <c r="D381" s="289" t="str">
        <f>Controle!D381</f>
        <v/>
      </c>
      <c r="E381" s="290"/>
      <c r="F381" s="291" t="str">
        <f>Controle!F381</f>
        <v/>
      </c>
      <c r="G381" s="289" t="str">
        <f>Controle!G381</f>
        <v/>
      </c>
      <c r="H381" s="290"/>
      <c r="I381" s="291" t="str">
        <f>Controle!I381</f>
        <v/>
      </c>
      <c r="J381" s="233" t="str">
        <f>Controle!J381</f>
        <v/>
      </c>
      <c r="K381" s="292"/>
      <c r="L381" s="233" t="str">
        <f>Controle!L381</f>
        <v/>
      </c>
      <c r="M381" s="233" t="str">
        <f>Controle!M381</f>
        <v/>
      </c>
      <c r="N381" s="235" t="str">
        <f>Controle!N381</f>
        <v/>
      </c>
      <c r="O381" s="235" t="str">
        <f>Controle!O381</f>
        <v/>
      </c>
      <c r="P381" s="235" t="str">
        <f>Controle!P381</f>
        <v/>
      </c>
      <c r="Q381" s="235" t="str">
        <f>Controle!Q381</f>
        <v/>
      </c>
      <c r="R381" s="303" t="str">
        <f>Controle!R381</f>
        <v/>
      </c>
      <c r="S381" s="287"/>
      <c r="T381" s="301"/>
      <c r="U381" s="301"/>
      <c r="V381" s="301"/>
      <c r="W381" s="294"/>
      <c r="X381" s="294"/>
      <c r="Y381" s="294"/>
      <c r="Z381" s="294"/>
      <c r="AA381" s="294"/>
      <c r="AB381" s="253"/>
      <c r="AC381" s="2"/>
      <c r="AD381" s="253"/>
      <c r="AE381" s="253"/>
      <c r="AF381" s="253"/>
      <c r="AG381" s="253"/>
      <c r="AH381" s="253"/>
      <c r="AI381" s="2"/>
      <c r="AJ381" s="253"/>
      <c r="AK381" s="253"/>
      <c r="AL381" s="253"/>
      <c r="AM381" s="253"/>
      <c r="AN381" s="253"/>
      <c r="AO381" s="2"/>
      <c r="AP381" s="253"/>
      <c r="AQ381" s="253"/>
      <c r="AR381" s="253"/>
      <c r="AS381" s="253"/>
      <c r="AT381" s="253"/>
      <c r="AU381" s="2"/>
      <c r="AV381" s="253"/>
      <c r="AW381" s="253"/>
      <c r="AX381" s="253"/>
      <c r="AY381" s="253"/>
    </row>
    <row r="382" ht="15.75" customHeight="1">
      <c r="A382" s="2"/>
      <c r="B382" s="288" t="str">
        <f>Controle!B382</f>
        <v/>
      </c>
      <c r="C382" s="233" t="str">
        <f>Controle!C382</f>
        <v/>
      </c>
      <c r="D382" s="289" t="str">
        <f>Controle!D382</f>
        <v/>
      </c>
      <c r="E382" s="290"/>
      <c r="F382" s="291" t="str">
        <f>Controle!F382</f>
        <v/>
      </c>
      <c r="G382" s="289" t="str">
        <f>Controle!G382</f>
        <v/>
      </c>
      <c r="H382" s="290"/>
      <c r="I382" s="291" t="str">
        <f>Controle!I382</f>
        <v/>
      </c>
      <c r="J382" s="233" t="str">
        <f>Controle!J382</f>
        <v/>
      </c>
      <c r="K382" s="292"/>
      <c r="L382" s="233" t="str">
        <f>Controle!L382</f>
        <v/>
      </c>
      <c r="M382" s="233" t="str">
        <f>Controle!M382</f>
        <v/>
      </c>
      <c r="N382" s="235" t="str">
        <f>Controle!N382</f>
        <v/>
      </c>
      <c r="O382" s="235" t="str">
        <f>Controle!O382</f>
        <v/>
      </c>
      <c r="P382" s="235" t="str">
        <f>Controle!P382</f>
        <v/>
      </c>
      <c r="Q382" s="235" t="str">
        <f>Controle!Q382</f>
        <v/>
      </c>
      <c r="R382" s="303" t="str">
        <f>Controle!R382</f>
        <v/>
      </c>
      <c r="S382" s="287"/>
      <c r="T382" s="301"/>
      <c r="U382" s="301"/>
      <c r="V382" s="301"/>
      <c r="W382" s="294"/>
      <c r="X382" s="294"/>
      <c r="Y382" s="294"/>
      <c r="Z382" s="294"/>
      <c r="AA382" s="294"/>
      <c r="AB382" s="253"/>
      <c r="AC382" s="2"/>
      <c r="AD382" s="253"/>
      <c r="AE382" s="253"/>
      <c r="AF382" s="253"/>
      <c r="AG382" s="253"/>
      <c r="AH382" s="253"/>
      <c r="AI382" s="2"/>
      <c r="AJ382" s="253"/>
      <c r="AK382" s="253"/>
      <c r="AL382" s="253"/>
      <c r="AM382" s="253"/>
      <c r="AN382" s="253"/>
      <c r="AO382" s="2"/>
      <c r="AP382" s="253"/>
      <c r="AQ382" s="253"/>
      <c r="AR382" s="253"/>
      <c r="AS382" s="253"/>
      <c r="AT382" s="253"/>
      <c r="AU382" s="2"/>
      <c r="AV382" s="253"/>
      <c r="AW382" s="253"/>
      <c r="AX382" s="253"/>
      <c r="AY382" s="253"/>
    </row>
    <row r="383" ht="15.75" customHeight="1">
      <c r="A383" s="2"/>
      <c r="B383" s="288" t="str">
        <f>Controle!B383</f>
        <v/>
      </c>
      <c r="C383" s="233" t="str">
        <f>Controle!C383</f>
        <v/>
      </c>
      <c r="D383" s="289" t="str">
        <f>Controle!D383</f>
        <v/>
      </c>
      <c r="E383" s="290"/>
      <c r="F383" s="291" t="str">
        <f>Controle!F383</f>
        <v/>
      </c>
      <c r="G383" s="289" t="str">
        <f>Controle!G383</f>
        <v/>
      </c>
      <c r="H383" s="290"/>
      <c r="I383" s="291" t="str">
        <f>Controle!I383</f>
        <v/>
      </c>
      <c r="J383" s="233" t="str">
        <f>Controle!J383</f>
        <v/>
      </c>
      <c r="K383" s="292"/>
      <c r="L383" s="233" t="str">
        <f>Controle!L383</f>
        <v/>
      </c>
      <c r="M383" s="233" t="str">
        <f>Controle!M383</f>
        <v/>
      </c>
      <c r="N383" s="235" t="str">
        <f>Controle!N383</f>
        <v/>
      </c>
      <c r="O383" s="235" t="str">
        <f>Controle!O383</f>
        <v/>
      </c>
      <c r="P383" s="235" t="str">
        <f>Controle!P383</f>
        <v/>
      </c>
      <c r="Q383" s="235" t="str">
        <f>Controle!Q383</f>
        <v/>
      </c>
      <c r="R383" s="303" t="str">
        <f>Controle!R383</f>
        <v/>
      </c>
      <c r="S383" s="287"/>
      <c r="T383" s="301"/>
      <c r="U383" s="301"/>
      <c r="V383" s="301"/>
      <c r="W383" s="294"/>
      <c r="X383" s="294"/>
      <c r="Y383" s="294"/>
      <c r="Z383" s="294"/>
      <c r="AA383" s="294"/>
      <c r="AB383" s="253"/>
      <c r="AC383" s="2"/>
      <c r="AD383" s="253"/>
      <c r="AE383" s="253"/>
      <c r="AF383" s="253"/>
      <c r="AG383" s="253"/>
      <c r="AH383" s="253"/>
      <c r="AI383" s="2"/>
      <c r="AJ383" s="253"/>
      <c r="AK383" s="253"/>
      <c r="AL383" s="253"/>
      <c r="AM383" s="253"/>
      <c r="AN383" s="253"/>
      <c r="AO383" s="2"/>
      <c r="AP383" s="253"/>
      <c r="AQ383" s="253"/>
      <c r="AR383" s="253"/>
      <c r="AS383" s="253"/>
      <c r="AT383" s="253"/>
      <c r="AU383" s="2"/>
      <c r="AV383" s="253"/>
      <c r="AW383" s="253"/>
      <c r="AX383" s="253"/>
      <c r="AY383" s="253"/>
    </row>
    <row r="384" ht="15.75" customHeight="1">
      <c r="A384" s="2"/>
      <c r="B384" s="288" t="str">
        <f>Controle!B384</f>
        <v/>
      </c>
      <c r="C384" s="233" t="str">
        <f>Controle!C384</f>
        <v/>
      </c>
      <c r="D384" s="289" t="str">
        <f>Controle!D384</f>
        <v/>
      </c>
      <c r="E384" s="290"/>
      <c r="F384" s="291" t="str">
        <f>Controle!F384</f>
        <v/>
      </c>
      <c r="G384" s="289" t="str">
        <f>Controle!G384</f>
        <v/>
      </c>
      <c r="H384" s="290"/>
      <c r="I384" s="291" t="str">
        <f>Controle!I384</f>
        <v/>
      </c>
      <c r="J384" s="233" t="str">
        <f>Controle!J384</f>
        <v/>
      </c>
      <c r="K384" s="292"/>
      <c r="L384" s="233" t="str">
        <f>Controle!L384</f>
        <v/>
      </c>
      <c r="M384" s="233" t="str">
        <f>Controle!M384</f>
        <v/>
      </c>
      <c r="N384" s="235" t="str">
        <f>Controle!N384</f>
        <v/>
      </c>
      <c r="O384" s="235" t="str">
        <f>Controle!O384</f>
        <v/>
      </c>
      <c r="P384" s="235" t="str">
        <f>Controle!P384</f>
        <v/>
      </c>
      <c r="Q384" s="235" t="str">
        <f>Controle!Q384</f>
        <v/>
      </c>
      <c r="R384" s="303" t="str">
        <f>Controle!R384</f>
        <v/>
      </c>
      <c r="S384" s="287"/>
      <c r="T384" s="301"/>
      <c r="U384" s="301"/>
      <c r="V384" s="301"/>
      <c r="W384" s="294"/>
      <c r="X384" s="294"/>
      <c r="Y384" s="294"/>
      <c r="Z384" s="294"/>
      <c r="AA384" s="294"/>
      <c r="AB384" s="253"/>
      <c r="AC384" s="2"/>
      <c r="AD384" s="253"/>
      <c r="AE384" s="253"/>
      <c r="AF384" s="253"/>
      <c r="AG384" s="253"/>
      <c r="AH384" s="253"/>
      <c r="AI384" s="2"/>
      <c r="AJ384" s="253"/>
      <c r="AK384" s="253"/>
      <c r="AL384" s="253"/>
      <c r="AM384" s="253"/>
      <c r="AN384" s="253"/>
      <c r="AO384" s="2"/>
      <c r="AP384" s="253"/>
      <c r="AQ384" s="253"/>
      <c r="AR384" s="253"/>
      <c r="AS384" s="253"/>
      <c r="AT384" s="253"/>
      <c r="AU384" s="2"/>
      <c r="AV384" s="253"/>
      <c r="AW384" s="253"/>
      <c r="AX384" s="253"/>
      <c r="AY384" s="253"/>
    </row>
    <row r="385" ht="15.75" customHeight="1">
      <c r="A385" s="2"/>
      <c r="B385" s="288" t="str">
        <f>Controle!B385</f>
        <v/>
      </c>
      <c r="C385" s="233" t="str">
        <f>Controle!C385</f>
        <v/>
      </c>
      <c r="D385" s="289" t="str">
        <f>Controle!D385</f>
        <v/>
      </c>
      <c r="E385" s="290"/>
      <c r="F385" s="291" t="str">
        <f>Controle!F385</f>
        <v/>
      </c>
      <c r="G385" s="289" t="str">
        <f>Controle!G385</f>
        <v/>
      </c>
      <c r="H385" s="290"/>
      <c r="I385" s="291" t="str">
        <f>Controle!I385</f>
        <v/>
      </c>
      <c r="J385" s="233" t="str">
        <f>Controle!J385</f>
        <v/>
      </c>
      <c r="K385" s="292"/>
      <c r="L385" s="233" t="str">
        <f>Controle!L385</f>
        <v/>
      </c>
      <c r="M385" s="233" t="str">
        <f>Controle!M385</f>
        <v/>
      </c>
      <c r="N385" s="235" t="str">
        <f>Controle!N385</f>
        <v/>
      </c>
      <c r="O385" s="235" t="str">
        <f>Controle!O385</f>
        <v/>
      </c>
      <c r="P385" s="235" t="str">
        <f>Controle!P385</f>
        <v/>
      </c>
      <c r="Q385" s="235" t="str">
        <f>Controle!Q385</f>
        <v/>
      </c>
      <c r="R385" s="303" t="str">
        <f>Controle!R385</f>
        <v/>
      </c>
      <c r="S385" s="287"/>
      <c r="T385" s="301"/>
      <c r="U385" s="301"/>
      <c r="V385" s="301"/>
      <c r="W385" s="294"/>
      <c r="X385" s="294"/>
      <c r="Y385" s="294"/>
      <c r="Z385" s="294"/>
      <c r="AA385" s="294"/>
      <c r="AB385" s="253"/>
      <c r="AC385" s="2"/>
      <c r="AD385" s="253"/>
      <c r="AE385" s="253"/>
      <c r="AF385" s="253"/>
      <c r="AG385" s="253"/>
      <c r="AH385" s="253"/>
      <c r="AI385" s="2"/>
      <c r="AJ385" s="253"/>
      <c r="AK385" s="253"/>
      <c r="AL385" s="253"/>
      <c r="AM385" s="253"/>
      <c r="AN385" s="253"/>
      <c r="AO385" s="2"/>
      <c r="AP385" s="253"/>
      <c r="AQ385" s="253"/>
      <c r="AR385" s="253"/>
      <c r="AS385" s="253"/>
      <c r="AT385" s="253"/>
      <c r="AU385" s="2"/>
      <c r="AV385" s="253"/>
      <c r="AW385" s="253"/>
      <c r="AX385" s="253"/>
      <c r="AY385" s="253"/>
    </row>
    <row r="386" ht="15.75" customHeight="1">
      <c r="A386" s="2"/>
      <c r="B386" s="288" t="str">
        <f>Controle!B386</f>
        <v/>
      </c>
      <c r="C386" s="233" t="str">
        <f>Controle!C386</f>
        <v/>
      </c>
      <c r="D386" s="289" t="str">
        <f>Controle!D386</f>
        <v/>
      </c>
      <c r="E386" s="290"/>
      <c r="F386" s="291" t="str">
        <f>Controle!F386</f>
        <v/>
      </c>
      <c r="G386" s="289" t="str">
        <f>Controle!G386</f>
        <v/>
      </c>
      <c r="H386" s="290"/>
      <c r="I386" s="291" t="str">
        <f>Controle!I386</f>
        <v/>
      </c>
      <c r="J386" s="233" t="str">
        <f>Controle!J386</f>
        <v/>
      </c>
      <c r="K386" s="292"/>
      <c r="L386" s="233" t="str">
        <f>Controle!L386</f>
        <v/>
      </c>
      <c r="M386" s="233" t="str">
        <f>Controle!M386</f>
        <v/>
      </c>
      <c r="N386" s="235" t="str">
        <f>Controle!N386</f>
        <v/>
      </c>
      <c r="O386" s="235" t="str">
        <f>Controle!O386</f>
        <v/>
      </c>
      <c r="P386" s="235" t="str">
        <f>Controle!P386</f>
        <v/>
      </c>
      <c r="Q386" s="235" t="str">
        <f>Controle!Q386</f>
        <v/>
      </c>
      <c r="R386" s="303" t="str">
        <f>Controle!R386</f>
        <v/>
      </c>
      <c r="S386" s="287"/>
      <c r="T386" s="301"/>
      <c r="U386" s="301"/>
      <c r="V386" s="301"/>
      <c r="W386" s="294"/>
      <c r="X386" s="294"/>
      <c r="Y386" s="294"/>
      <c r="Z386" s="294"/>
      <c r="AA386" s="294"/>
      <c r="AB386" s="253"/>
      <c r="AC386" s="2"/>
      <c r="AD386" s="253"/>
      <c r="AE386" s="253"/>
      <c r="AF386" s="253"/>
      <c r="AG386" s="253"/>
      <c r="AH386" s="253"/>
      <c r="AI386" s="2"/>
      <c r="AJ386" s="253"/>
      <c r="AK386" s="253"/>
      <c r="AL386" s="253"/>
      <c r="AM386" s="253"/>
      <c r="AN386" s="253"/>
      <c r="AO386" s="2"/>
      <c r="AP386" s="253"/>
      <c r="AQ386" s="253"/>
      <c r="AR386" s="253"/>
      <c r="AS386" s="253"/>
      <c r="AT386" s="253"/>
      <c r="AU386" s="2"/>
      <c r="AV386" s="253"/>
      <c r="AW386" s="253"/>
      <c r="AX386" s="253"/>
      <c r="AY386" s="253"/>
    </row>
    <row r="387" ht="15.75" customHeight="1">
      <c r="A387" s="2"/>
      <c r="B387" s="288" t="str">
        <f>Controle!B387</f>
        <v/>
      </c>
      <c r="C387" s="233" t="str">
        <f>Controle!C387</f>
        <v/>
      </c>
      <c r="D387" s="289" t="str">
        <f>Controle!D387</f>
        <v/>
      </c>
      <c r="E387" s="290"/>
      <c r="F387" s="291" t="str">
        <f>Controle!F387</f>
        <v/>
      </c>
      <c r="G387" s="289" t="str">
        <f>Controle!G387</f>
        <v/>
      </c>
      <c r="H387" s="290"/>
      <c r="I387" s="291" t="str">
        <f>Controle!I387</f>
        <v/>
      </c>
      <c r="J387" s="233" t="str">
        <f>Controle!J387</f>
        <v/>
      </c>
      <c r="K387" s="292"/>
      <c r="L387" s="233" t="str">
        <f>Controle!L387</f>
        <v/>
      </c>
      <c r="M387" s="233" t="str">
        <f>Controle!M387</f>
        <v/>
      </c>
      <c r="N387" s="235" t="str">
        <f>Controle!N387</f>
        <v/>
      </c>
      <c r="O387" s="235" t="str">
        <f>Controle!O387</f>
        <v/>
      </c>
      <c r="P387" s="235" t="str">
        <f>Controle!P387</f>
        <v/>
      </c>
      <c r="Q387" s="235" t="str">
        <f>Controle!Q387</f>
        <v/>
      </c>
      <c r="R387" s="303" t="str">
        <f>Controle!R387</f>
        <v/>
      </c>
      <c r="S387" s="287"/>
      <c r="T387" s="301"/>
      <c r="U387" s="301"/>
      <c r="V387" s="301"/>
      <c r="W387" s="294"/>
      <c r="X387" s="294"/>
      <c r="Y387" s="294"/>
      <c r="Z387" s="294"/>
      <c r="AA387" s="294"/>
      <c r="AB387" s="253"/>
      <c r="AC387" s="2"/>
      <c r="AD387" s="253"/>
      <c r="AE387" s="253"/>
      <c r="AF387" s="253"/>
      <c r="AG387" s="253"/>
      <c r="AH387" s="253"/>
      <c r="AI387" s="2"/>
      <c r="AJ387" s="253"/>
      <c r="AK387" s="253"/>
      <c r="AL387" s="253"/>
      <c r="AM387" s="253"/>
      <c r="AN387" s="253"/>
      <c r="AO387" s="2"/>
      <c r="AP387" s="253"/>
      <c r="AQ387" s="253"/>
      <c r="AR387" s="253"/>
      <c r="AS387" s="253"/>
      <c r="AT387" s="253"/>
      <c r="AU387" s="2"/>
      <c r="AV387" s="253"/>
      <c r="AW387" s="253"/>
      <c r="AX387" s="253"/>
      <c r="AY387" s="253"/>
    </row>
    <row r="388" ht="15.75" customHeight="1">
      <c r="A388" s="2"/>
      <c r="B388" s="288" t="str">
        <f>Controle!B388</f>
        <v/>
      </c>
      <c r="C388" s="233" t="str">
        <f>Controle!C388</f>
        <v/>
      </c>
      <c r="D388" s="289" t="str">
        <f>Controle!D388</f>
        <v/>
      </c>
      <c r="E388" s="290"/>
      <c r="F388" s="291" t="str">
        <f>Controle!F388</f>
        <v/>
      </c>
      <c r="G388" s="289" t="str">
        <f>Controle!G388</f>
        <v/>
      </c>
      <c r="H388" s="290"/>
      <c r="I388" s="291" t="str">
        <f>Controle!I388</f>
        <v/>
      </c>
      <c r="J388" s="233" t="str">
        <f>Controle!J388</f>
        <v/>
      </c>
      <c r="K388" s="292"/>
      <c r="L388" s="233" t="str">
        <f>Controle!L388</f>
        <v/>
      </c>
      <c r="M388" s="233" t="str">
        <f>Controle!M388</f>
        <v/>
      </c>
      <c r="N388" s="235" t="str">
        <f>Controle!N388</f>
        <v/>
      </c>
      <c r="O388" s="235" t="str">
        <f>Controle!O388</f>
        <v/>
      </c>
      <c r="P388" s="235" t="str">
        <f>Controle!P388</f>
        <v/>
      </c>
      <c r="Q388" s="235" t="str">
        <f>Controle!Q388</f>
        <v/>
      </c>
      <c r="R388" s="303" t="str">
        <f>Controle!R388</f>
        <v/>
      </c>
      <c r="S388" s="287"/>
      <c r="T388" s="301"/>
      <c r="U388" s="301"/>
      <c r="V388" s="301"/>
      <c r="W388" s="294"/>
      <c r="X388" s="294"/>
      <c r="Y388" s="294"/>
      <c r="Z388" s="294"/>
      <c r="AA388" s="294"/>
      <c r="AB388" s="253"/>
      <c r="AC388" s="2"/>
      <c r="AD388" s="253"/>
      <c r="AE388" s="253"/>
      <c r="AF388" s="253"/>
      <c r="AG388" s="253"/>
      <c r="AH388" s="253"/>
      <c r="AI388" s="2"/>
      <c r="AJ388" s="253"/>
      <c r="AK388" s="253"/>
      <c r="AL388" s="253"/>
      <c r="AM388" s="253"/>
      <c r="AN388" s="253"/>
      <c r="AO388" s="2"/>
      <c r="AP388" s="253"/>
      <c r="AQ388" s="253"/>
      <c r="AR388" s="253"/>
      <c r="AS388" s="253"/>
      <c r="AT388" s="253"/>
      <c r="AU388" s="2"/>
      <c r="AV388" s="253"/>
      <c r="AW388" s="253"/>
      <c r="AX388" s="253"/>
      <c r="AY388" s="253"/>
    </row>
    <row r="389" ht="15.75" customHeight="1">
      <c r="A389" s="2"/>
      <c r="B389" s="288" t="str">
        <f>Controle!B389</f>
        <v/>
      </c>
      <c r="C389" s="233" t="str">
        <f>Controle!C389</f>
        <v/>
      </c>
      <c r="D389" s="289" t="str">
        <f>Controle!D389</f>
        <v/>
      </c>
      <c r="E389" s="290"/>
      <c r="F389" s="291" t="str">
        <f>Controle!F389</f>
        <v/>
      </c>
      <c r="G389" s="289" t="str">
        <f>Controle!G389</f>
        <v/>
      </c>
      <c r="H389" s="290"/>
      <c r="I389" s="291" t="str">
        <f>Controle!I389</f>
        <v/>
      </c>
      <c r="J389" s="233" t="str">
        <f>Controle!J389</f>
        <v/>
      </c>
      <c r="K389" s="292"/>
      <c r="L389" s="233" t="str">
        <f>Controle!L389</f>
        <v/>
      </c>
      <c r="M389" s="233" t="str">
        <f>Controle!M389</f>
        <v/>
      </c>
      <c r="N389" s="235" t="str">
        <f>Controle!N389</f>
        <v/>
      </c>
      <c r="O389" s="235" t="str">
        <f>Controle!O389</f>
        <v/>
      </c>
      <c r="P389" s="235" t="str">
        <f>Controle!P389</f>
        <v/>
      </c>
      <c r="Q389" s="235" t="str">
        <f>Controle!Q389</f>
        <v/>
      </c>
      <c r="R389" s="304" t="str">
        <f>Controle!R389</f>
        <v/>
      </c>
      <c r="S389" s="287"/>
      <c r="T389" s="301"/>
      <c r="U389" s="301"/>
      <c r="V389" s="301"/>
      <c r="W389" s="294"/>
      <c r="X389" s="294"/>
      <c r="Y389" s="294"/>
      <c r="Z389" s="294"/>
      <c r="AA389" s="294"/>
      <c r="AB389" s="253"/>
      <c r="AC389" s="2"/>
      <c r="AD389" s="253"/>
      <c r="AE389" s="253"/>
      <c r="AF389" s="253"/>
      <c r="AG389" s="253"/>
      <c r="AH389" s="253"/>
      <c r="AI389" s="2"/>
      <c r="AJ389" s="253"/>
      <c r="AK389" s="253"/>
      <c r="AL389" s="253"/>
      <c r="AM389" s="253"/>
      <c r="AN389" s="253"/>
      <c r="AO389" s="2"/>
      <c r="AP389" s="253"/>
      <c r="AQ389" s="253"/>
      <c r="AR389" s="253"/>
      <c r="AS389" s="253"/>
      <c r="AT389" s="253"/>
      <c r="AU389" s="2"/>
      <c r="AV389" s="253"/>
      <c r="AW389" s="253"/>
      <c r="AX389" s="253"/>
      <c r="AY389" s="253"/>
    </row>
    <row r="390" ht="15.75" customHeight="1">
      <c r="A390" s="2"/>
      <c r="B390" s="288" t="str">
        <f>Controle!B390</f>
        <v/>
      </c>
      <c r="C390" s="233" t="str">
        <f>Controle!C390</f>
        <v/>
      </c>
      <c r="D390" s="289" t="str">
        <f>Controle!D390</f>
        <v/>
      </c>
      <c r="E390" s="290"/>
      <c r="F390" s="291" t="str">
        <f>Controle!F390</f>
        <v/>
      </c>
      <c r="G390" s="289" t="str">
        <f>Controle!G390</f>
        <v/>
      </c>
      <c r="H390" s="290"/>
      <c r="I390" s="291" t="str">
        <f>Controle!I390</f>
        <v/>
      </c>
      <c r="J390" s="233" t="str">
        <f>Controle!J390</f>
        <v/>
      </c>
      <c r="K390" s="292"/>
      <c r="L390" s="233" t="str">
        <f>Controle!L390</f>
        <v/>
      </c>
      <c r="M390" s="233" t="str">
        <f>Controle!M390</f>
        <v/>
      </c>
      <c r="N390" s="235" t="str">
        <f>Controle!N390</f>
        <v/>
      </c>
      <c r="O390" s="235" t="str">
        <f>Controle!O390</f>
        <v/>
      </c>
      <c r="P390" s="235" t="str">
        <f>Controle!P390</f>
        <v/>
      </c>
      <c r="Q390" s="235" t="str">
        <f>Controle!Q390</f>
        <v/>
      </c>
      <c r="R390" s="304" t="str">
        <f>Controle!R390</f>
        <v/>
      </c>
      <c r="S390" s="287"/>
      <c r="T390" s="301"/>
      <c r="U390" s="301"/>
      <c r="V390" s="301"/>
      <c r="W390" s="294"/>
      <c r="X390" s="294"/>
      <c r="Y390" s="294"/>
      <c r="Z390" s="294"/>
      <c r="AA390" s="294"/>
      <c r="AB390" s="253"/>
      <c r="AC390" s="2"/>
      <c r="AD390" s="253"/>
      <c r="AE390" s="253"/>
      <c r="AF390" s="253"/>
      <c r="AG390" s="253"/>
      <c r="AH390" s="253"/>
      <c r="AI390" s="2"/>
      <c r="AJ390" s="253"/>
      <c r="AK390" s="253"/>
      <c r="AL390" s="253"/>
      <c r="AM390" s="253"/>
      <c r="AN390" s="253"/>
      <c r="AO390" s="2"/>
      <c r="AP390" s="253"/>
      <c r="AQ390" s="253"/>
      <c r="AR390" s="253"/>
      <c r="AS390" s="253"/>
      <c r="AT390" s="253"/>
      <c r="AU390" s="2"/>
      <c r="AV390" s="253"/>
      <c r="AW390" s="253"/>
      <c r="AX390" s="253"/>
      <c r="AY390" s="253"/>
    </row>
    <row r="391" ht="15.75" customHeight="1">
      <c r="A391" s="2"/>
      <c r="B391" s="288" t="str">
        <f>Controle!B391</f>
        <v/>
      </c>
      <c r="C391" s="233" t="str">
        <f>Controle!C391</f>
        <v/>
      </c>
      <c r="D391" s="289" t="str">
        <f>Controle!D391</f>
        <v/>
      </c>
      <c r="E391" s="290"/>
      <c r="F391" s="291" t="str">
        <f>Controle!F391</f>
        <v/>
      </c>
      <c r="G391" s="289" t="str">
        <f>Controle!G391</f>
        <v/>
      </c>
      <c r="H391" s="290"/>
      <c r="I391" s="291" t="str">
        <f>Controle!I391</f>
        <v/>
      </c>
      <c r="J391" s="233" t="str">
        <f>Controle!J391</f>
        <v/>
      </c>
      <c r="K391" s="292"/>
      <c r="L391" s="233" t="str">
        <f>Controle!L391</f>
        <v/>
      </c>
      <c r="M391" s="233" t="str">
        <f>Controle!M391</f>
        <v/>
      </c>
      <c r="N391" s="235" t="str">
        <f>Controle!N391</f>
        <v/>
      </c>
      <c r="O391" s="235" t="str">
        <f>Controle!O391</f>
        <v/>
      </c>
      <c r="P391" s="235" t="str">
        <f>Controle!P391</f>
        <v/>
      </c>
      <c r="Q391" s="235" t="str">
        <f>Controle!Q391</f>
        <v/>
      </c>
      <c r="R391" s="304" t="str">
        <f>Controle!R391</f>
        <v/>
      </c>
      <c r="S391" s="287"/>
      <c r="T391" s="301"/>
      <c r="U391" s="301"/>
      <c r="V391" s="301"/>
      <c r="W391" s="294"/>
      <c r="X391" s="294"/>
      <c r="Y391" s="294"/>
      <c r="Z391" s="294"/>
      <c r="AA391" s="294"/>
      <c r="AB391" s="253"/>
      <c r="AC391" s="2"/>
      <c r="AD391" s="253"/>
      <c r="AE391" s="253"/>
      <c r="AF391" s="253"/>
      <c r="AG391" s="253"/>
      <c r="AH391" s="253"/>
      <c r="AI391" s="2"/>
      <c r="AJ391" s="253"/>
      <c r="AK391" s="253"/>
      <c r="AL391" s="253"/>
      <c r="AM391" s="253"/>
      <c r="AN391" s="253"/>
      <c r="AO391" s="2"/>
      <c r="AP391" s="253"/>
      <c r="AQ391" s="253"/>
      <c r="AR391" s="253"/>
      <c r="AS391" s="253"/>
      <c r="AT391" s="253"/>
      <c r="AU391" s="2"/>
      <c r="AV391" s="253"/>
      <c r="AW391" s="253"/>
      <c r="AX391" s="253"/>
      <c r="AY391" s="253"/>
    </row>
    <row r="392" ht="15.75" customHeight="1">
      <c r="A392" s="2"/>
      <c r="B392" s="288" t="str">
        <f>Controle!B392</f>
        <v/>
      </c>
      <c r="C392" s="233" t="str">
        <f>Controle!C392</f>
        <v/>
      </c>
      <c r="D392" s="289" t="str">
        <f>Controle!D392</f>
        <v/>
      </c>
      <c r="E392" s="290"/>
      <c r="F392" s="291" t="str">
        <f>Controle!F392</f>
        <v/>
      </c>
      <c r="G392" s="289" t="str">
        <f>Controle!G392</f>
        <v/>
      </c>
      <c r="H392" s="290"/>
      <c r="I392" s="291" t="str">
        <f>Controle!I392</f>
        <v/>
      </c>
      <c r="J392" s="233" t="str">
        <f>Controle!J392</f>
        <v/>
      </c>
      <c r="K392" s="292"/>
      <c r="L392" s="233" t="str">
        <f>Controle!L392</f>
        <v/>
      </c>
      <c r="M392" s="233" t="str">
        <f>Controle!M392</f>
        <v/>
      </c>
      <c r="N392" s="235" t="str">
        <f>Controle!N392</f>
        <v/>
      </c>
      <c r="O392" s="235" t="str">
        <f>Controle!O392</f>
        <v/>
      </c>
      <c r="P392" s="235" t="str">
        <f>Controle!P392</f>
        <v/>
      </c>
      <c r="Q392" s="235" t="str">
        <f>Controle!Q392</f>
        <v/>
      </c>
      <c r="R392" s="304" t="str">
        <f>Controle!R392</f>
        <v/>
      </c>
      <c r="S392" s="287"/>
      <c r="T392" s="301"/>
      <c r="U392" s="301"/>
      <c r="V392" s="301"/>
      <c r="W392" s="294"/>
      <c r="X392" s="294"/>
      <c r="Y392" s="294"/>
      <c r="Z392" s="294"/>
      <c r="AA392" s="294"/>
      <c r="AB392" s="253"/>
      <c r="AC392" s="2"/>
      <c r="AD392" s="253"/>
      <c r="AE392" s="253"/>
      <c r="AF392" s="253"/>
      <c r="AG392" s="253"/>
      <c r="AH392" s="253"/>
      <c r="AI392" s="2"/>
      <c r="AJ392" s="253"/>
      <c r="AK392" s="253"/>
      <c r="AL392" s="253"/>
      <c r="AM392" s="253"/>
      <c r="AN392" s="253"/>
      <c r="AO392" s="2"/>
      <c r="AP392" s="253"/>
      <c r="AQ392" s="253"/>
      <c r="AR392" s="253"/>
      <c r="AS392" s="253"/>
      <c r="AT392" s="253"/>
      <c r="AU392" s="2"/>
      <c r="AV392" s="253"/>
      <c r="AW392" s="253"/>
      <c r="AX392" s="253"/>
      <c r="AY392" s="253"/>
    </row>
    <row r="393" ht="15.75" customHeight="1">
      <c r="A393" s="2"/>
      <c r="B393" s="288" t="str">
        <f>Controle!B393</f>
        <v/>
      </c>
      <c r="C393" s="233" t="str">
        <f>Controle!C393</f>
        <v/>
      </c>
      <c r="D393" s="289" t="str">
        <f>Controle!D393</f>
        <v/>
      </c>
      <c r="E393" s="290"/>
      <c r="F393" s="291" t="str">
        <f>Controle!F393</f>
        <v/>
      </c>
      <c r="G393" s="289" t="str">
        <f>Controle!G393</f>
        <v/>
      </c>
      <c r="H393" s="290"/>
      <c r="I393" s="291" t="str">
        <f>Controle!I393</f>
        <v/>
      </c>
      <c r="J393" s="233" t="str">
        <f>Controle!J393</f>
        <v/>
      </c>
      <c r="K393" s="292"/>
      <c r="L393" s="233" t="str">
        <f>Controle!L393</f>
        <v/>
      </c>
      <c r="M393" s="233" t="str">
        <f>Controle!M393</f>
        <v/>
      </c>
      <c r="N393" s="235" t="str">
        <f>Controle!N393</f>
        <v/>
      </c>
      <c r="O393" s="235" t="str">
        <f>Controle!O393</f>
        <v/>
      </c>
      <c r="P393" s="235" t="str">
        <f>Controle!P393</f>
        <v/>
      </c>
      <c r="Q393" s="235" t="str">
        <f>Controle!Q393</f>
        <v/>
      </c>
      <c r="R393" s="304" t="str">
        <f>Controle!R393</f>
        <v/>
      </c>
      <c r="S393" s="287"/>
      <c r="T393" s="301"/>
      <c r="U393" s="301"/>
      <c r="V393" s="301"/>
      <c r="W393" s="294"/>
      <c r="X393" s="294"/>
      <c r="Y393" s="294"/>
      <c r="Z393" s="294"/>
      <c r="AA393" s="294"/>
      <c r="AB393" s="253"/>
      <c r="AC393" s="2"/>
      <c r="AD393" s="253"/>
      <c r="AE393" s="253"/>
      <c r="AF393" s="253"/>
      <c r="AG393" s="253"/>
      <c r="AH393" s="253"/>
      <c r="AI393" s="2"/>
      <c r="AJ393" s="253"/>
      <c r="AK393" s="253"/>
      <c r="AL393" s="253"/>
      <c r="AM393" s="253"/>
      <c r="AN393" s="253"/>
      <c r="AO393" s="2"/>
      <c r="AP393" s="253"/>
      <c r="AQ393" s="253"/>
      <c r="AR393" s="253"/>
      <c r="AS393" s="253"/>
      <c r="AT393" s="253"/>
      <c r="AU393" s="2"/>
      <c r="AV393" s="253"/>
      <c r="AW393" s="253"/>
      <c r="AX393" s="253"/>
      <c r="AY393" s="253"/>
    </row>
    <row r="394" ht="15.75" customHeight="1">
      <c r="A394" s="2"/>
      <c r="B394" s="288" t="str">
        <f>Controle!B394</f>
        <v/>
      </c>
      <c r="C394" s="233" t="str">
        <f>Controle!C394</f>
        <v/>
      </c>
      <c r="D394" s="289" t="str">
        <f>Controle!D394</f>
        <v/>
      </c>
      <c r="E394" s="290"/>
      <c r="F394" s="291" t="str">
        <f>Controle!F394</f>
        <v/>
      </c>
      <c r="G394" s="289" t="str">
        <f>Controle!G394</f>
        <v/>
      </c>
      <c r="H394" s="290"/>
      <c r="I394" s="291" t="str">
        <f>Controle!I394</f>
        <v/>
      </c>
      <c r="J394" s="233" t="str">
        <f>Controle!J394</f>
        <v/>
      </c>
      <c r="K394" s="292"/>
      <c r="L394" s="233" t="str">
        <f>Controle!L394</f>
        <v/>
      </c>
      <c r="M394" s="233" t="str">
        <f>Controle!M394</f>
        <v/>
      </c>
      <c r="N394" s="235" t="str">
        <f>Controle!N394</f>
        <v/>
      </c>
      <c r="O394" s="235" t="str">
        <f>Controle!O394</f>
        <v/>
      </c>
      <c r="P394" s="235" t="str">
        <f>Controle!P394</f>
        <v/>
      </c>
      <c r="Q394" s="235" t="str">
        <f>Controle!Q394</f>
        <v/>
      </c>
      <c r="R394" s="304" t="str">
        <f>Controle!R394</f>
        <v/>
      </c>
      <c r="S394" s="287"/>
      <c r="T394" s="301"/>
      <c r="U394" s="301"/>
      <c r="V394" s="301"/>
      <c r="W394" s="294"/>
      <c r="X394" s="294"/>
      <c r="Y394" s="294"/>
      <c r="Z394" s="294"/>
      <c r="AA394" s="294"/>
      <c r="AB394" s="253"/>
      <c r="AC394" s="2"/>
      <c r="AD394" s="253"/>
      <c r="AE394" s="253"/>
      <c r="AF394" s="253"/>
      <c r="AG394" s="253"/>
      <c r="AH394" s="253"/>
      <c r="AI394" s="2"/>
      <c r="AJ394" s="253"/>
      <c r="AK394" s="253"/>
      <c r="AL394" s="253"/>
      <c r="AM394" s="253"/>
      <c r="AN394" s="253"/>
      <c r="AO394" s="2"/>
      <c r="AP394" s="253"/>
      <c r="AQ394" s="253"/>
      <c r="AR394" s="253"/>
      <c r="AS394" s="253"/>
      <c r="AT394" s="253"/>
      <c r="AU394" s="2"/>
      <c r="AV394" s="253"/>
      <c r="AW394" s="253"/>
      <c r="AX394" s="253"/>
      <c r="AY394" s="253"/>
    </row>
    <row r="395" ht="15.75" customHeight="1">
      <c r="A395" s="2"/>
      <c r="B395" s="288" t="str">
        <f>Controle!B395</f>
        <v/>
      </c>
      <c r="C395" s="233" t="str">
        <f>Controle!C395</f>
        <v/>
      </c>
      <c r="D395" s="289" t="str">
        <f>Controle!D395</f>
        <v/>
      </c>
      <c r="E395" s="290"/>
      <c r="F395" s="291" t="str">
        <f>Controle!F395</f>
        <v/>
      </c>
      <c r="G395" s="289" t="str">
        <f>Controle!G395</f>
        <v/>
      </c>
      <c r="H395" s="290"/>
      <c r="I395" s="291" t="str">
        <f>Controle!I395</f>
        <v/>
      </c>
      <c r="J395" s="233" t="str">
        <f>Controle!J395</f>
        <v/>
      </c>
      <c r="K395" s="292"/>
      <c r="L395" s="233" t="str">
        <f>Controle!L395</f>
        <v/>
      </c>
      <c r="M395" s="233" t="str">
        <f>Controle!M395</f>
        <v/>
      </c>
      <c r="N395" s="235" t="str">
        <f>Controle!N395</f>
        <v/>
      </c>
      <c r="O395" s="235" t="str">
        <f>Controle!O395</f>
        <v/>
      </c>
      <c r="P395" s="235" t="str">
        <f>Controle!P395</f>
        <v/>
      </c>
      <c r="Q395" s="235" t="str">
        <f>Controle!Q395</f>
        <v/>
      </c>
      <c r="R395" s="304" t="str">
        <f>Controle!R395</f>
        <v/>
      </c>
      <c r="S395" s="287"/>
      <c r="T395" s="301"/>
      <c r="U395" s="301"/>
      <c r="V395" s="301"/>
      <c r="W395" s="294"/>
      <c r="X395" s="294"/>
      <c r="Y395" s="294"/>
      <c r="Z395" s="294"/>
      <c r="AA395" s="294"/>
      <c r="AB395" s="253"/>
      <c r="AC395" s="2"/>
      <c r="AD395" s="253"/>
      <c r="AE395" s="253"/>
      <c r="AF395" s="253"/>
      <c r="AG395" s="253"/>
      <c r="AH395" s="253"/>
      <c r="AI395" s="2"/>
      <c r="AJ395" s="253"/>
      <c r="AK395" s="253"/>
      <c r="AL395" s="253"/>
      <c r="AM395" s="253"/>
      <c r="AN395" s="253"/>
      <c r="AO395" s="2"/>
      <c r="AP395" s="253"/>
      <c r="AQ395" s="253"/>
      <c r="AR395" s="253"/>
      <c r="AS395" s="253"/>
      <c r="AT395" s="253"/>
      <c r="AU395" s="2"/>
      <c r="AV395" s="253"/>
      <c r="AW395" s="253"/>
      <c r="AX395" s="253"/>
      <c r="AY395" s="253"/>
    </row>
    <row r="396" ht="15.75" customHeight="1">
      <c r="A396" s="2"/>
      <c r="B396" s="288" t="str">
        <f>Controle!B396</f>
        <v/>
      </c>
      <c r="C396" s="233" t="str">
        <f>Controle!C396</f>
        <v/>
      </c>
      <c r="D396" s="289" t="str">
        <f>Controle!D396</f>
        <v/>
      </c>
      <c r="E396" s="290"/>
      <c r="F396" s="291" t="str">
        <f>Controle!F396</f>
        <v/>
      </c>
      <c r="G396" s="289" t="str">
        <f>Controle!G396</f>
        <v/>
      </c>
      <c r="H396" s="290"/>
      <c r="I396" s="291" t="str">
        <f>Controle!I396</f>
        <v/>
      </c>
      <c r="J396" s="233" t="str">
        <f>Controle!J396</f>
        <v/>
      </c>
      <c r="K396" s="292"/>
      <c r="L396" s="233" t="str">
        <f>Controle!L396</f>
        <v/>
      </c>
      <c r="M396" s="233" t="str">
        <f>Controle!M396</f>
        <v/>
      </c>
      <c r="N396" s="235" t="str">
        <f>Controle!N396</f>
        <v/>
      </c>
      <c r="O396" s="235" t="str">
        <f>Controle!O396</f>
        <v/>
      </c>
      <c r="P396" s="235" t="str">
        <f>Controle!P396</f>
        <v/>
      </c>
      <c r="Q396" s="235" t="str">
        <f>Controle!Q396</f>
        <v/>
      </c>
      <c r="R396" s="304" t="str">
        <f>Controle!R396</f>
        <v/>
      </c>
      <c r="S396" s="287"/>
      <c r="T396" s="301"/>
      <c r="U396" s="301"/>
      <c r="V396" s="301"/>
      <c r="W396" s="294"/>
      <c r="X396" s="294"/>
      <c r="Y396" s="294"/>
      <c r="Z396" s="294"/>
      <c r="AA396" s="294"/>
      <c r="AB396" s="253"/>
      <c r="AC396" s="2"/>
      <c r="AD396" s="253"/>
      <c r="AE396" s="253"/>
      <c r="AF396" s="253"/>
      <c r="AG396" s="253"/>
      <c r="AH396" s="253"/>
      <c r="AI396" s="2"/>
      <c r="AJ396" s="253"/>
      <c r="AK396" s="253"/>
      <c r="AL396" s="253"/>
      <c r="AM396" s="253"/>
      <c r="AN396" s="253"/>
      <c r="AO396" s="2"/>
      <c r="AP396" s="253"/>
      <c r="AQ396" s="253"/>
      <c r="AR396" s="253"/>
      <c r="AS396" s="253"/>
      <c r="AT396" s="253"/>
      <c r="AU396" s="2"/>
      <c r="AV396" s="253"/>
      <c r="AW396" s="253"/>
      <c r="AX396" s="253"/>
      <c r="AY396" s="253"/>
    </row>
    <row r="397" ht="15.75" customHeight="1">
      <c r="A397" s="2"/>
      <c r="B397" s="288" t="str">
        <f>Controle!B397</f>
        <v/>
      </c>
      <c r="C397" s="233" t="str">
        <f>Controle!C397</f>
        <v/>
      </c>
      <c r="D397" s="289" t="str">
        <f>Controle!D397</f>
        <v/>
      </c>
      <c r="E397" s="290"/>
      <c r="F397" s="291" t="str">
        <f>Controle!F397</f>
        <v/>
      </c>
      <c r="G397" s="289" t="str">
        <f>Controle!G397</f>
        <v/>
      </c>
      <c r="H397" s="290"/>
      <c r="I397" s="291" t="str">
        <f>Controle!I397</f>
        <v/>
      </c>
      <c r="J397" s="233" t="str">
        <f>Controle!J397</f>
        <v/>
      </c>
      <c r="K397" s="292"/>
      <c r="L397" s="233" t="str">
        <f>Controle!L397</f>
        <v/>
      </c>
      <c r="M397" s="233" t="str">
        <f>Controle!M397</f>
        <v/>
      </c>
      <c r="N397" s="235" t="str">
        <f>Controle!N397</f>
        <v/>
      </c>
      <c r="O397" s="235" t="str">
        <f>Controle!O397</f>
        <v/>
      </c>
      <c r="P397" s="235" t="str">
        <f>Controle!P397</f>
        <v/>
      </c>
      <c r="Q397" s="235" t="str">
        <f>Controle!Q397</f>
        <v/>
      </c>
      <c r="R397" s="304" t="str">
        <f>Controle!R397</f>
        <v/>
      </c>
      <c r="S397" s="287"/>
      <c r="T397" s="301"/>
      <c r="U397" s="301"/>
      <c r="V397" s="301"/>
      <c r="W397" s="294"/>
      <c r="X397" s="294"/>
      <c r="Y397" s="294"/>
      <c r="Z397" s="294"/>
      <c r="AA397" s="294"/>
      <c r="AB397" s="253"/>
      <c r="AC397" s="2"/>
      <c r="AD397" s="253"/>
      <c r="AE397" s="253"/>
      <c r="AF397" s="253"/>
      <c r="AG397" s="253"/>
      <c r="AH397" s="253"/>
      <c r="AI397" s="2"/>
      <c r="AJ397" s="253"/>
      <c r="AK397" s="253"/>
      <c r="AL397" s="253"/>
      <c r="AM397" s="253"/>
      <c r="AN397" s="253"/>
      <c r="AO397" s="2"/>
      <c r="AP397" s="253"/>
      <c r="AQ397" s="253"/>
      <c r="AR397" s="253"/>
      <c r="AS397" s="253"/>
      <c r="AT397" s="253"/>
      <c r="AU397" s="2"/>
      <c r="AV397" s="253"/>
      <c r="AW397" s="253"/>
      <c r="AX397" s="253"/>
      <c r="AY397" s="253"/>
    </row>
    <row r="398" ht="15.75" customHeight="1">
      <c r="A398" s="2"/>
      <c r="B398" s="288" t="str">
        <f>Controle!B398</f>
        <v/>
      </c>
      <c r="C398" s="233" t="str">
        <f>Controle!C398</f>
        <v/>
      </c>
      <c r="D398" s="289" t="str">
        <f>Controle!D398</f>
        <v/>
      </c>
      <c r="E398" s="290"/>
      <c r="F398" s="291" t="str">
        <f>Controle!F398</f>
        <v/>
      </c>
      <c r="G398" s="289" t="str">
        <f>Controle!G398</f>
        <v/>
      </c>
      <c r="H398" s="290"/>
      <c r="I398" s="291" t="str">
        <f>Controle!I398</f>
        <v/>
      </c>
      <c r="J398" s="233" t="str">
        <f>Controle!J398</f>
        <v/>
      </c>
      <c r="K398" s="292"/>
      <c r="L398" s="233" t="str">
        <f>Controle!L398</f>
        <v/>
      </c>
      <c r="M398" s="233" t="str">
        <f>Controle!M398</f>
        <v/>
      </c>
      <c r="N398" s="235" t="str">
        <f>Controle!N398</f>
        <v/>
      </c>
      <c r="O398" s="235" t="str">
        <f>Controle!O398</f>
        <v/>
      </c>
      <c r="P398" s="235" t="str">
        <f>Controle!P398</f>
        <v/>
      </c>
      <c r="Q398" s="235" t="str">
        <f>Controle!Q398</f>
        <v/>
      </c>
      <c r="R398" s="304" t="str">
        <f>Controle!R398</f>
        <v/>
      </c>
      <c r="S398" s="287"/>
      <c r="T398" s="301"/>
      <c r="U398" s="301"/>
      <c r="V398" s="301"/>
      <c r="W398" s="294"/>
      <c r="X398" s="294"/>
      <c r="Y398" s="294"/>
      <c r="Z398" s="294"/>
      <c r="AA398" s="294"/>
      <c r="AB398" s="253"/>
      <c r="AC398" s="2"/>
      <c r="AD398" s="253"/>
      <c r="AE398" s="253"/>
      <c r="AF398" s="253"/>
      <c r="AG398" s="253"/>
      <c r="AH398" s="253"/>
      <c r="AI398" s="2"/>
      <c r="AJ398" s="253"/>
      <c r="AK398" s="253"/>
      <c r="AL398" s="253"/>
      <c r="AM398" s="253"/>
      <c r="AN398" s="253"/>
      <c r="AO398" s="2"/>
      <c r="AP398" s="253"/>
      <c r="AQ398" s="253"/>
      <c r="AR398" s="253"/>
      <c r="AS398" s="253"/>
      <c r="AT398" s="253"/>
      <c r="AU398" s="2"/>
      <c r="AV398" s="253"/>
      <c r="AW398" s="253"/>
      <c r="AX398" s="253"/>
      <c r="AY398" s="253"/>
    </row>
    <row r="399" ht="15.75" customHeight="1">
      <c r="A399" s="2"/>
      <c r="B399" s="288" t="str">
        <f>Controle!B399</f>
        <v/>
      </c>
      <c r="C399" s="233" t="str">
        <f>Controle!C399</f>
        <v/>
      </c>
      <c r="D399" s="289" t="str">
        <f>Controle!D399</f>
        <v/>
      </c>
      <c r="E399" s="290"/>
      <c r="F399" s="291" t="str">
        <f>Controle!F399</f>
        <v/>
      </c>
      <c r="G399" s="289" t="str">
        <f>Controle!G399</f>
        <v/>
      </c>
      <c r="H399" s="290"/>
      <c r="I399" s="291" t="str">
        <f>Controle!I399</f>
        <v/>
      </c>
      <c r="J399" s="233" t="str">
        <f>Controle!J399</f>
        <v/>
      </c>
      <c r="K399" s="292"/>
      <c r="L399" s="233" t="str">
        <f>Controle!L399</f>
        <v/>
      </c>
      <c r="M399" s="233" t="str">
        <f>Controle!M399</f>
        <v/>
      </c>
      <c r="N399" s="235" t="str">
        <f>Controle!N399</f>
        <v/>
      </c>
      <c r="O399" s="235" t="str">
        <f>Controle!O399</f>
        <v/>
      </c>
      <c r="P399" s="235" t="str">
        <f>Controle!P399</f>
        <v/>
      </c>
      <c r="Q399" s="235" t="str">
        <f>Controle!Q399</f>
        <v/>
      </c>
      <c r="R399" s="304" t="str">
        <f>Controle!R399</f>
        <v/>
      </c>
      <c r="S399" s="287"/>
      <c r="T399" s="301"/>
      <c r="U399" s="301"/>
      <c r="V399" s="301"/>
      <c r="W399" s="294"/>
      <c r="X399" s="294"/>
      <c r="Y399" s="294"/>
      <c r="Z399" s="294"/>
      <c r="AA399" s="294"/>
      <c r="AB399" s="253"/>
      <c r="AC399" s="2"/>
      <c r="AD399" s="253"/>
      <c r="AE399" s="253"/>
      <c r="AF399" s="253"/>
      <c r="AG399" s="253"/>
      <c r="AH399" s="253"/>
      <c r="AI399" s="2"/>
      <c r="AJ399" s="253"/>
      <c r="AK399" s="253"/>
      <c r="AL399" s="253"/>
      <c r="AM399" s="253"/>
      <c r="AN399" s="253"/>
      <c r="AO399" s="2"/>
      <c r="AP399" s="253"/>
      <c r="AQ399" s="253"/>
      <c r="AR399" s="253"/>
      <c r="AS399" s="253"/>
      <c r="AT399" s="253"/>
      <c r="AU399" s="2"/>
      <c r="AV399" s="253"/>
      <c r="AW399" s="253"/>
      <c r="AX399" s="253"/>
      <c r="AY399" s="253"/>
    </row>
    <row r="400" ht="15.75" customHeight="1">
      <c r="A400" s="2"/>
      <c r="B400" s="288" t="str">
        <f>Controle!B400</f>
        <v/>
      </c>
      <c r="C400" s="233" t="str">
        <f>Controle!C400</f>
        <v/>
      </c>
      <c r="D400" s="289" t="str">
        <f>Controle!D400</f>
        <v/>
      </c>
      <c r="E400" s="290"/>
      <c r="F400" s="291" t="str">
        <f>Controle!F400</f>
        <v/>
      </c>
      <c r="G400" s="289" t="str">
        <f>Controle!G400</f>
        <v/>
      </c>
      <c r="H400" s="290"/>
      <c r="I400" s="291" t="str">
        <f>Controle!I400</f>
        <v/>
      </c>
      <c r="J400" s="233" t="str">
        <f>Controle!J400</f>
        <v/>
      </c>
      <c r="K400" s="292"/>
      <c r="L400" s="233" t="str">
        <f>Controle!L400</f>
        <v/>
      </c>
      <c r="M400" s="233" t="str">
        <f>Controle!M400</f>
        <v/>
      </c>
      <c r="N400" s="235" t="str">
        <f>Controle!N400</f>
        <v/>
      </c>
      <c r="O400" s="235" t="str">
        <f>Controle!O400</f>
        <v/>
      </c>
      <c r="P400" s="235" t="str">
        <f>Controle!P400</f>
        <v/>
      </c>
      <c r="Q400" s="235" t="str">
        <f>Controle!Q400</f>
        <v/>
      </c>
      <c r="R400" s="304" t="str">
        <f>Controle!R400</f>
        <v/>
      </c>
      <c r="S400" s="287"/>
      <c r="T400" s="301"/>
      <c r="U400" s="301"/>
      <c r="V400" s="301"/>
      <c r="W400" s="294"/>
      <c r="X400" s="294"/>
      <c r="Y400" s="294"/>
      <c r="Z400" s="294"/>
      <c r="AA400" s="294"/>
      <c r="AB400" s="253"/>
      <c r="AC400" s="2"/>
      <c r="AD400" s="253"/>
      <c r="AE400" s="253"/>
      <c r="AF400" s="253"/>
      <c r="AG400" s="253"/>
      <c r="AH400" s="253"/>
      <c r="AI400" s="2"/>
      <c r="AJ400" s="253"/>
      <c r="AK400" s="253"/>
      <c r="AL400" s="253"/>
      <c r="AM400" s="253"/>
      <c r="AN400" s="253"/>
      <c r="AO400" s="2"/>
      <c r="AP400" s="253"/>
      <c r="AQ400" s="253"/>
      <c r="AR400" s="253"/>
      <c r="AS400" s="253"/>
      <c r="AT400" s="253"/>
      <c r="AU400" s="2"/>
      <c r="AV400" s="253"/>
      <c r="AW400" s="253"/>
      <c r="AX400" s="253"/>
      <c r="AY400" s="253"/>
    </row>
    <row r="401" ht="15.75" customHeight="1">
      <c r="A401" s="2"/>
      <c r="B401" s="288" t="str">
        <f>Controle!B401</f>
        <v/>
      </c>
      <c r="C401" s="233" t="str">
        <f>Controle!C401</f>
        <v/>
      </c>
      <c r="D401" s="289" t="str">
        <f>Controle!D401</f>
        <v/>
      </c>
      <c r="E401" s="290"/>
      <c r="F401" s="291" t="str">
        <f>Controle!F401</f>
        <v/>
      </c>
      <c r="G401" s="289" t="str">
        <f>Controle!G401</f>
        <v/>
      </c>
      <c r="H401" s="290"/>
      <c r="I401" s="291" t="str">
        <f>Controle!I401</f>
        <v/>
      </c>
      <c r="J401" s="233" t="str">
        <f>Controle!J401</f>
        <v/>
      </c>
      <c r="K401" s="292"/>
      <c r="L401" s="233" t="str">
        <f>Controle!L401</f>
        <v/>
      </c>
      <c r="M401" s="233" t="str">
        <f>Controle!M401</f>
        <v/>
      </c>
      <c r="N401" s="235" t="str">
        <f>Controle!N401</f>
        <v/>
      </c>
      <c r="O401" s="235" t="str">
        <f>Controle!O401</f>
        <v/>
      </c>
      <c r="P401" s="235" t="str">
        <f>Controle!P401</f>
        <v/>
      </c>
      <c r="Q401" s="235" t="str">
        <f>Controle!Q401</f>
        <v/>
      </c>
      <c r="R401" s="304" t="str">
        <f>Controle!R401</f>
        <v/>
      </c>
      <c r="S401" s="287"/>
      <c r="T401" s="301"/>
      <c r="U401" s="301"/>
      <c r="V401" s="301"/>
      <c r="W401" s="294"/>
      <c r="X401" s="294"/>
      <c r="Y401" s="294"/>
      <c r="Z401" s="294"/>
      <c r="AA401" s="294"/>
      <c r="AB401" s="253"/>
      <c r="AC401" s="2"/>
      <c r="AD401" s="253"/>
      <c r="AE401" s="253"/>
      <c r="AF401" s="253"/>
      <c r="AG401" s="253"/>
      <c r="AH401" s="253"/>
      <c r="AI401" s="2"/>
      <c r="AJ401" s="253"/>
      <c r="AK401" s="253"/>
      <c r="AL401" s="253"/>
      <c r="AM401" s="253"/>
      <c r="AN401" s="253"/>
      <c r="AO401" s="2"/>
      <c r="AP401" s="253"/>
      <c r="AQ401" s="253"/>
      <c r="AR401" s="253"/>
      <c r="AS401" s="253"/>
      <c r="AT401" s="253"/>
      <c r="AU401" s="2"/>
      <c r="AV401" s="253"/>
      <c r="AW401" s="253"/>
      <c r="AX401" s="253"/>
      <c r="AY401" s="253"/>
    </row>
    <row r="402" ht="15.75" customHeight="1">
      <c r="A402" s="2"/>
      <c r="B402" s="288" t="str">
        <f>Controle!B402</f>
        <v/>
      </c>
      <c r="C402" s="233" t="str">
        <f>Controle!C402</f>
        <v/>
      </c>
      <c r="D402" s="289" t="str">
        <f>Controle!D402</f>
        <v/>
      </c>
      <c r="E402" s="290"/>
      <c r="F402" s="291" t="str">
        <f>Controle!F402</f>
        <v/>
      </c>
      <c r="G402" s="289" t="str">
        <f>Controle!G402</f>
        <v/>
      </c>
      <c r="H402" s="290"/>
      <c r="I402" s="291" t="str">
        <f>Controle!I402</f>
        <v/>
      </c>
      <c r="J402" s="233" t="str">
        <f>Controle!J402</f>
        <v/>
      </c>
      <c r="K402" s="292"/>
      <c r="L402" s="233" t="str">
        <f>Controle!L402</f>
        <v/>
      </c>
      <c r="M402" s="233" t="str">
        <f>Controle!M402</f>
        <v/>
      </c>
      <c r="N402" s="235" t="str">
        <f>Controle!N402</f>
        <v/>
      </c>
      <c r="O402" s="235" t="str">
        <f>Controle!O402</f>
        <v/>
      </c>
      <c r="P402" s="235" t="str">
        <f>Controle!P402</f>
        <v/>
      </c>
      <c r="Q402" s="235" t="str">
        <f>Controle!Q402</f>
        <v/>
      </c>
      <c r="R402" s="304" t="str">
        <f>Controle!R402</f>
        <v/>
      </c>
      <c r="S402" s="287"/>
      <c r="T402" s="301"/>
      <c r="U402" s="301"/>
      <c r="V402" s="301"/>
      <c r="W402" s="294"/>
      <c r="X402" s="294"/>
      <c r="Y402" s="294"/>
      <c r="Z402" s="294"/>
      <c r="AA402" s="294"/>
      <c r="AB402" s="253"/>
      <c r="AC402" s="2"/>
      <c r="AD402" s="253"/>
      <c r="AE402" s="253"/>
      <c r="AF402" s="253"/>
      <c r="AG402" s="253"/>
      <c r="AH402" s="253"/>
      <c r="AI402" s="2"/>
      <c r="AJ402" s="253"/>
      <c r="AK402" s="253"/>
      <c r="AL402" s="253"/>
      <c r="AM402" s="253"/>
      <c r="AN402" s="253"/>
      <c r="AO402" s="2"/>
      <c r="AP402" s="253"/>
      <c r="AQ402" s="253"/>
      <c r="AR402" s="253"/>
      <c r="AS402" s="253"/>
      <c r="AT402" s="253"/>
      <c r="AU402" s="2"/>
      <c r="AV402" s="253"/>
      <c r="AW402" s="253"/>
      <c r="AX402" s="253"/>
      <c r="AY402" s="253"/>
    </row>
    <row r="403" ht="15.75" customHeight="1">
      <c r="A403" s="2"/>
      <c r="B403" s="288" t="str">
        <f>Controle!B403</f>
        <v/>
      </c>
      <c r="C403" s="233" t="str">
        <f>Controle!C403</f>
        <v/>
      </c>
      <c r="D403" s="289" t="str">
        <f>Controle!D403</f>
        <v/>
      </c>
      <c r="E403" s="290"/>
      <c r="F403" s="291" t="str">
        <f>Controle!F403</f>
        <v/>
      </c>
      <c r="G403" s="289" t="str">
        <f>Controle!G403</f>
        <v/>
      </c>
      <c r="H403" s="290"/>
      <c r="I403" s="291" t="str">
        <f>Controle!I403</f>
        <v/>
      </c>
      <c r="J403" s="233" t="str">
        <f>Controle!J403</f>
        <v/>
      </c>
      <c r="K403" s="292"/>
      <c r="L403" s="233" t="str">
        <f>Controle!L403</f>
        <v/>
      </c>
      <c r="M403" s="233" t="str">
        <f>Controle!M403</f>
        <v/>
      </c>
      <c r="N403" s="235" t="str">
        <f>Controle!N403</f>
        <v/>
      </c>
      <c r="O403" s="235" t="str">
        <f>Controle!O403</f>
        <v/>
      </c>
      <c r="P403" s="235" t="str">
        <f>Controle!P403</f>
        <v/>
      </c>
      <c r="Q403" s="235" t="str">
        <f>Controle!Q403</f>
        <v/>
      </c>
      <c r="R403" s="304" t="str">
        <f>Controle!R403</f>
        <v/>
      </c>
      <c r="S403" s="287"/>
      <c r="T403" s="301"/>
      <c r="U403" s="301"/>
      <c r="V403" s="301"/>
      <c r="W403" s="294"/>
      <c r="X403" s="294"/>
      <c r="Y403" s="294"/>
      <c r="Z403" s="294"/>
      <c r="AA403" s="294"/>
      <c r="AB403" s="253"/>
      <c r="AC403" s="2"/>
      <c r="AD403" s="253"/>
      <c r="AE403" s="253"/>
      <c r="AF403" s="253"/>
      <c r="AG403" s="253"/>
      <c r="AH403" s="253"/>
      <c r="AI403" s="2"/>
      <c r="AJ403" s="253"/>
      <c r="AK403" s="253"/>
      <c r="AL403" s="253"/>
      <c r="AM403" s="253"/>
      <c r="AN403" s="253"/>
      <c r="AO403" s="2"/>
      <c r="AP403" s="253"/>
      <c r="AQ403" s="253"/>
      <c r="AR403" s="253"/>
      <c r="AS403" s="253"/>
      <c r="AT403" s="253"/>
      <c r="AU403" s="2"/>
      <c r="AV403" s="253"/>
      <c r="AW403" s="253"/>
      <c r="AX403" s="253"/>
      <c r="AY403" s="253"/>
    </row>
    <row r="404" ht="15.75" customHeight="1">
      <c r="A404" s="2"/>
      <c r="B404" s="288" t="str">
        <f>Controle!B404</f>
        <v/>
      </c>
      <c r="C404" s="233" t="str">
        <f>Controle!C404</f>
        <v/>
      </c>
      <c r="D404" s="289" t="str">
        <f>Controle!D404</f>
        <v/>
      </c>
      <c r="E404" s="290"/>
      <c r="F404" s="291" t="str">
        <f>Controle!F404</f>
        <v/>
      </c>
      <c r="G404" s="289" t="str">
        <f>Controle!G404</f>
        <v/>
      </c>
      <c r="H404" s="290"/>
      <c r="I404" s="291" t="str">
        <f>Controle!I404</f>
        <v/>
      </c>
      <c r="J404" s="233" t="str">
        <f>Controle!J404</f>
        <v/>
      </c>
      <c r="K404" s="292"/>
      <c r="L404" s="233" t="str">
        <f>Controle!L404</f>
        <v/>
      </c>
      <c r="M404" s="233" t="str">
        <f>Controle!M404</f>
        <v/>
      </c>
      <c r="N404" s="235" t="str">
        <f>Controle!N404</f>
        <v/>
      </c>
      <c r="O404" s="235" t="str">
        <f>Controle!O404</f>
        <v/>
      </c>
      <c r="P404" s="235" t="str">
        <f>Controle!P404</f>
        <v/>
      </c>
      <c r="Q404" s="235" t="str">
        <f>Controle!Q404</f>
        <v/>
      </c>
      <c r="R404" s="304" t="str">
        <f>Controle!R404</f>
        <v/>
      </c>
      <c r="S404" s="287"/>
      <c r="T404" s="301"/>
      <c r="U404" s="301"/>
      <c r="V404" s="301"/>
      <c r="W404" s="294"/>
      <c r="X404" s="294"/>
      <c r="Y404" s="294"/>
      <c r="Z404" s="294"/>
      <c r="AA404" s="294"/>
      <c r="AB404" s="253"/>
      <c r="AC404" s="2"/>
      <c r="AD404" s="253"/>
      <c r="AE404" s="253"/>
      <c r="AF404" s="253"/>
      <c r="AG404" s="253"/>
      <c r="AH404" s="253"/>
      <c r="AI404" s="2"/>
      <c r="AJ404" s="253"/>
      <c r="AK404" s="253"/>
      <c r="AL404" s="253"/>
      <c r="AM404" s="253"/>
      <c r="AN404" s="253"/>
      <c r="AO404" s="2"/>
      <c r="AP404" s="253"/>
      <c r="AQ404" s="253"/>
      <c r="AR404" s="253"/>
      <c r="AS404" s="253"/>
      <c r="AT404" s="253"/>
      <c r="AU404" s="2"/>
      <c r="AV404" s="253"/>
      <c r="AW404" s="253"/>
      <c r="AX404" s="253"/>
      <c r="AY404" s="253"/>
    </row>
    <row r="405" ht="15.75" customHeight="1">
      <c r="A405" s="2"/>
      <c r="B405" s="288" t="str">
        <f>Controle!B405</f>
        <v/>
      </c>
      <c r="C405" s="233" t="str">
        <f>Controle!C405</f>
        <v/>
      </c>
      <c r="D405" s="289" t="str">
        <f>Controle!D405</f>
        <v/>
      </c>
      <c r="E405" s="290"/>
      <c r="F405" s="291" t="str">
        <f>Controle!F405</f>
        <v/>
      </c>
      <c r="G405" s="289" t="str">
        <f>Controle!G405</f>
        <v/>
      </c>
      <c r="H405" s="290"/>
      <c r="I405" s="291" t="str">
        <f>Controle!I405</f>
        <v/>
      </c>
      <c r="J405" s="233" t="str">
        <f>Controle!J405</f>
        <v/>
      </c>
      <c r="K405" s="292"/>
      <c r="L405" s="233" t="str">
        <f>Controle!L405</f>
        <v/>
      </c>
      <c r="M405" s="233" t="str">
        <f>Controle!M405</f>
        <v/>
      </c>
      <c r="N405" s="235" t="str">
        <f>Controle!N405</f>
        <v/>
      </c>
      <c r="O405" s="235" t="str">
        <f>Controle!O405</f>
        <v/>
      </c>
      <c r="P405" s="235" t="str">
        <f>Controle!P405</f>
        <v/>
      </c>
      <c r="Q405" s="235" t="str">
        <f>Controle!Q405</f>
        <v/>
      </c>
      <c r="R405" s="304" t="str">
        <f>Controle!R405</f>
        <v/>
      </c>
      <c r="S405" s="287"/>
      <c r="T405" s="301"/>
      <c r="U405" s="301"/>
      <c r="V405" s="301"/>
      <c r="W405" s="294"/>
      <c r="X405" s="294"/>
      <c r="Y405" s="294"/>
      <c r="Z405" s="294"/>
      <c r="AA405" s="294"/>
      <c r="AB405" s="253"/>
      <c r="AC405" s="2"/>
      <c r="AD405" s="253"/>
      <c r="AE405" s="253"/>
      <c r="AF405" s="253"/>
      <c r="AG405" s="253"/>
      <c r="AH405" s="253"/>
      <c r="AI405" s="2"/>
      <c r="AJ405" s="253"/>
      <c r="AK405" s="253"/>
      <c r="AL405" s="253"/>
      <c r="AM405" s="253"/>
      <c r="AN405" s="253"/>
      <c r="AO405" s="2"/>
      <c r="AP405" s="253"/>
      <c r="AQ405" s="253"/>
      <c r="AR405" s="253"/>
      <c r="AS405" s="253"/>
      <c r="AT405" s="253"/>
      <c r="AU405" s="2"/>
      <c r="AV405" s="253"/>
      <c r="AW405" s="253"/>
      <c r="AX405" s="253"/>
      <c r="AY405" s="253"/>
    </row>
    <row r="406" ht="15.75" customHeight="1">
      <c r="A406" s="2"/>
      <c r="B406" s="288" t="str">
        <f>Controle!B406</f>
        <v/>
      </c>
      <c r="C406" s="233" t="str">
        <f>Controle!C406</f>
        <v/>
      </c>
      <c r="D406" s="289" t="str">
        <f>Controle!D406</f>
        <v/>
      </c>
      <c r="E406" s="290"/>
      <c r="F406" s="291" t="str">
        <f>Controle!F406</f>
        <v/>
      </c>
      <c r="G406" s="289" t="str">
        <f>Controle!G406</f>
        <v/>
      </c>
      <c r="H406" s="290"/>
      <c r="I406" s="291" t="str">
        <f>Controle!I406</f>
        <v/>
      </c>
      <c r="J406" s="233" t="str">
        <f>Controle!J406</f>
        <v/>
      </c>
      <c r="K406" s="292"/>
      <c r="L406" s="233" t="str">
        <f>Controle!L406</f>
        <v/>
      </c>
      <c r="M406" s="233" t="str">
        <f>Controle!M406</f>
        <v/>
      </c>
      <c r="N406" s="235" t="str">
        <f>Controle!N406</f>
        <v/>
      </c>
      <c r="O406" s="235" t="str">
        <f>Controle!O406</f>
        <v/>
      </c>
      <c r="P406" s="235" t="str">
        <f>Controle!P406</f>
        <v/>
      </c>
      <c r="Q406" s="235" t="str">
        <f>Controle!Q406</f>
        <v/>
      </c>
      <c r="R406" s="304" t="str">
        <f>Controle!R406</f>
        <v/>
      </c>
      <c r="S406" s="287"/>
      <c r="T406" s="301"/>
      <c r="U406" s="301"/>
      <c r="V406" s="301"/>
      <c r="W406" s="294"/>
      <c r="X406" s="294"/>
      <c r="Y406" s="294"/>
      <c r="Z406" s="294"/>
      <c r="AA406" s="294"/>
      <c r="AB406" s="253"/>
      <c r="AC406" s="2"/>
      <c r="AD406" s="253"/>
      <c r="AE406" s="253"/>
      <c r="AF406" s="253"/>
      <c r="AG406" s="253"/>
      <c r="AH406" s="253"/>
      <c r="AI406" s="2"/>
      <c r="AJ406" s="253"/>
      <c r="AK406" s="253"/>
      <c r="AL406" s="253"/>
      <c r="AM406" s="253"/>
      <c r="AN406" s="253"/>
      <c r="AO406" s="2"/>
      <c r="AP406" s="253"/>
      <c r="AQ406" s="253"/>
      <c r="AR406" s="253"/>
      <c r="AS406" s="253"/>
      <c r="AT406" s="253"/>
      <c r="AU406" s="2"/>
      <c r="AV406" s="253"/>
      <c r="AW406" s="253"/>
      <c r="AX406" s="253"/>
      <c r="AY406" s="253"/>
    </row>
    <row r="407" ht="15.75" customHeight="1">
      <c r="A407" s="2"/>
      <c r="B407" s="288" t="str">
        <f>Controle!B407</f>
        <v/>
      </c>
      <c r="C407" s="233" t="str">
        <f>Controle!C407</f>
        <v/>
      </c>
      <c r="D407" s="289" t="str">
        <f>Controle!D407</f>
        <v/>
      </c>
      <c r="E407" s="290"/>
      <c r="F407" s="291" t="str">
        <f>Controle!F407</f>
        <v/>
      </c>
      <c r="G407" s="289" t="str">
        <f>Controle!G407</f>
        <v/>
      </c>
      <c r="H407" s="290"/>
      <c r="I407" s="291" t="str">
        <f>Controle!I407</f>
        <v/>
      </c>
      <c r="J407" s="233" t="str">
        <f>Controle!J407</f>
        <v/>
      </c>
      <c r="K407" s="292"/>
      <c r="L407" s="233" t="str">
        <f>Controle!L407</f>
        <v/>
      </c>
      <c r="M407" s="233" t="str">
        <f>Controle!M407</f>
        <v/>
      </c>
      <c r="N407" s="235" t="str">
        <f>Controle!N407</f>
        <v/>
      </c>
      <c r="O407" s="235" t="str">
        <f>Controle!O407</f>
        <v/>
      </c>
      <c r="P407" s="235" t="str">
        <f>Controle!P407</f>
        <v/>
      </c>
      <c r="Q407" s="235" t="str">
        <f>Controle!Q407</f>
        <v/>
      </c>
      <c r="R407" s="304" t="str">
        <f>Controle!R407</f>
        <v/>
      </c>
      <c r="S407" s="287"/>
      <c r="T407" s="301"/>
      <c r="U407" s="301"/>
      <c r="V407" s="301"/>
      <c r="W407" s="294"/>
      <c r="X407" s="294"/>
      <c r="Y407" s="294"/>
      <c r="Z407" s="294"/>
      <c r="AA407" s="294"/>
      <c r="AB407" s="253"/>
      <c r="AC407" s="2"/>
      <c r="AD407" s="253"/>
      <c r="AE407" s="253"/>
      <c r="AF407" s="253"/>
      <c r="AG407" s="253"/>
      <c r="AH407" s="253"/>
      <c r="AI407" s="2"/>
      <c r="AJ407" s="253"/>
      <c r="AK407" s="253"/>
      <c r="AL407" s="253"/>
      <c r="AM407" s="253"/>
      <c r="AN407" s="253"/>
      <c r="AO407" s="2"/>
      <c r="AP407" s="253"/>
      <c r="AQ407" s="253"/>
      <c r="AR407" s="253"/>
      <c r="AS407" s="253"/>
      <c r="AT407" s="253"/>
      <c r="AU407" s="2"/>
      <c r="AV407" s="253"/>
      <c r="AW407" s="253"/>
      <c r="AX407" s="253"/>
      <c r="AY407" s="253"/>
    </row>
    <row r="408" ht="15.75" customHeight="1">
      <c r="A408" s="2"/>
      <c r="B408" s="288" t="str">
        <f>Controle!B408</f>
        <v/>
      </c>
      <c r="C408" s="233" t="str">
        <f>Controle!C408</f>
        <v/>
      </c>
      <c r="D408" s="289" t="str">
        <f>Controle!D408</f>
        <v/>
      </c>
      <c r="E408" s="290"/>
      <c r="F408" s="291" t="str">
        <f>Controle!F408</f>
        <v/>
      </c>
      <c r="G408" s="289" t="str">
        <f>Controle!G408</f>
        <v/>
      </c>
      <c r="H408" s="290"/>
      <c r="I408" s="291" t="str">
        <f>Controle!I408</f>
        <v/>
      </c>
      <c r="J408" s="233" t="str">
        <f>Controle!J408</f>
        <v/>
      </c>
      <c r="K408" s="292"/>
      <c r="L408" s="233" t="str">
        <f>Controle!L408</f>
        <v/>
      </c>
      <c r="M408" s="233" t="str">
        <f>Controle!M408</f>
        <v/>
      </c>
      <c r="N408" s="235" t="str">
        <f>Controle!N408</f>
        <v/>
      </c>
      <c r="O408" s="235" t="str">
        <f>Controle!O408</f>
        <v/>
      </c>
      <c r="P408" s="235" t="str">
        <f>Controle!P408</f>
        <v/>
      </c>
      <c r="Q408" s="235" t="str">
        <f>Controle!Q408</f>
        <v/>
      </c>
      <c r="R408" s="304" t="str">
        <f>Controle!R408</f>
        <v/>
      </c>
      <c r="S408" s="287"/>
      <c r="T408" s="301"/>
      <c r="U408" s="301"/>
      <c r="V408" s="301"/>
      <c r="W408" s="294"/>
      <c r="X408" s="294"/>
      <c r="Y408" s="294"/>
      <c r="Z408" s="294"/>
      <c r="AA408" s="294"/>
      <c r="AB408" s="253"/>
      <c r="AC408" s="2"/>
      <c r="AD408" s="253"/>
      <c r="AE408" s="253"/>
      <c r="AF408" s="253"/>
      <c r="AG408" s="253"/>
      <c r="AH408" s="253"/>
      <c r="AI408" s="2"/>
      <c r="AJ408" s="253"/>
      <c r="AK408" s="253"/>
      <c r="AL408" s="253"/>
      <c r="AM408" s="253"/>
      <c r="AN408" s="253"/>
      <c r="AO408" s="2"/>
      <c r="AP408" s="253"/>
      <c r="AQ408" s="253"/>
      <c r="AR408" s="253"/>
      <c r="AS408" s="253"/>
      <c r="AT408" s="253"/>
      <c r="AU408" s="2"/>
      <c r="AV408" s="253"/>
      <c r="AW408" s="253"/>
      <c r="AX408" s="253"/>
      <c r="AY408" s="253"/>
    </row>
    <row r="409" ht="15.75" customHeight="1">
      <c r="A409" s="2"/>
      <c r="B409" s="288" t="str">
        <f>Controle!B409</f>
        <v/>
      </c>
      <c r="C409" s="233" t="str">
        <f>Controle!C409</f>
        <v/>
      </c>
      <c r="D409" s="289" t="str">
        <f>Controle!D409</f>
        <v/>
      </c>
      <c r="E409" s="290"/>
      <c r="F409" s="291" t="str">
        <f>Controle!F409</f>
        <v/>
      </c>
      <c r="G409" s="289" t="str">
        <f>Controle!G409</f>
        <v/>
      </c>
      <c r="H409" s="290"/>
      <c r="I409" s="291" t="str">
        <f>Controle!I409</f>
        <v/>
      </c>
      <c r="J409" s="233" t="str">
        <f>Controle!J409</f>
        <v/>
      </c>
      <c r="K409" s="292"/>
      <c r="L409" s="233" t="str">
        <f>Controle!L409</f>
        <v/>
      </c>
      <c r="M409" s="233" t="str">
        <f>Controle!M409</f>
        <v/>
      </c>
      <c r="N409" s="235" t="str">
        <f>Controle!N409</f>
        <v/>
      </c>
      <c r="O409" s="235" t="str">
        <f>Controle!O409</f>
        <v/>
      </c>
      <c r="P409" s="235" t="str">
        <f>Controle!P409</f>
        <v/>
      </c>
      <c r="Q409" s="235" t="str">
        <f>Controle!Q409</f>
        <v/>
      </c>
      <c r="R409" s="304" t="str">
        <f>Controle!R409</f>
        <v/>
      </c>
      <c r="S409" s="287"/>
      <c r="T409" s="301"/>
      <c r="U409" s="301"/>
      <c r="V409" s="301"/>
      <c r="W409" s="294"/>
      <c r="X409" s="294"/>
      <c r="Y409" s="294"/>
      <c r="Z409" s="294"/>
      <c r="AA409" s="294"/>
      <c r="AB409" s="253"/>
      <c r="AC409" s="2"/>
      <c r="AD409" s="253"/>
      <c r="AE409" s="253"/>
      <c r="AF409" s="253"/>
      <c r="AG409" s="253"/>
      <c r="AH409" s="253"/>
      <c r="AI409" s="2"/>
      <c r="AJ409" s="253"/>
      <c r="AK409" s="253"/>
      <c r="AL409" s="253"/>
      <c r="AM409" s="253"/>
      <c r="AN409" s="253"/>
      <c r="AO409" s="2"/>
      <c r="AP409" s="253"/>
      <c r="AQ409" s="253"/>
      <c r="AR409" s="253"/>
      <c r="AS409" s="253"/>
      <c r="AT409" s="253"/>
      <c r="AU409" s="2"/>
      <c r="AV409" s="253"/>
      <c r="AW409" s="253"/>
      <c r="AX409" s="253"/>
      <c r="AY409" s="253"/>
    </row>
    <row r="410" ht="15.75" customHeight="1">
      <c r="A410" s="2"/>
      <c r="B410" s="288" t="str">
        <f>Controle!B410</f>
        <v/>
      </c>
      <c r="C410" s="233" t="str">
        <f>Controle!C410</f>
        <v/>
      </c>
      <c r="D410" s="289" t="str">
        <f>Controle!D410</f>
        <v/>
      </c>
      <c r="E410" s="290"/>
      <c r="F410" s="291" t="str">
        <f>Controle!F410</f>
        <v/>
      </c>
      <c r="G410" s="289" t="str">
        <f>Controle!G410</f>
        <v/>
      </c>
      <c r="H410" s="290"/>
      <c r="I410" s="291" t="str">
        <f>Controle!I410</f>
        <v/>
      </c>
      <c r="J410" s="233" t="str">
        <f>Controle!J410</f>
        <v/>
      </c>
      <c r="K410" s="292"/>
      <c r="L410" s="233" t="str">
        <f>Controle!L410</f>
        <v/>
      </c>
      <c r="M410" s="233" t="str">
        <f>Controle!M410</f>
        <v/>
      </c>
      <c r="N410" s="235" t="str">
        <f>Controle!N410</f>
        <v/>
      </c>
      <c r="O410" s="235" t="str">
        <f>Controle!O410</f>
        <v/>
      </c>
      <c r="P410" s="235" t="str">
        <f>Controle!P410</f>
        <v/>
      </c>
      <c r="Q410" s="235" t="str">
        <f>Controle!Q410</f>
        <v/>
      </c>
      <c r="R410" s="304" t="str">
        <f>Controle!R410</f>
        <v/>
      </c>
      <c r="S410" s="287"/>
      <c r="T410" s="301"/>
      <c r="U410" s="301"/>
      <c r="V410" s="301"/>
      <c r="W410" s="294"/>
      <c r="X410" s="294"/>
      <c r="Y410" s="294"/>
      <c r="Z410" s="294"/>
      <c r="AA410" s="294"/>
      <c r="AB410" s="253"/>
      <c r="AC410" s="2"/>
      <c r="AD410" s="253"/>
      <c r="AE410" s="253"/>
      <c r="AF410" s="253"/>
      <c r="AG410" s="253"/>
      <c r="AH410" s="253"/>
      <c r="AI410" s="2"/>
      <c r="AJ410" s="253"/>
      <c r="AK410" s="253"/>
      <c r="AL410" s="253"/>
      <c r="AM410" s="253"/>
      <c r="AN410" s="253"/>
      <c r="AO410" s="2"/>
      <c r="AP410" s="253"/>
      <c r="AQ410" s="253"/>
      <c r="AR410" s="253"/>
      <c r="AS410" s="253"/>
      <c r="AT410" s="253"/>
      <c r="AU410" s="2"/>
      <c r="AV410" s="253"/>
      <c r="AW410" s="253"/>
      <c r="AX410" s="253"/>
      <c r="AY410" s="253"/>
    </row>
    <row r="411" ht="15.75" customHeight="1">
      <c r="A411" s="2"/>
      <c r="B411" s="288" t="str">
        <f>Controle!B411</f>
        <v/>
      </c>
      <c r="C411" s="233" t="str">
        <f>Controle!C411</f>
        <v/>
      </c>
      <c r="D411" s="289" t="str">
        <f>Controle!D411</f>
        <v/>
      </c>
      <c r="E411" s="290"/>
      <c r="F411" s="291" t="str">
        <f>Controle!F411</f>
        <v/>
      </c>
      <c r="G411" s="289" t="str">
        <f>Controle!G411</f>
        <v/>
      </c>
      <c r="H411" s="290"/>
      <c r="I411" s="291" t="str">
        <f>Controle!I411</f>
        <v/>
      </c>
      <c r="J411" s="233" t="str">
        <f>Controle!J411</f>
        <v/>
      </c>
      <c r="K411" s="292"/>
      <c r="L411" s="233" t="str">
        <f>Controle!L411</f>
        <v/>
      </c>
      <c r="M411" s="233" t="str">
        <f>Controle!M411</f>
        <v/>
      </c>
      <c r="N411" s="235" t="str">
        <f>Controle!N411</f>
        <v/>
      </c>
      <c r="O411" s="235" t="str">
        <f>Controle!O411</f>
        <v/>
      </c>
      <c r="P411" s="235" t="str">
        <f>Controle!P411</f>
        <v/>
      </c>
      <c r="Q411" s="235" t="str">
        <f>Controle!Q411</f>
        <v/>
      </c>
      <c r="R411" s="304" t="str">
        <f>Controle!R411</f>
        <v/>
      </c>
      <c r="S411" s="287"/>
      <c r="T411" s="301"/>
      <c r="U411" s="301"/>
      <c r="V411" s="301"/>
      <c r="W411" s="294"/>
      <c r="X411" s="294"/>
      <c r="Y411" s="294"/>
      <c r="Z411" s="294"/>
      <c r="AA411" s="294"/>
      <c r="AB411" s="253"/>
      <c r="AC411" s="2"/>
      <c r="AD411" s="253"/>
      <c r="AE411" s="253"/>
      <c r="AF411" s="253"/>
      <c r="AG411" s="253"/>
      <c r="AH411" s="253"/>
      <c r="AI411" s="2"/>
      <c r="AJ411" s="253"/>
      <c r="AK411" s="253"/>
      <c r="AL411" s="253"/>
      <c r="AM411" s="253"/>
      <c r="AN411" s="253"/>
      <c r="AO411" s="2"/>
      <c r="AP411" s="253"/>
      <c r="AQ411" s="253"/>
      <c r="AR411" s="253"/>
      <c r="AS411" s="253"/>
      <c r="AT411" s="253"/>
      <c r="AU411" s="2"/>
      <c r="AV411" s="253"/>
      <c r="AW411" s="253"/>
      <c r="AX411" s="253"/>
      <c r="AY411" s="253"/>
    </row>
    <row r="412" ht="15.75" customHeight="1">
      <c r="A412" s="2"/>
      <c r="B412" s="288" t="str">
        <f>Controle!B412</f>
        <v/>
      </c>
      <c r="C412" s="233" t="str">
        <f>Controle!C412</f>
        <v/>
      </c>
      <c r="D412" s="289" t="str">
        <f>Controle!D412</f>
        <v/>
      </c>
      <c r="E412" s="290"/>
      <c r="F412" s="291" t="str">
        <f>Controle!F412</f>
        <v/>
      </c>
      <c r="G412" s="289" t="str">
        <f>Controle!G412</f>
        <v/>
      </c>
      <c r="H412" s="290"/>
      <c r="I412" s="291" t="str">
        <f>Controle!I412</f>
        <v/>
      </c>
      <c r="J412" s="233" t="str">
        <f>Controle!J412</f>
        <v/>
      </c>
      <c r="K412" s="292"/>
      <c r="L412" s="233" t="str">
        <f>Controle!L412</f>
        <v/>
      </c>
      <c r="M412" s="233" t="str">
        <f>Controle!M412</f>
        <v/>
      </c>
      <c r="N412" s="235" t="str">
        <f>Controle!N412</f>
        <v/>
      </c>
      <c r="O412" s="235" t="str">
        <f>Controle!O412</f>
        <v/>
      </c>
      <c r="P412" s="235" t="str">
        <f>Controle!P412</f>
        <v/>
      </c>
      <c r="Q412" s="235" t="str">
        <f>Controle!Q412</f>
        <v/>
      </c>
      <c r="R412" s="304" t="str">
        <f>Controle!R412</f>
        <v/>
      </c>
      <c r="S412" s="287"/>
      <c r="T412" s="301"/>
      <c r="U412" s="301"/>
      <c r="V412" s="301"/>
      <c r="W412" s="294"/>
      <c r="X412" s="294"/>
      <c r="Y412" s="294"/>
      <c r="Z412" s="294"/>
      <c r="AA412" s="294"/>
      <c r="AB412" s="253"/>
      <c r="AC412" s="2"/>
      <c r="AD412" s="253"/>
      <c r="AE412" s="253"/>
      <c r="AF412" s="253"/>
      <c r="AG412" s="253"/>
      <c r="AH412" s="253"/>
      <c r="AI412" s="2"/>
      <c r="AJ412" s="253"/>
      <c r="AK412" s="253"/>
      <c r="AL412" s="253"/>
      <c r="AM412" s="253"/>
      <c r="AN412" s="253"/>
      <c r="AO412" s="2"/>
      <c r="AP412" s="253"/>
      <c r="AQ412" s="253"/>
      <c r="AR412" s="253"/>
      <c r="AS412" s="253"/>
      <c r="AT412" s="253"/>
      <c r="AU412" s="2"/>
      <c r="AV412" s="253"/>
      <c r="AW412" s="253"/>
      <c r="AX412" s="253"/>
      <c r="AY412" s="253"/>
    </row>
    <row r="413" ht="15.75" customHeight="1">
      <c r="A413" s="2"/>
      <c r="B413" s="288" t="str">
        <f>Controle!B413</f>
        <v/>
      </c>
      <c r="C413" s="233" t="str">
        <f>Controle!C413</f>
        <v/>
      </c>
      <c r="D413" s="289" t="str">
        <f>Controle!D413</f>
        <v/>
      </c>
      <c r="E413" s="290"/>
      <c r="F413" s="291" t="str">
        <f>Controle!F413</f>
        <v/>
      </c>
      <c r="G413" s="289" t="str">
        <f>Controle!G413</f>
        <v/>
      </c>
      <c r="H413" s="290"/>
      <c r="I413" s="291" t="str">
        <f>Controle!I413</f>
        <v/>
      </c>
      <c r="J413" s="233" t="str">
        <f>Controle!J413</f>
        <v/>
      </c>
      <c r="K413" s="292"/>
      <c r="L413" s="233" t="str">
        <f>Controle!L413</f>
        <v/>
      </c>
      <c r="M413" s="233" t="str">
        <f>Controle!M413</f>
        <v/>
      </c>
      <c r="N413" s="235" t="str">
        <f>Controle!N413</f>
        <v/>
      </c>
      <c r="O413" s="235" t="str">
        <f>Controle!O413</f>
        <v/>
      </c>
      <c r="P413" s="235" t="str">
        <f>Controle!P413</f>
        <v/>
      </c>
      <c r="Q413" s="235" t="str">
        <f>Controle!Q413</f>
        <v/>
      </c>
      <c r="R413" s="304" t="str">
        <f>Controle!R413</f>
        <v/>
      </c>
      <c r="S413" s="287"/>
      <c r="T413" s="301"/>
      <c r="U413" s="301"/>
      <c r="V413" s="301"/>
      <c r="W413" s="294"/>
      <c r="X413" s="294"/>
      <c r="Y413" s="294"/>
      <c r="Z413" s="294"/>
      <c r="AA413" s="294"/>
      <c r="AB413" s="253"/>
      <c r="AC413" s="2"/>
      <c r="AD413" s="253"/>
      <c r="AE413" s="253"/>
      <c r="AF413" s="253"/>
      <c r="AG413" s="253"/>
      <c r="AH413" s="253"/>
      <c r="AI413" s="2"/>
      <c r="AJ413" s="253"/>
      <c r="AK413" s="253"/>
      <c r="AL413" s="253"/>
      <c r="AM413" s="253"/>
      <c r="AN413" s="253"/>
      <c r="AO413" s="2"/>
      <c r="AP413" s="253"/>
      <c r="AQ413" s="253"/>
      <c r="AR413" s="253"/>
      <c r="AS413" s="253"/>
      <c r="AT413" s="253"/>
      <c r="AU413" s="2"/>
      <c r="AV413" s="253"/>
      <c r="AW413" s="253"/>
      <c r="AX413" s="253"/>
      <c r="AY413" s="253"/>
    </row>
    <row r="414" ht="15.75" customHeight="1">
      <c r="A414" s="2"/>
      <c r="B414" s="288" t="str">
        <f>Controle!B414</f>
        <v/>
      </c>
      <c r="C414" s="233" t="str">
        <f>Controle!C414</f>
        <v/>
      </c>
      <c r="D414" s="289" t="str">
        <f>Controle!D414</f>
        <v/>
      </c>
      <c r="E414" s="290"/>
      <c r="F414" s="291" t="str">
        <f>Controle!F414</f>
        <v/>
      </c>
      <c r="G414" s="289" t="str">
        <f>Controle!G414</f>
        <v/>
      </c>
      <c r="H414" s="290"/>
      <c r="I414" s="291" t="str">
        <f>Controle!I414</f>
        <v/>
      </c>
      <c r="J414" s="233" t="str">
        <f>Controle!J414</f>
        <v/>
      </c>
      <c r="K414" s="292"/>
      <c r="L414" s="233" t="str">
        <f>Controle!L414</f>
        <v/>
      </c>
      <c r="M414" s="233" t="str">
        <f>Controle!M414</f>
        <v/>
      </c>
      <c r="N414" s="235" t="str">
        <f>Controle!N414</f>
        <v/>
      </c>
      <c r="O414" s="235" t="str">
        <f>Controle!O414</f>
        <v/>
      </c>
      <c r="P414" s="235" t="str">
        <f>Controle!P414</f>
        <v/>
      </c>
      <c r="Q414" s="235" t="str">
        <f>Controle!Q414</f>
        <v/>
      </c>
      <c r="R414" s="304" t="str">
        <f>Controle!R414</f>
        <v/>
      </c>
      <c r="S414" s="287"/>
      <c r="T414" s="301"/>
      <c r="U414" s="301"/>
      <c r="V414" s="301"/>
      <c r="W414" s="294"/>
      <c r="X414" s="294"/>
      <c r="Y414" s="294"/>
      <c r="Z414" s="294"/>
      <c r="AA414" s="294"/>
      <c r="AB414" s="253"/>
      <c r="AC414" s="2"/>
      <c r="AD414" s="253"/>
      <c r="AE414" s="253"/>
      <c r="AF414" s="253"/>
      <c r="AG414" s="253"/>
      <c r="AH414" s="253"/>
      <c r="AI414" s="2"/>
      <c r="AJ414" s="253"/>
      <c r="AK414" s="253"/>
      <c r="AL414" s="253"/>
      <c r="AM414" s="253"/>
      <c r="AN414" s="253"/>
      <c r="AO414" s="2"/>
      <c r="AP414" s="253"/>
      <c r="AQ414" s="253"/>
      <c r="AR414" s="253"/>
      <c r="AS414" s="253"/>
      <c r="AT414" s="253"/>
      <c r="AU414" s="2"/>
      <c r="AV414" s="253"/>
      <c r="AW414" s="253"/>
      <c r="AX414" s="253"/>
      <c r="AY414" s="253"/>
    </row>
    <row r="415" ht="15.75" customHeight="1">
      <c r="A415" s="2"/>
      <c r="B415" s="288" t="str">
        <f>Controle!B415</f>
        <v/>
      </c>
      <c r="C415" s="233" t="str">
        <f>Controle!C415</f>
        <v/>
      </c>
      <c r="D415" s="289" t="str">
        <f>Controle!D415</f>
        <v/>
      </c>
      <c r="E415" s="290"/>
      <c r="F415" s="291" t="str">
        <f>Controle!F415</f>
        <v/>
      </c>
      <c r="G415" s="289" t="str">
        <f>Controle!G415</f>
        <v/>
      </c>
      <c r="H415" s="290"/>
      <c r="I415" s="291" t="str">
        <f>Controle!I415</f>
        <v/>
      </c>
      <c r="J415" s="233" t="str">
        <f>Controle!J415</f>
        <v/>
      </c>
      <c r="K415" s="292"/>
      <c r="L415" s="233" t="str">
        <f>Controle!L415</f>
        <v/>
      </c>
      <c r="M415" s="233" t="str">
        <f>Controle!M415</f>
        <v/>
      </c>
      <c r="N415" s="235" t="str">
        <f>Controle!N415</f>
        <v/>
      </c>
      <c r="O415" s="235" t="str">
        <f>Controle!O415</f>
        <v/>
      </c>
      <c r="P415" s="235" t="str">
        <f>Controle!P415</f>
        <v/>
      </c>
      <c r="Q415" s="235" t="str">
        <f>Controle!Q415</f>
        <v/>
      </c>
      <c r="R415" s="304" t="str">
        <f>Controle!R415</f>
        <v/>
      </c>
      <c r="S415" s="287"/>
      <c r="T415" s="301"/>
      <c r="U415" s="301"/>
      <c r="V415" s="301"/>
      <c r="W415" s="294"/>
      <c r="X415" s="294"/>
      <c r="Y415" s="294"/>
      <c r="Z415" s="294"/>
      <c r="AA415" s="294"/>
      <c r="AB415" s="253"/>
      <c r="AC415" s="2"/>
      <c r="AD415" s="253"/>
      <c r="AE415" s="253"/>
      <c r="AF415" s="253"/>
      <c r="AG415" s="253"/>
      <c r="AH415" s="253"/>
      <c r="AI415" s="2"/>
      <c r="AJ415" s="253"/>
      <c r="AK415" s="253"/>
      <c r="AL415" s="253"/>
      <c r="AM415" s="253"/>
      <c r="AN415" s="253"/>
      <c r="AO415" s="2"/>
      <c r="AP415" s="253"/>
      <c r="AQ415" s="253"/>
      <c r="AR415" s="253"/>
      <c r="AS415" s="253"/>
      <c r="AT415" s="253"/>
      <c r="AU415" s="2"/>
      <c r="AV415" s="253"/>
      <c r="AW415" s="253"/>
      <c r="AX415" s="253"/>
      <c r="AY415" s="253"/>
    </row>
    <row r="416" ht="15.75" customHeight="1">
      <c r="A416" s="2"/>
      <c r="B416" s="288" t="str">
        <f>Controle!B416</f>
        <v/>
      </c>
      <c r="C416" s="233" t="str">
        <f>Controle!C416</f>
        <v/>
      </c>
      <c r="D416" s="289" t="str">
        <f>Controle!D416</f>
        <v/>
      </c>
      <c r="E416" s="290"/>
      <c r="F416" s="291" t="str">
        <f>Controle!F416</f>
        <v/>
      </c>
      <c r="G416" s="289" t="str">
        <f>Controle!G416</f>
        <v/>
      </c>
      <c r="H416" s="290"/>
      <c r="I416" s="291" t="str">
        <f>Controle!I416</f>
        <v/>
      </c>
      <c r="J416" s="233" t="str">
        <f>Controle!J416</f>
        <v/>
      </c>
      <c r="K416" s="292"/>
      <c r="L416" s="233" t="str">
        <f>Controle!L416</f>
        <v/>
      </c>
      <c r="M416" s="233" t="str">
        <f>Controle!M416</f>
        <v/>
      </c>
      <c r="N416" s="235" t="str">
        <f>Controle!N416</f>
        <v/>
      </c>
      <c r="O416" s="235" t="str">
        <f>Controle!O416</f>
        <v/>
      </c>
      <c r="P416" s="235" t="str">
        <f>Controle!P416</f>
        <v/>
      </c>
      <c r="Q416" s="235" t="str">
        <f>Controle!Q416</f>
        <v/>
      </c>
      <c r="R416" s="304" t="str">
        <f>Controle!R416</f>
        <v/>
      </c>
      <c r="S416" s="287"/>
      <c r="T416" s="301"/>
      <c r="U416" s="301"/>
      <c r="V416" s="301"/>
      <c r="W416" s="294"/>
      <c r="X416" s="294"/>
      <c r="Y416" s="294"/>
      <c r="Z416" s="294"/>
      <c r="AA416" s="294"/>
      <c r="AB416" s="253"/>
      <c r="AC416" s="2"/>
      <c r="AD416" s="253"/>
      <c r="AE416" s="253"/>
      <c r="AF416" s="253"/>
      <c r="AG416" s="253"/>
      <c r="AH416" s="253"/>
      <c r="AI416" s="2"/>
      <c r="AJ416" s="253"/>
      <c r="AK416" s="253"/>
      <c r="AL416" s="253"/>
      <c r="AM416" s="253"/>
      <c r="AN416" s="253"/>
      <c r="AO416" s="2"/>
      <c r="AP416" s="253"/>
      <c r="AQ416" s="253"/>
      <c r="AR416" s="253"/>
      <c r="AS416" s="253"/>
      <c r="AT416" s="253"/>
      <c r="AU416" s="2"/>
      <c r="AV416" s="253"/>
      <c r="AW416" s="253"/>
      <c r="AX416" s="253"/>
      <c r="AY416" s="253"/>
    </row>
    <row r="417" ht="15.75" customHeight="1">
      <c r="A417" s="2"/>
      <c r="B417" s="288" t="str">
        <f>Controle!B417</f>
        <v/>
      </c>
      <c r="C417" s="233" t="str">
        <f>Controle!C417</f>
        <v/>
      </c>
      <c r="D417" s="289" t="str">
        <f>Controle!D417</f>
        <v/>
      </c>
      <c r="E417" s="290"/>
      <c r="F417" s="291" t="str">
        <f>Controle!F417</f>
        <v/>
      </c>
      <c r="G417" s="289" t="str">
        <f>Controle!G417</f>
        <v/>
      </c>
      <c r="H417" s="290"/>
      <c r="I417" s="291" t="str">
        <f>Controle!I417</f>
        <v/>
      </c>
      <c r="J417" s="233" t="str">
        <f>Controle!J417</f>
        <v/>
      </c>
      <c r="K417" s="292"/>
      <c r="L417" s="233" t="str">
        <f>Controle!L417</f>
        <v/>
      </c>
      <c r="M417" s="233" t="str">
        <f>Controle!M417</f>
        <v/>
      </c>
      <c r="N417" s="235" t="str">
        <f>Controle!N417</f>
        <v/>
      </c>
      <c r="O417" s="235" t="str">
        <f>Controle!O417</f>
        <v/>
      </c>
      <c r="P417" s="235" t="str">
        <f>Controle!P417</f>
        <v/>
      </c>
      <c r="Q417" s="235" t="str">
        <f>Controle!Q417</f>
        <v/>
      </c>
      <c r="R417" s="304" t="str">
        <f>Controle!R417</f>
        <v/>
      </c>
      <c r="S417" s="287"/>
      <c r="T417" s="301"/>
      <c r="U417" s="301"/>
      <c r="V417" s="301"/>
      <c r="W417" s="294"/>
      <c r="X417" s="294"/>
      <c r="Y417" s="294"/>
      <c r="Z417" s="294"/>
      <c r="AA417" s="294"/>
      <c r="AB417" s="253"/>
      <c r="AC417" s="2"/>
      <c r="AD417" s="253"/>
      <c r="AE417" s="253"/>
      <c r="AF417" s="253"/>
      <c r="AG417" s="253"/>
      <c r="AH417" s="253"/>
      <c r="AI417" s="2"/>
      <c r="AJ417" s="253"/>
      <c r="AK417" s="253"/>
      <c r="AL417" s="253"/>
      <c r="AM417" s="253"/>
      <c r="AN417" s="253"/>
      <c r="AO417" s="2"/>
      <c r="AP417" s="253"/>
      <c r="AQ417" s="253"/>
      <c r="AR417" s="253"/>
      <c r="AS417" s="253"/>
      <c r="AT417" s="253"/>
      <c r="AU417" s="2"/>
      <c r="AV417" s="253"/>
      <c r="AW417" s="253"/>
      <c r="AX417" s="253"/>
      <c r="AY417" s="253"/>
    </row>
    <row r="418" ht="15.75" customHeight="1">
      <c r="A418" s="2"/>
      <c r="B418" s="288" t="str">
        <f>Controle!B418</f>
        <v/>
      </c>
      <c r="C418" s="233" t="str">
        <f>Controle!C418</f>
        <v/>
      </c>
      <c r="D418" s="289" t="str">
        <f>Controle!D418</f>
        <v/>
      </c>
      <c r="E418" s="290"/>
      <c r="F418" s="291" t="str">
        <f>Controle!F418</f>
        <v/>
      </c>
      <c r="G418" s="289" t="str">
        <f>Controle!G418</f>
        <v/>
      </c>
      <c r="H418" s="290"/>
      <c r="I418" s="291" t="str">
        <f>Controle!I418</f>
        <v/>
      </c>
      <c r="J418" s="233" t="str">
        <f>Controle!J418</f>
        <v/>
      </c>
      <c r="K418" s="292"/>
      <c r="L418" s="233" t="str">
        <f>Controle!L418</f>
        <v/>
      </c>
      <c r="M418" s="233" t="str">
        <f>Controle!M418</f>
        <v/>
      </c>
      <c r="N418" s="235" t="str">
        <f>Controle!N418</f>
        <v/>
      </c>
      <c r="O418" s="235" t="str">
        <f>Controle!O418</f>
        <v/>
      </c>
      <c r="P418" s="235" t="str">
        <f>Controle!P418</f>
        <v/>
      </c>
      <c r="Q418" s="235" t="str">
        <f>Controle!Q418</f>
        <v/>
      </c>
      <c r="R418" s="304" t="str">
        <f>Controle!R418</f>
        <v/>
      </c>
      <c r="S418" s="287"/>
      <c r="T418" s="301"/>
      <c r="U418" s="301"/>
      <c r="V418" s="301"/>
      <c r="W418" s="294"/>
      <c r="X418" s="294"/>
      <c r="Y418" s="294"/>
      <c r="Z418" s="294"/>
      <c r="AA418" s="294"/>
      <c r="AB418" s="253"/>
      <c r="AC418" s="2"/>
      <c r="AD418" s="253"/>
      <c r="AE418" s="253"/>
      <c r="AF418" s="253"/>
      <c r="AG418" s="253"/>
      <c r="AH418" s="253"/>
      <c r="AI418" s="2"/>
      <c r="AJ418" s="253"/>
      <c r="AK418" s="253"/>
      <c r="AL418" s="253"/>
      <c r="AM418" s="253"/>
      <c r="AN418" s="253"/>
      <c r="AO418" s="2"/>
      <c r="AP418" s="253"/>
      <c r="AQ418" s="253"/>
      <c r="AR418" s="253"/>
      <c r="AS418" s="253"/>
      <c r="AT418" s="253"/>
      <c r="AU418" s="2"/>
      <c r="AV418" s="253"/>
      <c r="AW418" s="253"/>
      <c r="AX418" s="253"/>
      <c r="AY418" s="253"/>
    </row>
    <row r="419" ht="15.75" customHeight="1">
      <c r="A419" s="2"/>
      <c r="B419" s="288" t="str">
        <f>Controle!B419</f>
        <v/>
      </c>
      <c r="C419" s="233" t="str">
        <f>Controle!C419</f>
        <v/>
      </c>
      <c r="D419" s="289" t="str">
        <f>Controle!D419</f>
        <v/>
      </c>
      <c r="E419" s="290"/>
      <c r="F419" s="291" t="str">
        <f>Controle!F419</f>
        <v/>
      </c>
      <c r="G419" s="289" t="str">
        <f>Controle!G419</f>
        <v/>
      </c>
      <c r="H419" s="290"/>
      <c r="I419" s="291" t="str">
        <f>Controle!I419</f>
        <v/>
      </c>
      <c r="J419" s="233" t="str">
        <f>Controle!J419</f>
        <v/>
      </c>
      <c r="K419" s="292"/>
      <c r="L419" s="233" t="str">
        <f>Controle!L419</f>
        <v/>
      </c>
      <c r="M419" s="233" t="str">
        <f>Controle!M419</f>
        <v/>
      </c>
      <c r="N419" s="235" t="str">
        <f>Controle!N419</f>
        <v/>
      </c>
      <c r="O419" s="235" t="str">
        <f>Controle!O419</f>
        <v/>
      </c>
      <c r="P419" s="235" t="str">
        <f>Controle!P419</f>
        <v/>
      </c>
      <c r="Q419" s="235" t="str">
        <f>Controle!Q419</f>
        <v/>
      </c>
      <c r="R419" s="304" t="str">
        <f>Controle!R419</f>
        <v/>
      </c>
      <c r="S419" s="287"/>
      <c r="T419" s="301"/>
      <c r="U419" s="301"/>
      <c r="V419" s="301"/>
      <c r="W419" s="294"/>
      <c r="X419" s="294"/>
      <c r="Y419" s="294"/>
      <c r="Z419" s="294"/>
      <c r="AA419" s="294"/>
      <c r="AB419" s="253"/>
      <c r="AC419" s="2"/>
      <c r="AD419" s="253"/>
      <c r="AE419" s="253"/>
      <c r="AF419" s="253"/>
      <c r="AG419" s="253"/>
      <c r="AH419" s="253"/>
      <c r="AI419" s="2"/>
      <c r="AJ419" s="253"/>
      <c r="AK419" s="253"/>
      <c r="AL419" s="253"/>
      <c r="AM419" s="253"/>
      <c r="AN419" s="253"/>
      <c r="AO419" s="2"/>
      <c r="AP419" s="253"/>
      <c r="AQ419" s="253"/>
      <c r="AR419" s="253"/>
      <c r="AS419" s="253"/>
      <c r="AT419" s="253"/>
      <c r="AU419" s="2"/>
      <c r="AV419" s="253"/>
      <c r="AW419" s="253"/>
      <c r="AX419" s="253"/>
      <c r="AY419" s="253"/>
    </row>
    <row r="420" ht="15.75" customHeight="1">
      <c r="A420" s="2"/>
      <c r="B420" s="288" t="str">
        <f>Controle!B420</f>
        <v/>
      </c>
      <c r="C420" s="233" t="str">
        <f>Controle!C420</f>
        <v/>
      </c>
      <c r="D420" s="289" t="str">
        <f>Controle!D420</f>
        <v/>
      </c>
      <c r="E420" s="290"/>
      <c r="F420" s="291" t="str">
        <f>Controle!F420</f>
        <v/>
      </c>
      <c r="G420" s="289" t="str">
        <f>Controle!G420</f>
        <v/>
      </c>
      <c r="H420" s="290"/>
      <c r="I420" s="291" t="str">
        <f>Controle!I420</f>
        <v/>
      </c>
      <c r="J420" s="233" t="str">
        <f>Controle!J420</f>
        <v/>
      </c>
      <c r="K420" s="292"/>
      <c r="L420" s="233" t="str">
        <f>Controle!L420</f>
        <v/>
      </c>
      <c r="M420" s="233" t="str">
        <f>Controle!M420</f>
        <v/>
      </c>
      <c r="N420" s="235" t="str">
        <f>Controle!N420</f>
        <v/>
      </c>
      <c r="O420" s="235" t="str">
        <f>Controle!O420</f>
        <v/>
      </c>
      <c r="P420" s="235" t="str">
        <f>Controle!P420</f>
        <v/>
      </c>
      <c r="Q420" s="235" t="str">
        <f>Controle!Q420</f>
        <v/>
      </c>
      <c r="R420" s="304" t="str">
        <f>Controle!R420</f>
        <v/>
      </c>
      <c r="S420" s="287"/>
      <c r="T420" s="301"/>
      <c r="U420" s="301"/>
      <c r="V420" s="301"/>
      <c r="W420" s="294"/>
      <c r="X420" s="294"/>
      <c r="Y420" s="294"/>
      <c r="Z420" s="294"/>
      <c r="AA420" s="294"/>
      <c r="AB420" s="253"/>
      <c r="AC420" s="2"/>
      <c r="AD420" s="253"/>
      <c r="AE420" s="253"/>
      <c r="AF420" s="253"/>
      <c r="AG420" s="253"/>
      <c r="AH420" s="253"/>
      <c r="AI420" s="2"/>
      <c r="AJ420" s="253"/>
      <c r="AK420" s="253"/>
      <c r="AL420" s="253"/>
      <c r="AM420" s="253"/>
      <c r="AN420" s="253"/>
      <c r="AO420" s="2"/>
      <c r="AP420" s="253"/>
      <c r="AQ420" s="253"/>
      <c r="AR420" s="253"/>
      <c r="AS420" s="253"/>
      <c r="AT420" s="253"/>
      <c r="AU420" s="2"/>
      <c r="AV420" s="253"/>
      <c r="AW420" s="253"/>
      <c r="AX420" s="253"/>
      <c r="AY420" s="253"/>
    </row>
    <row r="421" ht="15.75" customHeight="1">
      <c r="A421" s="2"/>
      <c r="B421" s="288" t="str">
        <f>Controle!B421</f>
        <v/>
      </c>
      <c r="C421" s="233" t="str">
        <f>Controle!C421</f>
        <v/>
      </c>
      <c r="D421" s="289" t="str">
        <f>Controle!D421</f>
        <v/>
      </c>
      <c r="E421" s="290"/>
      <c r="F421" s="291" t="str">
        <f>Controle!F421</f>
        <v/>
      </c>
      <c r="G421" s="289" t="str">
        <f>Controle!G421</f>
        <v/>
      </c>
      <c r="H421" s="290"/>
      <c r="I421" s="291" t="str">
        <f>Controle!I421</f>
        <v/>
      </c>
      <c r="J421" s="233" t="str">
        <f>Controle!J421</f>
        <v/>
      </c>
      <c r="K421" s="292"/>
      <c r="L421" s="233" t="str">
        <f>Controle!L421</f>
        <v/>
      </c>
      <c r="M421" s="233" t="str">
        <f>Controle!M421</f>
        <v/>
      </c>
      <c r="N421" s="235" t="str">
        <f>Controle!N421</f>
        <v/>
      </c>
      <c r="O421" s="235" t="str">
        <f>Controle!O421</f>
        <v/>
      </c>
      <c r="P421" s="235" t="str">
        <f>Controle!P421</f>
        <v/>
      </c>
      <c r="Q421" s="235" t="str">
        <f>Controle!Q421</f>
        <v/>
      </c>
      <c r="R421" s="304" t="str">
        <f>Controle!R421</f>
        <v/>
      </c>
      <c r="S421" s="287"/>
      <c r="T421" s="301"/>
      <c r="U421" s="301"/>
      <c r="V421" s="301"/>
      <c r="W421" s="294"/>
      <c r="X421" s="294"/>
      <c r="Y421" s="294"/>
      <c r="Z421" s="294"/>
      <c r="AA421" s="294"/>
      <c r="AB421" s="253"/>
      <c r="AC421" s="2"/>
      <c r="AD421" s="253"/>
      <c r="AE421" s="253"/>
      <c r="AF421" s="253"/>
      <c r="AG421" s="253"/>
      <c r="AH421" s="253"/>
      <c r="AI421" s="2"/>
      <c r="AJ421" s="253"/>
      <c r="AK421" s="253"/>
      <c r="AL421" s="253"/>
      <c r="AM421" s="253"/>
      <c r="AN421" s="253"/>
      <c r="AO421" s="2"/>
      <c r="AP421" s="253"/>
      <c r="AQ421" s="253"/>
      <c r="AR421" s="253"/>
      <c r="AS421" s="253"/>
      <c r="AT421" s="253"/>
      <c r="AU421" s="2"/>
      <c r="AV421" s="253"/>
      <c r="AW421" s="253"/>
      <c r="AX421" s="253"/>
      <c r="AY421" s="253"/>
    </row>
    <row r="422" ht="15.75" customHeight="1">
      <c r="A422" s="2"/>
      <c r="B422" s="288" t="str">
        <f>Controle!B422</f>
        <v/>
      </c>
      <c r="C422" s="233" t="str">
        <f>Controle!C422</f>
        <v/>
      </c>
      <c r="D422" s="289" t="str">
        <f>Controle!D422</f>
        <v/>
      </c>
      <c r="E422" s="290"/>
      <c r="F422" s="291" t="str">
        <f>Controle!F422</f>
        <v/>
      </c>
      <c r="G422" s="289" t="str">
        <f>Controle!G422</f>
        <v/>
      </c>
      <c r="H422" s="290"/>
      <c r="I422" s="291" t="str">
        <f>Controle!I422</f>
        <v/>
      </c>
      <c r="J422" s="233" t="str">
        <f>Controle!J422</f>
        <v/>
      </c>
      <c r="K422" s="292"/>
      <c r="L422" s="233" t="str">
        <f>Controle!L422</f>
        <v/>
      </c>
      <c r="M422" s="233" t="str">
        <f>Controle!M422</f>
        <v/>
      </c>
      <c r="N422" s="235" t="str">
        <f>Controle!N422</f>
        <v/>
      </c>
      <c r="O422" s="235" t="str">
        <f>Controle!O422</f>
        <v/>
      </c>
      <c r="P422" s="235" t="str">
        <f>Controle!P422</f>
        <v/>
      </c>
      <c r="Q422" s="235" t="str">
        <f>Controle!Q422</f>
        <v/>
      </c>
      <c r="R422" s="304" t="str">
        <f>Controle!R422</f>
        <v/>
      </c>
      <c r="S422" s="287"/>
      <c r="T422" s="301"/>
      <c r="U422" s="301"/>
      <c r="V422" s="301"/>
      <c r="W422" s="294"/>
      <c r="X422" s="294"/>
      <c r="Y422" s="294"/>
      <c r="Z422" s="294"/>
      <c r="AA422" s="294"/>
      <c r="AB422" s="253"/>
      <c r="AC422" s="2"/>
      <c r="AD422" s="253"/>
      <c r="AE422" s="253"/>
      <c r="AF422" s="253"/>
      <c r="AG422" s="253"/>
      <c r="AH422" s="253"/>
      <c r="AI422" s="2"/>
      <c r="AJ422" s="253"/>
      <c r="AK422" s="253"/>
      <c r="AL422" s="253"/>
      <c r="AM422" s="253"/>
      <c r="AN422" s="253"/>
      <c r="AO422" s="2"/>
      <c r="AP422" s="253"/>
      <c r="AQ422" s="253"/>
      <c r="AR422" s="253"/>
      <c r="AS422" s="253"/>
      <c r="AT422" s="253"/>
      <c r="AU422" s="2"/>
      <c r="AV422" s="253"/>
      <c r="AW422" s="253"/>
      <c r="AX422" s="253"/>
      <c r="AY422" s="253"/>
    </row>
    <row r="423" ht="15.75" customHeight="1">
      <c r="A423" s="2"/>
      <c r="B423" s="288" t="str">
        <f>Controle!B423</f>
        <v/>
      </c>
      <c r="C423" s="233" t="str">
        <f>Controle!C423</f>
        <v/>
      </c>
      <c r="D423" s="289" t="str">
        <f>Controle!D423</f>
        <v/>
      </c>
      <c r="E423" s="290"/>
      <c r="F423" s="291" t="str">
        <f>Controle!F423</f>
        <v/>
      </c>
      <c r="G423" s="289" t="str">
        <f>Controle!G423</f>
        <v/>
      </c>
      <c r="H423" s="290"/>
      <c r="I423" s="291" t="str">
        <f>Controle!I423</f>
        <v/>
      </c>
      <c r="J423" s="233" t="str">
        <f>Controle!J423</f>
        <v/>
      </c>
      <c r="K423" s="292"/>
      <c r="L423" s="233" t="str">
        <f>Controle!L423</f>
        <v/>
      </c>
      <c r="M423" s="233" t="str">
        <f>Controle!M423</f>
        <v/>
      </c>
      <c r="N423" s="235" t="str">
        <f>Controle!N423</f>
        <v/>
      </c>
      <c r="O423" s="235" t="str">
        <f>Controle!O423</f>
        <v/>
      </c>
      <c r="P423" s="235" t="str">
        <f>Controle!P423</f>
        <v/>
      </c>
      <c r="Q423" s="235" t="str">
        <f>Controle!Q423</f>
        <v/>
      </c>
      <c r="R423" s="304" t="str">
        <f>Controle!R423</f>
        <v/>
      </c>
      <c r="S423" s="287"/>
      <c r="T423" s="301"/>
      <c r="U423" s="301"/>
      <c r="V423" s="301"/>
      <c r="W423" s="294"/>
      <c r="X423" s="294"/>
      <c r="Y423" s="294"/>
      <c r="Z423" s="294"/>
      <c r="AA423" s="294"/>
      <c r="AB423" s="253"/>
      <c r="AC423" s="2"/>
      <c r="AD423" s="253"/>
      <c r="AE423" s="253"/>
      <c r="AF423" s="253"/>
      <c r="AG423" s="253"/>
      <c r="AH423" s="253"/>
      <c r="AI423" s="2"/>
      <c r="AJ423" s="253"/>
      <c r="AK423" s="253"/>
      <c r="AL423" s="253"/>
      <c r="AM423" s="253"/>
      <c r="AN423" s="253"/>
      <c r="AO423" s="2"/>
      <c r="AP423" s="253"/>
      <c r="AQ423" s="253"/>
      <c r="AR423" s="253"/>
      <c r="AS423" s="253"/>
      <c r="AT423" s="253"/>
      <c r="AU423" s="2"/>
      <c r="AV423" s="253"/>
      <c r="AW423" s="253"/>
      <c r="AX423" s="253"/>
      <c r="AY423" s="253"/>
    </row>
    <row r="424" ht="15.75" customHeight="1">
      <c r="A424" s="2"/>
      <c r="B424" s="288" t="str">
        <f>Controle!B424</f>
        <v/>
      </c>
      <c r="C424" s="233" t="str">
        <f>Controle!C424</f>
        <v/>
      </c>
      <c r="D424" s="289" t="str">
        <f>Controle!D424</f>
        <v/>
      </c>
      <c r="E424" s="290"/>
      <c r="F424" s="291" t="str">
        <f>Controle!F424</f>
        <v/>
      </c>
      <c r="G424" s="289" t="str">
        <f>Controle!G424</f>
        <v/>
      </c>
      <c r="H424" s="290"/>
      <c r="I424" s="291" t="str">
        <f>Controle!I424</f>
        <v/>
      </c>
      <c r="J424" s="233" t="str">
        <f>Controle!J424</f>
        <v/>
      </c>
      <c r="K424" s="292"/>
      <c r="L424" s="233" t="str">
        <f>Controle!L424</f>
        <v/>
      </c>
      <c r="M424" s="233" t="str">
        <f>Controle!M424</f>
        <v/>
      </c>
      <c r="N424" s="235" t="str">
        <f>Controle!N424</f>
        <v/>
      </c>
      <c r="O424" s="235" t="str">
        <f>Controle!O424</f>
        <v/>
      </c>
      <c r="P424" s="235" t="str">
        <f>Controle!P424</f>
        <v/>
      </c>
      <c r="Q424" s="235" t="str">
        <f>Controle!Q424</f>
        <v/>
      </c>
      <c r="R424" s="304" t="str">
        <f>Controle!R424</f>
        <v/>
      </c>
      <c r="S424" s="287"/>
      <c r="T424" s="301"/>
      <c r="U424" s="301"/>
      <c r="V424" s="301"/>
      <c r="W424" s="294"/>
      <c r="X424" s="294"/>
      <c r="Y424" s="294"/>
      <c r="Z424" s="294"/>
      <c r="AA424" s="294"/>
      <c r="AB424" s="253"/>
      <c r="AC424" s="2"/>
      <c r="AD424" s="253"/>
      <c r="AE424" s="253"/>
      <c r="AF424" s="253"/>
      <c r="AG424" s="253"/>
      <c r="AH424" s="253"/>
      <c r="AI424" s="2"/>
      <c r="AJ424" s="253"/>
      <c r="AK424" s="253"/>
      <c r="AL424" s="253"/>
      <c r="AM424" s="253"/>
      <c r="AN424" s="253"/>
      <c r="AO424" s="2"/>
      <c r="AP424" s="253"/>
      <c r="AQ424" s="253"/>
      <c r="AR424" s="253"/>
      <c r="AS424" s="253"/>
      <c r="AT424" s="253"/>
      <c r="AU424" s="2"/>
      <c r="AV424" s="253"/>
      <c r="AW424" s="253"/>
      <c r="AX424" s="253"/>
      <c r="AY424" s="253"/>
    </row>
    <row r="425" ht="15.75" customHeight="1">
      <c r="A425" s="2"/>
      <c r="B425" s="288" t="str">
        <f>Controle!B425</f>
        <v/>
      </c>
      <c r="C425" s="233" t="str">
        <f>Controle!C425</f>
        <v/>
      </c>
      <c r="D425" s="289" t="str">
        <f>Controle!D425</f>
        <v/>
      </c>
      <c r="E425" s="290"/>
      <c r="F425" s="291" t="str">
        <f>Controle!F425</f>
        <v/>
      </c>
      <c r="G425" s="289" t="str">
        <f>Controle!G425</f>
        <v/>
      </c>
      <c r="H425" s="290"/>
      <c r="I425" s="291" t="str">
        <f>Controle!I425</f>
        <v/>
      </c>
      <c r="J425" s="233" t="str">
        <f>Controle!J425</f>
        <v/>
      </c>
      <c r="K425" s="292"/>
      <c r="L425" s="233" t="str">
        <f>Controle!L425</f>
        <v/>
      </c>
      <c r="M425" s="233" t="str">
        <f>Controle!M425</f>
        <v/>
      </c>
      <c r="N425" s="235" t="str">
        <f>Controle!N425</f>
        <v/>
      </c>
      <c r="O425" s="235" t="str">
        <f>Controle!O425</f>
        <v/>
      </c>
      <c r="P425" s="235" t="str">
        <f>Controle!P425</f>
        <v/>
      </c>
      <c r="Q425" s="235" t="str">
        <f>Controle!Q425</f>
        <v/>
      </c>
      <c r="R425" s="304" t="str">
        <f>Controle!R425</f>
        <v/>
      </c>
      <c r="S425" s="287"/>
      <c r="T425" s="301"/>
      <c r="U425" s="301"/>
      <c r="V425" s="301"/>
      <c r="W425" s="294"/>
      <c r="X425" s="294"/>
      <c r="Y425" s="294"/>
      <c r="Z425" s="294"/>
      <c r="AA425" s="294"/>
      <c r="AB425" s="253"/>
      <c r="AC425" s="2"/>
      <c r="AD425" s="253"/>
      <c r="AE425" s="253"/>
      <c r="AF425" s="253"/>
      <c r="AG425" s="253"/>
      <c r="AH425" s="253"/>
      <c r="AI425" s="2"/>
      <c r="AJ425" s="253"/>
      <c r="AK425" s="253"/>
      <c r="AL425" s="253"/>
      <c r="AM425" s="253"/>
      <c r="AN425" s="253"/>
      <c r="AO425" s="2"/>
      <c r="AP425" s="253"/>
      <c r="AQ425" s="253"/>
      <c r="AR425" s="253"/>
      <c r="AS425" s="253"/>
      <c r="AT425" s="253"/>
      <c r="AU425" s="2"/>
      <c r="AV425" s="253"/>
      <c r="AW425" s="253"/>
      <c r="AX425" s="253"/>
      <c r="AY425" s="253"/>
    </row>
    <row r="426" ht="15.75" customHeight="1">
      <c r="A426" s="2"/>
      <c r="B426" s="288" t="str">
        <f>Controle!B426</f>
        <v/>
      </c>
      <c r="C426" s="233" t="str">
        <f>Controle!C426</f>
        <v/>
      </c>
      <c r="D426" s="289" t="str">
        <f>Controle!D426</f>
        <v/>
      </c>
      <c r="E426" s="290"/>
      <c r="F426" s="291" t="str">
        <f>Controle!F426</f>
        <v/>
      </c>
      <c r="G426" s="289" t="str">
        <f>Controle!G426</f>
        <v/>
      </c>
      <c r="H426" s="290"/>
      <c r="I426" s="291" t="str">
        <f>Controle!I426</f>
        <v/>
      </c>
      <c r="J426" s="233" t="str">
        <f>Controle!J426</f>
        <v/>
      </c>
      <c r="K426" s="292"/>
      <c r="L426" s="233" t="str">
        <f>Controle!L426</f>
        <v/>
      </c>
      <c r="M426" s="233" t="str">
        <f>Controle!M426</f>
        <v/>
      </c>
      <c r="N426" s="235" t="str">
        <f>Controle!N426</f>
        <v/>
      </c>
      <c r="O426" s="235" t="str">
        <f>Controle!O426</f>
        <v/>
      </c>
      <c r="P426" s="235" t="str">
        <f>Controle!P426</f>
        <v/>
      </c>
      <c r="Q426" s="235" t="str">
        <f>Controle!Q426</f>
        <v/>
      </c>
      <c r="R426" s="304" t="str">
        <f>Controle!R426</f>
        <v/>
      </c>
      <c r="S426" s="287"/>
      <c r="T426" s="301"/>
      <c r="U426" s="301"/>
      <c r="V426" s="301"/>
      <c r="W426" s="294"/>
      <c r="X426" s="294"/>
      <c r="Y426" s="294"/>
      <c r="Z426" s="294"/>
      <c r="AA426" s="294"/>
      <c r="AB426" s="253"/>
      <c r="AC426" s="2"/>
      <c r="AD426" s="253"/>
      <c r="AE426" s="253"/>
      <c r="AF426" s="253"/>
      <c r="AG426" s="253"/>
      <c r="AH426" s="253"/>
      <c r="AI426" s="2"/>
      <c r="AJ426" s="253"/>
      <c r="AK426" s="253"/>
      <c r="AL426" s="253"/>
      <c r="AM426" s="253"/>
      <c r="AN426" s="253"/>
      <c r="AO426" s="2"/>
      <c r="AP426" s="253"/>
      <c r="AQ426" s="253"/>
      <c r="AR426" s="253"/>
      <c r="AS426" s="253"/>
      <c r="AT426" s="253"/>
      <c r="AU426" s="2"/>
      <c r="AV426" s="253"/>
      <c r="AW426" s="253"/>
      <c r="AX426" s="253"/>
      <c r="AY426" s="253"/>
    </row>
    <row r="427" ht="15.75" customHeight="1">
      <c r="A427" s="2"/>
      <c r="B427" s="288" t="str">
        <f>Controle!B427</f>
        <v/>
      </c>
      <c r="C427" s="233" t="str">
        <f>Controle!C427</f>
        <v/>
      </c>
      <c r="D427" s="289" t="str">
        <f>Controle!D427</f>
        <v/>
      </c>
      <c r="E427" s="290"/>
      <c r="F427" s="291" t="str">
        <f>Controle!F427</f>
        <v/>
      </c>
      <c r="G427" s="289" t="str">
        <f>Controle!G427</f>
        <v/>
      </c>
      <c r="H427" s="290"/>
      <c r="I427" s="291" t="str">
        <f>Controle!I427</f>
        <v/>
      </c>
      <c r="J427" s="233" t="str">
        <f>Controle!J427</f>
        <v/>
      </c>
      <c r="K427" s="292"/>
      <c r="L427" s="233" t="str">
        <f>Controle!L427</f>
        <v/>
      </c>
      <c r="M427" s="233" t="str">
        <f>Controle!M427</f>
        <v/>
      </c>
      <c r="N427" s="235" t="str">
        <f>Controle!N427</f>
        <v/>
      </c>
      <c r="O427" s="235" t="str">
        <f>Controle!O427</f>
        <v/>
      </c>
      <c r="P427" s="235" t="str">
        <f>Controle!P427</f>
        <v/>
      </c>
      <c r="Q427" s="235" t="str">
        <f>Controle!Q427</f>
        <v/>
      </c>
      <c r="R427" s="304" t="str">
        <f>Controle!R427</f>
        <v/>
      </c>
      <c r="S427" s="287"/>
      <c r="T427" s="301"/>
      <c r="U427" s="301"/>
      <c r="V427" s="301"/>
      <c r="W427" s="294"/>
      <c r="X427" s="294"/>
      <c r="Y427" s="294"/>
      <c r="Z427" s="294"/>
      <c r="AA427" s="294"/>
      <c r="AB427" s="253"/>
      <c r="AC427" s="2"/>
      <c r="AD427" s="253"/>
      <c r="AE427" s="253"/>
      <c r="AF427" s="253"/>
      <c r="AG427" s="253"/>
      <c r="AH427" s="253"/>
      <c r="AI427" s="2"/>
      <c r="AJ427" s="253"/>
      <c r="AK427" s="253"/>
      <c r="AL427" s="253"/>
      <c r="AM427" s="253"/>
      <c r="AN427" s="253"/>
      <c r="AO427" s="2"/>
      <c r="AP427" s="253"/>
      <c r="AQ427" s="253"/>
      <c r="AR427" s="253"/>
      <c r="AS427" s="253"/>
      <c r="AT427" s="253"/>
      <c r="AU427" s="2"/>
      <c r="AV427" s="253"/>
      <c r="AW427" s="253"/>
      <c r="AX427" s="253"/>
      <c r="AY427" s="253"/>
    </row>
    <row r="428" ht="15.75" customHeight="1">
      <c r="A428" s="2"/>
      <c r="B428" s="288" t="str">
        <f>Controle!B428</f>
        <v/>
      </c>
      <c r="C428" s="233" t="str">
        <f>Controle!C428</f>
        <v/>
      </c>
      <c r="D428" s="289" t="str">
        <f>Controle!D428</f>
        <v/>
      </c>
      <c r="E428" s="290"/>
      <c r="F428" s="291" t="str">
        <f>Controle!F428</f>
        <v/>
      </c>
      <c r="G428" s="289" t="str">
        <f>Controle!G428</f>
        <v/>
      </c>
      <c r="H428" s="290"/>
      <c r="I428" s="291" t="str">
        <f>Controle!I428</f>
        <v/>
      </c>
      <c r="J428" s="233" t="str">
        <f>Controle!J428</f>
        <v/>
      </c>
      <c r="K428" s="292"/>
      <c r="L428" s="233" t="str">
        <f>Controle!L428</f>
        <v/>
      </c>
      <c r="M428" s="233" t="str">
        <f>Controle!M428</f>
        <v/>
      </c>
      <c r="N428" s="235" t="str">
        <f>Controle!N428</f>
        <v/>
      </c>
      <c r="O428" s="235" t="str">
        <f>Controle!O428</f>
        <v/>
      </c>
      <c r="P428" s="235" t="str">
        <f>Controle!P428</f>
        <v/>
      </c>
      <c r="Q428" s="235" t="str">
        <f>Controle!Q428</f>
        <v/>
      </c>
      <c r="R428" s="304" t="str">
        <f>Controle!R428</f>
        <v/>
      </c>
      <c r="S428" s="287"/>
      <c r="T428" s="301"/>
      <c r="U428" s="301"/>
      <c r="V428" s="301"/>
      <c r="W428" s="294"/>
      <c r="X428" s="294"/>
      <c r="Y428" s="294"/>
      <c r="Z428" s="294"/>
      <c r="AA428" s="294"/>
      <c r="AB428" s="253"/>
      <c r="AC428" s="2"/>
      <c r="AD428" s="253"/>
      <c r="AE428" s="253"/>
      <c r="AF428" s="253"/>
      <c r="AG428" s="253"/>
      <c r="AH428" s="253"/>
      <c r="AI428" s="2"/>
      <c r="AJ428" s="253"/>
      <c r="AK428" s="253"/>
      <c r="AL428" s="253"/>
      <c r="AM428" s="253"/>
      <c r="AN428" s="253"/>
      <c r="AO428" s="2"/>
      <c r="AP428" s="253"/>
      <c r="AQ428" s="253"/>
      <c r="AR428" s="253"/>
      <c r="AS428" s="253"/>
      <c r="AT428" s="253"/>
      <c r="AU428" s="2"/>
      <c r="AV428" s="253"/>
      <c r="AW428" s="253"/>
      <c r="AX428" s="253"/>
      <c r="AY428" s="253"/>
    </row>
    <row r="429" ht="15.75" customHeight="1">
      <c r="A429" s="2"/>
      <c r="B429" s="288" t="str">
        <f>Controle!B429</f>
        <v/>
      </c>
      <c r="C429" s="233" t="str">
        <f>Controle!C429</f>
        <v/>
      </c>
      <c r="D429" s="289" t="str">
        <f>Controle!D429</f>
        <v/>
      </c>
      <c r="E429" s="290"/>
      <c r="F429" s="291" t="str">
        <f>Controle!F429</f>
        <v/>
      </c>
      <c r="G429" s="289" t="str">
        <f>Controle!G429</f>
        <v/>
      </c>
      <c r="H429" s="290"/>
      <c r="I429" s="291" t="str">
        <f>Controle!I429</f>
        <v/>
      </c>
      <c r="J429" s="233" t="str">
        <f>Controle!J429</f>
        <v/>
      </c>
      <c r="K429" s="292"/>
      <c r="L429" s="233" t="str">
        <f>Controle!L429</f>
        <v/>
      </c>
      <c r="M429" s="233" t="str">
        <f>Controle!M429</f>
        <v/>
      </c>
      <c r="N429" s="235" t="str">
        <f>Controle!N429</f>
        <v/>
      </c>
      <c r="O429" s="235" t="str">
        <f>Controle!O429</f>
        <v/>
      </c>
      <c r="P429" s="235" t="str">
        <f>Controle!P429</f>
        <v/>
      </c>
      <c r="Q429" s="235" t="str">
        <f>Controle!Q429</f>
        <v/>
      </c>
      <c r="R429" s="304" t="str">
        <f>Controle!R429</f>
        <v/>
      </c>
      <c r="S429" s="287"/>
      <c r="T429" s="301"/>
      <c r="U429" s="301"/>
      <c r="V429" s="301"/>
      <c r="W429" s="294"/>
      <c r="X429" s="294"/>
      <c r="Y429" s="294"/>
      <c r="Z429" s="294"/>
      <c r="AA429" s="294"/>
      <c r="AB429" s="253"/>
      <c r="AC429" s="2"/>
      <c r="AD429" s="253"/>
      <c r="AE429" s="253"/>
      <c r="AF429" s="253"/>
      <c r="AG429" s="253"/>
      <c r="AH429" s="253"/>
      <c r="AI429" s="2"/>
      <c r="AJ429" s="253"/>
      <c r="AK429" s="253"/>
      <c r="AL429" s="253"/>
      <c r="AM429" s="253"/>
      <c r="AN429" s="253"/>
      <c r="AO429" s="2"/>
      <c r="AP429" s="253"/>
      <c r="AQ429" s="253"/>
      <c r="AR429" s="253"/>
      <c r="AS429" s="253"/>
      <c r="AT429" s="253"/>
      <c r="AU429" s="2"/>
      <c r="AV429" s="253"/>
      <c r="AW429" s="253"/>
      <c r="AX429" s="253"/>
      <c r="AY429" s="253"/>
    </row>
    <row r="430" ht="15.75" customHeight="1">
      <c r="A430" s="2"/>
      <c r="B430" s="288" t="str">
        <f>Controle!B430</f>
        <v/>
      </c>
      <c r="C430" s="233" t="str">
        <f>Controle!C430</f>
        <v/>
      </c>
      <c r="D430" s="289" t="str">
        <f>Controle!D430</f>
        <v/>
      </c>
      <c r="E430" s="290"/>
      <c r="F430" s="291" t="str">
        <f>Controle!F430</f>
        <v/>
      </c>
      <c r="G430" s="289" t="str">
        <f>Controle!G430</f>
        <v/>
      </c>
      <c r="H430" s="290"/>
      <c r="I430" s="291" t="str">
        <f>Controle!I430</f>
        <v/>
      </c>
      <c r="J430" s="233" t="str">
        <f>Controle!J430</f>
        <v/>
      </c>
      <c r="K430" s="292"/>
      <c r="L430" s="233" t="str">
        <f>Controle!L430</f>
        <v/>
      </c>
      <c r="M430" s="233" t="str">
        <f>Controle!M430</f>
        <v/>
      </c>
      <c r="N430" s="235" t="str">
        <f>Controle!N430</f>
        <v/>
      </c>
      <c r="O430" s="235" t="str">
        <f>Controle!O430</f>
        <v/>
      </c>
      <c r="P430" s="235" t="str">
        <f>Controle!P430</f>
        <v/>
      </c>
      <c r="Q430" s="235" t="str">
        <f>Controle!Q430</f>
        <v/>
      </c>
      <c r="R430" s="304" t="str">
        <f>Controle!R430</f>
        <v/>
      </c>
      <c r="S430" s="287"/>
      <c r="T430" s="301"/>
      <c r="U430" s="301"/>
      <c r="V430" s="301"/>
      <c r="W430" s="294"/>
      <c r="X430" s="294"/>
      <c r="Y430" s="294"/>
      <c r="Z430" s="294"/>
      <c r="AA430" s="294"/>
      <c r="AB430" s="253"/>
      <c r="AC430" s="2"/>
      <c r="AD430" s="253"/>
      <c r="AE430" s="253"/>
      <c r="AF430" s="253"/>
      <c r="AG430" s="253"/>
      <c r="AH430" s="253"/>
      <c r="AI430" s="2"/>
      <c r="AJ430" s="253"/>
      <c r="AK430" s="253"/>
      <c r="AL430" s="253"/>
      <c r="AM430" s="253"/>
      <c r="AN430" s="253"/>
      <c r="AO430" s="2"/>
      <c r="AP430" s="253"/>
      <c r="AQ430" s="253"/>
      <c r="AR430" s="253"/>
      <c r="AS430" s="253"/>
      <c r="AT430" s="253"/>
      <c r="AU430" s="2"/>
      <c r="AV430" s="253"/>
      <c r="AW430" s="253"/>
      <c r="AX430" s="253"/>
      <c r="AY430" s="253"/>
    </row>
    <row r="431" ht="15.75" customHeight="1">
      <c r="A431" s="2"/>
      <c r="B431" s="288" t="str">
        <f>Controle!B431</f>
        <v/>
      </c>
      <c r="C431" s="233" t="str">
        <f>Controle!C431</f>
        <v/>
      </c>
      <c r="D431" s="289" t="str">
        <f>Controle!D431</f>
        <v/>
      </c>
      <c r="E431" s="290"/>
      <c r="F431" s="291" t="str">
        <f>Controle!F431</f>
        <v/>
      </c>
      <c r="G431" s="289" t="str">
        <f>Controle!G431</f>
        <v/>
      </c>
      <c r="H431" s="290"/>
      <c r="I431" s="291" t="str">
        <f>Controle!I431</f>
        <v/>
      </c>
      <c r="J431" s="233" t="str">
        <f>Controle!J431</f>
        <v/>
      </c>
      <c r="K431" s="292"/>
      <c r="L431" s="233" t="str">
        <f>Controle!L431</f>
        <v/>
      </c>
      <c r="M431" s="233" t="str">
        <f>Controle!M431</f>
        <v/>
      </c>
      <c r="N431" s="235" t="str">
        <f>Controle!N431</f>
        <v/>
      </c>
      <c r="O431" s="235" t="str">
        <f>Controle!O431</f>
        <v/>
      </c>
      <c r="P431" s="235" t="str">
        <f>Controle!P431</f>
        <v/>
      </c>
      <c r="Q431" s="235" t="str">
        <f>Controle!Q431</f>
        <v/>
      </c>
      <c r="R431" s="304" t="str">
        <f>Controle!R431</f>
        <v/>
      </c>
      <c r="S431" s="287"/>
      <c r="T431" s="301"/>
      <c r="U431" s="301"/>
      <c r="V431" s="301"/>
      <c r="W431" s="294"/>
      <c r="X431" s="294"/>
      <c r="Y431" s="294"/>
      <c r="Z431" s="294"/>
      <c r="AA431" s="294"/>
      <c r="AB431" s="253"/>
      <c r="AC431" s="2"/>
      <c r="AD431" s="253"/>
      <c r="AE431" s="253"/>
      <c r="AF431" s="253"/>
      <c r="AG431" s="253"/>
      <c r="AH431" s="253"/>
      <c r="AI431" s="2"/>
      <c r="AJ431" s="253"/>
      <c r="AK431" s="253"/>
      <c r="AL431" s="253"/>
      <c r="AM431" s="253"/>
      <c r="AN431" s="253"/>
      <c r="AO431" s="2"/>
      <c r="AP431" s="253"/>
      <c r="AQ431" s="253"/>
      <c r="AR431" s="253"/>
      <c r="AS431" s="253"/>
      <c r="AT431" s="253"/>
      <c r="AU431" s="2"/>
      <c r="AV431" s="253"/>
      <c r="AW431" s="253"/>
      <c r="AX431" s="253"/>
      <c r="AY431" s="253"/>
    </row>
    <row r="432" ht="15.75" customHeight="1">
      <c r="A432" s="2"/>
      <c r="B432" s="288" t="str">
        <f>Controle!B432</f>
        <v/>
      </c>
      <c r="C432" s="233" t="str">
        <f>Controle!C432</f>
        <v/>
      </c>
      <c r="D432" s="289" t="str">
        <f>Controle!D432</f>
        <v/>
      </c>
      <c r="E432" s="290"/>
      <c r="F432" s="291" t="str">
        <f>Controle!F432</f>
        <v/>
      </c>
      <c r="G432" s="289" t="str">
        <f>Controle!G432</f>
        <v/>
      </c>
      <c r="H432" s="290"/>
      <c r="I432" s="291" t="str">
        <f>Controle!I432</f>
        <v/>
      </c>
      <c r="J432" s="233" t="str">
        <f>Controle!J432</f>
        <v/>
      </c>
      <c r="K432" s="292"/>
      <c r="L432" s="233" t="str">
        <f>Controle!L432</f>
        <v/>
      </c>
      <c r="M432" s="233" t="str">
        <f>Controle!M432</f>
        <v/>
      </c>
      <c r="N432" s="235" t="str">
        <f>Controle!N432</f>
        <v/>
      </c>
      <c r="O432" s="235" t="str">
        <f>Controle!O432</f>
        <v/>
      </c>
      <c r="P432" s="235" t="str">
        <f>Controle!P432</f>
        <v/>
      </c>
      <c r="Q432" s="235" t="str">
        <f>Controle!Q432</f>
        <v/>
      </c>
      <c r="R432" s="304" t="str">
        <f>Controle!R432</f>
        <v/>
      </c>
      <c r="S432" s="287"/>
      <c r="T432" s="301"/>
      <c r="U432" s="301"/>
      <c r="V432" s="301"/>
      <c r="W432" s="294"/>
      <c r="X432" s="294"/>
      <c r="Y432" s="294"/>
      <c r="Z432" s="294"/>
      <c r="AA432" s="294"/>
      <c r="AB432" s="253"/>
      <c r="AC432" s="2"/>
      <c r="AD432" s="253"/>
      <c r="AE432" s="253"/>
      <c r="AF432" s="253"/>
      <c r="AG432" s="253"/>
      <c r="AH432" s="253"/>
      <c r="AI432" s="2"/>
      <c r="AJ432" s="253"/>
      <c r="AK432" s="253"/>
      <c r="AL432" s="253"/>
      <c r="AM432" s="253"/>
      <c r="AN432" s="253"/>
      <c r="AO432" s="2"/>
      <c r="AP432" s="253"/>
      <c r="AQ432" s="253"/>
      <c r="AR432" s="253"/>
      <c r="AS432" s="253"/>
      <c r="AT432" s="253"/>
      <c r="AU432" s="2"/>
      <c r="AV432" s="253"/>
      <c r="AW432" s="253"/>
      <c r="AX432" s="253"/>
      <c r="AY432" s="253"/>
    </row>
    <row r="433" ht="15.75" customHeight="1">
      <c r="A433" s="2"/>
      <c r="B433" s="288" t="str">
        <f>Controle!B433</f>
        <v/>
      </c>
      <c r="C433" s="233" t="str">
        <f>Controle!C433</f>
        <v/>
      </c>
      <c r="D433" s="289" t="str">
        <f>Controle!D433</f>
        <v/>
      </c>
      <c r="E433" s="290"/>
      <c r="F433" s="291" t="str">
        <f>Controle!F433</f>
        <v/>
      </c>
      <c r="G433" s="289" t="str">
        <f>Controle!G433</f>
        <v/>
      </c>
      <c r="H433" s="290"/>
      <c r="I433" s="291" t="str">
        <f>Controle!I433</f>
        <v/>
      </c>
      <c r="J433" s="233" t="str">
        <f>Controle!J433</f>
        <v/>
      </c>
      <c r="K433" s="292"/>
      <c r="L433" s="233" t="str">
        <f>Controle!L433</f>
        <v/>
      </c>
      <c r="M433" s="233" t="str">
        <f>Controle!M433</f>
        <v/>
      </c>
      <c r="N433" s="235" t="str">
        <f>Controle!N433</f>
        <v/>
      </c>
      <c r="O433" s="235" t="str">
        <f>Controle!O433</f>
        <v/>
      </c>
      <c r="P433" s="235" t="str">
        <f>Controle!P433</f>
        <v/>
      </c>
      <c r="Q433" s="235" t="str">
        <f>Controle!Q433</f>
        <v/>
      </c>
      <c r="R433" s="304" t="str">
        <f>Controle!R433</f>
        <v/>
      </c>
      <c r="S433" s="287"/>
      <c r="T433" s="301"/>
      <c r="U433" s="301"/>
      <c r="V433" s="301"/>
      <c r="W433" s="294"/>
      <c r="X433" s="294"/>
      <c r="Y433" s="294"/>
      <c r="Z433" s="294"/>
      <c r="AA433" s="294"/>
      <c r="AB433" s="253"/>
      <c r="AC433" s="2"/>
      <c r="AD433" s="253"/>
      <c r="AE433" s="253"/>
      <c r="AF433" s="253"/>
      <c r="AG433" s="253"/>
      <c r="AH433" s="253"/>
      <c r="AI433" s="2"/>
      <c r="AJ433" s="253"/>
      <c r="AK433" s="253"/>
      <c r="AL433" s="253"/>
      <c r="AM433" s="253"/>
      <c r="AN433" s="253"/>
      <c r="AO433" s="2"/>
      <c r="AP433" s="253"/>
      <c r="AQ433" s="253"/>
      <c r="AR433" s="253"/>
      <c r="AS433" s="253"/>
      <c r="AT433" s="253"/>
      <c r="AU433" s="2"/>
      <c r="AV433" s="253"/>
      <c r="AW433" s="253"/>
      <c r="AX433" s="253"/>
      <c r="AY433" s="253"/>
    </row>
    <row r="434" ht="15.75" customHeight="1">
      <c r="A434" s="2"/>
      <c r="B434" s="288" t="str">
        <f>Controle!B434</f>
        <v/>
      </c>
      <c r="C434" s="233" t="str">
        <f>Controle!C434</f>
        <v/>
      </c>
      <c r="D434" s="289" t="str">
        <f>Controle!D434</f>
        <v/>
      </c>
      <c r="E434" s="290"/>
      <c r="F434" s="291" t="str">
        <f>Controle!F434</f>
        <v/>
      </c>
      <c r="G434" s="289" t="str">
        <f>Controle!G434</f>
        <v/>
      </c>
      <c r="H434" s="290"/>
      <c r="I434" s="291" t="str">
        <f>Controle!I434</f>
        <v/>
      </c>
      <c r="J434" s="233" t="str">
        <f>Controle!J434</f>
        <v/>
      </c>
      <c r="K434" s="292"/>
      <c r="L434" s="233" t="str">
        <f>Controle!L434</f>
        <v/>
      </c>
      <c r="M434" s="233" t="str">
        <f>Controle!M434</f>
        <v/>
      </c>
      <c r="N434" s="235" t="str">
        <f>Controle!N434</f>
        <v/>
      </c>
      <c r="O434" s="235" t="str">
        <f>Controle!O434</f>
        <v/>
      </c>
      <c r="P434" s="235" t="str">
        <f>Controle!P434</f>
        <v/>
      </c>
      <c r="Q434" s="235" t="str">
        <f>Controle!Q434</f>
        <v/>
      </c>
      <c r="R434" s="304" t="str">
        <f>Controle!R434</f>
        <v/>
      </c>
      <c r="S434" s="287"/>
      <c r="T434" s="301"/>
      <c r="U434" s="301"/>
      <c r="V434" s="301"/>
      <c r="W434" s="294"/>
      <c r="X434" s="294"/>
      <c r="Y434" s="294"/>
      <c r="Z434" s="294"/>
      <c r="AA434" s="294"/>
      <c r="AB434" s="253"/>
      <c r="AC434" s="253"/>
      <c r="AD434" s="253"/>
      <c r="AE434" s="253"/>
      <c r="AF434" s="253"/>
      <c r="AG434" s="253"/>
      <c r="AH434" s="253"/>
      <c r="AI434" s="253"/>
      <c r="AJ434" s="253"/>
      <c r="AK434" s="253"/>
      <c r="AL434" s="253"/>
      <c r="AM434" s="253"/>
      <c r="AN434" s="253"/>
      <c r="AO434" s="253"/>
      <c r="AP434" s="253"/>
      <c r="AQ434" s="253"/>
      <c r="AR434" s="253"/>
      <c r="AS434" s="253"/>
      <c r="AT434" s="253"/>
      <c r="AU434" s="253"/>
      <c r="AV434" s="253"/>
      <c r="AW434" s="253"/>
      <c r="AX434" s="253"/>
      <c r="AY434" s="253"/>
    </row>
    <row r="435" ht="15.75" customHeight="1">
      <c r="A435" s="2"/>
      <c r="B435" s="288" t="str">
        <f>Controle!B435</f>
        <v/>
      </c>
      <c r="C435" s="233" t="str">
        <f>Controle!C435</f>
        <v/>
      </c>
      <c r="D435" s="289" t="str">
        <f>Controle!D435</f>
        <v/>
      </c>
      <c r="E435" s="290"/>
      <c r="F435" s="291" t="str">
        <f>Controle!F435</f>
        <v/>
      </c>
      <c r="G435" s="289" t="str">
        <f>Controle!G435</f>
        <v/>
      </c>
      <c r="H435" s="290"/>
      <c r="I435" s="291" t="str">
        <f>Controle!I435</f>
        <v/>
      </c>
      <c r="J435" s="233" t="str">
        <f>Controle!J435</f>
        <v/>
      </c>
      <c r="K435" s="292"/>
      <c r="L435" s="233" t="str">
        <f>Controle!L435</f>
        <v/>
      </c>
      <c r="M435" s="233" t="str">
        <f>Controle!M435</f>
        <v/>
      </c>
      <c r="N435" s="235" t="str">
        <f>Controle!N435</f>
        <v/>
      </c>
      <c r="O435" s="235" t="str">
        <f>Controle!O435</f>
        <v/>
      </c>
      <c r="P435" s="235" t="str">
        <f>Controle!P435</f>
        <v/>
      </c>
      <c r="Q435" s="235" t="str">
        <f>Controle!Q435</f>
        <v/>
      </c>
      <c r="R435" s="304" t="str">
        <f>Controle!R435</f>
        <v/>
      </c>
      <c r="S435" s="287"/>
      <c r="T435" s="301"/>
      <c r="U435" s="301"/>
      <c r="V435" s="301"/>
      <c r="W435" s="294"/>
      <c r="X435" s="294"/>
      <c r="Y435" s="294"/>
      <c r="Z435" s="294"/>
      <c r="AA435" s="294"/>
      <c r="AB435" s="253"/>
      <c r="AC435" s="253"/>
      <c r="AD435" s="253"/>
      <c r="AE435" s="253"/>
      <c r="AF435" s="253"/>
      <c r="AG435" s="253"/>
      <c r="AH435" s="253"/>
      <c r="AI435" s="253"/>
      <c r="AJ435" s="253"/>
      <c r="AK435" s="253"/>
      <c r="AL435" s="253"/>
      <c r="AM435" s="253"/>
      <c r="AN435" s="253"/>
      <c r="AO435" s="253"/>
      <c r="AP435" s="253"/>
      <c r="AQ435" s="253"/>
      <c r="AR435" s="253"/>
      <c r="AS435" s="253"/>
      <c r="AT435" s="253"/>
      <c r="AU435" s="253"/>
      <c r="AV435" s="253"/>
      <c r="AW435" s="253"/>
      <c r="AX435" s="253"/>
      <c r="AY435" s="253"/>
    </row>
    <row r="436" ht="15.75" customHeight="1">
      <c r="A436" s="2"/>
      <c r="B436" s="288" t="str">
        <f>Controle!B436</f>
        <v/>
      </c>
      <c r="C436" s="233" t="str">
        <f>Controle!C436</f>
        <v/>
      </c>
      <c r="D436" s="289" t="str">
        <f>Controle!D436</f>
        <v/>
      </c>
      <c r="E436" s="290"/>
      <c r="F436" s="291" t="str">
        <f>Controle!F436</f>
        <v/>
      </c>
      <c r="G436" s="289" t="str">
        <f>Controle!G436</f>
        <v/>
      </c>
      <c r="H436" s="290"/>
      <c r="I436" s="291" t="str">
        <f>Controle!I436</f>
        <v/>
      </c>
      <c r="J436" s="233" t="str">
        <f>Controle!J436</f>
        <v/>
      </c>
      <c r="K436" s="292"/>
      <c r="L436" s="233" t="str">
        <f>Controle!L436</f>
        <v/>
      </c>
      <c r="M436" s="233" t="str">
        <f>Controle!M436</f>
        <v/>
      </c>
      <c r="N436" s="235" t="str">
        <f>Controle!N436</f>
        <v/>
      </c>
      <c r="O436" s="235" t="str">
        <f>Controle!O436</f>
        <v/>
      </c>
      <c r="P436" s="235" t="str">
        <f>Controle!P436</f>
        <v/>
      </c>
      <c r="Q436" s="235" t="str">
        <f>Controle!Q436</f>
        <v/>
      </c>
      <c r="R436" s="304" t="str">
        <f>Controle!R436</f>
        <v/>
      </c>
      <c r="S436" s="287"/>
      <c r="T436" s="301"/>
      <c r="U436" s="301"/>
      <c r="V436" s="301"/>
      <c r="W436" s="294"/>
      <c r="X436" s="294"/>
      <c r="Y436" s="294"/>
      <c r="Z436" s="294"/>
      <c r="AA436" s="294"/>
      <c r="AB436" s="253"/>
      <c r="AC436" s="253"/>
      <c r="AD436" s="253"/>
      <c r="AE436" s="253"/>
      <c r="AF436" s="253"/>
      <c r="AG436" s="253"/>
      <c r="AH436" s="253"/>
      <c r="AI436" s="253"/>
      <c r="AJ436" s="253"/>
      <c r="AK436" s="253"/>
      <c r="AL436" s="253"/>
      <c r="AM436" s="253"/>
      <c r="AN436" s="253"/>
      <c r="AO436" s="253"/>
      <c r="AP436" s="253"/>
      <c r="AQ436" s="253"/>
      <c r="AR436" s="253"/>
      <c r="AS436" s="253"/>
      <c r="AT436" s="253"/>
      <c r="AU436" s="253"/>
      <c r="AV436" s="253"/>
      <c r="AW436" s="253"/>
      <c r="AX436" s="253"/>
      <c r="AY436" s="253"/>
    </row>
    <row r="437" ht="15.75" customHeight="1">
      <c r="A437" s="2"/>
      <c r="B437" s="288" t="str">
        <f>Controle!B437</f>
        <v/>
      </c>
      <c r="C437" s="233" t="str">
        <f>Controle!C437</f>
        <v/>
      </c>
      <c r="D437" s="289" t="str">
        <f>Controle!D437</f>
        <v/>
      </c>
      <c r="E437" s="290"/>
      <c r="F437" s="291" t="str">
        <f>Controle!F437</f>
        <v/>
      </c>
      <c r="G437" s="289" t="str">
        <f>Controle!G437</f>
        <v/>
      </c>
      <c r="H437" s="290"/>
      <c r="I437" s="291" t="str">
        <f>Controle!I437</f>
        <v/>
      </c>
      <c r="J437" s="233" t="str">
        <f>Controle!J437</f>
        <v/>
      </c>
      <c r="K437" s="292"/>
      <c r="L437" s="233" t="str">
        <f>Controle!L437</f>
        <v/>
      </c>
      <c r="M437" s="233" t="str">
        <f>Controle!M437</f>
        <v/>
      </c>
      <c r="N437" s="235" t="str">
        <f>Controle!N437</f>
        <v/>
      </c>
      <c r="O437" s="235" t="str">
        <f>Controle!O437</f>
        <v/>
      </c>
      <c r="P437" s="235" t="str">
        <f>Controle!P437</f>
        <v/>
      </c>
      <c r="Q437" s="235" t="str">
        <f>Controle!Q437</f>
        <v/>
      </c>
      <c r="R437" s="304" t="str">
        <f>Controle!R437</f>
        <v/>
      </c>
      <c r="S437" s="287"/>
      <c r="T437" s="301"/>
      <c r="U437" s="301"/>
      <c r="V437" s="301"/>
      <c r="W437" s="294"/>
      <c r="X437" s="294"/>
      <c r="Y437" s="294"/>
      <c r="Z437" s="294"/>
      <c r="AA437" s="294"/>
      <c r="AB437" s="253"/>
      <c r="AC437" s="253"/>
      <c r="AD437" s="253"/>
      <c r="AE437" s="253"/>
      <c r="AF437" s="253"/>
      <c r="AG437" s="253"/>
      <c r="AH437" s="253"/>
      <c r="AI437" s="253"/>
      <c r="AJ437" s="253"/>
      <c r="AK437" s="253"/>
      <c r="AL437" s="253"/>
      <c r="AM437" s="253"/>
      <c r="AN437" s="253"/>
      <c r="AO437" s="253"/>
      <c r="AP437" s="253"/>
      <c r="AQ437" s="253"/>
      <c r="AR437" s="253"/>
      <c r="AS437" s="253"/>
      <c r="AT437" s="253"/>
      <c r="AU437" s="253"/>
      <c r="AV437" s="253"/>
      <c r="AW437" s="253"/>
      <c r="AX437" s="253"/>
      <c r="AY437" s="253"/>
    </row>
    <row r="438" ht="15.75" customHeight="1">
      <c r="A438" s="2"/>
      <c r="B438" s="288" t="str">
        <f>Controle!B438</f>
        <v/>
      </c>
      <c r="C438" s="233" t="str">
        <f>Controle!C438</f>
        <v/>
      </c>
      <c r="D438" s="289" t="str">
        <f>Controle!D438</f>
        <v/>
      </c>
      <c r="E438" s="290"/>
      <c r="F438" s="291" t="str">
        <f>Controle!F438</f>
        <v/>
      </c>
      <c r="G438" s="289" t="str">
        <f>Controle!G438</f>
        <v/>
      </c>
      <c r="H438" s="290"/>
      <c r="I438" s="291" t="str">
        <f>Controle!I438</f>
        <v/>
      </c>
      <c r="J438" s="233" t="str">
        <f>Controle!J438</f>
        <v/>
      </c>
      <c r="K438" s="292"/>
      <c r="L438" s="233" t="str">
        <f>Controle!L438</f>
        <v/>
      </c>
      <c r="M438" s="233" t="str">
        <f>Controle!M438</f>
        <v/>
      </c>
      <c r="N438" s="235" t="str">
        <f>Controle!N438</f>
        <v/>
      </c>
      <c r="O438" s="235" t="str">
        <f>Controle!O438</f>
        <v/>
      </c>
      <c r="P438" s="235" t="str">
        <f>Controle!P438</f>
        <v/>
      </c>
      <c r="Q438" s="235" t="str">
        <f>Controle!Q438</f>
        <v/>
      </c>
      <c r="R438" s="304" t="str">
        <f>Controle!R438</f>
        <v/>
      </c>
      <c r="S438" s="287"/>
      <c r="T438" s="301"/>
      <c r="U438" s="301"/>
      <c r="V438" s="301"/>
      <c r="W438" s="294"/>
      <c r="X438" s="294"/>
      <c r="Y438" s="294"/>
      <c r="Z438" s="294"/>
      <c r="AA438" s="294"/>
      <c r="AB438" s="253"/>
      <c r="AC438" s="253"/>
      <c r="AD438" s="253"/>
      <c r="AE438" s="253"/>
      <c r="AF438" s="253"/>
      <c r="AG438" s="253"/>
      <c r="AH438" s="253"/>
      <c r="AI438" s="253"/>
      <c r="AJ438" s="253"/>
      <c r="AK438" s="253"/>
      <c r="AL438" s="253"/>
      <c r="AM438" s="253"/>
      <c r="AN438" s="253"/>
      <c r="AO438" s="253"/>
      <c r="AP438" s="253"/>
      <c r="AQ438" s="253"/>
      <c r="AR438" s="253"/>
      <c r="AS438" s="253"/>
      <c r="AT438" s="253"/>
      <c r="AU438" s="253"/>
      <c r="AV438" s="253"/>
      <c r="AW438" s="253"/>
      <c r="AX438" s="253"/>
      <c r="AY438" s="253"/>
    </row>
    <row r="439" ht="15.75" customHeight="1">
      <c r="A439" s="2"/>
      <c r="B439" s="288" t="str">
        <f>Controle!B439</f>
        <v/>
      </c>
      <c r="C439" s="233" t="str">
        <f>Controle!C439</f>
        <v/>
      </c>
      <c r="D439" s="289" t="str">
        <f>Controle!D439</f>
        <v/>
      </c>
      <c r="E439" s="290"/>
      <c r="F439" s="291" t="str">
        <f>Controle!F439</f>
        <v/>
      </c>
      <c r="G439" s="289" t="str">
        <f>Controle!G439</f>
        <v/>
      </c>
      <c r="H439" s="290"/>
      <c r="I439" s="291" t="str">
        <f>Controle!I439</f>
        <v/>
      </c>
      <c r="J439" s="233" t="str">
        <f>Controle!J439</f>
        <v/>
      </c>
      <c r="K439" s="292"/>
      <c r="L439" s="233" t="str">
        <f>Controle!L439</f>
        <v/>
      </c>
      <c r="M439" s="233" t="str">
        <f>Controle!M439</f>
        <v/>
      </c>
      <c r="N439" s="235" t="str">
        <f>Controle!N439</f>
        <v/>
      </c>
      <c r="O439" s="235" t="str">
        <f>Controle!O439</f>
        <v/>
      </c>
      <c r="P439" s="235" t="str">
        <f>Controle!P439</f>
        <v/>
      </c>
      <c r="Q439" s="235" t="str">
        <f>Controle!Q439</f>
        <v/>
      </c>
      <c r="R439" s="304" t="str">
        <f>Controle!R439</f>
        <v/>
      </c>
      <c r="S439" s="287"/>
      <c r="T439" s="301"/>
      <c r="U439" s="301"/>
      <c r="V439" s="301"/>
      <c r="W439" s="294"/>
      <c r="X439" s="294"/>
      <c r="Y439" s="294"/>
      <c r="Z439" s="294"/>
      <c r="AA439" s="294"/>
      <c r="AB439" s="253"/>
      <c r="AC439" s="253"/>
      <c r="AD439" s="253"/>
      <c r="AE439" s="253"/>
      <c r="AF439" s="253"/>
      <c r="AG439" s="253"/>
      <c r="AH439" s="253"/>
      <c r="AI439" s="253"/>
      <c r="AJ439" s="253"/>
      <c r="AK439" s="253"/>
      <c r="AL439" s="253"/>
      <c r="AM439" s="253"/>
      <c r="AN439" s="253"/>
      <c r="AO439" s="253"/>
      <c r="AP439" s="253"/>
      <c r="AQ439" s="253"/>
      <c r="AR439" s="253"/>
      <c r="AS439" s="253"/>
      <c r="AT439" s="253"/>
      <c r="AU439" s="253"/>
      <c r="AV439" s="253"/>
      <c r="AW439" s="253"/>
      <c r="AX439" s="253"/>
      <c r="AY439" s="253"/>
    </row>
    <row r="440" ht="15.75" customHeight="1">
      <c r="A440" s="2"/>
      <c r="B440" s="288" t="str">
        <f>Controle!B440</f>
        <v/>
      </c>
      <c r="C440" s="233" t="str">
        <f>Controle!C440</f>
        <v/>
      </c>
      <c r="D440" s="289" t="str">
        <f>Controle!D440</f>
        <v/>
      </c>
      <c r="E440" s="290"/>
      <c r="F440" s="291" t="str">
        <f>Controle!F440</f>
        <v/>
      </c>
      <c r="G440" s="289" t="str">
        <f>Controle!G440</f>
        <v/>
      </c>
      <c r="H440" s="290"/>
      <c r="I440" s="291" t="str">
        <f>Controle!I440</f>
        <v/>
      </c>
      <c r="J440" s="233" t="str">
        <f>Controle!J440</f>
        <v/>
      </c>
      <c r="K440" s="292"/>
      <c r="L440" s="233" t="str">
        <f>Controle!L440</f>
        <v/>
      </c>
      <c r="M440" s="233" t="str">
        <f>Controle!M440</f>
        <v/>
      </c>
      <c r="N440" s="235" t="str">
        <f>Controle!N440</f>
        <v/>
      </c>
      <c r="O440" s="235" t="str">
        <f>Controle!O440</f>
        <v/>
      </c>
      <c r="P440" s="235" t="str">
        <f>Controle!P440</f>
        <v/>
      </c>
      <c r="Q440" s="235" t="str">
        <f>Controle!Q440</f>
        <v/>
      </c>
      <c r="R440" s="304" t="str">
        <f>Controle!R440</f>
        <v/>
      </c>
      <c r="S440" s="287"/>
      <c r="T440" s="301"/>
      <c r="U440" s="301"/>
      <c r="V440" s="301"/>
      <c r="W440" s="294"/>
      <c r="X440" s="294"/>
      <c r="Y440" s="294"/>
      <c r="Z440" s="294"/>
      <c r="AA440" s="294"/>
      <c r="AB440" s="253"/>
      <c r="AC440" s="253"/>
      <c r="AD440" s="253"/>
      <c r="AE440" s="253"/>
      <c r="AF440" s="253"/>
      <c r="AG440" s="253"/>
      <c r="AH440" s="253"/>
      <c r="AI440" s="253"/>
      <c r="AJ440" s="253"/>
      <c r="AK440" s="253"/>
      <c r="AL440" s="253"/>
      <c r="AM440" s="253"/>
      <c r="AN440" s="253"/>
      <c r="AO440" s="253"/>
      <c r="AP440" s="253"/>
      <c r="AQ440" s="253"/>
      <c r="AR440" s="253"/>
      <c r="AS440" s="253"/>
      <c r="AT440" s="253"/>
      <c r="AU440" s="253"/>
      <c r="AV440" s="253"/>
      <c r="AW440" s="253"/>
      <c r="AX440" s="253"/>
      <c r="AY440" s="253"/>
    </row>
    <row r="441" ht="15.75" customHeight="1">
      <c r="A441" s="2"/>
      <c r="B441" s="288" t="str">
        <f>Controle!B441</f>
        <v/>
      </c>
      <c r="C441" s="233" t="str">
        <f>Controle!C441</f>
        <v/>
      </c>
      <c r="D441" s="289" t="str">
        <f>Controle!D441</f>
        <v/>
      </c>
      <c r="E441" s="290"/>
      <c r="F441" s="291" t="str">
        <f>Controle!F441</f>
        <v/>
      </c>
      <c r="G441" s="289" t="str">
        <f>Controle!G441</f>
        <v/>
      </c>
      <c r="H441" s="290"/>
      <c r="I441" s="291" t="str">
        <f>Controle!I441</f>
        <v/>
      </c>
      <c r="J441" s="233" t="str">
        <f>Controle!J441</f>
        <v/>
      </c>
      <c r="K441" s="292"/>
      <c r="L441" s="233" t="str">
        <f>Controle!L441</f>
        <v/>
      </c>
      <c r="M441" s="233" t="str">
        <f>Controle!M441</f>
        <v/>
      </c>
      <c r="N441" s="235" t="str">
        <f>Controle!N441</f>
        <v/>
      </c>
      <c r="O441" s="235" t="str">
        <f>Controle!O441</f>
        <v/>
      </c>
      <c r="P441" s="235" t="str">
        <f>Controle!P441</f>
        <v/>
      </c>
      <c r="Q441" s="235" t="str">
        <f>Controle!Q441</f>
        <v/>
      </c>
      <c r="R441" s="304" t="str">
        <f>Controle!R441</f>
        <v/>
      </c>
      <c r="S441" s="287"/>
      <c r="T441" s="301"/>
      <c r="U441" s="301"/>
      <c r="V441" s="301"/>
      <c r="W441" s="294"/>
      <c r="X441" s="294"/>
      <c r="Y441" s="294"/>
      <c r="Z441" s="294"/>
      <c r="AA441" s="294"/>
      <c r="AB441" s="253"/>
      <c r="AC441" s="253"/>
      <c r="AD441" s="253"/>
      <c r="AE441" s="253"/>
      <c r="AF441" s="253"/>
      <c r="AG441" s="253"/>
      <c r="AH441" s="253"/>
      <c r="AI441" s="253"/>
      <c r="AJ441" s="253"/>
      <c r="AK441" s="253"/>
      <c r="AL441" s="253"/>
      <c r="AM441" s="253"/>
      <c r="AN441" s="253"/>
      <c r="AO441" s="253"/>
      <c r="AP441" s="253"/>
      <c r="AQ441" s="253"/>
      <c r="AR441" s="253"/>
      <c r="AS441" s="253"/>
      <c r="AT441" s="253"/>
      <c r="AU441" s="253"/>
      <c r="AV441" s="253"/>
      <c r="AW441" s="253"/>
      <c r="AX441" s="253"/>
      <c r="AY441" s="253"/>
    </row>
    <row r="442" ht="15.75" customHeight="1">
      <c r="A442" s="2"/>
      <c r="B442" s="288" t="str">
        <f>Controle!B442</f>
        <v/>
      </c>
      <c r="C442" s="233" t="str">
        <f>Controle!C442</f>
        <v/>
      </c>
      <c r="D442" s="289" t="str">
        <f>Controle!D442</f>
        <v/>
      </c>
      <c r="E442" s="290"/>
      <c r="F442" s="291" t="str">
        <f>Controle!F442</f>
        <v/>
      </c>
      <c r="G442" s="289" t="str">
        <f>Controle!G442</f>
        <v/>
      </c>
      <c r="H442" s="290"/>
      <c r="I442" s="291" t="str">
        <f>Controle!I442</f>
        <v/>
      </c>
      <c r="J442" s="233" t="str">
        <f>Controle!J442</f>
        <v/>
      </c>
      <c r="K442" s="292"/>
      <c r="L442" s="233" t="str">
        <f>Controle!L442</f>
        <v/>
      </c>
      <c r="M442" s="233" t="str">
        <f>Controle!M442</f>
        <v/>
      </c>
      <c r="N442" s="235" t="str">
        <f>Controle!N442</f>
        <v/>
      </c>
      <c r="O442" s="235" t="str">
        <f>Controle!O442</f>
        <v/>
      </c>
      <c r="P442" s="235" t="str">
        <f>Controle!P442</f>
        <v/>
      </c>
      <c r="Q442" s="235" t="str">
        <f>Controle!Q442</f>
        <v/>
      </c>
      <c r="R442" s="304" t="str">
        <f>Controle!R442</f>
        <v/>
      </c>
      <c r="S442" s="287"/>
      <c r="T442" s="301"/>
      <c r="U442" s="301"/>
      <c r="V442" s="301"/>
      <c r="W442" s="294"/>
      <c r="X442" s="294"/>
      <c r="Y442" s="294"/>
      <c r="Z442" s="294"/>
      <c r="AA442" s="294"/>
      <c r="AB442" s="253"/>
      <c r="AC442" s="253"/>
      <c r="AD442" s="253"/>
      <c r="AE442" s="253"/>
      <c r="AF442" s="253"/>
      <c r="AG442" s="253"/>
      <c r="AH442" s="253"/>
      <c r="AI442" s="253"/>
      <c r="AJ442" s="253"/>
      <c r="AK442" s="253"/>
      <c r="AL442" s="253"/>
      <c r="AM442" s="253"/>
      <c r="AN442" s="253"/>
      <c r="AO442" s="253"/>
      <c r="AP442" s="253"/>
      <c r="AQ442" s="253"/>
      <c r="AR442" s="253"/>
      <c r="AS442" s="253"/>
      <c r="AT442" s="253"/>
      <c r="AU442" s="253"/>
      <c r="AV442" s="253"/>
      <c r="AW442" s="253"/>
      <c r="AX442" s="253"/>
      <c r="AY442" s="253"/>
    </row>
    <row r="443" ht="15.75" customHeight="1">
      <c r="A443" s="2"/>
      <c r="B443" s="288" t="str">
        <f>Controle!B443</f>
        <v/>
      </c>
      <c r="C443" s="233" t="str">
        <f>Controle!C443</f>
        <v/>
      </c>
      <c r="D443" s="289" t="str">
        <f>Controle!D443</f>
        <v/>
      </c>
      <c r="E443" s="290"/>
      <c r="F443" s="291" t="str">
        <f>Controle!F443</f>
        <v/>
      </c>
      <c r="G443" s="289" t="str">
        <f>Controle!G443</f>
        <v/>
      </c>
      <c r="H443" s="290"/>
      <c r="I443" s="291" t="str">
        <f>Controle!I443</f>
        <v/>
      </c>
      <c r="J443" s="233" t="str">
        <f>Controle!J443</f>
        <v/>
      </c>
      <c r="K443" s="292"/>
      <c r="L443" s="233" t="str">
        <f>Controle!L443</f>
        <v/>
      </c>
      <c r="M443" s="233" t="str">
        <f>Controle!M443</f>
        <v/>
      </c>
      <c r="N443" s="235" t="str">
        <f>Controle!N443</f>
        <v/>
      </c>
      <c r="O443" s="235" t="str">
        <f>Controle!O443</f>
        <v/>
      </c>
      <c r="P443" s="235" t="str">
        <f>Controle!P443</f>
        <v/>
      </c>
      <c r="Q443" s="235" t="str">
        <f>Controle!Q443</f>
        <v/>
      </c>
      <c r="R443" s="286" t="str">
        <f>Controle!R443</f>
        <v/>
      </c>
      <c r="S443" s="286"/>
      <c r="T443" s="286"/>
      <c r="U443" s="286"/>
      <c r="V443" s="286"/>
      <c r="W443" s="286"/>
      <c r="X443" s="286"/>
      <c r="Y443" s="286"/>
      <c r="Z443" s="286"/>
      <c r="AA443" s="294"/>
      <c r="AB443" s="253"/>
      <c r="AC443" s="253"/>
      <c r="AD443" s="253"/>
      <c r="AE443" s="253"/>
      <c r="AF443" s="253"/>
      <c r="AG443" s="253"/>
      <c r="AH443" s="253"/>
      <c r="AI443" s="253"/>
      <c r="AJ443" s="253"/>
      <c r="AK443" s="253"/>
      <c r="AL443" s="253"/>
      <c r="AM443" s="253"/>
      <c r="AN443" s="253"/>
      <c r="AO443" s="253"/>
      <c r="AP443" s="253"/>
      <c r="AQ443" s="253"/>
      <c r="AR443" s="253"/>
      <c r="AS443" s="253"/>
      <c r="AT443" s="2"/>
      <c r="AU443" s="2"/>
      <c r="AV443" s="2"/>
      <c r="AW443" s="2"/>
      <c r="AX443" s="2"/>
      <c r="AY443" s="253"/>
    </row>
    <row r="444" ht="15.75" customHeight="1">
      <c r="A444" s="2"/>
      <c r="B444" s="288" t="str">
        <f>Controle!B444</f>
        <v/>
      </c>
      <c r="C444" s="233" t="str">
        <f>Controle!C444</f>
        <v/>
      </c>
      <c r="D444" s="289" t="str">
        <f>Controle!D444</f>
        <v/>
      </c>
      <c r="E444" s="290"/>
      <c r="F444" s="291" t="str">
        <f>Controle!F444</f>
        <v/>
      </c>
      <c r="G444" s="289" t="str">
        <f>Controle!G444</f>
        <v/>
      </c>
      <c r="H444" s="290"/>
      <c r="I444" s="291" t="str">
        <f>Controle!I444</f>
        <v/>
      </c>
      <c r="J444" s="233" t="str">
        <f>Controle!J444</f>
        <v/>
      </c>
      <c r="K444" s="292"/>
      <c r="L444" s="233" t="str">
        <f>Controle!L444</f>
        <v/>
      </c>
      <c r="M444" s="233" t="str">
        <f>Controle!M444</f>
        <v/>
      </c>
      <c r="N444" s="235" t="str">
        <f>Controle!N444</f>
        <v/>
      </c>
      <c r="O444" s="235" t="str">
        <f>Controle!O444</f>
        <v/>
      </c>
      <c r="P444" s="235" t="str">
        <f>Controle!P444</f>
        <v/>
      </c>
      <c r="Q444" s="235" t="str">
        <f>Controle!Q444</f>
        <v/>
      </c>
      <c r="R444" s="286" t="str">
        <f>Controle!R444</f>
        <v/>
      </c>
      <c r="S444" s="286"/>
      <c r="T444" s="286"/>
      <c r="U444" s="286"/>
      <c r="V444" s="286"/>
      <c r="W444" s="286"/>
      <c r="X444" s="286"/>
      <c r="Y444" s="286"/>
      <c r="Z444" s="286"/>
      <c r="AA444" s="294"/>
      <c r="AB444" s="253"/>
      <c r="AC444" s="253"/>
      <c r="AD444" s="253"/>
      <c r="AE444" s="253"/>
      <c r="AF444" s="253"/>
      <c r="AG444" s="253"/>
      <c r="AH444" s="253"/>
      <c r="AI444" s="253"/>
      <c r="AJ444" s="253"/>
      <c r="AK444" s="253"/>
      <c r="AL444" s="253"/>
      <c r="AM444" s="253"/>
      <c r="AN444" s="253"/>
      <c r="AO444" s="253"/>
      <c r="AP444" s="253"/>
      <c r="AQ444" s="253"/>
      <c r="AR444" s="253"/>
      <c r="AS444" s="253"/>
      <c r="AT444" s="2"/>
      <c r="AU444" s="2"/>
      <c r="AV444" s="2"/>
      <c r="AW444" s="2"/>
      <c r="AX444" s="2"/>
      <c r="AY444" s="253"/>
    </row>
    <row r="445" ht="15.75" customHeight="1">
      <c r="A445" s="2"/>
      <c r="B445" s="288" t="str">
        <f>Controle!B445</f>
        <v/>
      </c>
      <c r="C445" s="233" t="str">
        <f>Controle!C445</f>
        <v/>
      </c>
      <c r="D445" s="289" t="str">
        <f>Controle!D445</f>
        <v/>
      </c>
      <c r="E445" s="290"/>
      <c r="F445" s="291" t="str">
        <f>Controle!F445</f>
        <v/>
      </c>
      <c r="G445" s="289" t="str">
        <f>Controle!G445</f>
        <v/>
      </c>
      <c r="H445" s="290"/>
      <c r="I445" s="291" t="str">
        <f>Controle!I445</f>
        <v/>
      </c>
      <c r="J445" s="233" t="str">
        <f>Controle!J445</f>
        <v/>
      </c>
      <c r="K445" s="292"/>
      <c r="L445" s="233" t="str">
        <f>Controle!L445</f>
        <v/>
      </c>
      <c r="M445" s="233" t="str">
        <f>Controle!M445</f>
        <v/>
      </c>
      <c r="N445" s="235" t="str">
        <f>Controle!N445</f>
        <v/>
      </c>
      <c r="O445" s="235" t="str">
        <f>Controle!O445</f>
        <v/>
      </c>
      <c r="P445" s="235" t="str">
        <f>Controle!P445</f>
        <v/>
      </c>
      <c r="Q445" s="235" t="str">
        <f>Controle!Q445</f>
        <v/>
      </c>
      <c r="R445" s="286" t="str">
        <f>Controle!R445</f>
        <v/>
      </c>
      <c r="S445" s="286"/>
      <c r="T445" s="286"/>
      <c r="U445" s="286"/>
      <c r="V445" s="286"/>
      <c r="W445" s="286"/>
      <c r="X445" s="286"/>
      <c r="Y445" s="286"/>
      <c r="Z445" s="286"/>
      <c r="AA445" s="294"/>
      <c r="AB445" s="253"/>
      <c r="AC445" s="253"/>
      <c r="AD445" s="253"/>
      <c r="AE445" s="253"/>
      <c r="AF445" s="253"/>
      <c r="AG445" s="253"/>
      <c r="AH445" s="253"/>
      <c r="AI445" s="253"/>
      <c r="AJ445" s="253"/>
      <c r="AK445" s="253"/>
      <c r="AL445" s="253"/>
      <c r="AM445" s="253"/>
      <c r="AN445" s="253"/>
      <c r="AO445" s="253"/>
      <c r="AP445" s="253"/>
      <c r="AQ445" s="253"/>
      <c r="AR445" s="253"/>
      <c r="AS445" s="253"/>
      <c r="AT445" s="2"/>
      <c r="AU445" s="2"/>
      <c r="AV445" s="2"/>
      <c r="AW445" s="2"/>
      <c r="AX445" s="2"/>
      <c r="AY445" s="253"/>
    </row>
    <row r="446" ht="15.75" customHeight="1">
      <c r="A446" s="2"/>
      <c r="B446" s="288" t="str">
        <f>Controle!B446</f>
        <v/>
      </c>
      <c r="C446" s="233" t="str">
        <f>Controle!C446</f>
        <v/>
      </c>
      <c r="D446" s="289" t="str">
        <f>Controle!D446</f>
        <v/>
      </c>
      <c r="E446" s="290"/>
      <c r="F446" s="291" t="str">
        <f>Controle!F446</f>
        <v/>
      </c>
      <c r="G446" s="289" t="str">
        <f>Controle!G446</f>
        <v/>
      </c>
      <c r="H446" s="290"/>
      <c r="I446" s="291" t="str">
        <f>Controle!I446</f>
        <v/>
      </c>
      <c r="J446" s="233" t="str">
        <f>Controle!J446</f>
        <v/>
      </c>
      <c r="K446" s="292"/>
      <c r="L446" s="233" t="str">
        <f>Controle!L446</f>
        <v/>
      </c>
      <c r="M446" s="233" t="str">
        <f>Controle!M446</f>
        <v/>
      </c>
      <c r="N446" s="235" t="str">
        <f>Controle!N446</f>
        <v/>
      </c>
      <c r="O446" s="235" t="str">
        <f>Controle!O446</f>
        <v/>
      </c>
      <c r="P446" s="235" t="str">
        <f>Controle!P446</f>
        <v/>
      </c>
      <c r="Q446" s="235" t="str">
        <f>Controle!Q446</f>
        <v/>
      </c>
      <c r="R446" s="286" t="str">
        <f>Controle!R446</f>
        <v/>
      </c>
      <c r="S446" s="286"/>
      <c r="T446" s="286"/>
      <c r="U446" s="286"/>
      <c r="V446" s="286"/>
      <c r="W446" s="286"/>
      <c r="X446" s="286"/>
      <c r="Y446" s="286"/>
      <c r="Z446" s="286"/>
      <c r="AA446" s="294"/>
      <c r="AB446" s="253"/>
      <c r="AC446" s="253"/>
      <c r="AD446" s="253"/>
      <c r="AE446" s="253"/>
      <c r="AF446" s="253"/>
      <c r="AG446" s="253"/>
      <c r="AH446" s="253"/>
      <c r="AI446" s="253"/>
      <c r="AJ446" s="253"/>
      <c r="AK446" s="253"/>
      <c r="AL446" s="253"/>
      <c r="AM446" s="253"/>
      <c r="AN446" s="253"/>
      <c r="AO446" s="253"/>
      <c r="AP446" s="253"/>
      <c r="AQ446" s="253"/>
      <c r="AR446" s="253"/>
      <c r="AS446" s="253"/>
      <c r="AT446" s="2"/>
      <c r="AU446" s="2"/>
      <c r="AV446" s="2"/>
      <c r="AW446" s="2"/>
      <c r="AX446" s="2"/>
      <c r="AY446" s="253"/>
    </row>
    <row r="447" ht="15.75" customHeight="1">
      <c r="A447" s="2"/>
      <c r="B447" s="288" t="str">
        <f>Controle!B447</f>
        <v/>
      </c>
      <c r="C447" s="233" t="str">
        <f>Controle!C447</f>
        <v/>
      </c>
      <c r="D447" s="289" t="str">
        <f>Controle!D447</f>
        <v/>
      </c>
      <c r="E447" s="290"/>
      <c r="F447" s="291" t="str">
        <f>Controle!F447</f>
        <v/>
      </c>
      <c r="G447" s="289" t="str">
        <f>Controle!G447</f>
        <v/>
      </c>
      <c r="H447" s="290"/>
      <c r="I447" s="291" t="str">
        <f>Controle!I447</f>
        <v/>
      </c>
      <c r="J447" s="233" t="str">
        <f>Controle!J447</f>
        <v/>
      </c>
      <c r="K447" s="292"/>
      <c r="L447" s="233" t="str">
        <f>Controle!L447</f>
        <v/>
      </c>
      <c r="M447" s="233" t="str">
        <f>Controle!M447</f>
        <v/>
      </c>
      <c r="N447" s="235" t="str">
        <f>Controle!N447</f>
        <v/>
      </c>
      <c r="O447" s="235" t="str">
        <f>Controle!O447</f>
        <v/>
      </c>
      <c r="P447" s="235" t="str">
        <f>Controle!P447</f>
        <v/>
      </c>
      <c r="Q447" s="235" t="str">
        <f>Controle!Q447</f>
        <v/>
      </c>
      <c r="R447" s="286" t="str">
        <f>Controle!R447</f>
        <v/>
      </c>
      <c r="S447" s="286"/>
      <c r="T447" s="286"/>
      <c r="U447" s="286"/>
      <c r="V447" s="286"/>
      <c r="W447" s="286"/>
      <c r="X447" s="286"/>
      <c r="Y447" s="286"/>
      <c r="Z447" s="286"/>
      <c r="AA447" s="294"/>
      <c r="AB447" s="253"/>
      <c r="AC447" s="253"/>
      <c r="AD447" s="253"/>
      <c r="AE447" s="253"/>
      <c r="AF447" s="253"/>
      <c r="AG447" s="253"/>
      <c r="AH447" s="253"/>
      <c r="AI447" s="253"/>
      <c r="AJ447" s="253"/>
      <c r="AK447" s="253"/>
      <c r="AL447" s="253"/>
      <c r="AM447" s="253"/>
      <c r="AN447" s="253"/>
      <c r="AO447" s="253"/>
      <c r="AP447" s="253"/>
      <c r="AQ447" s="253"/>
      <c r="AR447" s="253"/>
      <c r="AS447" s="253"/>
      <c r="AT447" s="2"/>
      <c r="AU447" s="2"/>
      <c r="AV447" s="2"/>
      <c r="AW447" s="2"/>
      <c r="AX447" s="2"/>
      <c r="AY447" s="253"/>
    </row>
    <row r="448" ht="15.75" customHeight="1">
      <c r="A448" s="2"/>
      <c r="B448" s="288" t="str">
        <f>Controle!B448</f>
        <v/>
      </c>
      <c r="C448" s="233" t="str">
        <f>Controle!C448</f>
        <v/>
      </c>
      <c r="D448" s="289" t="str">
        <f>Controle!D448</f>
        <v/>
      </c>
      <c r="E448" s="290"/>
      <c r="F448" s="291" t="str">
        <f>Controle!F448</f>
        <v/>
      </c>
      <c r="G448" s="289" t="str">
        <f>Controle!G448</f>
        <v/>
      </c>
      <c r="H448" s="290"/>
      <c r="I448" s="291" t="str">
        <f>Controle!I448</f>
        <v/>
      </c>
      <c r="J448" s="233" t="str">
        <f>Controle!J448</f>
        <v/>
      </c>
      <c r="K448" s="292"/>
      <c r="L448" s="233" t="str">
        <f>Controle!L448</f>
        <v/>
      </c>
      <c r="M448" s="233" t="str">
        <f>Controle!M448</f>
        <v/>
      </c>
      <c r="N448" s="235" t="str">
        <f>Controle!N448</f>
        <v/>
      </c>
      <c r="O448" s="235" t="str">
        <f>Controle!O448</f>
        <v/>
      </c>
      <c r="P448" s="235" t="str">
        <f>Controle!P448</f>
        <v/>
      </c>
      <c r="Q448" s="235" t="str">
        <f>Controle!Q448</f>
        <v/>
      </c>
      <c r="R448" s="286" t="str">
        <f>Controle!R448</f>
        <v/>
      </c>
      <c r="S448" s="286"/>
      <c r="T448" s="286"/>
      <c r="U448" s="286"/>
      <c r="V448" s="286"/>
      <c r="W448" s="286"/>
      <c r="X448" s="286"/>
      <c r="Y448" s="286"/>
      <c r="Z448" s="286"/>
      <c r="AA448" s="294"/>
      <c r="AB448" s="253"/>
      <c r="AC448" s="253"/>
      <c r="AD448" s="253"/>
      <c r="AE448" s="253"/>
      <c r="AF448" s="253"/>
      <c r="AG448" s="253"/>
      <c r="AH448" s="253"/>
      <c r="AI448" s="253"/>
      <c r="AJ448" s="253"/>
      <c r="AK448" s="253"/>
      <c r="AL448" s="253"/>
      <c r="AM448" s="253"/>
      <c r="AN448" s="253"/>
      <c r="AO448" s="253"/>
      <c r="AP448" s="253"/>
      <c r="AQ448" s="253"/>
      <c r="AR448" s="253"/>
      <c r="AS448" s="253"/>
      <c r="AT448" s="2"/>
      <c r="AU448" s="2"/>
      <c r="AV448" s="2"/>
      <c r="AW448" s="2"/>
      <c r="AX448" s="2"/>
      <c r="AY448" s="253"/>
    </row>
    <row r="449" ht="15.75" customHeight="1">
      <c r="A449" s="2"/>
      <c r="B449" s="288" t="str">
        <f>Controle!B449</f>
        <v/>
      </c>
      <c r="C449" s="233" t="str">
        <f>Controle!C449</f>
        <v/>
      </c>
      <c r="D449" s="289" t="str">
        <f>Controle!D449</f>
        <v/>
      </c>
      <c r="E449" s="290"/>
      <c r="F449" s="291" t="str">
        <f>Controle!F449</f>
        <v/>
      </c>
      <c r="G449" s="289" t="str">
        <f>Controle!G449</f>
        <v/>
      </c>
      <c r="H449" s="290"/>
      <c r="I449" s="291" t="str">
        <f>Controle!I449</f>
        <v/>
      </c>
      <c r="J449" s="233" t="str">
        <f>Controle!J449</f>
        <v/>
      </c>
      <c r="K449" s="292"/>
      <c r="L449" s="233" t="str">
        <f>Controle!L449</f>
        <v/>
      </c>
      <c r="M449" s="233" t="str">
        <f>Controle!M449</f>
        <v/>
      </c>
      <c r="N449" s="235" t="str">
        <f>Controle!N449</f>
        <v/>
      </c>
      <c r="O449" s="235" t="str">
        <f>Controle!O449</f>
        <v/>
      </c>
      <c r="P449" s="235" t="str">
        <f>Controle!P449</f>
        <v/>
      </c>
      <c r="Q449" s="235" t="str">
        <f>Controle!Q449</f>
        <v/>
      </c>
      <c r="R449" s="286" t="str">
        <f>Controle!R449</f>
        <v/>
      </c>
      <c r="S449" s="286"/>
      <c r="T449" s="286"/>
      <c r="U449" s="286"/>
      <c r="V449" s="286"/>
      <c r="W449" s="286"/>
      <c r="X449" s="286"/>
      <c r="Y449" s="286"/>
      <c r="Z449" s="286"/>
      <c r="AA449" s="294"/>
      <c r="AB449" s="253"/>
      <c r="AC449" s="253"/>
      <c r="AD449" s="253"/>
      <c r="AE449" s="253"/>
      <c r="AF449" s="253"/>
      <c r="AG449" s="253"/>
      <c r="AH449" s="253"/>
      <c r="AI449" s="253"/>
      <c r="AJ449" s="253"/>
      <c r="AK449" s="253"/>
      <c r="AL449" s="253"/>
      <c r="AM449" s="253"/>
      <c r="AN449" s="253"/>
      <c r="AO449" s="253"/>
      <c r="AP449" s="253"/>
      <c r="AQ449" s="253"/>
      <c r="AR449" s="253"/>
      <c r="AS449" s="253"/>
      <c r="AT449" s="2"/>
      <c r="AU449" s="2"/>
      <c r="AV449" s="2"/>
      <c r="AW449" s="2"/>
      <c r="AX449" s="2"/>
      <c r="AY449" s="253"/>
    </row>
    <row r="450" ht="15.75" customHeight="1">
      <c r="A450" s="2"/>
      <c r="B450" s="288" t="str">
        <f>Controle!B450</f>
        <v/>
      </c>
      <c r="C450" s="233" t="str">
        <f>Controle!C450</f>
        <v/>
      </c>
      <c r="D450" s="289" t="str">
        <f>Controle!D450</f>
        <v/>
      </c>
      <c r="E450" s="290"/>
      <c r="F450" s="291" t="str">
        <f>Controle!F450</f>
        <v/>
      </c>
      <c r="G450" s="289" t="str">
        <f>Controle!G450</f>
        <v/>
      </c>
      <c r="H450" s="290"/>
      <c r="I450" s="291" t="str">
        <f>Controle!I450</f>
        <v/>
      </c>
      <c r="J450" s="233" t="str">
        <f>Controle!J450</f>
        <v/>
      </c>
      <c r="K450" s="292"/>
      <c r="L450" s="233" t="str">
        <f>Controle!L450</f>
        <v/>
      </c>
      <c r="M450" s="233" t="str">
        <f>Controle!M450</f>
        <v/>
      </c>
      <c r="N450" s="235" t="str">
        <f>Controle!N450</f>
        <v/>
      </c>
      <c r="O450" s="235" t="str">
        <f>Controle!O450</f>
        <v/>
      </c>
      <c r="P450" s="235" t="str">
        <f>Controle!P450</f>
        <v/>
      </c>
      <c r="Q450" s="235" t="str">
        <f>Controle!Q450</f>
        <v/>
      </c>
      <c r="R450" s="286" t="str">
        <f>Controle!R450</f>
        <v/>
      </c>
      <c r="S450" s="286"/>
      <c r="T450" s="286"/>
      <c r="U450" s="286"/>
      <c r="V450" s="286"/>
      <c r="W450" s="286"/>
      <c r="X450" s="286"/>
      <c r="Y450" s="286"/>
      <c r="Z450" s="286"/>
      <c r="AA450" s="294"/>
      <c r="AB450" s="253"/>
      <c r="AC450" s="253"/>
      <c r="AD450" s="253"/>
      <c r="AE450" s="253"/>
      <c r="AF450" s="253"/>
      <c r="AG450" s="253"/>
      <c r="AH450" s="253"/>
      <c r="AI450" s="253"/>
      <c r="AJ450" s="253"/>
      <c r="AK450" s="253"/>
      <c r="AL450" s="253"/>
      <c r="AM450" s="253"/>
      <c r="AN450" s="253"/>
      <c r="AO450" s="253"/>
      <c r="AP450" s="253"/>
      <c r="AQ450" s="253"/>
      <c r="AR450" s="253"/>
      <c r="AS450" s="253"/>
      <c r="AT450" s="2"/>
      <c r="AU450" s="2"/>
      <c r="AV450" s="2"/>
      <c r="AW450" s="2"/>
      <c r="AX450" s="2"/>
      <c r="AY450" s="253"/>
    </row>
    <row r="451" ht="15.75" customHeight="1">
      <c r="A451" s="2"/>
      <c r="B451" s="288" t="str">
        <f>Controle!B451</f>
        <v/>
      </c>
      <c r="C451" s="233" t="str">
        <f>Controle!C451</f>
        <v/>
      </c>
      <c r="D451" s="289" t="str">
        <f>Controle!D451</f>
        <v/>
      </c>
      <c r="E451" s="290"/>
      <c r="F451" s="291" t="str">
        <f>Controle!F451</f>
        <v/>
      </c>
      <c r="G451" s="289" t="str">
        <f>Controle!G451</f>
        <v/>
      </c>
      <c r="H451" s="290"/>
      <c r="I451" s="291" t="str">
        <f>Controle!I451</f>
        <v/>
      </c>
      <c r="J451" s="233" t="str">
        <f>Controle!J451</f>
        <v/>
      </c>
      <c r="K451" s="292"/>
      <c r="L451" s="233" t="str">
        <f>Controle!L451</f>
        <v/>
      </c>
      <c r="M451" s="233" t="str">
        <f>Controle!M451</f>
        <v/>
      </c>
      <c r="N451" s="235" t="str">
        <f>Controle!N451</f>
        <v/>
      </c>
      <c r="O451" s="235" t="str">
        <f>Controle!O451</f>
        <v/>
      </c>
      <c r="P451" s="235" t="str">
        <f>Controle!P451</f>
        <v/>
      </c>
      <c r="Q451" s="235" t="str">
        <f>Controle!Q451</f>
        <v/>
      </c>
      <c r="R451" s="286" t="str">
        <f>Controle!R451</f>
        <v/>
      </c>
      <c r="S451" s="286"/>
      <c r="T451" s="286"/>
      <c r="U451" s="286"/>
      <c r="V451" s="286"/>
      <c r="W451" s="286"/>
      <c r="X451" s="286"/>
      <c r="Y451" s="286"/>
      <c r="Z451" s="286"/>
      <c r="AA451" s="294"/>
      <c r="AB451" s="253"/>
      <c r="AC451" s="253"/>
      <c r="AD451" s="253"/>
      <c r="AE451" s="253"/>
      <c r="AF451" s="253"/>
      <c r="AG451" s="253"/>
      <c r="AH451" s="253"/>
      <c r="AI451" s="253"/>
      <c r="AJ451" s="253"/>
      <c r="AK451" s="253"/>
      <c r="AL451" s="253"/>
      <c r="AM451" s="253"/>
      <c r="AN451" s="253"/>
      <c r="AO451" s="253"/>
      <c r="AP451" s="253"/>
      <c r="AQ451" s="253"/>
      <c r="AR451" s="253"/>
      <c r="AS451" s="253"/>
      <c r="AT451" s="2"/>
      <c r="AU451" s="2"/>
      <c r="AV451" s="2"/>
      <c r="AW451" s="2"/>
      <c r="AX451" s="2"/>
      <c r="AY451" s="253"/>
    </row>
    <row r="452" ht="15.75" customHeight="1">
      <c r="A452" s="2"/>
      <c r="B452" s="288" t="str">
        <f>Controle!B452</f>
        <v/>
      </c>
      <c r="C452" s="233" t="str">
        <f>Controle!C452</f>
        <v/>
      </c>
      <c r="D452" s="289" t="str">
        <f>Controle!D452</f>
        <v/>
      </c>
      <c r="E452" s="290"/>
      <c r="F452" s="291" t="str">
        <f>Controle!F452</f>
        <v/>
      </c>
      <c r="G452" s="289" t="str">
        <f>Controle!G452</f>
        <v/>
      </c>
      <c r="H452" s="290"/>
      <c r="I452" s="291" t="str">
        <f>Controle!I452</f>
        <v/>
      </c>
      <c r="J452" s="233" t="str">
        <f>Controle!J452</f>
        <v/>
      </c>
      <c r="K452" s="292"/>
      <c r="L452" s="233" t="str">
        <f>Controle!L452</f>
        <v/>
      </c>
      <c r="M452" s="233" t="str">
        <f>Controle!M452</f>
        <v/>
      </c>
      <c r="N452" s="235" t="str">
        <f>Controle!N452</f>
        <v/>
      </c>
      <c r="O452" s="235" t="str">
        <f>Controle!O452</f>
        <v/>
      </c>
      <c r="P452" s="235" t="str">
        <f>Controle!P452</f>
        <v/>
      </c>
      <c r="Q452" s="235" t="str">
        <f>Controle!Q452</f>
        <v/>
      </c>
      <c r="R452" s="286" t="str">
        <f>Controle!R452</f>
        <v/>
      </c>
      <c r="S452" s="286"/>
      <c r="T452" s="286"/>
      <c r="U452" s="286"/>
      <c r="V452" s="286"/>
      <c r="W452" s="286"/>
      <c r="X452" s="286"/>
      <c r="Y452" s="286"/>
      <c r="Z452" s="286"/>
      <c r="AA452" s="294"/>
      <c r="AB452" s="253"/>
      <c r="AC452" s="253"/>
      <c r="AD452" s="253"/>
      <c r="AE452" s="253"/>
      <c r="AF452" s="253"/>
      <c r="AG452" s="253"/>
      <c r="AH452" s="253"/>
      <c r="AI452" s="253"/>
      <c r="AJ452" s="253"/>
      <c r="AK452" s="253"/>
      <c r="AL452" s="253"/>
      <c r="AM452" s="253"/>
      <c r="AN452" s="253"/>
      <c r="AO452" s="253"/>
      <c r="AP452" s="253"/>
      <c r="AQ452" s="253"/>
      <c r="AR452" s="253"/>
      <c r="AS452" s="253"/>
      <c r="AT452" s="2"/>
      <c r="AU452" s="2"/>
      <c r="AV452" s="2"/>
      <c r="AW452" s="2"/>
      <c r="AX452" s="2"/>
      <c r="AY452" s="253"/>
    </row>
    <row r="453" ht="15.75" customHeight="1">
      <c r="A453" s="2"/>
      <c r="B453" s="288" t="str">
        <f>Controle!B453</f>
        <v/>
      </c>
      <c r="C453" s="233" t="str">
        <f>Controle!C453</f>
        <v/>
      </c>
      <c r="D453" s="289" t="str">
        <f>Controle!D453</f>
        <v/>
      </c>
      <c r="E453" s="290"/>
      <c r="F453" s="291" t="str">
        <f>Controle!F453</f>
        <v/>
      </c>
      <c r="G453" s="289" t="str">
        <f>Controle!G453</f>
        <v/>
      </c>
      <c r="H453" s="290"/>
      <c r="I453" s="291" t="str">
        <f>Controle!I453</f>
        <v/>
      </c>
      <c r="J453" s="233" t="str">
        <f>Controle!J453</f>
        <v/>
      </c>
      <c r="K453" s="292"/>
      <c r="L453" s="233" t="str">
        <f>Controle!L453</f>
        <v/>
      </c>
      <c r="M453" s="233" t="str">
        <f>Controle!M453</f>
        <v/>
      </c>
      <c r="N453" s="235" t="str">
        <f>Controle!N453</f>
        <v/>
      </c>
      <c r="O453" s="235" t="str">
        <f>Controle!O453</f>
        <v/>
      </c>
      <c r="P453" s="235" t="str">
        <f>Controle!P453</f>
        <v/>
      </c>
      <c r="Q453" s="235" t="str">
        <f>Controle!Q453</f>
        <v/>
      </c>
      <c r="R453" s="286" t="str">
        <f>Controle!R453</f>
        <v/>
      </c>
      <c r="S453" s="286"/>
      <c r="T453" s="286"/>
      <c r="U453" s="286"/>
      <c r="V453" s="286"/>
      <c r="W453" s="286"/>
      <c r="X453" s="286"/>
      <c r="Y453" s="286"/>
      <c r="Z453" s="286"/>
      <c r="AA453" s="294"/>
      <c r="AB453" s="253"/>
      <c r="AC453" s="253"/>
      <c r="AD453" s="253"/>
      <c r="AE453" s="253"/>
      <c r="AF453" s="253"/>
      <c r="AG453" s="253"/>
      <c r="AH453" s="253"/>
      <c r="AI453" s="253"/>
      <c r="AJ453" s="253"/>
      <c r="AK453" s="253"/>
      <c r="AL453" s="253"/>
      <c r="AM453" s="253"/>
      <c r="AN453" s="253"/>
      <c r="AO453" s="253"/>
      <c r="AP453" s="253"/>
      <c r="AQ453" s="253"/>
      <c r="AR453" s="253"/>
      <c r="AS453" s="253"/>
      <c r="AT453" s="2"/>
      <c r="AU453" s="2"/>
      <c r="AV453" s="2"/>
      <c r="AW453" s="2"/>
      <c r="AX453" s="2"/>
      <c r="AY453" s="253"/>
    </row>
    <row r="454" ht="15.75" customHeight="1">
      <c r="A454" s="2"/>
      <c r="B454" s="288" t="str">
        <f>Controle!B454</f>
        <v/>
      </c>
      <c r="C454" s="233" t="str">
        <f>Controle!C454</f>
        <v/>
      </c>
      <c r="D454" s="289" t="str">
        <f>Controle!D454</f>
        <v/>
      </c>
      <c r="E454" s="290"/>
      <c r="F454" s="291" t="str">
        <f>Controle!F454</f>
        <v/>
      </c>
      <c r="G454" s="289" t="str">
        <f>Controle!G454</f>
        <v/>
      </c>
      <c r="H454" s="290"/>
      <c r="I454" s="291" t="str">
        <f>Controle!I454</f>
        <v/>
      </c>
      <c r="J454" s="233" t="str">
        <f>Controle!J454</f>
        <v/>
      </c>
      <c r="K454" s="292"/>
      <c r="L454" s="233" t="str">
        <f>Controle!L454</f>
        <v/>
      </c>
      <c r="M454" s="233" t="str">
        <f>Controle!M454</f>
        <v/>
      </c>
      <c r="N454" s="235" t="str">
        <f>Controle!N454</f>
        <v/>
      </c>
      <c r="O454" s="235" t="str">
        <f>Controle!O454</f>
        <v/>
      </c>
      <c r="P454" s="235" t="str">
        <f>Controle!P454</f>
        <v/>
      </c>
      <c r="Q454" s="235" t="str">
        <f>Controle!Q454</f>
        <v/>
      </c>
      <c r="R454" s="286" t="str">
        <f>Controle!R454</f>
        <v/>
      </c>
      <c r="S454" s="286"/>
      <c r="T454" s="286"/>
      <c r="U454" s="286"/>
      <c r="V454" s="286"/>
      <c r="W454" s="286"/>
      <c r="X454" s="286"/>
      <c r="Y454" s="286"/>
      <c r="Z454" s="286"/>
      <c r="AA454" s="294"/>
      <c r="AB454" s="253"/>
      <c r="AC454" s="253"/>
      <c r="AD454" s="253"/>
      <c r="AE454" s="253"/>
      <c r="AF454" s="253"/>
      <c r="AG454" s="253"/>
      <c r="AH454" s="253"/>
      <c r="AI454" s="253"/>
      <c r="AJ454" s="253"/>
      <c r="AK454" s="253"/>
      <c r="AL454" s="253"/>
      <c r="AM454" s="253"/>
      <c r="AN454" s="253"/>
      <c r="AO454" s="253"/>
      <c r="AP454" s="253"/>
      <c r="AQ454" s="253"/>
      <c r="AR454" s="253"/>
      <c r="AS454" s="253"/>
      <c r="AT454" s="2"/>
      <c r="AU454" s="2"/>
      <c r="AV454" s="2"/>
      <c r="AW454" s="2"/>
      <c r="AX454" s="2"/>
      <c r="AY454" s="253"/>
    </row>
    <row r="455" ht="15.75" customHeight="1">
      <c r="A455" s="2"/>
      <c r="B455" s="288" t="str">
        <f>Controle!B455</f>
        <v/>
      </c>
      <c r="C455" s="233" t="str">
        <f>Controle!C455</f>
        <v/>
      </c>
      <c r="D455" s="289" t="str">
        <f>Controle!D455</f>
        <v/>
      </c>
      <c r="E455" s="290"/>
      <c r="F455" s="291" t="str">
        <f>Controle!F455</f>
        <v/>
      </c>
      <c r="G455" s="289" t="str">
        <f>Controle!G455</f>
        <v/>
      </c>
      <c r="H455" s="290"/>
      <c r="I455" s="291" t="str">
        <f>Controle!I455</f>
        <v/>
      </c>
      <c r="J455" s="233" t="str">
        <f>Controle!J455</f>
        <v/>
      </c>
      <c r="K455" s="292"/>
      <c r="L455" s="233" t="str">
        <f>Controle!L455</f>
        <v/>
      </c>
      <c r="M455" s="233" t="str">
        <f>Controle!M455</f>
        <v/>
      </c>
      <c r="N455" s="235" t="str">
        <f>Controle!N455</f>
        <v/>
      </c>
      <c r="O455" s="235" t="str">
        <f>Controle!O455</f>
        <v/>
      </c>
      <c r="P455" s="235" t="str">
        <f>Controle!P455</f>
        <v/>
      </c>
      <c r="Q455" s="235" t="str">
        <f>Controle!Q455</f>
        <v/>
      </c>
      <c r="R455" s="286" t="str">
        <f>Controle!R455</f>
        <v/>
      </c>
      <c r="S455" s="286"/>
      <c r="T455" s="286"/>
      <c r="U455" s="286"/>
      <c r="V455" s="286"/>
      <c r="W455" s="286"/>
      <c r="X455" s="286"/>
      <c r="Y455" s="286"/>
      <c r="Z455" s="286"/>
      <c r="AA455" s="294"/>
      <c r="AB455" s="253"/>
      <c r="AC455" s="253"/>
      <c r="AD455" s="253"/>
      <c r="AE455" s="253"/>
      <c r="AF455" s="253"/>
      <c r="AG455" s="253"/>
      <c r="AH455" s="253"/>
      <c r="AI455" s="253"/>
      <c r="AJ455" s="253"/>
      <c r="AK455" s="253"/>
      <c r="AL455" s="253"/>
      <c r="AM455" s="253"/>
      <c r="AN455" s="253"/>
      <c r="AO455" s="253"/>
      <c r="AP455" s="253"/>
      <c r="AQ455" s="253"/>
      <c r="AR455" s="253"/>
      <c r="AS455" s="253"/>
      <c r="AT455" s="2"/>
      <c r="AU455" s="2"/>
      <c r="AV455" s="2"/>
      <c r="AW455" s="2"/>
      <c r="AX455" s="2"/>
      <c r="AY455" s="253"/>
    </row>
    <row r="456" ht="15.75" customHeight="1">
      <c r="A456" s="2"/>
      <c r="B456" s="288" t="str">
        <f>Controle!B456</f>
        <v/>
      </c>
      <c r="C456" s="233" t="str">
        <f>Controle!C456</f>
        <v/>
      </c>
      <c r="D456" s="289" t="str">
        <f>Controle!D456</f>
        <v/>
      </c>
      <c r="E456" s="290"/>
      <c r="F456" s="291" t="str">
        <f>Controle!F456</f>
        <v/>
      </c>
      <c r="G456" s="289" t="str">
        <f>Controle!G456</f>
        <v/>
      </c>
      <c r="H456" s="290"/>
      <c r="I456" s="291" t="str">
        <f>Controle!I456</f>
        <v/>
      </c>
      <c r="J456" s="233" t="str">
        <f>Controle!J456</f>
        <v/>
      </c>
      <c r="K456" s="292"/>
      <c r="L456" s="233" t="str">
        <f>Controle!L456</f>
        <v/>
      </c>
      <c r="M456" s="233" t="str">
        <f>Controle!M456</f>
        <v/>
      </c>
      <c r="N456" s="235" t="str">
        <f>Controle!N456</f>
        <v/>
      </c>
      <c r="O456" s="235" t="str">
        <f>Controle!O456</f>
        <v/>
      </c>
      <c r="P456" s="235" t="str">
        <f>Controle!P456</f>
        <v/>
      </c>
      <c r="Q456" s="235" t="str">
        <f>Controle!Q456</f>
        <v/>
      </c>
      <c r="R456" s="286" t="str">
        <f>Controle!R456</f>
        <v/>
      </c>
      <c r="S456" s="286"/>
      <c r="T456" s="286"/>
      <c r="U456" s="286"/>
      <c r="V456" s="286"/>
      <c r="W456" s="286"/>
      <c r="X456" s="286"/>
      <c r="Y456" s="286"/>
      <c r="Z456" s="286"/>
      <c r="AA456" s="294"/>
      <c r="AB456" s="253"/>
      <c r="AC456" s="253"/>
      <c r="AD456" s="253"/>
      <c r="AE456" s="253"/>
      <c r="AF456" s="253"/>
      <c r="AG456" s="253"/>
      <c r="AH456" s="253"/>
      <c r="AI456" s="253"/>
      <c r="AJ456" s="253"/>
      <c r="AK456" s="253"/>
      <c r="AL456" s="253"/>
      <c r="AM456" s="253"/>
      <c r="AN456" s="253"/>
      <c r="AO456" s="253"/>
      <c r="AP456" s="253"/>
      <c r="AQ456" s="253"/>
      <c r="AR456" s="253"/>
      <c r="AS456" s="253"/>
      <c r="AT456" s="2"/>
      <c r="AU456" s="2"/>
      <c r="AV456" s="2"/>
      <c r="AW456" s="2"/>
      <c r="AX456" s="2"/>
      <c r="AY456" s="253"/>
    </row>
    <row r="457" ht="15.75" customHeight="1">
      <c r="A457" s="2"/>
      <c r="B457" s="288" t="str">
        <f>Controle!B457</f>
        <v/>
      </c>
      <c r="C457" s="233" t="str">
        <f>Controle!C457</f>
        <v/>
      </c>
      <c r="D457" s="289" t="str">
        <f>Controle!D457</f>
        <v/>
      </c>
      <c r="E457" s="290"/>
      <c r="F457" s="291" t="str">
        <f>Controle!F457</f>
        <v/>
      </c>
      <c r="G457" s="289" t="str">
        <f>Controle!G457</f>
        <v/>
      </c>
      <c r="H457" s="290"/>
      <c r="I457" s="291" t="str">
        <f>Controle!I457</f>
        <v/>
      </c>
      <c r="J457" s="233" t="str">
        <f>Controle!J457</f>
        <v/>
      </c>
      <c r="K457" s="292"/>
      <c r="L457" s="233" t="str">
        <f>Controle!L457</f>
        <v/>
      </c>
      <c r="M457" s="233" t="str">
        <f>Controle!M457</f>
        <v/>
      </c>
      <c r="N457" s="235" t="str">
        <f>Controle!N457</f>
        <v/>
      </c>
      <c r="O457" s="235" t="str">
        <f>Controle!O457</f>
        <v/>
      </c>
      <c r="P457" s="235" t="str">
        <f>Controle!P457</f>
        <v/>
      </c>
      <c r="Q457" s="235" t="str">
        <f>Controle!Q457</f>
        <v/>
      </c>
      <c r="R457" s="286" t="str">
        <f>Controle!R457</f>
        <v/>
      </c>
      <c r="S457" s="286"/>
      <c r="T457" s="286"/>
      <c r="U457" s="286"/>
      <c r="V457" s="286"/>
      <c r="W457" s="286"/>
      <c r="X457" s="286"/>
      <c r="Y457" s="286"/>
      <c r="Z457" s="286"/>
      <c r="AA457" s="294"/>
      <c r="AB457" s="253"/>
      <c r="AC457" s="253"/>
      <c r="AD457" s="253"/>
      <c r="AE457" s="253"/>
      <c r="AF457" s="253"/>
      <c r="AG457" s="253"/>
      <c r="AH457" s="253"/>
      <c r="AI457" s="253"/>
      <c r="AJ457" s="253"/>
      <c r="AK457" s="253"/>
      <c r="AL457" s="253"/>
      <c r="AM457" s="253"/>
      <c r="AN457" s="253"/>
      <c r="AO457" s="253"/>
      <c r="AP457" s="253"/>
      <c r="AQ457" s="253"/>
      <c r="AR457" s="253"/>
      <c r="AS457" s="253"/>
      <c r="AT457" s="2"/>
      <c r="AU457" s="2"/>
      <c r="AV457" s="2"/>
      <c r="AW457" s="2"/>
      <c r="AX457" s="2"/>
      <c r="AY457" s="253"/>
    </row>
    <row r="458" ht="15.75" customHeight="1">
      <c r="A458" s="2"/>
      <c r="B458" s="288" t="str">
        <f>Controle!B458</f>
        <v/>
      </c>
      <c r="C458" s="233" t="str">
        <f>Controle!C458</f>
        <v/>
      </c>
      <c r="D458" s="289" t="str">
        <f>Controle!D458</f>
        <v/>
      </c>
      <c r="E458" s="290"/>
      <c r="F458" s="291" t="str">
        <f>Controle!F458</f>
        <v/>
      </c>
      <c r="G458" s="289" t="str">
        <f>Controle!G458</f>
        <v/>
      </c>
      <c r="H458" s="290"/>
      <c r="I458" s="291" t="str">
        <f>Controle!I458</f>
        <v/>
      </c>
      <c r="J458" s="233" t="str">
        <f>Controle!J458</f>
        <v/>
      </c>
      <c r="K458" s="292"/>
      <c r="L458" s="233" t="str">
        <f>Controle!L458</f>
        <v/>
      </c>
      <c r="M458" s="233" t="str">
        <f>Controle!M458</f>
        <v/>
      </c>
      <c r="N458" s="235" t="str">
        <f>Controle!N458</f>
        <v/>
      </c>
      <c r="O458" s="235" t="str">
        <f>Controle!O458</f>
        <v/>
      </c>
      <c r="P458" s="235" t="str">
        <f>Controle!P458</f>
        <v/>
      </c>
      <c r="Q458" s="235" t="str">
        <f>Controle!Q458</f>
        <v/>
      </c>
      <c r="R458" s="286" t="str">
        <f>Controle!R458</f>
        <v/>
      </c>
      <c r="S458" s="286"/>
      <c r="T458" s="286"/>
      <c r="U458" s="286"/>
      <c r="V458" s="286"/>
      <c r="W458" s="286"/>
      <c r="X458" s="286"/>
      <c r="Y458" s="286"/>
      <c r="Z458" s="286"/>
      <c r="AA458" s="294"/>
      <c r="AB458" s="253"/>
      <c r="AC458" s="253"/>
      <c r="AD458" s="253"/>
      <c r="AE458" s="253"/>
      <c r="AF458" s="253"/>
      <c r="AG458" s="253"/>
      <c r="AH458" s="253"/>
      <c r="AI458" s="253"/>
      <c r="AJ458" s="253"/>
      <c r="AK458" s="253"/>
      <c r="AL458" s="253"/>
      <c r="AM458" s="253"/>
      <c r="AN458" s="253"/>
      <c r="AO458" s="253"/>
      <c r="AP458" s="253"/>
      <c r="AQ458" s="253"/>
      <c r="AR458" s="253"/>
      <c r="AS458" s="253"/>
      <c r="AT458" s="2"/>
      <c r="AU458" s="2"/>
      <c r="AV458" s="2"/>
      <c r="AW458" s="2"/>
      <c r="AX458" s="2"/>
      <c r="AY458" s="253"/>
    </row>
    <row r="459" ht="15.75" customHeight="1">
      <c r="A459" s="2"/>
      <c r="B459" s="288" t="str">
        <f>Controle!B459</f>
        <v/>
      </c>
      <c r="C459" s="233" t="str">
        <f>Controle!C459</f>
        <v/>
      </c>
      <c r="D459" s="289" t="str">
        <f>Controle!D459</f>
        <v/>
      </c>
      <c r="E459" s="290"/>
      <c r="F459" s="291" t="str">
        <f>Controle!F459</f>
        <v/>
      </c>
      <c r="G459" s="289" t="str">
        <f>Controle!G459</f>
        <v/>
      </c>
      <c r="H459" s="290"/>
      <c r="I459" s="291" t="str">
        <f>Controle!I459</f>
        <v/>
      </c>
      <c r="J459" s="233" t="str">
        <f>Controle!J459</f>
        <v/>
      </c>
      <c r="K459" s="292"/>
      <c r="L459" s="233" t="str">
        <f>Controle!L459</f>
        <v/>
      </c>
      <c r="M459" s="233" t="str">
        <f>Controle!M459</f>
        <v/>
      </c>
      <c r="N459" s="235" t="str">
        <f>Controle!N459</f>
        <v/>
      </c>
      <c r="O459" s="235" t="str">
        <f>Controle!O459</f>
        <v/>
      </c>
      <c r="P459" s="235" t="str">
        <f>Controle!P459</f>
        <v/>
      </c>
      <c r="Q459" s="235" t="str">
        <f>Controle!Q459</f>
        <v/>
      </c>
      <c r="R459" s="286" t="str">
        <f>Controle!R459</f>
        <v/>
      </c>
      <c r="S459" s="286"/>
      <c r="T459" s="286"/>
      <c r="U459" s="286"/>
      <c r="V459" s="286"/>
      <c r="W459" s="286"/>
      <c r="X459" s="286"/>
      <c r="Y459" s="286"/>
      <c r="Z459" s="286"/>
      <c r="AA459" s="294"/>
      <c r="AB459" s="253"/>
      <c r="AC459" s="253"/>
      <c r="AD459" s="253"/>
      <c r="AE459" s="253"/>
      <c r="AF459" s="253"/>
      <c r="AG459" s="253"/>
      <c r="AH459" s="253"/>
      <c r="AI459" s="253"/>
      <c r="AJ459" s="253"/>
      <c r="AK459" s="253"/>
      <c r="AL459" s="253"/>
      <c r="AM459" s="253"/>
      <c r="AN459" s="253"/>
      <c r="AO459" s="253"/>
      <c r="AP459" s="253"/>
      <c r="AQ459" s="253"/>
      <c r="AR459" s="253"/>
      <c r="AS459" s="253"/>
      <c r="AT459" s="2"/>
      <c r="AU459" s="2"/>
      <c r="AV459" s="2"/>
      <c r="AW459" s="2"/>
      <c r="AX459" s="2"/>
      <c r="AY459" s="253"/>
    </row>
    <row r="460" ht="15.75" customHeight="1">
      <c r="A460" s="2"/>
      <c r="B460" s="288" t="str">
        <f>Controle!B460</f>
        <v/>
      </c>
      <c r="C460" s="233" t="str">
        <f>Controle!C460</f>
        <v/>
      </c>
      <c r="D460" s="289" t="str">
        <f>Controle!D460</f>
        <v/>
      </c>
      <c r="E460" s="290"/>
      <c r="F460" s="291" t="str">
        <f>Controle!F460</f>
        <v/>
      </c>
      <c r="G460" s="289" t="str">
        <f>Controle!G460</f>
        <v/>
      </c>
      <c r="H460" s="290"/>
      <c r="I460" s="291" t="str">
        <f>Controle!I460</f>
        <v/>
      </c>
      <c r="J460" s="233" t="str">
        <f>Controle!J460</f>
        <v/>
      </c>
      <c r="K460" s="292"/>
      <c r="L460" s="233" t="str">
        <f>Controle!L460</f>
        <v/>
      </c>
      <c r="M460" s="233" t="str">
        <f>Controle!M460</f>
        <v/>
      </c>
      <c r="N460" s="235" t="str">
        <f>Controle!N460</f>
        <v/>
      </c>
      <c r="O460" s="235" t="str">
        <f>Controle!O460</f>
        <v/>
      </c>
      <c r="P460" s="235" t="str">
        <f>Controle!P460</f>
        <v/>
      </c>
      <c r="Q460" s="235" t="str">
        <f>Controle!Q460</f>
        <v/>
      </c>
      <c r="R460" s="286" t="str">
        <f>Controle!R460</f>
        <v/>
      </c>
      <c r="S460" s="286"/>
      <c r="T460" s="286"/>
      <c r="U460" s="286"/>
      <c r="V460" s="286"/>
      <c r="W460" s="286"/>
      <c r="X460" s="286"/>
      <c r="Y460" s="286"/>
      <c r="Z460" s="286"/>
      <c r="AA460" s="294"/>
      <c r="AB460" s="253"/>
      <c r="AC460" s="253"/>
      <c r="AD460" s="253"/>
      <c r="AE460" s="253"/>
      <c r="AF460" s="253"/>
      <c r="AG460" s="253"/>
      <c r="AH460" s="253"/>
      <c r="AI460" s="253"/>
      <c r="AJ460" s="253"/>
      <c r="AK460" s="253"/>
      <c r="AL460" s="253"/>
      <c r="AM460" s="253"/>
      <c r="AN460" s="253"/>
      <c r="AO460" s="253"/>
      <c r="AP460" s="253"/>
      <c r="AQ460" s="253"/>
      <c r="AR460" s="253"/>
      <c r="AS460" s="253"/>
      <c r="AT460" s="2"/>
      <c r="AU460" s="2"/>
      <c r="AV460" s="2"/>
      <c r="AW460" s="2"/>
      <c r="AX460" s="2"/>
      <c r="AY460" s="253"/>
    </row>
    <row r="461" ht="15.75" customHeight="1">
      <c r="A461" s="2"/>
      <c r="B461" s="288" t="str">
        <f>Controle!B461</f>
        <v/>
      </c>
      <c r="C461" s="233" t="str">
        <f>Controle!C461</f>
        <v/>
      </c>
      <c r="D461" s="289" t="str">
        <f>Controle!D461</f>
        <v/>
      </c>
      <c r="E461" s="290"/>
      <c r="F461" s="291" t="str">
        <f>Controle!F461</f>
        <v/>
      </c>
      <c r="G461" s="289" t="str">
        <f>Controle!G461</f>
        <v/>
      </c>
      <c r="H461" s="290"/>
      <c r="I461" s="291" t="str">
        <f>Controle!I461</f>
        <v/>
      </c>
      <c r="J461" s="233" t="str">
        <f>Controle!J461</f>
        <v/>
      </c>
      <c r="K461" s="292"/>
      <c r="L461" s="233" t="str">
        <f>Controle!L461</f>
        <v/>
      </c>
      <c r="M461" s="233" t="str">
        <f>Controle!M461</f>
        <v/>
      </c>
      <c r="N461" s="235" t="str">
        <f>Controle!N461</f>
        <v/>
      </c>
      <c r="O461" s="235" t="str">
        <f>Controle!O461</f>
        <v/>
      </c>
      <c r="P461" s="235" t="str">
        <f>Controle!P461</f>
        <v/>
      </c>
      <c r="Q461" s="235" t="str">
        <f>Controle!Q461</f>
        <v/>
      </c>
      <c r="R461" s="286" t="str">
        <f>Controle!R461</f>
        <v/>
      </c>
      <c r="S461" s="286"/>
      <c r="T461" s="286"/>
      <c r="U461" s="286"/>
      <c r="V461" s="286"/>
      <c r="W461" s="286"/>
      <c r="X461" s="286"/>
      <c r="Y461" s="286"/>
      <c r="Z461" s="286"/>
      <c r="AA461" s="294"/>
      <c r="AB461" s="253"/>
      <c r="AC461" s="253"/>
      <c r="AD461" s="253"/>
      <c r="AE461" s="253"/>
      <c r="AF461" s="253"/>
      <c r="AG461" s="253"/>
      <c r="AH461" s="253"/>
      <c r="AI461" s="253"/>
      <c r="AJ461" s="253"/>
      <c r="AK461" s="253"/>
      <c r="AL461" s="253"/>
      <c r="AM461" s="253"/>
      <c r="AN461" s="253"/>
      <c r="AO461" s="253"/>
      <c r="AP461" s="253"/>
      <c r="AQ461" s="253"/>
      <c r="AR461" s="253"/>
      <c r="AS461" s="253"/>
      <c r="AT461" s="2"/>
      <c r="AU461" s="2"/>
      <c r="AV461" s="2"/>
      <c r="AW461" s="2"/>
      <c r="AX461" s="2"/>
      <c r="AY461" s="253"/>
    </row>
    <row r="462" ht="15.75" customHeight="1">
      <c r="A462" s="2"/>
      <c r="B462" s="288" t="str">
        <f>Controle!B462</f>
        <v/>
      </c>
      <c r="C462" s="233" t="str">
        <f>Controle!C462</f>
        <v/>
      </c>
      <c r="D462" s="289" t="str">
        <f>Controle!D462</f>
        <v/>
      </c>
      <c r="E462" s="290"/>
      <c r="F462" s="291" t="str">
        <f>Controle!F462</f>
        <v/>
      </c>
      <c r="G462" s="289" t="str">
        <f>Controle!G462</f>
        <v/>
      </c>
      <c r="H462" s="290"/>
      <c r="I462" s="291" t="str">
        <f>Controle!I462</f>
        <v/>
      </c>
      <c r="J462" s="233" t="str">
        <f>Controle!J462</f>
        <v/>
      </c>
      <c r="K462" s="292"/>
      <c r="L462" s="233" t="str">
        <f>Controle!L462</f>
        <v/>
      </c>
      <c r="M462" s="233" t="str">
        <f>Controle!M462</f>
        <v/>
      </c>
      <c r="N462" s="235" t="str">
        <f>Controle!N462</f>
        <v/>
      </c>
      <c r="O462" s="235" t="str">
        <f>Controle!O462</f>
        <v/>
      </c>
      <c r="P462" s="235" t="str">
        <f>Controle!P462</f>
        <v/>
      </c>
      <c r="Q462" s="235" t="str">
        <f>Controle!Q462</f>
        <v/>
      </c>
      <c r="R462" s="286" t="str">
        <f>Controle!R462</f>
        <v/>
      </c>
      <c r="S462" s="286"/>
      <c r="T462" s="286"/>
      <c r="U462" s="286"/>
      <c r="V462" s="286"/>
      <c r="W462" s="286"/>
      <c r="X462" s="286"/>
      <c r="Y462" s="286"/>
      <c r="Z462" s="286"/>
      <c r="AA462" s="294"/>
      <c r="AB462" s="253"/>
      <c r="AC462" s="253"/>
      <c r="AD462" s="253"/>
      <c r="AE462" s="253"/>
      <c r="AF462" s="253"/>
      <c r="AG462" s="253"/>
      <c r="AH462" s="253"/>
      <c r="AI462" s="253"/>
      <c r="AJ462" s="253"/>
      <c r="AK462" s="253"/>
      <c r="AL462" s="253"/>
      <c r="AM462" s="253"/>
      <c r="AN462" s="253"/>
      <c r="AO462" s="253"/>
      <c r="AP462" s="253"/>
      <c r="AQ462" s="253"/>
      <c r="AR462" s="253"/>
      <c r="AS462" s="253"/>
      <c r="AT462" s="2"/>
      <c r="AU462" s="2"/>
      <c r="AV462" s="2"/>
      <c r="AW462" s="2"/>
      <c r="AX462" s="2"/>
      <c r="AY462" s="253"/>
    </row>
    <row r="463" ht="15.75" customHeight="1">
      <c r="A463" s="2"/>
      <c r="B463" s="288" t="str">
        <f>Controle!B463</f>
        <v/>
      </c>
      <c r="C463" s="233" t="str">
        <f>Controle!C463</f>
        <v/>
      </c>
      <c r="D463" s="289" t="str">
        <f>Controle!D463</f>
        <v/>
      </c>
      <c r="E463" s="290"/>
      <c r="F463" s="291" t="str">
        <f>Controle!F463</f>
        <v/>
      </c>
      <c r="G463" s="289" t="str">
        <f>Controle!G463</f>
        <v/>
      </c>
      <c r="H463" s="290"/>
      <c r="I463" s="291" t="str">
        <f>Controle!I463</f>
        <v/>
      </c>
      <c r="J463" s="233" t="str">
        <f>Controle!J463</f>
        <v/>
      </c>
      <c r="K463" s="292"/>
      <c r="L463" s="233" t="str">
        <f>Controle!L463</f>
        <v/>
      </c>
      <c r="M463" s="233" t="str">
        <f>Controle!M463</f>
        <v/>
      </c>
      <c r="N463" s="235" t="str">
        <f>Controle!N463</f>
        <v/>
      </c>
      <c r="O463" s="235" t="str">
        <f>Controle!O463</f>
        <v/>
      </c>
      <c r="P463" s="235" t="str">
        <f>Controle!P463</f>
        <v/>
      </c>
      <c r="Q463" s="235" t="str">
        <f>Controle!Q463</f>
        <v/>
      </c>
      <c r="R463" s="286" t="str">
        <f>Controle!R463</f>
        <v/>
      </c>
      <c r="S463" s="286"/>
      <c r="T463" s="286"/>
      <c r="U463" s="286"/>
      <c r="V463" s="286"/>
      <c r="W463" s="286"/>
      <c r="X463" s="286"/>
      <c r="Y463" s="286"/>
      <c r="Z463" s="286"/>
      <c r="AA463" s="294"/>
      <c r="AB463" s="253"/>
      <c r="AC463" s="253"/>
      <c r="AD463" s="253"/>
      <c r="AE463" s="253"/>
      <c r="AF463" s="253"/>
      <c r="AG463" s="253"/>
      <c r="AH463" s="253"/>
      <c r="AI463" s="253"/>
      <c r="AJ463" s="253"/>
      <c r="AK463" s="253"/>
      <c r="AL463" s="253"/>
      <c r="AM463" s="253"/>
      <c r="AN463" s="253"/>
      <c r="AO463" s="253"/>
      <c r="AP463" s="253"/>
      <c r="AQ463" s="253"/>
      <c r="AR463" s="253"/>
      <c r="AS463" s="253"/>
      <c r="AT463" s="2"/>
      <c r="AU463" s="2"/>
      <c r="AV463" s="2"/>
      <c r="AW463" s="2"/>
      <c r="AX463" s="2"/>
      <c r="AY463" s="253"/>
    </row>
    <row r="464" ht="15.75" customHeight="1">
      <c r="A464" s="2"/>
      <c r="B464" s="288" t="str">
        <f>Controle!B464</f>
        <v/>
      </c>
      <c r="C464" s="233" t="str">
        <f>Controle!C464</f>
        <v/>
      </c>
      <c r="D464" s="289" t="str">
        <f>Controle!D464</f>
        <v/>
      </c>
      <c r="E464" s="290"/>
      <c r="F464" s="291" t="str">
        <f>Controle!F464</f>
        <v/>
      </c>
      <c r="G464" s="289" t="str">
        <f>Controle!G464</f>
        <v/>
      </c>
      <c r="H464" s="290"/>
      <c r="I464" s="291" t="str">
        <f>Controle!I464</f>
        <v/>
      </c>
      <c r="J464" s="233" t="str">
        <f>Controle!J464</f>
        <v/>
      </c>
      <c r="K464" s="292"/>
      <c r="L464" s="233" t="str">
        <f>Controle!L464</f>
        <v/>
      </c>
      <c r="M464" s="233" t="str">
        <f>Controle!M464</f>
        <v/>
      </c>
      <c r="N464" s="235" t="str">
        <f>Controle!N464</f>
        <v/>
      </c>
      <c r="O464" s="235" t="str">
        <f>Controle!O464</f>
        <v/>
      </c>
      <c r="P464" s="235" t="str">
        <f>Controle!P464</f>
        <v/>
      </c>
      <c r="Q464" s="235" t="str">
        <f>Controle!Q464</f>
        <v/>
      </c>
      <c r="R464" s="286" t="str">
        <f>Controle!R464</f>
        <v/>
      </c>
      <c r="S464" s="286"/>
      <c r="T464" s="286"/>
      <c r="U464" s="286"/>
      <c r="V464" s="286"/>
      <c r="W464" s="286"/>
      <c r="X464" s="286"/>
      <c r="Y464" s="286"/>
      <c r="Z464" s="286"/>
      <c r="AA464" s="294"/>
      <c r="AB464" s="253"/>
      <c r="AC464" s="253"/>
      <c r="AD464" s="253"/>
      <c r="AE464" s="253"/>
      <c r="AF464" s="253"/>
      <c r="AG464" s="253"/>
      <c r="AH464" s="253"/>
      <c r="AI464" s="253"/>
      <c r="AJ464" s="253"/>
      <c r="AK464" s="253"/>
      <c r="AL464" s="253"/>
      <c r="AM464" s="253"/>
      <c r="AN464" s="253"/>
      <c r="AO464" s="253"/>
      <c r="AP464" s="253"/>
      <c r="AQ464" s="253"/>
      <c r="AR464" s="253"/>
      <c r="AS464" s="253"/>
      <c r="AT464" s="2"/>
      <c r="AU464" s="2"/>
      <c r="AV464" s="2"/>
      <c r="AW464" s="2"/>
      <c r="AX464" s="2"/>
      <c r="AY464" s="253"/>
    </row>
    <row r="465" ht="15.75" customHeight="1">
      <c r="A465" s="2"/>
      <c r="B465" s="288" t="str">
        <f>Controle!B465</f>
        <v/>
      </c>
      <c r="C465" s="233" t="str">
        <f>Controle!C465</f>
        <v/>
      </c>
      <c r="D465" s="289" t="str">
        <f>Controle!D465</f>
        <v/>
      </c>
      <c r="E465" s="290"/>
      <c r="F465" s="291" t="str">
        <f>Controle!F465</f>
        <v/>
      </c>
      <c r="G465" s="289" t="str">
        <f>Controle!G465</f>
        <v/>
      </c>
      <c r="H465" s="290"/>
      <c r="I465" s="291" t="str">
        <f>Controle!I465</f>
        <v/>
      </c>
      <c r="J465" s="233" t="str">
        <f>Controle!J465</f>
        <v/>
      </c>
      <c r="K465" s="292"/>
      <c r="L465" s="233" t="str">
        <f>Controle!L465</f>
        <v/>
      </c>
      <c r="M465" s="233" t="str">
        <f>Controle!M465</f>
        <v/>
      </c>
      <c r="N465" s="235" t="str">
        <f>Controle!N465</f>
        <v/>
      </c>
      <c r="O465" s="235" t="str">
        <f>Controle!O465</f>
        <v/>
      </c>
      <c r="P465" s="235" t="str">
        <f>Controle!P465</f>
        <v/>
      </c>
      <c r="Q465" s="235" t="str">
        <f>Controle!Q465</f>
        <v/>
      </c>
      <c r="R465" s="286" t="str">
        <f>Controle!R465</f>
        <v/>
      </c>
      <c r="S465" s="286"/>
      <c r="T465" s="286"/>
      <c r="U465" s="286"/>
      <c r="V465" s="286"/>
      <c r="W465" s="286"/>
      <c r="X465" s="286"/>
      <c r="Y465" s="286"/>
      <c r="Z465" s="286"/>
      <c r="AA465" s="294"/>
      <c r="AB465" s="253"/>
      <c r="AC465" s="253"/>
      <c r="AD465" s="253"/>
      <c r="AE465" s="253"/>
      <c r="AF465" s="253"/>
      <c r="AG465" s="253"/>
      <c r="AH465" s="253"/>
      <c r="AI465" s="253"/>
      <c r="AJ465" s="253"/>
      <c r="AK465" s="253"/>
      <c r="AL465" s="253"/>
      <c r="AM465" s="253"/>
      <c r="AN465" s="253"/>
      <c r="AO465" s="253"/>
      <c r="AP465" s="253"/>
      <c r="AQ465" s="253"/>
      <c r="AR465" s="253"/>
      <c r="AS465" s="253"/>
      <c r="AT465" s="2"/>
      <c r="AU465" s="2"/>
      <c r="AV465" s="2"/>
      <c r="AW465" s="2"/>
      <c r="AX465" s="2"/>
      <c r="AY465" s="253"/>
    </row>
    <row r="466" ht="15.75" customHeight="1">
      <c r="A466" s="2"/>
      <c r="B466" s="288" t="str">
        <f>Controle!B466</f>
        <v/>
      </c>
      <c r="C466" s="233" t="str">
        <f>Controle!C466</f>
        <v/>
      </c>
      <c r="D466" s="289" t="str">
        <f>Controle!D466</f>
        <v/>
      </c>
      <c r="E466" s="290"/>
      <c r="F466" s="291" t="str">
        <f>Controle!F466</f>
        <v/>
      </c>
      <c r="G466" s="289" t="str">
        <f>Controle!G466</f>
        <v/>
      </c>
      <c r="H466" s="290"/>
      <c r="I466" s="291" t="str">
        <f>Controle!I466</f>
        <v/>
      </c>
      <c r="J466" s="233" t="str">
        <f>Controle!J466</f>
        <v/>
      </c>
      <c r="K466" s="292"/>
      <c r="L466" s="233" t="str">
        <f>Controle!L466</f>
        <v/>
      </c>
      <c r="M466" s="233" t="str">
        <f>Controle!M466</f>
        <v/>
      </c>
      <c r="N466" s="235" t="str">
        <f>Controle!N466</f>
        <v/>
      </c>
      <c r="O466" s="235" t="str">
        <f>Controle!O466</f>
        <v/>
      </c>
      <c r="P466" s="235" t="str">
        <f>Controle!P466</f>
        <v/>
      </c>
      <c r="Q466" s="235" t="str">
        <f>Controle!Q466</f>
        <v/>
      </c>
      <c r="R466" s="286" t="str">
        <f>Controle!R466</f>
        <v/>
      </c>
      <c r="S466" s="286"/>
      <c r="T466" s="286"/>
      <c r="U466" s="286"/>
      <c r="V466" s="286"/>
      <c r="W466" s="286"/>
      <c r="X466" s="286"/>
      <c r="Y466" s="286"/>
      <c r="Z466" s="286"/>
      <c r="AA466" s="294"/>
      <c r="AB466" s="253"/>
      <c r="AC466" s="253"/>
      <c r="AD466" s="253"/>
      <c r="AE466" s="253"/>
      <c r="AF466" s="253"/>
      <c r="AG466" s="253"/>
      <c r="AH466" s="253"/>
      <c r="AI466" s="253"/>
      <c r="AJ466" s="253"/>
      <c r="AK466" s="253"/>
      <c r="AL466" s="253"/>
      <c r="AM466" s="253"/>
      <c r="AN466" s="253"/>
      <c r="AO466" s="253"/>
      <c r="AP466" s="253"/>
      <c r="AQ466" s="253"/>
      <c r="AR466" s="253"/>
      <c r="AS466" s="253"/>
      <c r="AT466" s="2"/>
      <c r="AU466" s="2"/>
      <c r="AV466" s="2"/>
      <c r="AW466" s="2"/>
      <c r="AX466" s="2"/>
      <c r="AY466" s="253"/>
    </row>
    <row r="467" ht="15.75" customHeight="1">
      <c r="A467" s="2"/>
      <c r="B467" s="288" t="str">
        <f>Controle!B467</f>
        <v/>
      </c>
      <c r="C467" s="233" t="str">
        <f>Controle!C467</f>
        <v/>
      </c>
      <c r="D467" s="289" t="str">
        <f>Controle!D467</f>
        <v/>
      </c>
      <c r="E467" s="290"/>
      <c r="F467" s="291" t="str">
        <f>Controle!F467</f>
        <v/>
      </c>
      <c r="G467" s="289" t="str">
        <f>Controle!G467</f>
        <v/>
      </c>
      <c r="H467" s="290"/>
      <c r="I467" s="291" t="str">
        <f>Controle!I467</f>
        <v/>
      </c>
      <c r="J467" s="233" t="str">
        <f>Controle!J467</f>
        <v/>
      </c>
      <c r="K467" s="292"/>
      <c r="L467" s="233" t="str">
        <f>Controle!L467</f>
        <v/>
      </c>
      <c r="M467" s="233" t="str">
        <f>Controle!M467</f>
        <v/>
      </c>
      <c r="N467" s="235" t="str">
        <f>Controle!N467</f>
        <v/>
      </c>
      <c r="O467" s="235" t="str">
        <f>Controle!O467</f>
        <v/>
      </c>
      <c r="P467" s="235" t="str">
        <f>Controle!P467</f>
        <v/>
      </c>
      <c r="Q467" s="235" t="str">
        <f>Controle!Q467</f>
        <v/>
      </c>
      <c r="R467" s="286" t="str">
        <f>Controle!R467</f>
        <v/>
      </c>
      <c r="S467" s="286"/>
      <c r="T467" s="286"/>
      <c r="U467" s="286"/>
      <c r="V467" s="286"/>
      <c r="W467" s="286"/>
      <c r="X467" s="286"/>
      <c r="Y467" s="286"/>
      <c r="Z467" s="286"/>
      <c r="AA467" s="294"/>
      <c r="AB467" s="253"/>
      <c r="AC467" s="253"/>
      <c r="AD467" s="253"/>
      <c r="AE467" s="253"/>
      <c r="AF467" s="253"/>
      <c r="AG467" s="253"/>
      <c r="AH467" s="253"/>
      <c r="AI467" s="253"/>
      <c r="AJ467" s="253"/>
      <c r="AK467" s="253"/>
      <c r="AL467" s="253"/>
      <c r="AM467" s="253"/>
      <c r="AN467" s="253"/>
      <c r="AO467" s="253"/>
      <c r="AP467" s="253"/>
      <c r="AQ467" s="253"/>
      <c r="AR467" s="253"/>
      <c r="AS467" s="253"/>
      <c r="AT467" s="2"/>
      <c r="AU467" s="2"/>
      <c r="AV467" s="2"/>
      <c r="AW467" s="2"/>
      <c r="AX467" s="2"/>
      <c r="AY467" s="253"/>
    </row>
    <row r="468" ht="15.75" customHeight="1">
      <c r="A468" s="2"/>
      <c r="B468" s="288" t="str">
        <f>Controle!B468</f>
        <v/>
      </c>
      <c r="C468" s="233" t="str">
        <f>Controle!C468</f>
        <v/>
      </c>
      <c r="D468" s="289" t="str">
        <f>Controle!D468</f>
        <v/>
      </c>
      <c r="E468" s="290"/>
      <c r="F468" s="291" t="str">
        <f>Controle!F468</f>
        <v/>
      </c>
      <c r="G468" s="289" t="str">
        <f>Controle!G468</f>
        <v/>
      </c>
      <c r="H468" s="290"/>
      <c r="I468" s="291" t="str">
        <f>Controle!I468</f>
        <v/>
      </c>
      <c r="J468" s="233" t="str">
        <f>Controle!J468</f>
        <v/>
      </c>
      <c r="K468" s="292"/>
      <c r="L468" s="233" t="str">
        <f>Controle!L468</f>
        <v/>
      </c>
      <c r="M468" s="233" t="str">
        <f>Controle!M468</f>
        <v/>
      </c>
      <c r="N468" s="235" t="str">
        <f>Controle!N468</f>
        <v/>
      </c>
      <c r="O468" s="235" t="str">
        <f>Controle!O468</f>
        <v/>
      </c>
      <c r="P468" s="235" t="str">
        <f>Controle!P468</f>
        <v/>
      </c>
      <c r="Q468" s="235" t="str">
        <f>Controle!Q468</f>
        <v/>
      </c>
      <c r="R468" s="286" t="str">
        <f>Controle!R468</f>
        <v/>
      </c>
      <c r="S468" s="286"/>
      <c r="T468" s="286"/>
      <c r="U468" s="286"/>
      <c r="V468" s="286"/>
      <c r="W468" s="286"/>
      <c r="X468" s="286"/>
      <c r="Y468" s="286"/>
      <c r="Z468" s="286"/>
      <c r="AA468" s="294"/>
      <c r="AB468" s="253"/>
      <c r="AC468" s="253"/>
      <c r="AD468" s="253"/>
      <c r="AE468" s="253"/>
      <c r="AF468" s="253"/>
      <c r="AG468" s="253"/>
      <c r="AH468" s="253"/>
      <c r="AI468" s="253"/>
      <c r="AJ468" s="253"/>
      <c r="AK468" s="253"/>
      <c r="AL468" s="253"/>
      <c r="AM468" s="253"/>
      <c r="AN468" s="253"/>
      <c r="AO468" s="253"/>
      <c r="AP468" s="253"/>
      <c r="AQ468" s="253"/>
      <c r="AR468" s="253"/>
      <c r="AS468" s="253"/>
      <c r="AT468" s="2"/>
      <c r="AU468" s="2"/>
      <c r="AV468" s="2"/>
      <c r="AW468" s="2"/>
      <c r="AX468" s="2"/>
      <c r="AY468" s="253"/>
    </row>
    <row r="469" ht="15.75" customHeight="1">
      <c r="A469" s="2"/>
      <c r="B469" s="288" t="str">
        <f>Controle!B469</f>
        <v/>
      </c>
      <c r="C469" s="233" t="str">
        <f>Controle!C469</f>
        <v/>
      </c>
      <c r="D469" s="289" t="str">
        <f>Controle!D469</f>
        <v/>
      </c>
      <c r="E469" s="290"/>
      <c r="F469" s="291" t="str">
        <f>Controle!F469</f>
        <v/>
      </c>
      <c r="G469" s="289" t="str">
        <f>Controle!G469</f>
        <v/>
      </c>
      <c r="H469" s="290"/>
      <c r="I469" s="291" t="str">
        <f>Controle!I469</f>
        <v/>
      </c>
      <c r="J469" s="233" t="str">
        <f>Controle!J469</f>
        <v/>
      </c>
      <c r="K469" s="292"/>
      <c r="L469" s="233" t="str">
        <f>Controle!L469</f>
        <v/>
      </c>
      <c r="M469" s="233" t="str">
        <f>Controle!M469</f>
        <v/>
      </c>
      <c r="N469" s="235" t="str">
        <f>Controle!N469</f>
        <v/>
      </c>
      <c r="O469" s="235" t="str">
        <f>Controle!O469</f>
        <v/>
      </c>
      <c r="P469" s="235" t="str">
        <f>Controle!P469</f>
        <v/>
      </c>
      <c r="Q469" s="235" t="str">
        <f>Controle!Q469</f>
        <v/>
      </c>
      <c r="R469" s="286" t="str">
        <f>Controle!R469</f>
        <v/>
      </c>
      <c r="S469" s="286"/>
      <c r="T469" s="286"/>
      <c r="U469" s="286"/>
      <c r="V469" s="286"/>
      <c r="W469" s="286"/>
      <c r="X469" s="286"/>
      <c r="Y469" s="286"/>
      <c r="Z469" s="286"/>
      <c r="AA469" s="294"/>
      <c r="AB469" s="253"/>
      <c r="AC469" s="253"/>
      <c r="AD469" s="253"/>
      <c r="AE469" s="253"/>
      <c r="AF469" s="253"/>
      <c r="AG469" s="253"/>
      <c r="AH469" s="253"/>
      <c r="AI469" s="253"/>
      <c r="AJ469" s="253"/>
      <c r="AK469" s="253"/>
      <c r="AL469" s="253"/>
      <c r="AM469" s="253"/>
      <c r="AN469" s="253"/>
      <c r="AO469" s="253"/>
      <c r="AP469" s="253"/>
      <c r="AQ469" s="253"/>
      <c r="AR469" s="253"/>
      <c r="AS469" s="253"/>
      <c r="AT469" s="2"/>
      <c r="AU469" s="2"/>
      <c r="AV469" s="2"/>
      <c r="AW469" s="2"/>
      <c r="AX469" s="2"/>
      <c r="AY469" s="253"/>
    </row>
    <row r="470" ht="15.75" customHeight="1">
      <c r="A470" s="2"/>
      <c r="B470" s="288" t="str">
        <f>Controle!B470</f>
        <v/>
      </c>
      <c r="C470" s="233" t="str">
        <f>Controle!C470</f>
        <v/>
      </c>
      <c r="D470" s="289" t="str">
        <f>Controle!D470</f>
        <v/>
      </c>
      <c r="E470" s="290"/>
      <c r="F470" s="291" t="str">
        <f>Controle!F470</f>
        <v/>
      </c>
      <c r="G470" s="289" t="str">
        <f>Controle!G470</f>
        <v/>
      </c>
      <c r="H470" s="290"/>
      <c r="I470" s="291" t="str">
        <f>Controle!I470</f>
        <v/>
      </c>
      <c r="J470" s="233" t="str">
        <f>Controle!J470</f>
        <v/>
      </c>
      <c r="K470" s="292"/>
      <c r="L470" s="233" t="str">
        <f>Controle!L470</f>
        <v/>
      </c>
      <c r="M470" s="233" t="str">
        <f>Controle!M470</f>
        <v/>
      </c>
      <c r="N470" s="235" t="str">
        <f>Controle!N470</f>
        <v/>
      </c>
      <c r="O470" s="235" t="str">
        <f>Controle!O470</f>
        <v/>
      </c>
      <c r="P470" s="235" t="str">
        <f>Controle!P470</f>
        <v/>
      </c>
      <c r="Q470" s="235" t="str">
        <f>Controle!Q470</f>
        <v/>
      </c>
      <c r="R470" s="286" t="str">
        <f>Controle!R470</f>
        <v/>
      </c>
      <c r="S470" s="286"/>
      <c r="T470" s="286"/>
      <c r="U470" s="286"/>
      <c r="V470" s="286"/>
      <c r="W470" s="286"/>
      <c r="X470" s="286"/>
      <c r="Y470" s="286"/>
      <c r="Z470" s="286"/>
      <c r="AA470" s="294"/>
      <c r="AB470" s="253"/>
      <c r="AC470" s="253"/>
      <c r="AD470" s="253"/>
      <c r="AE470" s="253"/>
      <c r="AF470" s="253"/>
      <c r="AG470" s="253"/>
      <c r="AH470" s="253"/>
      <c r="AI470" s="253"/>
      <c r="AJ470" s="253"/>
      <c r="AK470" s="253"/>
      <c r="AL470" s="253"/>
      <c r="AM470" s="253"/>
      <c r="AN470" s="253"/>
      <c r="AO470" s="253"/>
      <c r="AP470" s="253"/>
      <c r="AQ470" s="253"/>
      <c r="AR470" s="253"/>
      <c r="AS470" s="253"/>
      <c r="AT470" s="2"/>
      <c r="AU470" s="2"/>
      <c r="AV470" s="2"/>
      <c r="AW470" s="2"/>
      <c r="AX470" s="2"/>
      <c r="AY470" s="253"/>
    </row>
    <row r="471" ht="15.75" customHeight="1">
      <c r="A471" s="2"/>
      <c r="B471" s="288" t="str">
        <f>Controle!B471</f>
        <v/>
      </c>
      <c r="C471" s="233" t="str">
        <f>Controle!C471</f>
        <v/>
      </c>
      <c r="D471" s="289" t="str">
        <f>Controle!D471</f>
        <v/>
      </c>
      <c r="E471" s="290"/>
      <c r="F471" s="291" t="str">
        <f>Controle!F471</f>
        <v/>
      </c>
      <c r="G471" s="289" t="str">
        <f>Controle!G471</f>
        <v/>
      </c>
      <c r="H471" s="290"/>
      <c r="I471" s="291" t="str">
        <f>Controle!I471</f>
        <v/>
      </c>
      <c r="J471" s="233" t="str">
        <f>Controle!J471</f>
        <v/>
      </c>
      <c r="K471" s="292"/>
      <c r="L471" s="233" t="str">
        <f>Controle!L471</f>
        <v/>
      </c>
      <c r="M471" s="233" t="str">
        <f>Controle!M471</f>
        <v/>
      </c>
      <c r="N471" s="235" t="str">
        <f>Controle!N471</f>
        <v/>
      </c>
      <c r="O471" s="235" t="str">
        <f>Controle!O471</f>
        <v/>
      </c>
      <c r="P471" s="235" t="str">
        <f>Controle!P471</f>
        <v/>
      </c>
      <c r="Q471" s="235" t="str">
        <f>Controle!Q471</f>
        <v/>
      </c>
      <c r="R471" s="286" t="str">
        <f>Controle!R471</f>
        <v/>
      </c>
      <c r="S471" s="286"/>
      <c r="T471" s="286"/>
      <c r="U471" s="286"/>
      <c r="V471" s="286"/>
      <c r="W471" s="286"/>
      <c r="X471" s="286"/>
      <c r="Y471" s="286"/>
      <c r="Z471" s="286"/>
      <c r="AA471" s="294"/>
      <c r="AB471" s="253"/>
      <c r="AC471" s="253"/>
      <c r="AD471" s="253"/>
      <c r="AE471" s="253"/>
      <c r="AF471" s="253"/>
      <c r="AG471" s="253"/>
      <c r="AH471" s="253"/>
      <c r="AI471" s="253"/>
      <c r="AJ471" s="253"/>
      <c r="AK471" s="253"/>
      <c r="AL471" s="253"/>
      <c r="AM471" s="253"/>
      <c r="AN471" s="253"/>
      <c r="AO471" s="253"/>
      <c r="AP471" s="253"/>
      <c r="AQ471" s="253"/>
      <c r="AR471" s="253"/>
      <c r="AS471" s="253"/>
      <c r="AT471" s="2"/>
      <c r="AU471" s="2"/>
      <c r="AV471" s="2"/>
      <c r="AW471" s="2"/>
      <c r="AX471" s="2"/>
      <c r="AY471" s="253"/>
    </row>
    <row r="472" ht="15.75" customHeight="1">
      <c r="A472" s="2"/>
      <c r="B472" s="288" t="str">
        <f>Controle!B472</f>
        <v/>
      </c>
      <c r="C472" s="233" t="str">
        <f>Controle!C472</f>
        <v/>
      </c>
      <c r="D472" s="289" t="str">
        <f>Controle!D472</f>
        <v/>
      </c>
      <c r="E472" s="290"/>
      <c r="F472" s="291" t="str">
        <f>Controle!F472</f>
        <v/>
      </c>
      <c r="G472" s="289" t="str">
        <f>Controle!G472</f>
        <v/>
      </c>
      <c r="H472" s="290"/>
      <c r="I472" s="291" t="str">
        <f>Controle!I472</f>
        <v/>
      </c>
      <c r="J472" s="233" t="str">
        <f>Controle!J472</f>
        <v/>
      </c>
      <c r="K472" s="292"/>
      <c r="L472" s="233" t="str">
        <f>Controle!L472</f>
        <v/>
      </c>
      <c r="M472" s="233" t="str">
        <f>Controle!M472</f>
        <v/>
      </c>
      <c r="N472" s="235" t="str">
        <f>Controle!N472</f>
        <v/>
      </c>
      <c r="O472" s="235" t="str">
        <f>Controle!O472</f>
        <v/>
      </c>
      <c r="P472" s="235" t="str">
        <f>Controle!P472</f>
        <v/>
      </c>
      <c r="Q472" s="235" t="str">
        <f>Controle!Q472</f>
        <v/>
      </c>
      <c r="R472" s="286" t="str">
        <f>Controle!R472</f>
        <v/>
      </c>
      <c r="S472" s="286"/>
      <c r="T472" s="286"/>
      <c r="U472" s="286"/>
      <c r="V472" s="286"/>
      <c r="W472" s="286"/>
      <c r="X472" s="286"/>
      <c r="Y472" s="286"/>
      <c r="Z472" s="286"/>
      <c r="AA472" s="294"/>
      <c r="AB472" s="253"/>
      <c r="AC472" s="253"/>
      <c r="AD472" s="253"/>
      <c r="AE472" s="253"/>
      <c r="AF472" s="253"/>
      <c r="AG472" s="253"/>
      <c r="AH472" s="253"/>
      <c r="AI472" s="253"/>
      <c r="AJ472" s="253"/>
      <c r="AK472" s="253"/>
      <c r="AL472" s="253"/>
      <c r="AM472" s="253"/>
      <c r="AN472" s="253"/>
      <c r="AO472" s="253"/>
      <c r="AP472" s="253"/>
      <c r="AQ472" s="253"/>
      <c r="AR472" s="253"/>
      <c r="AS472" s="253"/>
      <c r="AT472" s="2"/>
      <c r="AU472" s="2"/>
      <c r="AV472" s="2"/>
      <c r="AW472" s="2"/>
      <c r="AX472" s="2"/>
      <c r="AY472" s="253"/>
    </row>
    <row r="473" ht="15.75" customHeight="1">
      <c r="A473" s="2"/>
      <c r="B473" s="288" t="str">
        <f>Controle!B473</f>
        <v/>
      </c>
      <c r="C473" s="233" t="str">
        <f>Controle!C473</f>
        <v/>
      </c>
      <c r="D473" s="289" t="str">
        <f>Controle!D473</f>
        <v/>
      </c>
      <c r="E473" s="290"/>
      <c r="F473" s="291" t="str">
        <f>Controle!F473</f>
        <v/>
      </c>
      <c r="G473" s="289" t="str">
        <f>Controle!G473</f>
        <v/>
      </c>
      <c r="H473" s="290"/>
      <c r="I473" s="291" t="str">
        <f>Controle!I473</f>
        <v/>
      </c>
      <c r="J473" s="233" t="str">
        <f>Controle!J473</f>
        <v/>
      </c>
      <c r="K473" s="292"/>
      <c r="L473" s="233" t="str">
        <f>Controle!L473</f>
        <v/>
      </c>
      <c r="M473" s="233" t="str">
        <f>Controle!M473</f>
        <v/>
      </c>
      <c r="N473" s="235" t="str">
        <f>Controle!N473</f>
        <v/>
      </c>
      <c r="O473" s="235" t="str">
        <f>Controle!O473</f>
        <v/>
      </c>
      <c r="P473" s="235" t="str">
        <f>Controle!P473</f>
        <v/>
      </c>
      <c r="Q473" s="235" t="str">
        <f>Controle!Q473</f>
        <v/>
      </c>
      <c r="R473" s="286" t="str">
        <f>Controle!R473</f>
        <v/>
      </c>
      <c r="S473" s="286"/>
      <c r="T473" s="286"/>
      <c r="U473" s="286"/>
      <c r="V473" s="286"/>
      <c r="W473" s="286"/>
      <c r="X473" s="286"/>
      <c r="Y473" s="286"/>
      <c r="Z473" s="286"/>
      <c r="AA473" s="294"/>
      <c r="AB473" s="253"/>
      <c r="AC473" s="253"/>
      <c r="AD473" s="253"/>
      <c r="AE473" s="253"/>
      <c r="AF473" s="253"/>
      <c r="AG473" s="253"/>
      <c r="AH473" s="253"/>
      <c r="AI473" s="253"/>
      <c r="AJ473" s="253"/>
      <c r="AK473" s="253"/>
      <c r="AL473" s="253"/>
      <c r="AM473" s="253"/>
      <c r="AN473" s="253"/>
      <c r="AO473" s="253"/>
      <c r="AP473" s="253"/>
      <c r="AQ473" s="253"/>
      <c r="AR473" s="253"/>
      <c r="AS473" s="253"/>
      <c r="AT473" s="2"/>
      <c r="AU473" s="2"/>
      <c r="AV473" s="2"/>
      <c r="AW473" s="2"/>
      <c r="AX473" s="2"/>
      <c r="AY473" s="253"/>
    </row>
    <row r="474" ht="15.75" customHeight="1">
      <c r="A474" s="2"/>
      <c r="B474" s="288" t="str">
        <f>Controle!B474</f>
        <v/>
      </c>
      <c r="C474" s="233" t="str">
        <f>Controle!C474</f>
        <v/>
      </c>
      <c r="D474" s="289" t="str">
        <f>Controle!D474</f>
        <v/>
      </c>
      <c r="E474" s="290"/>
      <c r="F474" s="291" t="str">
        <f>Controle!F474</f>
        <v/>
      </c>
      <c r="G474" s="289" t="str">
        <f>Controle!G474</f>
        <v/>
      </c>
      <c r="H474" s="290"/>
      <c r="I474" s="291" t="str">
        <f>Controle!I474</f>
        <v/>
      </c>
      <c r="J474" s="233" t="str">
        <f>Controle!J474</f>
        <v/>
      </c>
      <c r="K474" s="292"/>
      <c r="L474" s="233" t="str">
        <f>Controle!L474</f>
        <v/>
      </c>
      <c r="M474" s="233" t="str">
        <f>Controle!M474</f>
        <v/>
      </c>
      <c r="N474" s="235" t="str">
        <f>Controle!N474</f>
        <v/>
      </c>
      <c r="O474" s="235" t="str">
        <f>Controle!O474</f>
        <v/>
      </c>
      <c r="P474" s="235" t="str">
        <f>Controle!P474</f>
        <v/>
      </c>
      <c r="Q474" s="235" t="str">
        <f>Controle!Q474</f>
        <v/>
      </c>
      <c r="R474" s="286" t="str">
        <f>Controle!R474</f>
        <v/>
      </c>
      <c r="S474" s="286"/>
      <c r="T474" s="286"/>
      <c r="U474" s="286"/>
      <c r="V474" s="286"/>
      <c r="W474" s="286"/>
      <c r="X474" s="286"/>
      <c r="Y474" s="286"/>
      <c r="Z474" s="286"/>
      <c r="AA474" s="294"/>
      <c r="AB474" s="253"/>
      <c r="AC474" s="253"/>
      <c r="AD474" s="253"/>
      <c r="AE474" s="253"/>
      <c r="AF474" s="253"/>
      <c r="AG474" s="253"/>
      <c r="AH474" s="253"/>
      <c r="AI474" s="253"/>
      <c r="AJ474" s="253"/>
      <c r="AK474" s="253"/>
      <c r="AL474" s="253"/>
      <c r="AM474" s="253"/>
      <c r="AN474" s="253"/>
      <c r="AO474" s="253"/>
      <c r="AP474" s="253"/>
      <c r="AQ474" s="253"/>
      <c r="AR474" s="253"/>
      <c r="AS474" s="253"/>
      <c r="AT474" s="2"/>
      <c r="AU474" s="2"/>
      <c r="AV474" s="2"/>
      <c r="AW474" s="2"/>
      <c r="AX474" s="2"/>
      <c r="AY474" s="253"/>
    </row>
    <row r="475" ht="15.75" customHeight="1">
      <c r="A475" s="2"/>
      <c r="B475" s="288" t="str">
        <f>Controle!B475</f>
        <v/>
      </c>
      <c r="C475" s="233" t="str">
        <f>Controle!C475</f>
        <v/>
      </c>
      <c r="D475" s="289" t="str">
        <f>Controle!D475</f>
        <v/>
      </c>
      <c r="E475" s="290"/>
      <c r="F475" s="291" t="str">
        <f>Controle!F475</f>
        <v/>
      </c>
      <c r="G475" s="289" t="str">
        <f>Controle!G475</f>
        <v/>
      </c>
      <c r="H475" s="290"/>
      <c r="I475" s="291" t="str">
        <f>Controle!I475</f>
        <v/>
      </c>
      <c r="J475" s="233" t="str">
        <f>Controle!J475</f>
        <v/>
      </c>
      <c r="K475" s="292"/>
      <c r="L475" s="233" t="str">
        <f>Controle!L475</f>
        <v/>
      </c>
      <c r="M475" s="233" t="str">
        <f>Controle!M475</f>
        <v/>
      </c>
      <c r="N475" s="235" t="str">
        <f>Controle!N475</f>
        <v/>
      </c>
      <c r="O475" s="235" t="str">
        <f>Controle!O475</f>
        <v/>
      </c>
      <c r="P475" s="235" t="str">
        <f>Controle!P475</f>
        <v/>
      </c>
      <c r="Q475" s="235" t="str">
        <f>Controle!Q475</f>
        <v/>
      </c>
      <c r="R475" s="286" t="str">
        <f>Controle!R475</f>
        <v/>
      </c>
      <c r="S475" s="286"/>
      <c r="T475" s="286"/>
      <c r="U475" s="286"/>
      <c r="V475" s="286"/>
      <c r="W475" s="286"/>
      <c r="X475" s="286"/>
      <c r="Y475" s="286"/>
      <c r="Z475" s="286"/>
      <c r="AA475" s="294"/>
      <c r="AB475" s="253"/>
      <c r="AC475" s="253"/>
      <c r="AD475" s="253"/>
      <c r="AE475" s="253"/>
      <c r="AF475" s="253"/>
      <c r="AG475" s="253"/>
      <c r="AH475" s="253"/>
      <c r="AI475" s="253"/>
      <c r="AJ475" s="253"/>
      <c r="AK475" s="253"/>
      <c r="AL475" s="253"/>
      <c r="AM475" s="253"/>
      <c r="AN475" s="253"/>
      <c r="AO475" s="253"/>
      <c r="AP475" s="253"/>
      <c r="AQ475" s="253"/>
      <c r="AR475" s="253"/>
      <c r="AS475" s="253"/>
      <c r="AT475" s="2"/>
      <c r="AU475" s="2"/>
      <c r="AV475" s="2"/>
      <c r="AW475" s="2"/>
      <c r="AX475" s="2"/>
      <c r="AY475" s="253"/>
    </row>
    <row r="476" ht="15.75" customHeight="1">
      <c r="A476" s="2"/>
      <c r="B476" s="288" t="str">
        <f>Controle!B476</f>
        <v/>
      </c>
      <c r="C476" s="233" t="str">
        <f>Controle!C476</f>
        <v/>
      </c>
      <c r="D476" s="289" t="str">
        <f>Controle!D476</f>
        <v/>
      </c>
      <c r="E476" s="290"/>
      <c r="F476" s="291" t="str">
        <f>Controle!F476</f>
        <v/>
      </c>
      <c r="G476" s="289" t="str">
        <f>Controle!G476</f>
        <v/>
      </c>
      <c r="H476" s="290"/>
      <c r="I476" s="291" t="str">
        <f>Controle!I476</f>
        <v/>
      </c>
      <c r="J476" s="233" t="str">
        <f>Controle!J476</f>
        <v/>
      </c>
      <c r="K476" s="292"/>
      <c r="L476" s="233" t="str">
        <f>Controle!L476</f>
        <v/>
      </c>
      <c r="M476" s="233" t="str">
        <f>Controle!M476</f>
        <v/>
      </c>
      <c r="N476" s="235" t="str">
        <f>Controle!N476</f>
        <v/>
      </c>
      <c r="O476" s="235" t="str">
        <f>Controle!O476</f>
        <v/>
      </c>
      <c r="P476" s="235" t="str">
        <f>Controle!P476</f>
        <v/>
      </c>
      <c r="Q476" s="235" t="str">
        <f>Controle!Q476</f>
        <v/>
      </c>
      <c r="R476" s="286" t="str">
        <f>Controle!R476</f>
        <v/>
      </c>
      <c r="S476" s="286"/>
      <c r="T476" s="286"/>
      <c r="U476" s="286"/>
      <c r="V476" s="286"/>
      <c r="W476" s="286"/>
      <c r="X476" s="286"/>
      <c r="Y476" s="286"/>
      <c r="Z476" s="286"/>
      <c r="AA476" s="294"/>
      <c r="AB476" s="253"/>
      <c r="AC476" s="253"/>
      <c r="AD476" s="253"/>
      <c r="AE476" s="253"/>
      <c r="AF476" s="253"/>
      <c r="AG476" s="253"/>
      <c r="AH476" s="253"/>
      <c r="AI476" s="253"/>
      <c r="AJ476" s="253"/>
      <c r="AK476" s="253"/>
      <c r="AL476" s="253"/>
      <c r="AM476" s="253"/>
      <c r="AN476" s="253"/>
      <c r="AO476" s="253"/>
      <c r="AP476" s="253"/>
      <c r="AQ476" s="253"/>
      <c r="AR476" s="253"/>
      <c r="AS476" s="253"/>
      <c r="AT476" s="2"/>
      <c r="AU476" s="2"/>
      <c r="AV476" s="2"/>
      <c r="AW476" s="2"/>
      <c r="AX476" s="2"/>
      <c r="AY476" s="253"/>
    </row>
    <row r="477" ht="15.75" customHeight="1">
      <c r="A477" s="2"/>
      <c r="B477" s="288" t="str">
        <f>Controle!B477</f>
        <v/>
      </c>
      <c r="C477" s="233" t="str">
        <f>Controle!C477</f>
        <v/>
      </c>
      <c r="D477" s="289" t="str">
        <f>Controle!D477</f>
        <v/>
      </c>
      <c r="E477" s="290"/>
      <c r="F477" s="291" t="str">
        <f>Controle!F477</f>
        <v/>
      </c>
      <c r="G477" s="289" t="str">
        <f>Controle!G477</f>
        <v/>
      </c>
      <c r="H477" s="290"/>
      <c r="I477" s="291" t="str">
        <f>Controle!I477</f>
        <v/>
      </c>
      <c r="J477" s="233" t="str">
        <f>Controle!J477</f>
        <v/>
      </c>
      <c r="K477" s="292"/>
      <c r="L477" s="233" t="str">
        <f>Controle!L477</f>
        <v/>
      </c>
      <c r="M477" s="233" t="str">
        <f>Controle!M477</f>
        <v/>
      </c>
      <c r="N477" s="235" t="str">
        <f>Controle!N477</f>
        <v/>
      </c>
      <c r="O477" s="235" t="str">
        <f>Controle!O477</f>
        <v/>
      </c>
      <c r="P477" s="235" t="str">
        <f>Controle!P477</f>
        <v/>
      </c>
      <c r="Q477" s="235" t="str">
        <f>Controle!Q477</f>
        <v/>
      </c>
      <c r="R477" s="286" t="str">
        <f>Controle!R477</f>
        <v/>
      </c>
      <c r="S477" s="286"/>
      <c r="T477" s="286"/>
      <c r="U477" s="286"/>
      <c r="V477" s="286"/>
      <c r="W477" s="286"/>
      <c r="X477" s="286"/>
      <c r="Y477" s="286"/>
      <c r="Z477" s="286"/>
      <c r="AA477" s="294"/>
      <c r="AB477" s="253"/>
      <c r="AC477" s="253"/>
      <c r="AD477" s="253"/>
      <c r="AE477" s="253"/>
      <c r="AF477" s="253"/>
      <c r="AG477" s="253"/>
      <c r="AH477" s="253"/>
      <c r="AI477" s="253"/>
      <c r="AJ477" s="253"/>
      <c r="AK477" s="253"/>
      <c r="AL477" s="253"/>
      <c r="AM477" s="253"/>
      <c r="AN477" s="253"/>
      <c r="AO477" s="253"/>
      <c r="AP477" s="253"/>
      <c r="AQ477" s="253"/>
      <c r="AR477" s="253"/>
      <c r="AS477" s="253"/>
      <c r="AT477" s="2"/>
      <c r="AU477" s="2"/>
      <c r="AV477" s="2"/>
      <c r="AW477" s="2"/>
      <c r="AX477" s="2"/>
      <c r="AY477" s="253"/>
    </row>
    <row r="478" ht="15.75" customHeight="1">
      <c r="A478" s="2"/>
      <c r="B478" s="288" t="str">
        <f>Controle!B478</f>
        <v/>
      </c>
      <c r="C478" s="233" t="str">
        <f>Controle!C478</f>
        <v/>
      </c>
      <c r="D478" s="289" t="str">
        <f>Controle!D478</f>
        <v/>
      </c>
      <c r="E478" s="290"/>
      <c r="F478" s="291" t="str">
        <f>Controle!F478</f>
        <v/>
      </c>
      <c r="G478" s="289" t="str">
        <f>Controle!G478</f>
        <v/>
      </c>
      <c r="H478" s="290"/>
      <c r="I478" s="291" t="str">
        <f>Controle!I478</f>
        <v/>
      </c>
      <c r="J478" s="233" t="str">
        <f>Controle!J478</f>
        <v/>
      </c>
      <c r="K478" s="292"/>
      <c r="L478" s="233" t="str">
        <f>Controle!L478</f>
        <v/>
      </c>
      <c r="M478" s="233" t="str">
        <f>Controle!M478</f>
        <v/>
      </c>
      <c r="N478" s="235" t="str">
        <f>Controle!N478</f>
        <v/>
      </c>
      <c r="O478" s="235" t="str">
        <f>Controle!O478</f>
        <v/>
      </c>
      <c r="P478" s="235" t="str">
        <f>Controle!P478</f>
        <v/>
      </c>
      <c r="Q478" s="235" t="str">
        <f>Controle!Q478</f>
        <v/>
      </c>
      <c r="R478" s="286" t="str">
        <f>Controle!R478</f>
        <v/>
      </c>
      <c r="S478" s="286"/>
      <c r="T478" s="286"/>
      <c r="U478" s="286"/>
      <c r="V478" s="286"/>
      <c r="W478" s="286"/>
      <c r="X478" s="286"/>
      <c r="Y478" s="286"/>
      <c r="Z478" s="286"/>
      <c r="AA478" s="294"/>
      <c r="AB478" s="253"/>
      <c r="AC478" s="253"/>
      <c r="AD478" s="253"/>
      <c r="AE478" s="253"/>
      <c r="AF478" s="253"/>
      <c r="AG478" s="253"/>
      <c r="AH478" s="253"/>
      <c r="AI478" s="253"/>
      <c r="AJ478" s="253"/>
      <c r="AK478" s="253"/>
      <c r="AL478" s="253"/>
      <c r="AM478" s="253"/>
      <c r="AN478" s="253"/>
      <c r="AO478" s="253"/>
      <c r="AP478" s="253"/>
      <c r="AQ478" s="253"/>
      <c r="AR478" s="253"/>
      <c r="AS478" s="253"/>
      <c r="AT478" s="2"/>
      <c r="AU478" s="2"/>
      <c r="AV478" s="2"/>
      <c r="AW478" s="2"/>
      <c r="AX478" s="2"/>
      <c r="AY478" s="253"/>
    </row>
    <row r="479" ht="15.75" customHeight="1">
      <c r="A479" s="2"/>
      <c r="B479" s="288" t="str">
        <f>Controle!B479</f>
        <v/>
      </c>
      <c r="C479" s="233" t="str">
        <f>Controle!C479</f>
        <v/>
      </c>
      <c r="D479" s="289" t="str">
        <f>Controle!D479</f>
        <v/>
      </c>
      <c r="E479" s="290"/>
      <c r="F479" s="291" t="str">
        <f>Controle!F479</f>
        <v/>
      </c>
      <c r="G479" s="289" t="str">
        <f>Controle!G479</f>
        <v/>
      </c>
      <c r="H479" s="290"/>
      <c r="I479" s="291" t="str">
        <f>Controle!I479</f>
        <v/>
      </c>
      <c r="J479" s="233" t="str">
        <f>Controle!J479</f>
        <v/>
      </c>
      <c r="K479" s="292"/>
      <c r="L479" s="233" t="str">
        <f>Controle!L479</f>
        <v/>
      </c>
      <c r="M479" s="233" t="str">
        <f>Controle!M479</f>
        <v/>
      </c>
      <c r="N479" s="235" t="str">
        <f>Controle!N479</f>
        <v/>
      </c>
      <c r="O479" s="235" t="str">
        <f>Controle!O479</f>
        <v/>
      </c>
      <c r="P479" s="235" t="str">
        <f>Controle!P479</f>
        <v/>
      </c>
      <c r="Q479" s="235" t="str">
        <f>Controle!Q479</f>
        <v/>
      </c>
      <c r="R479" s="286" t="str">
        <f>Controle!R479</f>
        <v/>
      </c>
      <c r="S479" s="286"/>
      <c r="T479" s="286"/>
      <c r="U479" s="286"/>
      <c r="V479" s="286"/>
      <c r="W479" s="286"/>
      <c r="X479" s="286"/>
      <c r="Y479" s="286"/>
      <c r="Z479" s="286"/>
      <c r="AA479" s="294"/>
      <c r="AB479" s="253"/>
      <c r="AC479" s="253"/>
      <c r="AD479" s="253"/>
      <c r="AE479" s="253"/>
      <c r="AF479" s="253"/>
      <c r="AG479" s="253"/>
      <c r="AH479" s="253"/>
      <c r="AI479" s="253"/>
      <c r="AJ479" s="253"/>
      <c r="AK479" s="253"/>
      <c r="AL479" s="253"/>
      <c r="AM479" s="253"/>
      <c r="AN479" s="253"/>
      <c r="AO479" s="253"/>
      <c r="AP479" s="253"/>
      <c r="AQ479" s="253"/>
      <c r="AR479" s="253"/>
      <c r="AS479" s="253"/>
      <c r="AT479" s="2"/>
      <c r="AU479" s="2"/>
      <c r="AV479" s="2"/>
      <c r="AW479" s="2"/>
      <c r="AX479" s="2"/>
      <c r="AY479" s="253"/>
    </row>
    <row r="480" ht="15.75" customHeight="1">
      <c r="A480" s="2"/>
      <c r="B480" s="288" t="str">
        <f>Controle!B480</f>
        <v/>
      </c>
      <c r="C480" s="233" t="str">
        <f>Controle!C480</f>
        <v/>
      </c>
      <c r="D480" s="289" t="str">
        <f>Controle!D480</f>
        <v/>
      </c>
      <c r="E480" s="290"/>
      <c r="F480" s="291" t="str">
        <f>Controle!F480</f>
        <v/>
      </c>
      <c r="G480" s="289" t="str">
        <f>Controle!G480</f>
        <v/>
      </c>
      <c r="H480" s="290"/>
      <c r="I480" s="291" t="str">
        <f>Controle!I480</f>
        <v/>
      </c>
      <c r="J480" s="233" t="str">
        <f>Controle!J480</f>
        <v/>
      </c>
      <c r="K480" s="292"/>
      <c r="L480" s="233" t="str">
        <f>Controle!L480</f>
        <v/>
      </c>
      <c r="M480" s="233" t="str">
        <f>Controle!M480</f>
        <v/>
      </c>
      <c r="N480" s="235" t="str">
        <f>Controle!N480</f>
        <v/>
      </c>
      <c r="O480" s="235" t="str">
        <f>Controle!O480</f>
        <v/>
      </c>
      <c r="P480" s="235" t="str">
        <f>Controle!P480</f>
        <v/>
      </c>
      <c r="Q480" s="235" t="str">
        <f>Controle!Q480</f>
        <v/>
      </c>
      <c r="R480" s="286" t="str">
        <f>Controle!R480</f>
        <v/>
      </c>
      <c r="S480" s="286"/>
      <c r="T480" s="286"/>
      <c r="U480" s="286"/>
      <c r="V480" s="286"/>
      <c r="W480" s="286"/>
      <c r="X480" s="286"/>
      <c r="Y480" s="286"/>
      <c r="Z480" s="286"/>
      <c r="AA480" s="294"/>
      <c r="AB480" s="253"/>
      <c r="AC480" s="253"/>
      <c r="AD480" s="253"/>
      <c r="AE480" s="253"/>
      <c r="AF480" s="253"/>
      <c r="AG480" s="253"/>
      <c r="AH480" s="253"/>
      <c r="AI480" s="253"/>
      <c r="AJ480" s="253"/>
      <c r="AK480" s="253"/>
      <c r="AL480" s="253"/>
      <c r="AM480" s="253"/>
      <c r="AN480" s="253"/>
      <c r="AO480" s="253"/>
      <c r="AP480" s="253"/>
      <c r="AQ480" s="253"/>
      <c r="AR480" s="253"/>
      <c r="AS480" s="253"/>
      <c r="AT480" s="2"/>
      <c r="AU480" s="2"/>
      <c r="AV480" s="2"/>
      <c r="AW480" s="2"/>
      <c r="AX480" s="2"/>
      <c r="AY480" s="253"/>
    </row>
    <row r="481" ht="15.75" customHeight="1">
      <c r="A481" s="2"/>
      <c r="B481" s="288" t="str">
        <f>Controle!B481</f>
        <v/>
      </c>
      <c r="C481" s="233" t="str">
        <f>Controle!C481</f>
        <v/>
      </c>
      <c r="D481" s="289" t="str">
        <f>Controle!D481</f>
        <v/>
      </c>
      <c r="E481" s="290"/>
      <c r="F481" s="291" t="str">
        <f>Controle!F481</f>
        <v/>
      </c>
      <c r="G481" s="289" t="str">
        <f>Controle!G481</f>
        <v/>
      </c>
      <c r="H481" s="290"/>
      <c r="I481" s="291" t="str">
        <f>Controle!I481</f>
        <v/>
      </c>
      <c r="J481" s="233" t="str">
        <f>Controle!J481</f>
        <v/>
      </c>
      <c r="K481" s="292"/>
      <c r="L481" s="233" t="str">
        <f>Controle!L481</f>
        <v/>
      </c>
      <c r="M481" s="233" t="str">
        <f>Controle!M481</f>
        <v/>
      </c>
      <c r="N481" s="235" t="str">
        <f>Controle!N481</f>
        <v/>
      </c>
      <c r="O481" s="235" t="str">
        <f>Controle!O481</f>
        <v/>
      </c>
      <c r="P481" s="235" t="str">
        <f>Controle!P481</f>
        <v/>
      </c>
      <c r="Q481" s="235" t="str">
        <f>Controle!Q481</f>
        <v/>
      </c>
      <c r="R481" s="286" t="str">
        <f>Controle!R481</f>
        <v/>
      </c>
      <c r="S481" s="286"/>
      <c r="T481" s="286"/>
      <c r="U481" s="286"/>
      <c r="V481" s="286"/>
      <c r="W481" s="286"/>
      <c r="X481" s="286"/>
      <c r="Y481" s="286"/>
      <c r="Z481" s="286"/>
      <c r="AA481" s="294"/>
      <c r="AB481" s="253"/>
      <c r="AC481" s="253"/>
      <c r="AD481" s="253"/>
      <c r="AE481" s="253"/>
      <c r="AF481" s="253"/>
      <c r="AG481" s="253"/>
      <c r="AH481" s="253"/>
      <c r="AI481" s="253"/>
      <c r="AJ481" s="253"/>
      <c r="AK481" s="253"/>
      <c r="AL481" s="253"/>
      <c r="AM481" s="253"/>
      <c r="AN481" s="253"/>
      <c r="AO481" s="253"/>
      <c r="AP481" s="253"/>
      <c r="AQ481" s="253"/>
      <c r="AR481" s="253"/>
      <c r="AS481" s="253"/>
      <c r="AT481" s="2"/>
      <c r="AU481" s="2"/>
      <c r="AV481" s="2"/>
      <c r="AW481" s="2"/>
      <c r="AX481" s="2"/>
      <c r="AY481" s="253"/>
    </row>
    <row r="482" ht="15.75" customHeight="1">
      <c r="A482" s="2"/>
      <c r="B482" s="288" t="str">
        <f>Controle!B482</f>
        <v/>
      </c>
      <c r="C482" s="233" t="str">
        <f>Controle!C482</f>
        <v/>
      </c>
      <c r="D482" s="289" t="str">
        <f>Controle!D482</f>
        <v/>
      </c>
      <c r="E482" s="290"/>
      <c r="F482" s="291" t="str">
        <f>Controle!F482</f>
        <v/>
      </c>
      <c r="G482" s="289" t="str">
        <f>Controle!G482</f>
        <v/>
      </c>
      <c r="H482" s="290"/>
      <c r="I482" s="291" t="str">
        <f>Controle!I482</f>
        <v/>
      </c>
      <c r="J482" s="233" t="str">
        <f>Controle!J482</f>
        <v/>
      </c>
      <c r="K482" s="292"/>
      <c r="L482" s="233" t="str">
        <f>Controle!L482</f>
        <v/>
      </c>
      <c r="M482" s="233" t="str">
        <f>Controle!M482</f>
        <v/>
      </c>
      <c r="N482" s="235" t="str">
        <f>Controle!N482</f>
        <v/>
      </c>
      <c r="O482" s="235" t="str">
        <f>Controle!O482</f>
        <v/>
      </c>
      <c r="P482" s="235" t="str">
        <f>Controle!P482</f>
        <v/>
      </c>
      <c r="Q482" s="235" t="str">
        <f>Controle!Q482</f>
        <v/>
      </c>
      <c r="R482" s="286" t="str">
        <f>Controle!R482</f>
        <v/>
      </c>
      <c r="S482" s="286"/>
      <c r="T482" s="286"/>
      <c r="U482" s="286"/>
      <c r="V482" s="286"/>
      <c r="W482" s="286"/>
      <c r="X482" s="286"/>
      <c r="Y482" s="286"/>
      <c r="Z482" s="286"/>
      <c r="AA482" s="294"/>
      <c r="AB482" s="253"/>
      <c r="AC482" s="253"/>
      <c r="AD482" s="253"/>
      <c r="AE482" s="253"/>
      <c r="AF482" s="253"/>
      <c r="AG482" s="253"/>
      <c r="AH482" s="253"/>
      <c r="AI482" s="253"/>
      <c r="AJ482" s="253"/>
      <c r="AK482" s="253"/>
      <c r="AL482" s="253"/>
      <c r="AM482" s="253"/>
      <c r="AN482" s="253"/>
      <c r="AO482" s="253"/>
      <c r="AP482" s="253"/>
      <c r="AQ482" s="253"/>
      <c r="AR482" s="253"/>
      <c r="AS482" s="253"/>
      <c r="AT482" s="2"/>
      <c r="AU482" s="2"/>
      <c r="AV482" s="2"/>
      <c r="AW482" s="2"/>
      <c r="AX482" s="2"/>
      <c r="AY482" s="253"/>
    </row>
    <row r="483" ht="15.75" customHeight="1">
      <c r="A483" s="2"/>
      <c r="B483" s="288" t="str">
        <f>Controle!B483</f>
        <v/>
      </c>
      <c r="C483" s="233" t="str">
        <f>Controle!C483</f>
        <v/>
      </c>
      <c r="D483" s="289" t="str">
        <f>Controle!D483</f>
        <v/>
      </c>
      <c r="E483" s="290"/>
      <c r="F483" s="291" t="str">
        <f>Controle!F483</f>
        <v/>
      </c>
      <c r="G483" s="289" t="str">
        <f>Controle!G483</f>
        <v/>
      </c>
      <c r="H483" s="290"/>
      <c r="I483" s="291" t="str">
        <f>Controle!I483</f>
        <v/>
      </c>
      <c r="J483" s="233" t="str">
        <f>Controle!J483</f>
        <v/>
      </c>
      <c r="K483" s="292"/>
      <c r="L483" s="233" t="str">
        <f>Controle!L483</f>
        <v/>
      </c>
      <c r="M483" s="233" t="str">
        <f>Controle!M483</f>
        <v/>
      </c>
      <c r="N483" s="235" t="str">
        <f>Controle!N483</f>
        <v/>
      </c>
      <c r="O483" s="235" t="str">
        <f>Controle!O483</f>
        <v/>
      </c>
      <c r="P483" s="235" t="str">
        <f>Controle!P483</f>
        <v/>
      </c>
      <c r="Q483" s="235" t="str">
        <f>Controle!Q483</f>
        <v/>
      </c>
      <c r="R483" s="286" t="str">
        <f>Controle!R483</f>
        <v/>
      </c>
      <c r="S483" s="286"/>
      <c r="T483" s="286"/>
      <c r="U483" s="286"/>
      <c r="V483" s="286"/>
      <c r="W483" s="286"/>
      <c r="X483" s="286"/>
      <c r="Y483" s="286"/>
      <c r="Z483" s="286"/>
      <c r="AA483" s="294"/>
      <c r="AB483" s="253"/>
      <c r="AC483" s="253"/>
      <c r="AD483" s="253"/>
      <c r="AE483" s="253"/>
      <c r="AF483" s="253"/>
      <c r="AG483" s="253"/>
      <c r="AH483" s="253"/>
      <c r="AI483" s="253"/>
      <c r="AJ483" s="253"/>
      <c r="AK483" s="253"/>
      <c r="AL483" s="253"/>
      <c r="AM483" s="253"/>
      <c r="AN483" s="253"/>
      <c r="AO483" s="253"/>
      <c r="AP483" s="253"/>
      <c r="AQ483" s="253"/>
      <c r="AR483" s="253"/>
      <c r="AS483" s="253"/>
      <c r="AT483" s="2"/>
      <c r="AU483" s="2"/>
      <c r="AV483" s="2"/>
      <c r="AW483" s="2"/>
      <c r="AX483" s="2"/>
      <c r="AY483" s="253"/>
    </row>
    <row r="484" ht="15.75" customHeight="1">
      <c r="A484" s="2"/>
      <c r="B484" s="288" t="str">
        <f>Controle!B484</f>
        <v/>
      </c>
      <c r="C484" s="233" t="str">
        <f>Controle!C484</f>
        <v/>
      </c>
      <c r="D484" s="289" t="str">
        <f>Controle!D484</f>
        <v/>
      </c>
      <c r="E484" s="290"/>
      <c r="F484" s="291" t="str">
        <f>Controle!F484</f>
        <v/>
      </c>
      <c r="G484" s="289" t="str">
        <f>Controle!G484</f>
        <v/>
      </c>
      <c r="H484" s="290"/>
      <c r="I484" s="291" t="str">
        <f>Controle!I484</f>
        <v/>
      </c>
      <c r="J484" s="233" t="str">
        <f>Controle!J484</f>
        <v/>
      </c>
      <c r="K484" s="292"/>
      <c r="L484" s="233" t="str">
        <f>Controle!L484</f>
        <v/>
      </c>
      <c r="M484" s="233" t="str">
        <f>Controle!M484</f>
        <v/>
      </c>
      <c r="N484" s="235" t="str">
        <f>Controle!N484</f>
        <v/>
      </c>
      <c r="O484" s="235" t="str">
        <f>Controle!O484</f>
        <v/>
      </c>
      <c r="P484" s="235" t="str">
        <f>Controle!P484</f>
        <v/>
      </c>
      <c r="Q484" s="235" t="str">
        <f>Controle!Q484</f>
        <v/>
      </c>
      <c r="R484" s="286" t="str">
        <f>Controle!R484</f>
        <v/>
      </c>
      <c r="S484" s="286"/>
      <c r="T484" s="286"/>
      <c r="U484" s="286"/>
      <c r="V484" s="286"/>
      <c r="W484" s="286"/>
      <c r="X484" s="286"/>
      <c r="Y484" s="286"/>
      <c r="Z484" s="286"/>
      <c r="AA484" s="294"/>
      <c r="AB484" s="253"/>
      <c r="AC484" s="253"/>
      <c r="AD484" s="253"/>
      <c r="AE484" s="253"/>
      <c r="AF484" s="253"/>
      <c r="AG484" s="253"/>
      <c r="AH484" s="253"/>
      <c r="AI484" s="253"/>
      <c r="AJ484" s="253"/>
      <c r="AK484" s="253"/>
      <c r="AL484" s="253"/>
      <c r="AM484" s="253"/>
      <c r="AN484" s="253"/>
      <c r="AO484" s="253"/>
      <c r="AP484" s="253"/>
      <c r="AQ484" s="253"/>
      <c r="AR484" s="253"/>
      <c r="AS484" s="253"/>
      <c r="AT484" s="2"/>
      <c r="AU484" s="2"/>
      <c r="AV484" s="2"/>
      <c r="AW484" s="2"/>
      <c r="AX484" s="2"/>
      <c r="AY484" s="253"/>
    </row>
    <row r="485" ht="15.75" customHeight="1">
      <c r="A485" s="2"/>
      <c r="B485" s="288" t="str">
        <f>Controle!B485</f>
        <v/>
      </c>
      <c r="C485" s="233" t="str">
        <f>Controle!C485</f>
        <v/>
      </c>
      <c r="D485" s="289" t="str">
        <f>Controle!D485</f>
        <v/>
      </c>
      <c r="E485" s="290"/>
      <c r="F485" s="291" t="str">
        <f>Controle!F485</f>
        <v/>
      </c>
      <c r="G485" s="289" t="str">
        <f>Controle!G485</f>
        <v/>
      </c>
      <c r="H485" s="290"/>
      <c r="I485" s="291" t="str">
        <f>Controle!I485</f>
        <v/>
      </c>
      <c r="J485" s="233" t="str">
        <f>Controle!J485</f>
        <v/>
      </c>
      <c r="K485" s="292"/>
      <c r="L485" s="233" t="str">
        <f>Controle!L485</f>
        <v/>
      </c>
      <c r="M485" s="233" t="str">
        <f>Controle!M485</f>
        <v/>
      </c>
      <c r="N485" s="235" t="str">
        <f>Controle!N485</f>
        <v/>
      </c>
      <c r="O485" s="235" t="str">
        <f>Controle!O485</f>
        <v/>
      </c>
      <c r="P485" s="235" t="str">
        <f>Controle!P485</f>
        <v/>
      </c>
      <c r="Q485" s="235" t="str">
        <f>Controle!Q485</f>
        <v/>
      </c>
      <c r="R485" s="286" t="str">
        <f>Controle!R485</f>
        <v/>
      </c>
      <c r="S485" s="286"/>
      <c r="T485" s="286"/>
      <c r="U485" s="286"/>
      <c r="V485" s="286"/>
      <c r="W485" s="286"/>
      <c r="X485" s="286"/>
      <c r="Y485" s="286"/>
      <c r="Z485" s="286"/>
      <c r="AA485" s="294"/>
      <c r="AB485" s="253"/>
      <c r="AC485" s="253"/>
      <c r="AD485" s="253"/>
      <c r="AE485" s="253"/>
      <c r="AF485" s="253"/>
      <c r="AG485" s="253"/>
      <c r="AH485" s="253"/>
      <c r="AI485" s="253"/>
      <c r="AJ485" s="253"/>
      <c r="AK485" s="253"/>
      <c r="AL485" s="253"/>
      <c r="AM485" s="253"/>
      <c r="AN485" s="253"/>
      <c r="AO485" s="253"/>
      <c r="AP485" s="253"/>
      <c r="AQ485" s="253"/>
      <c r="AR485" s="253"/>
      <c r="AS485" s="253"/>
      <c r="AT485" s="2"/>
      <c r="AU485" s="2"/>
      <c r="AV485" s="2"/>
      <c r="AW485" s="2"/>
      <c r="AX485" s="2"/>
      <c r="AY485" s="253"/>
    </row>
    <row r="486" ht="15.75" customHeight="1">
      <c r="A486" s="2"/>
      <c r="B486" s="288" t="str">
        <f>Controle!B486</f>
        <v/>
      </c>
      <c r="C486" s="233" t="str">
        <f>Controle!C486</f>
        <v/>
      </c>
      <c r="D486" s="289" t="str">
        <f>Controle!D486</f>
        <v/>
      </c>
      <c r="E486" s="290"/>
      <c r="F486" s="291" t="str">
        <f>Controle!F486</f>
        <v/>
      </c>
      <c r="G486" s="289" t="str">
        <f>Controle!G486</f>
        <v/>
      </c>
      <c r="H486" s="290"/>
      <c r="I486" s="291" t="str">
        <f>Controle!I486</f>
        <v/>
      </c>
      <c r="J486" s="233" t="str">
        <f>Controle!J486</f>
        <v/>
      </c>
      <c r="K486" s="292"/>
      <c r="L486" s="233" t="str">
        <f>Controle!L486</f>
        <v/>
      </c>
      <c r="M486" s="233" t="str">
        <f>Controle!M486</f>
        <v/>
      </c>
      <c r="N486" s="235" t="str">
        <f>Controle!N486</f>
        <v/>
      </c>
      <c r="O486" s="235" t="str">
        <f>Controle!O486</f>
        <v/>
      </c>
      <c r="P486" s="235" t="str">
        <f>Controle!P486</f>
        <v/>
      </c>
      <c r="Q486" s="235" t="str">
        <f>Controle!Q486</f>
        <v/>
      </c>
      <c r="R486" s="286" t="str">
        <f>Controle!R486</f>
        <v/>
      </c>
      <c r="S486" s="286"/>
      <c r="T486" s="286"/>
      <c r="U486" s="286"/>
      <c r="V486" s="286"/>
      <c r="W486" s="286"/>
      <c r="X486" s="286"/>
      <c r="Y486" s="286"/>
      <c r="Z486" s="286"/>
      <c r="AA486" s="294"/>
      <c r="AB486" s="253"/>
      <c r="AC486" s="253"/>
      <c r="AD486" s="253"/>
      <c r="AE486" s="253"/>
      <c r="AF486" s="253"/>
      <c r="AG486" s="253"/>
      <c r="AH486" s="253"/>
      <c r="AI486" s="253"/>
      <c r="AJ486" s="253"/>
      <c r="AK486" s="253"/>
      <c r="AL486" s="253"/>
      <c r="AM486" s="253"/>
      <c r="AN486" s="253"/>
      <c r="AO486" s="253"/>
      <c r="AP486" s="253"/>
      <c r="AQ486" s="253"/>
      <c r="AR486" s="253"/>
      <c r="AS486" s="253"/>
      <c r="AT486" s="2"/>
      <c r="AU486" s="2"/>
      <c r="AV486" s="2"/>
      <c r="AW486" s="2"/>
      <c r="AX486" s="2"/>
      <c r="AY486" s="253"/>
    </row>
    <row r="487" ht="15.75" customHeight="1">
      <c r="A487" s="2"/>
      <c r="B487" s="288" t="str">
        <f>Controle!B487</f>
        <v/>
      </c>
      <c r="C487" s="233" t="str">
        <f>Controle!C487</f>
        <v/>
      </c>
      <c r="D487" s="289" t="str">
        <f>Controle!D487</f>
        <v/>
      </c>
      <c r="E487" s="290"/>
      <c r="F487" s="291" t="str">
        <f>Controle!F487</f>
        <v/>
      </c>
      <c r="G487" s="289" t="str">
        <f>Controle!G487</f>
        <v/>
      </c>
      <c r="H487" s="290"/>
      <c r="I487" s="291" t="str">
        <f>Controle!I487</f>
        <v/>
      </c>
      <c r="J487" s="233" t="str">
        <f>Controle!J487</f>
        <v/>
      </c>
      <c r="K487" s="292"/>
      <c r="L487" s="233" t="str">
        <f>Controle!L487</f>
        <v/>
      </c>
      <c r="M487" s="233" t="str">
        <f>Controle!M487</f>
        <v/>
      </c>
      <c r="N487" s="235" t="str">
        <f>Controle!N487</f>
        <v/>
      </c>
      <c r="O487" s="235" t="str">
        <f>Controle!O487</f>
        <v/>
      </c>
      <c r="P487" s="235" t="str">
        <f>Controle!P487</f>
        <v/>
      </c>
      <c r="Q487" s="235" t="str">
        <f>Controle!Q487</f>
        <v/>
      </c>
      <c r="R487" s="286" t="str">
        <f>Controle!R487</f>
        <v/>
      </c>
      <c r="S487" s="286"/>
      <c r="T487" s="286"/>
      <c r="U487" s="286"/>
      <c r="V487" s="286"/>
      <c r="W487" s="286"/>
      <c r="X487" s="286"/>
      <c r="Y487" s="286"/>
      <c r="Z487" s="286"/>
      <c r="AA487" s="294"/>
      <c r="AB487" s="253"/>
      <c r="AC487" s="253"/>
      <c r="AD487" s="253"/>
      <c r="AE487" s="253"/>
      <c r="AF487" s="253"/>
      <c r="AG487" s="253"/>
      <c r="AH487" s="253"/>
      <c r="AI487" s="253"/>
      <c r="AJ487" s="253"/>
      <c r="AK487" s="253"/>
      <c r="AL487" s="253"/>
      <c r="AM487" s="253"/>
      <c r="AN487" s="253"/>
      <c r="AO487" s="253"/>
      <c r="AP487" s="253"/>
      <c r="AQ487" s="253"/>
      <c r="AR487" s="253"/>
      <c r="AS487" s="253"/>
      <c r="AT487" s="2"/>
      <c r="AU487" s="2"/>
      <c r="AV487" s="2"/>
      <c r="AW487" s="2"/>
      <c r="AX487" s="2"/>
      <c r="AY487" s="253"/>
    </row>
    <row r="488" ht="15.75" customHeight="1">
      <c r="A488" s="2"/>
      <c r="B488" s="288" t="str">
        <f>Controle!B488</f>
        <v/>
      </c>
      <c r="C488" s="233" t="str">
        <f>Controle!C488</f>
        <v/>
      </c>
      <c r="D488" s="289" t="str">
        <f>Controle!D488</f>
        <v/>
      </c>
      <c r="E488" s="290"/>
      <c r="F488" s="291" t="str">
        <f>Controle!F488</f>
        <v/>
      </c>
      <c r="G488" s="289" t="str">
        <f>Controle!G488</f>
        <v/>
      </c>
      <c r="H488" s="290"/>
      <c r="I488" s="291" t="str">
        <f>Controle!I488</f>
        <v/>
      </c>
      <c r="J488" s="233" t="str">
        <f>Controle!J488</f>
        <v/>
      </c>
      <c r="K488" s="292"/>
      <c r="L488" s="233" t="str">
        <f>Controle!L488</f>
        <v/>
      </c>
      <c r="M488" s="233" t="str">
        <f>Controle!M488</f>
        <v/>
      </c>
      <c r="N488" s="235" t="str">
        <f>Controle!N488</f>
        <v/>
      </c>
      <c r="O488" s="235" t="str">
        <f>Controle!O488</f>
        <v/>
      </c>
      <c r="P488" s="235" t="str">
        <f>Controle!P488</f>
        <v/>
      </c>
      <c r="Q488" s="235" t="str">
        <f>Controle!Q488</f>
        <v/>
      </c>
      <c r="R488" s="286" t="str">
        <f>Controle!R488</f>
        <v/>
      </c>
      <c r="S488" s="286"/>
      <c r="T488" s="286"/>
      <c r="U488" s="286"/>
      <c r="V488" s="286"/>
      <c r="W488" s="286"/>
      <c r="X488" s="286"/>
      <c r="Y488" s="286"/>
      <c r="Z488" s="286"/>
      <c r="AA488" s="294"/>
      <c r="AB488" s="253"/>
      <c r="AC488" s="253"/>
      <c r="AD488" s="253"/>
      <c r="AE488" s="253"/>
      <c r="AF488" s="253"/>
      <c r="AG488" s="253"/>
      <c r="AH488" s="253"/>
      <c r="AI488" s="253"/>
      <c r="AJ488" s="253"/>
      <c r="AK488" s="253"/>
      <c r="AL488" s="253"/>
      <c r="AM488" s="253"/>
      <c r="AN488" s="253"/>
      <c r="AO488" s="253"/>
      <c r="AP488" s="253"/>
      <c r="AQ488" s="253"/>
      <c r="AR488" s="253"/>
      <c r="AS488" s="253"/>
      <c r="AT488" s="2"/>
      <c r="AU488" s="2"/>
      <c r="AV488" s="2"/>
      <c r="AW488" s="2"/>
      <c r="AX488" s="2"/>
      <c r="AY488" s="253"/>
    </row>
    <row r="489" ht="15.75" customHeight="1">
      <c r="A489" s="2"/>
      <c r="B489" s="288" t="str">
        <f>Controle!B489</f>
        <v/>
      </c>
      <c r="C489" s="233" t="str">
        <f>Controle!C489</f>
        <v/>
      </c>
      <c r="D489" s="289" t="str">
        <f>Controle!D489</f>
        <v/>
      </c>
      <c r="E489" s="290"/>
      <c r="F489" s="291" t="str">
        <f>Controle!F489</f>
        <v/>
      </c>
      <c r="G489" s="289" t="str">
        <f>Controle!G489</f>
        <v/>
      </c>
      <c r="H489" s="290"/>
      <c r="I489" s="291" t="str">
        <f>Controle!I489</f>
        <v/>
      </c>
      <c r="J489" s="233" t="str">
        <f>Controle!J489</f>
        <v/>
      </c>
      <c r="K489" s="292"/>
      <c r="L489" s="233" t="str">
        <f>Controle!L489</f>
        <v/>
      </c>
      <c r="M489" s="233" t="str">
        <f>Controle!M489</f>
        <v/>
      </c>
      <c r="N489" s="235" t="str">
        <f>Controle!N489</f>
        <v/>
      </c>
      <c r="O489" s="235" t="str">
        <f>Controle!O489</f>
        <v/>
      </c>
      <c r="P489" s="235" t="str">
        <f>Controle!P489</f>
        <v/>
      </c>
      <c r="Q489" s="235" t="str">
        <f>Controle!Q489</f>
        <v/>
      </c>
      <c r="R489" s="286" t="str">
        <f>Controle!R489</f>
        <v/>
      </c>
      <c r="S489" s="286"/>
      <c r="T489" s="286"/>
      <c r="U489" s="286"/>
      <c r="V489" s="286"/>
      <c r="W489" s="286"/>
      <c r="X489" s="286"/>
      <c r="Y489" s="286"/>
      <c r="Z489" s="286"/>
      <c r="AA489" s="294"/>
      <c r="AB489" s="253"/>
      <c r="AC489" s="253"/>
      <c r="AD489" s="253"/>
      <c r="AE489" s="253"/>
      <c r="AF489" s="253"/>
      <c r="AG489" s="253"/>
      <c r="AH489" s="253"/>
      <c r="AI489" s="253"/>
      <c r="AJ489" s="253"/>
      <c r="AK489" s="253"/>
      <c r="AL489" s="253"/>
      <c r="AM489" s="253"/>
      <c r="AN489" s="253"/>
      <c r="AO489" s="253"/>
      <c r="AP489" s="253"/>
      <c r="AQ489" s="253"/>
      <c r="AR489" s="253"/>
      <c r="AS489" s="253"/>
      <c r="AT489" s="2"/>
      <c r="AU489" s="2"/>
      <c r="AV489" s="2"/>
      <c r="AW489" s="2"/>
      <c r="AX489" s="2"/>
      <c r="AY489" s="253"/>
    </row>
    <row r="490" ht="15.75" customHeight="1">
      <c r="A490" s="2"/>
      <c r="B490" s="288" t="str">
        <f>Controle!B490</f>
        <v/>
      </c>
      <c r="C490" s="233" t="str">
        <f>Controle!C490</f>
        <v/>
      </c>
      <c r="D490" s="289" t="str">
        <f>Controle!D490</f>
        <v/>
      </c>
      <c r="E490" s="290"/>
      <c r="F490" s="291" t="str">
        <f>Controle!F490</f>
        <v/>
      </c>
      <c r="G490" s="289" t="str">
        <f>Controle!G490</f>
        <v/>
      </c>
      <c r="H490" s="290"/>
      <c r="I490" s="291" t="str">
        <f>Controle!I490</f>
        <v/>
      </c>
      <c r="J490" s="233" t="str">
        <f>Controle!J490</f>
        <v/>
      </c>
      <c r="K490" s="292"/>
      <c r="L490" s="233" t="str">
        <f>Controle!L490</f>
        <v/>
      </c>
      <c r="M490" s="233" t="str">
        <f>Controle!M490</f>
        <v/>
      </c>
      <c r="N490" s="235" t="str">
        <f>Controle!N490</f>
        <v/>
      </c>
      <c r="O490" s="235" t="str">
        <f>Controle!O490</f>
        <v/>
      </c>
      <c r="P490" s="235" t="str">
        <f>Controle!P490</f>
        <v/>
      </c>
      <c r="Q490" s="235" t="str">
        <f>Controle!Q490</f>
        <v/>
      </c>
      <c r="R490" s="286" t="str">
        <f>Controle!R490</f>
        <v/>
      </c>
      <c r="S490" s="286"/>
      <c r="T490" s="286"/>
      <c r="U490" s="286"/>
      <c r="V490" s="286"/>
      <c r="W490" s="286"/>
      <c r="X490" s="286"/>
      <c r="Y490" s="286"/>
      <c r="Z490" s="286"/>
      <c r="AA490" s="294"/>
      <c r="AB490" s="253"/>
      <c r="AC490" s="253"/>
      <c r="AD490" s="253"/>
      <c r="AE490" s="253"/>
      <c r="AF490" s="253"/>
      <c r="AG490" s="253"/>
      <c r="AH490" s="253"/>
      <c r="AI490" s="253"/>
      <c r="AJ490" s="253"/>
      <c r="AK490" s="253"/>
      <c r="AL490" s="253"/>
      <c r="AM490" s="253"/>
      <c r="AN490" s="253"/>
      <c r="AO490" s="253"/>
      <c r="AP490" s="253"/>
      <c r="AQ490" s="253"/>
      <c r="AR490" s="253"/>
      <c r="AS490" s="253"/>
      <c r="AT490" s="2"/>
      <c r="AU490" s="2"/>
      <c r="AV490" s="2"/>
      <c r="AW490" s="2"/>
      <c r="AX490" s="2"/>
      <c r="AY490" s="253"/>
    </row>
    <row r="491" ht="15.75" customHeight="1">
      <c r="A491" s="2"/>
      <c r="B491" s="288" t="str">
        <f>Controle!B491</f>
        <v/>
      </c>
      <c r="C491" s="233" t="str">
        <f>Controle!C491</f>
        <v/>
      </c>
      <c r="D491" s="289" t="str">
        <f>Controle!D491</f>
        <v/>
      </c>
      <c r="E491" s="290"/>
      <c r="F491" s="291" t="str">
        <f>Controle!F491</f>
        <v/>
      </c>
      <c r="G491" s="289" t="str">
        <f>Controle!G491</f>
        <v/>
      </c>
      <c r="H491" s="290"/>
      <c r="I491" s="291" t="str">
        <f>Controle!I491</f>
        <v/>
      </c>
      <c r="J491" s="233" t="str">
        <f>Controle!J491</f>
        <v/>
      </c>
      <c r="K491" s="292"/>
      <c r="L491" s="233" t="str">
        <f>Controle!L491</f>
        <v/>
      </c>
      <c r="M491" s="233" t="str">
        <f>Controle!M491</f>
        <v/>
      </c>
      <c r="N491" s="235" t="str">
        <f>Controle!N491</f>
        <v/>
      </c>
      <c r="O491" s="235" t="str">
        <f>Controle!O491</f>
        <v/>
      </c>
      <c r="P491" s="235" t="str">
        <f>Controle!P491</f>
        <v/>
      </c>
      <c r="Q491" s="235" t="str">
        <f>Controle!Q491</f>
        <v/>
      </c>
      <c r="R491" s="286" t="str">
        <f>Controle!R491</f>
        <v/>
      </c>
      <c r="S491" s="286"/>
      <c r="T491" s="286"/>
      <c r="U491" s="286"/>
      <c r="V491" s="286"/>
      <c r="W491" s="286"/>
      <c r="X491" s="286"/>
      <c r="Y491" s="286"/>
      <c r="Z491" s="286"/>
      <c r="AA491" s="294"/>
      <c r="AB491" s="253"/>
      <c r="AC491" s="253"/>
      <c r="AD491" s="253"/>
      <c r="AE491" s="253"/>
      <c r="AF491" s="253"/>
      <c r="AG491" s="253"/>
      <c r="AH491" s="253"/>
      <c r="AI491" s="253"/>
      <c r="AJ491" s="253"/>
      <c r="AK491" s="253"/>
      <c r="AL491" s="253"/>
      <c r="AM491" s="253"/>
      <c r="AN491" s="253"/>
      <c r="AO491" s="253"/>
      <c r="AP491" s="253"/>
      <c r="AQ491" s="253"/>
      <c r="AR491" s="253"/>
      <c r="AS491" s="253"/>
      <c r="AT491" s="2"/>
      <c r="AU491" s="2"/>
      <c r="AV491" s="2"/>
      <c r="AW491" s="2"/>
      <c r="AX491" s="2"/>
      <c r="AY491" s="253"/>
    </row>
    <row r="492" ht="15.75" customHeight="1">
      <c r="A492" s="2"/>
      <c r="B492" s="288" t="str">
        <f>Controle!B492</f>
        <v/>
      </c>
      <c r="C492" s="233" t="str">
        <f>Controle!C492</f>
        <v/>
      </c>
      <c r="D492" s="289" t="str">
        <f>Controle!D492</f>
        <v/>
      </c>
      <c r="E492" s="290"/>
      <c r="F492" s="291" t="str">
        <f>Controle!F492</f>
        <v/>
      </c>
      <c r="G492" s="289" t="str">
        <f>Controle!G492</f>
        <v/>
      </c>
      <c r="H492" s="290"/>
      <c r="I492" s="291" t="str">
        <f>Controle!I492</f>
        <v/>
      </c>
      <c r="J492" s="233" t="str">
        <f>Controle!J492</f>
        <v/>
      </c>
      <c r="K492" s="292"/>
      <c r="L492" s="233" t="str">
        <f>Controle!L492</f>
        <v/>
      </c>
      <c r="M492" s="233" t="str">
        <f>Controle!M492</f>
        <v/>
      </c>
      <c r="N492" s="235" t="str">
        <f>Controle!N492</f>
        <v/>
      </c>
      <c r="O492" s="235" t="str">
        <f>Controle!O492</f>
        <v/>
      </c>
      <c r="P492" s="235" t="str">
        <f>Controle!P492</f>
        <v/>
      </c>
      <c r="Q492" s="235" t="str">
        <f>Controle!Q492</f>
        <v/>
      </c>
      <c r="R492" s="286" t="str">
        <f>Controle!R492</f>
        <v/>
      </c>
      <c r="S492" s="286"/>
      <c r="T492" s="286"/>
      <c r="U492" s="286"/>
      <c r="V492" s="286"/>
      <c r="W492" s="286"/>
      <c r="X492" s="286"/>
      <c r="Y492" s="286"/>
      <c r="Z492" s="286"/>
      <c r="AA492" s="294"/>
      <c r="AB492" s="253"/>
      <c r="AC492" s="253"/>
      <c r="AD492" s="253"/>
      <c r="AE492" s="253"/>
      <c r="AF492" s="253"/>
      <c r="AG492" s="253"/>
      <c r="AH492" s="253"/>
      <c r="AI492" s="253"/>
      <c r="AJ492" s="253"/>
      <c r="AK492" s="253"/>
      <c r="AL492" s="253"/>
      <c r="AM492" s="253"/>
      <c r="AN492" s="253"/>
      <c r="AO492" s="253"/>
      <c r="AP492" s="253"/>
      <c r="AQ492" s="253"/>
      <c r="AR492" s="253"/>
      <c r="AS492" s="253"/>
      <c r="AT492" s="2"/>
      <c r="AU492" s="2"/>
      <c r="AV492" s="2"/>
      <c r="AW492" s="2"/>
      <c r="AX492" s="2"/>
      <c r="AY492" s="253"/>
    </row>
    <row r="493" ht="15.75" customHeight="1">
      <c r="A493" s="2"/>
      <c r="B493" s="288" t="str">
        <f>Controle!B493</f>
        <v/>
      </c>
      <c r="C493" s="233" t="str">
        <f>Controle!C493</f>
        <v/>
      </c>
      <c r="D493" s="289" t="str">
        <f>Controle!D493</f>
        <v/>
      </c>
      <c r="E493" s="290"/>
      <c r="F493" s="291" t="str">
        <f>Controle!F493</f>
        <v/>
      </c>
      <c r="G493" s="289" t="str">
        <f>Controle!G493</f>
        <v/>
      </c>
      <c r="H493" s="290"/>
      <c r="I493" s="291" t="str">
        <f>Controle!I493</f>
        <v/>
      </c>
      <c r="J493" s="233" t="str">
        <f>Controle!J493</f>
        <v/>
      </c>
      <c r="K493" s="292"/>
      <c r="L493" s="233" t="str">
        <f>Controle!L493</f>
        <v/>
      </c>
      <c r="M493" s="233" t="str">
        <f>Controle!M493</f>
        <v/>
      </c>
      <c r="N493" s="235" t="str">
        <f>Controle!N493</f>
        <v/>
      </c>
      <c r="O493" s="235" t="str">
        <f>Controle!O493</f>
        <v/>
      </c>
      <c r="P493" s="235" t="str">
        <f>Controle!P493</f>
        <v/>
      </c>
      <c r="Q493" s="235" t="str">
        <f>Controle!Q493</f>
        <v/>
      </c>
      <c r="R493" s="286" t="str">
        <f>Controle!R493</f>
        <v/>
      </c>
      <c r="S493" s="286"/>
      <c r="T493" s="286"/>
      <c r="U493" s="286"/>
      <c r="V493" s="286"/>
      <c r="W493" s="286"/>
      <c r="X493" s="286"/>
      <c r="Y493" s="286"/>
      <c r="Z493" s="286"/>
      <c r="AA493" s="294"/>
      <c r="AB493" s="253"/>
      <c r="AC493" s="253"/>
      <c r="AD493" s="253"/>
      <c r="AE493" s="253"/>
      <c r="AF493" s="253"/>
      <c r="AG493" s="253"/>
      <c r="AH493" s="253"/>
      <c r="AI493" s="253"/>
      <c r="AJ493" s="253"/>
      <c r="AK493" s="253"/>
      <c r="AL493" s="253"/>
      <c r="AM493" s="253"/>
      <c r="AN493" s="253"/>
      <c r="AO493" s="253"/>
      <c r="AP493" s="253"/>
      <c r="AQ493" s="253"/>
      <c r="AR493" s="253"/>
      <c r="AS493" s="253"/>
      <c r="AT493" s="2"/>
      <c r="AU493" s="2"/>
      <c r="AV493" s="2"/>
      <c r="AW493" s="2"/>
      <c r="AX493" s="2"/>
      <c r="AY493" s="253"/>
    </row>
    <row r="494" ht="15.75" customHeight="1">
      <c r="A494" s="2"/>
      <c r="B494" s="288" t="str">
        <f>Controle!B494</f>
        <v/>
      </c>
      <c r="C494" s="233" t="str">
        <f>Controle!C494</f>
        <v/>
      </c>
      <c r="D494" s="289" t="str">
        <f>Controle!D494</f>
        <v/>
      </c>
      <c r="E494" s="290"/>
      <c r="F494" s="291" t="str">
        <f>Controle!F494</f>
        <v/>
      </c>
      <c r="G494" s="289" t="str">
        <f>Controle!G494</f>
        <v/>
      </c>
      <c r="H494" s="290"/>
      <c r="I494" s="291" t="str">
        <f>Controle!I494</f>
        <v/>
      </c>
      <c r="J494" s="233" t="str">
        <f>Controle!J494</f>
        <v/>
      </c>
      <c r="K494" s="292"/>
      <c r="L494" s="233" t="str">
        <f>Controle!L494</f>
        <v/>
      </c>
      <c r="M494" s="233" t="str">
        <f>Controle!M494</f>
        <v/>
      </c>
      <c r="N494" s="235" t="str">
        <f>Controle!N494</f>
        <v/>
      </c>
      <c r="O494" s="235" t="str">
        <f>Controle!O494</f>
        <v/>
      </c>
      <c r="P494" s="235" t="str">
        <f>Controle!P494</f>
        <v/>
      </c>
      <c r="Q494" s="235" t="str">
        <f>Controle!Q494</f>
        <v/>
      </c>
      <c r="R494" s="286" t="str">
        <f>Controle!R494</f>
        <v/>
      </c>
      <c r="S494" s="286"/>
      <c r="T494" s="286"/>
      <c r="U494" s="286"/>
      <c r="V494" s="286"/>
      <c r="W494" s="286"/>
      <c r="X494" s="286"/>
      <c r="Y494" s="286"/>
      <c r="Z494" s="286"/>
      <c r="AA494" s="294"/>
      <c r="AB494" s="253"/>
      <c r="AC494" s="253"/>
      <c r="AD494" s="253"/>
      <c r="AE494" s="253"/>
      <c r="AF494" s="253"/>
      <c r="AG494" s="253"/>
      <c r="AH494" s="253"/>
      <c r="AI494" s="253"/>
      <c r="AJ494" s="253"/>
      <c r="AK494" s="253"/>
      <c r="AL494" s="253"/>
      <c r="AM494" s="253"/>
      <c r="AN494" s="253"/>
      <c r="AO494" s="253"/>
      <c r="AP494" s="253"/>
      <c r="AQ494" s="253"/>
      <c r="AR494" s="253"/>
      <c r="AS494" s="253"/>
      <c r="AT494" s="2"/>
      <c r="AU494" s="2"/>
      <c r="AV494" s="2"/>
      <c r="AW494" s="2"/>
      <c r="AX494" s="2"/>
      <c r="AY494" s="253"/>
    </row>
    <row r="495" ht="15.75" customHeight="1">
      <c r="A495" s="2"/>
      <c r="B495" s="288" t="str">
        <f>Controle!B495</f>
        <v/>
      </c>
      <c r="C495" s="233" t="str">
        <f>Controle!C495</f>
        <v/>
      </c>
      <c r="D495" s="289" t="str">
        <f>Controle!D495</f>
        <v/>
      </c>
      <c r="E495" s="290"/>
      <c r="F495" s="291" t="str">
        <f>Controle!F495</f>
        <v/>
      </c>
      <c r="G495" s="289" t="str">
        <f>Controle!G495</f>
        <v/>
      </c>
      <c r="H495" s="290"/>
      <c r="I495" s="291" t="str">
        <f>Controle!I495</f>
        <v/>
      </c>
      <c r="J495" s="233" t="str">
        <f>Controle!J495</f>
        <v/>
      </c>
      <c r="K495" s="292"/>
      <c r="L495" s="233" t="str">
        <f>Controle!L495</f>
        <v/>
      </c>
      <c r="M495" s="233" t="str">
        <f>Controle!M495</f>
        <v/>
      </c>
      <c r="N495" s="235" t="str">
        <f>Controle!N495</f>
        <v/>
      </c>
      <c r="O495" s="235" t="str">
        <f>Controle!O495</f>
        <v/>
      </c>
      <c r="P495" s="235" t="str">
        <f>Controle!P495</f>
        <v/>
      </c>
      <c r="Q495" s="235" t="str">
        <f>Controle!Q495</f>
        <v/>
      </c>
      <c r="R495" s="286" t="str">
        <f>Controle!R495</f>
        <v/>
      </c>
      <c r="S495" s="286"/>
      <c r="T495" s="286"/>
      <c r="U495" s="286"/>
      <c r="V495" s="286"/>
      <c r="W495" s="286"/>
      <c r="X495" s="286"/>
      <c r="Y495" s="286"/>
      <c r="Z495" s="286"/>
      <c r="AA495" s="294"/>
      <c r="AB495" s="253"/>
      <c r="AC495" s="253"/>
      <c r="AD495" s="253"/>
      <c r="AE495" s="253"/>
      <c r="AF495" s="253"/>
      <c r="AG495" s="253"/>
      <c r="AH495" s="253"/>
      <c r="AI495" s="253"/>
      <c r="AJ495" s="253"/>
      <c r="AK495" s="253"/>
      <c r="AL495" s="253"/>
      <c r="AM495" s="253"/>
      <c r="AN495" s="253"/>
      <c r="AO495" s="253"/>
      <c r="AP495" s="253"/>
      <c r="AQ495" s="253"/>
      <c r="AR495" s="253"/>
      <c r="AS495" s="253"/>
      <c r="AT495" s="2"/>
      <c r="AU495" s="2"/>
      <c r="AV495" s="2"/>
      <c r="AW495" s="2"/>
      <c r="AX495" s="2"/>
      <c r="AY495" s="253"/>
    </row>
    <row r="496" ht="15.75" customHeight="1">
      <c r="A496" s="2"/>
      <c r="B496" s="288" t="str">
        <f>Controle!B496</f>
        <v/>
      </c>
      <c r="C496" s="233" t="str">
        <f>Controle!C496</f>
        <v/>
      </c>
      <c r="D496" s="289" t="str">
        <f>Controle!D496</f>
        <v/>
      </c>
      <c r="E496" s="290"/>
      <c r="F496" s="291" t="str">
        <f>Controle!F496</f>
        <v/>
      </c>
      <c r="G496" s="289" t="str">
        <f>Controle!G496</f>
        <v/>
      </c>
      <c r="H496" s="290"/>
      <c r="I496" s="291" t="str">
        <f>Controle!I496</f>
        <v/>
      </c>
      <c r="J496" s="233" t="str">
        <f>Controle!J496</f>
        <v/>
      </c>
      <c r="K496" s="292"/>
      <c r="L496" s="233" t="str">
        <f>Controle!L496</f>
        <v/>
      </c>
      <c r="M496" s="233" t="str">
        <f>Controle!M496</f>
        <v/>
      </c>
      <c r="N496" s="235" t="str">
        <f>Controle!N496</f>
        <v/>
      </c>
      <c r="O496" s="235" t="str">
        <f>Controle!O496</f>
        <v/>
      </c>
      <c r="P496" s="235" t="str">
        <f>Controle!P496</f>
        <v/>
      </c>
      <c r="Q496" s="235" t="str">
        <f>Controle!Q496</f>
        <v/>
      </c>
      <c r="R496" s="286" t="str">
        <f>Controle!R496</f>
        <v/>
      </c>
      <c r="S496" s="286"/>
      <c r="T496" s="286"/>
      <c r="U496" s="286"/>
      <c r="V496" s="286"/>
      <c r="W496" s="286"/>
      <c r="X496" s="286"/>
      <c r="Y496" s="286"/>
      <c r="Z496" s="286"/>
      <c r="AA496" s="294"/>
      <c r="AB496" s="253"/>
      <c r="AC496" s="253"/>
      <c r="AD496" s="253"/>
      <c r="AE496" s="253"/>
      <c r="AF496" s="253"/>
      <c r="AG496" s="253"/>
      <c r="AH496" s="253"/>
      <c r="AI496" s="253"/>
      <c r="AJ496" s="253"/>
      <c r="AK496" s="253"/>
      <c r="AL496" s="253"/>
      <c r="AM496" s="253"/>
      <c r="AN496" s="253"/>
      <c r="AO496" s="253"/>
      <c r="AP496" s="253"/>
      <c r="AQ496" s="253"/>
      <c r="AR496" s="253"/>
      <c r="AS496" s="253"/>
      <c r="AT496" s="2"/>
      <c r="AU496" s="2"/>
      <c r="AV496" s="2"/>
      <c r="AW496" s="2"/>
      <c r="AX496" s="2"/>
      <c r="AY496" s="253"/>
    </row>
    <row r="497" ht="15.75" customHeight="1">
      <c r="A497" s="2"/>
      <c r="B497" s="288" t="str">
        <f>Controle!B497</f>
        <v/>
      </c>
      <c r="C497" s="233" t="str">
        <f>Controle!C497</f>
        <v/>
      </c>
      <c r="D497" s="289" t="str">
        <f>Controle!D497</f>
        <v/>
      </c>
      <c r="E497" s="290"/>
      <c r="F497" s="291" t="str">
        <f>Controle!F497</f>
        <v/>
      </c>
      <c r="G497" s="289" t="str">
        <f>Controle!G497</f>
        <v/>
      </c>
      <c r="H497" s="290"/>
      <c r="I497" s="291" t="str">
        <f>Controle!I497</f>
        <v/>
      </c>
      <c r="J497" s="233" t="str">
        <f>Controle!J497</f>
        <v/>
      </c>
      <c r="K497" s="292"/>
      <c r="L497" s="233" t="str">
        <f>Controle!L497</f>
        <v/>
      </c>
      <c r="M497" s="233" t="str">
        <f>Controle!M497</f>
        <v/>
      </c>
      <c r="N497" s="235" t="str">
        <f>Controle!N497</f>
        <v/>
      </c>
      <c r="O497" s="235" t="str">
        <f>Controle!O497</f>
        <v/>
      </c>
      <c r="P497" s="235" t="str">
        <f>Controle!P497</f>
        <v/>
      </c>
      <c r="Q497" s="235" t="str">
        <f>Controle!Q497</f>
        <v/>
      </c>
      <c r="R497" s="286" t="str">
        <f>Controle!R497</f>
        <v/>
      </c>
      <c r="S497" s="286"/>
      <c r="T497" s="286"/>
      <c r="U497" s="286"/>
      <c r="V497" s="286"/>
      <c r="W497" s="286"/>
      <c r="X497" s="286"/>
      <c r="Y497" s="286"/>
      <c r="Z497" s="286"/>
      <c r="AA497" s="294"/>
      <c r="AB497" s="253"/>
      <c r="AC497" s="253"/>
      <c r="AD497" s="253"/>
      <c r="AE497" s="253"/>
      <c r="AF497" s="253"/>
      <c r="AG497" s="253"/>
      <c r="AH497" s="253"/>
      <c r="AI497" s="253"/>
      <c r="AJ497" s="253"/>
      <c r="AK497" s="253"/>
      <c r="AL497" s="253"/>
      <c r="AM497" s="253"/>
      <c r="AN497" s="253"/>
      <c r="AO497" s="253"/>
      <c r="AP497" s="253"/>
      <c r="AQ497" s="253"/>
      <c r="AR497" s="253"/>
      <c r="AS497" s="253"/>
      <c r="AT497" s="2"/>
      <c r="AU497" s="2"/>
      <c r="AV497" s="2"/>
      <c r="AW497" s="2"/>
      <c r="AX497" s="2"/>
      <c r="AY497" s="253"/>
    </row>
    <row r="498" ht="15.75" customHeight="1">
      <c r="A498" s="2"/>
      <c r="B498" s="288" t="str">
        <f>Controle!B498</f>
        <v/>
      </c>
      <c r="C498" s="233" t="str">
        <f>Controle!C498</f>
        <v/>
      </c>
      <c r="D498" s="289" t="str">
        <f>Controle!D498</f>
        <v/>
      </c>
      <c r="E498" s="290"/>
      <c r="F498" s="291" t="str">
        <f>Controle!F498</f>
        <v/>
      </c>
      <c r="G498" s="289" t="str">
        <f>Controle!G498</f>
        <v/>
      </c>
      <c r="H498" s="290"/>
      <c r="I498" s="291" t="str">
        <f>Controle!I498</f>
        <v/>
      </c>
      <c r="J498" s="233" t="str">
        <f>Controle!J498</f>
        <v/>
      </c>
      <c r="K498" s="292"/>
      <c r="L498" s="233" t="str">
        <f>Controle!L498</f>
        <v/>
      </c>
      <c r="M498" s="233" t="str">
        <f>Controle!M498</f>
        <v/>
      </c>
      <c r="N498" s="235" t="str">
        <f>Controle!N498</f>
        <v/>
      </c>
      <c r="O498" s="235" t="str">
        <f>Controle!O498</f>
        <v/>
      </c>
      <c r="P498" s="235" t="str">
        <f>Controle!P498</f>
        <v/>
      </c>
      <c r="Q498" s="235" t="str">
        <f>Controle!Q498</f>
        <v/>
      </c>
      <c r="R498" s="286" t="str">
        <f>Controle!R498</f>
        <v/>
      </c>
      <c r="S498" s="286"/>
      <c r="T498" s="286"/>
      <c r="U498" s="286"/>
      <c r="V498" s="286"/>
      <c r="W498" s="286"/>
      <c r="X498" s="286"/>
      <c r="Y498" s="286"/>
      <c r="Z498" s="286"/>
      <c r="AA498" s="294"/>
      <c r="AB498" s="253"/>
      <c r="AC498" s="253"/>
      <c r="AD498" s="253"/>
      <c r="AE498" s="253"/>
      <c r="AF498" s="253"/>
      <c r="AG498" s="253"/>
      <c r="AH498" s="253"/>
      <c r="AI498" s="253"/>
      <c r="AJ498" s="253"/>
      <c r="AK498" s="253"/>
      <c r="AL498" s="253"/>
      <c r="AM498" s="253"/>
      <c r="AN498" s="253"/>
      <c r="AO498" s="253"/>
      <c r="AP498" s="253"/>
      <c r="AQ498" s="253"/>
      <c r="AR498" s="253"/>
      <c r="AS498" s="253"/>
      <c r="AT498" s="2"/>
      <c r="AU498" s="2"/>
      <c r="AV498" s="2"/>
      <c r="AW498" s="2"/>
      <c r="AX498" s="2"/>
      <c r="AY498" s="253"/>
    </row>
    <row r="499" ht="15.75" customHeight="1">
      <c r="A499" s="2"/>
      <c r="B499" s="288" t="str">
        <f>Controle!B499</f>
        <v/>
      </c>
      <c r="C499" s="233" t="str">
        <f>Controle!C499</f>
        <v/>
      </c>
      <c r="D499" s="289" t="str">
        <f>Controle!D499</f>
        <v/>
      </c>
      <c r="E499" s="290"/>
      <c r="F499" s="291" t="str">
        <f>Controle!F499</f>
        <v/>
      </c>
      <c r="G499" s="289" t="str">
        <f>Controle!G499</f>
        <v/>
      </c>
      <c r="H499" s="290"/>
      <c r="I499" s="291" t="str">
        <f>Controle!I499</f>
        <v/>
      </c>
      <c r="J499" s="233" t="str">
        <f>Controle!J499</f>
        <v/>
      </c>
      <c r="K499" s="292"/>
      <c r="L499" s="233" t="str">
        <f>Controle!L499</f>
        <v/>
      </c>
      <c r="M499" s="233" t="str">
        <f>Controle!M499</f>
        <v/>
      </c>
      <c r="N499" s="235" t="str">
        <f>Controle!N499</f>
        <v/>
      </c>
      <c r="O499" s="235" t="str">
        <f>Controle!O499</f>
        <v/>
      </c>
      <c r="P499" s="235" t="str">
        <f>Controle!P499</f>
        <v/>
      </c>
      <c r="Q499" s="235" t="str">
        <f>Controle!Q499</f>
        <v/>
      </c>
      <c r="R499" s="286" t="str">
        <f>Controle!R499</f>
        <v/>
      </c>
      <c r="S499" s="286"/>
      <c r="T499" s="286"/>
      <c r="U499" s="286"/>
      <c r="V499" s="286"/>
      <c r="W499" s="286"/>
      <c r="X499" s="286"/>
      <c r="Y499" s="286"/>
      <c r="Z499" s="286"/>
      <c r="AA499" s="294"/>
      <c r="AB499" s="253"/>
      <c r="AC499" s="253"/>
      <c r="AD499" s="253"/>
      <c r="AE499" s="253"/>
      <c r="AF499" s="253"/>
      <c r="AG499" s="253"/>
      <c r="AH499" s="253"/>
      <c r="AI499" s="253"/>
      <c r="AJ499" s="253"/>
      <c r="AK499" s="253"/>
      <c r="AL499" s="253"/>
      <c r="AM499" s="253"/>
      <c r="AN499" s="253"/>
      <c r="AO499" s="253"/>
      <c r="AP499" s="253"/>
      <c r="AQ499" s="253"/>
      <c r="AR499" s="253"/>
      <c r="AS499" s="253"/>
      <c r="AT499" s="2"/>
      <c r="AU499" s="2"/>
      <c r="AV499" s="2"/>
      <c r="AW499" s="2"/>
      <c r="AX499" s="2"/>
      <c r="AY499" s="253"/>
    </row>
    <row r="500" ht="15.75" customHeight="1">
      <c r="A500" s="2"/>
      <c r="B500" s="288" t="str">
        <f>Controle!B500</f>
        <v/>
      </c>
      <c r="C500" s="233" t="str">
        <f>Controle!C500</f>
        <v/>
      </c>
      <c r="D500" s="289" t="str">
        <f>Controle!D500</f>
        <v/>
      </c>
      <c r="E500" s="290"/>
      <c r="F500" s="291" t="str">
        <f>Controle!F500</f>
        <v/>
      </c>
      <c r="G500" s="289" t="str">
        <f>Controle!G500</f>
        <v/>
      </c>
      <c r="H500" s="290"/>
      <c r="I500" s="291" t="str">
        <f>Controle!I500</f>
        <v/>
      </c>
      <c r="J500" s="233" t="str">
        <f>Controle!J500</f>
        <v/>
      </c>
      <c r="K500" s="292"/>
      <c r="L500" s="233" t="str">
        <f>Controle!L500</f>
        <v/>
      </c>
      <c r="M500" s="233" t="str">
        <f>Controle!M500</f>
        <v/>
      </c>
      <c r="N500" s="235" t="str">
        <f>Controle!N500</f>
        <v/>
      </c>
      <c r="O500" s="235" t="str">
        <f>Controle!O500</f>
        <v/>
      </c>
      <c r="P500" s="235" t="str">
        <f>Controle!P500</f>
        <v/>
      </c>
      <c r="Q500" s="235" t="str">
        <f>Controle!Q500</f>
        <v/>
      </c>
      <c r="R500" s="286" t="str">
        <f>Controle!R500</f>
        <v/>
      </c>
      <c r="S500" s="286"/>
      <c r="T500" s="286"/>
      <c r="U500" s="286"/>
      <c r="V500" s="286"/>
      <c r="W500" s="286"/>
      <c r="X500" s="286"/>
      <c r="Y500" s="286"/>
      <c r="Z500" s="286"/>
      <c r="AA500" s="294"/>
      <c r="AB500" s="253"/>
      <c r="AC500" s="253"/>
      <c r="AD500" s="253"/>
      <c r="AE500" s="253"/>
      <c r="AF500" s="253"/>
      <c r="AG500" s="253"/>
      <c r="AH500" s="253"/>
      <c r="AI500" s="253"/>
      <c r="AJ500" s="253"/>
      <c r="AK500" s="253"/>
      <c r="AL500" s="253"/>
      <c r="AM500" s="253"/>
      <c r="AN500" s="253"/>
      <c r="AO500" s="253"/>
      <c r="AP500" s="253"/>
      <c r="AQ500" s="253"/>
      <c r="AR500" s="253"/>
      <c r="AS500" s="253"/>
      <c r="AT500" s="2"/>
      <c r="AU500" s="2"/>
      <c r="AV500" s="2"/>
      <c r="AW500" s="2"/>
      <c r="AX500" s="2"/>
      <c r="AY500" s="253"/>
    </row>
    <row r="501" ht="15.75" customHeight="1">
      <c r="A501" s="2"/>
      <c r="B501" s="288" t="str">
        <f>Controle!B501</f>
        <v/>
      </c>
      <c r="C501" s="233" t="str">
        <f>Controle!C501</f>
        <v/>
      </c>
      <c r="D501" s="289" t="str">
        <f>Controle!D501</f>
        <v/>
      </c>
      <c r="E501" s="290"/>
      <c r="F501" s="291" t="str">
        <f>Controle!F501</f>
        <v/>
      </c>
      <c r="G501" s="289" t="str">
        <f>Controle!G501</f>
        <v/>
      </c>
      <c r="H501" s="290"/>
      <c r="I501" s="291" t="str">
        <f>Controle!I501</f>
        <v/>
      </c>
      <c r="J501" s="233" t="str">
        <f>Controle!J501</f>
        <v/>
      </c>
      <c r="K501" s="292"/>
      <c r="L501" s="233" t="str">
        <f>Controle!L501</f>
        <v/>
      </c>
      <c r="M501" s="233" t="str">
        <f>Controle!M501</f>
        <v/>
      </c>
      <c r="N501" s="235" t="str">
        <f>Controle!N501</f>
        <v/>
      </c>
      <c r="O501" s="235" t="str">
        <f>Controle!O501</f>
        <v/>
      </c>
      <c r="P501" s="235" t="str">
        <f>Controle!P501</f>
        <v/>
      </c>
      <c r="Q501" s="235" t="str">
        <f>Controle!Q501</f>
        <v/>
      </c>
      <c r="R501" s="286" t="str">
        <f>Controle!R501</f>
        <v/>
      </c>
      <c r="S501" s="286"/>
      <c r="T501" s="286"/>
      <c r="U501" s="286"/>
      <c r="V501" s="286"/>
      <c r="W501" s="286"/>
      <c r="X501" s="286"/>
      <c r="Y501" s="286"/>
      <c r="Z501" s="286"/>
      <c r="AA501" s="294"/>
      <c r="AB501" s="253"/>
      <c r="AC501" s="253"/>
      <c r="AD501" s="253"/>
      <c r="AE501" s="253"/>
      <c r="AF501" s="253"/>
      <c r="AG501" s="253"/>
      <c r="AH501" s="253"/>
      <c r="AI501" s="253"/>
      <c r="AJ501" s="253"/>
      <c r="AK501" s="253"/>
      <c r="AL501" s="253"/>
      <c r="AM501" s="253"/>
      <c r="AN501" s="253"/>
      <c r="AO501" s="253"/>
      <c r="AP501" s="253"/>
      <c r="AQ501" s="253"/>
      <c r="AR501" s="253"/>
      <c r="AS501" s="253"/>
      <c r="AT501" s="2"/>
      <c r="AU501" s="2"/>
      <c r="AV501" s="2"/>
      <c r="AW501" s="2"/>
      <c r="AX501" s="2"/>
      <c r="AY501" s="253"/>
    </row>
    <row r="502" ht="15.75" customHeight="1">
      <c r="A502" s="2"/>
      <c r="B502" s="288" t="str">
        <f>Controle!B502</f>
        <v/>
      </c>
      <c r="C502" s="233" t="str">
        <f>Controle!C502</f>
        <v/>
      </c>
      <c r="D502" s="289" t="str">
        <f>Controle!D502</f>
        <v/>
      </c>
      <c r="E502" s="290"/>
      <c r="F502" s="291" t="str">
        <f>Controle!F502</f>
        <v/>
      </c>
      <c r="G502" s="289" t="str">
        <f>Controle!G502</f>
        <v/>
      </c>
      <c r="H502" s="290"/>
      <c r="I502" s="291" t="str">
        <f>Controle!I502</f>
        <v/>
      </c>
      <c r="J502" s="233" t="str">
        <f>Controle!J502</f>
        <v/>
      </c>
      <c r="K502" s="292"/>
      <c r="L502" s="233" t="str">
        <f>Controle!L502</f>
        <v/>
      </c>
      <c r="M502" s="233" t="str">
        <f>Controle!M502</f>
        <v/>
      </c>
      <c r="N502" s="235" t="str">
        <f>Controle!N502</f>
        <v/>
      </c>
      <c r="O502" s="235" t="str">
        <f>Controle!O502</f>
        <v/>
      </c>
      <c r="P502" s="235" t="str">
        <f>Controle!P502</f>
        <v/>
      </c>
      <c r="Q502" s="235" t="str">
        <f>Controle!Q502</f>
        <v/>
      </c>
      <c r="R502" s="286" t="str">
        <f>Controle!R502</f>
        <v/>
      </c>
      <c r="S502" s="286"/>
      <c r="T502" s="286"/>
      <c r="U502" s="286"/>
      <c r="V502" s="286"/>
      <c r="W502" s="286"/>
      <c r="X502" s="286"/>
      <c r="Y502" s="286"/>
      <c r="Z502" s="286"/>
      <c r="AA502" s="294"/>
      <c r="AB502" s="253"/>
      <c r="AC502" s="253"/>
      <c r="AD502" s="253"/>
      <c r="AE502" s="253"/>
      <c r="AF502" s="253"/>
      <c r="AG502" s="253"/>
      <c r="AH502" s="253"/>
      <c r="AI502" s="253"/>
      <c r="AJ502" s="253"/>
      <c r="AK502" s="253"/>
      <c r="AL502" s="253"/>
      <c r="AM502" s="253"/>
      <c r="AN502" s="253"/>
      <c r="AO502" s="253"/>
      <c r="AP502" s="253"/>
      <c r="AQ502" s="253"/>
      <c r="AR502" s="253"/>
      <c r="AS502" s="253"/>
      <c r="AT502" s="2"/>
      <c r="AU502" s="2"/>
      <c r="AV502" s="2"/>
      <c r="AW502" s="2"/>
      <c r="AX502" s="2"/>
      <c r="AY502" s="253"/>
    </row>
    <row r="503" ht="15.75" customHeight="1">
      <c r="A503" s="2"/>
      <c r="B503" s="288" t="str">
        <f>Controle!B503</f>
        <v/>
      </c>
      <c r="C503" s="233" t="str">
        <f>Controle!C503</f>
        <v/>
      </c>
      <c r="D503" s="289" t="str">
        <f>Controle!D503</f>
        <v/>
      </c>
      <c r="E503" s="290"/>
      <c r="F503" s="291" t="str">
        <f>Controle!F503</f>
        <v/>
      </c>
      <c r="G503" s="289" t="str">
        <f>Controle!G503</f>
        <v/>
      </c>
      <c r="H503" s="290"/>
      <c r="I503" s="291" t="str">
        <f>Controle!I503</f>
        <v/>
      </c>
      <c r="J503" s="233" t="str">
        <f>Controle!J503</f>
        <v/>
      </c>
      <c r="K503" s="292"/>
      <c r="L503" s="233" t="str">
        <f>Controle!L503</f>
        <v/>
      </c>
      <c r="M503" s="233" t="str">
        <f>Controle!M503</f>
        <v/>
      </c>
      <c r="N503" s="235" t="str">
        <f>Controle!N503</f>
        <v/>
      </c>
      <c r="O503" s="235" t="str">
        <f>Controle!O503</f>
        <v/>
      </c>
      <c r="P503" s="235" t="str">
        <f>Controle!P503</f>
        <v/>
      </c>
      <c r="Q503" s="235" t="str">
        <f>Controle!Q503</f>
        <v/>
      </c>
      <c r="R503" s="286" t="str">
        <f>Controle!R503</f>
        <v/>
      </c>
      <c r="S503" s="286"/>
      <c r="T503" s="286"/>
      <c r="U503" s="286"/>
      <c r="V503" s="286"/>
      <c r="W503" s="286"/>
      <c r="X503" s="286"/>
      <c r="Y503" s="286"/>
      <c r="Z503" s="286"/>
      <c r="AA503" s="294"/>
      <c r="AB503" s="253"/>
      <c r="AC503" s="253"/>
      <c r="AD503" s="253"/>
      <c r="AE503" s="253"/>
      <c r="AF503" s="253"/>
      <c r="AG503" s="253"/>
      <c r="AH503" s="253"/>
      <c r="AI503" s="253"/>
      <c r="AJ503" s="253"/>
      <c r="AK503" s="253"/>
      <c r="AL503" s="253"/>
      <c r="AM503" s="253"/>
      <c r="AN503" s="253"/>
      <c r="AO503" s="253"/>
      <c r="AP503" s="253"/>
      <c r="AQ503" s="253"/>
      <c r="AR503" s="253"/>
      <c r="AS503" s="253"/>
      <c r="AT503" s="2"/>
      <c r="AU503" s="2"/>
      <c r="AV503" s="2"/>
      <c r="AW503" s="2"/>
      <c r="AX503" s="2"/>
      <c r="AY503" s="253"/>
    </row>
    <row r="504" ht="15.75" customHeight="1">
      <c r="A504" s="2"/>
      <c r="B504" s="288" t="str">
        <f>Controle!B504</f>
        <v/>
      </c>
      <c r="C504" s="233" t="str">
        <f>Controle!C504</f>
        <v/>
      </c>
      <c r="D504" s="289" t="str">
        <f>Controle!D504</f>
        <v/>
      </c>
      <c r="E504" s="290"/>
      <c r="F504" s="291" t="str">
        <f>Controle!F504</f>
        <v/>
      </c>
      <c r="G504" s="289" t="str">
        <f>Controle!G504</f>
        <v/>
      </c>
      <c r="H504" s="290"/>
      <c r="I504" s="291" t="str">
        <f>Controle!I504</f>
        <v/>
      </c>
      <c r="J504" s="233" t="str">
        <f>Controle!J504</f>
        <v/>
      </c>
      <c r="K504" s="292"/>
      <c r="L504" s="233" t="str">
        <f>Controle!L504</f>
        <v/>
      </c>
      <c r="M504" s="233" t="str">
        <f>Controle!M504</f>
        <v/>
      </c>
      <c r="N504" s="235" t="str">
        <f>Controle!N504</f>
        <v/>
      </c>
      <c r="O504" s="235" t="str">
        <f>Controle!O504</f>
        <v/>
      </c>
      <c r="P504" s="235" t="str">
        <f>Controle!P504</f>
        <v/>
      </c>
      <c r="Q504" s="235" t="str">
        <f>Controle!Q504</f>
        <v/>
      </c>
      <c r="R504" s="286" t="str">
        <f>Controle!R504</f>
        <v/>
      </c>
      <c r="S504" s="286"/>
      <c r="T504" s="286"/>
      <c r="U504" s="286"/>
      <c r="V504" s="286"/>
      <c r="W504" s="286"/>
      <c r="X504" s="286"/>
      <c r="Y504" s="286"/>
      <c r="Z504" s="286"/>
      <c r="AA504" s="294"/>
      <c r="AB504" s="253"/>
      <c r="AC504" s="253"/>
      <c r="AD504" s="253"/>
      <c r="AE504" s="253"/>
      <c r="AF504" s="253"/>
      <c r="AG504" s="253"/>
      <c r="AH504" s="253"/>
      <c r="AI504" s="253"/>
      <c r="AJ504" s="253"/>
      <c r="AK504" s="253"/>
      <c r="AL504" s="253"/>
      <c r="AM504" s="253"/>
      <c r="AN504" s="253"/>
      <c r="AO504" s="253"/>
      <c r="AP504" s="253"/>
      <c r="AQ504" s="253"/>
      <c r="AR504" s="253"/>
      <c r="AS504" s="253"/>
      <c r="AT504" s="2"/>
      <c r="AU504" s="2"/>
      <c r="AV504" s="2"/>
      <c r="AW504" s="2"/>
      <c r="AX504" s="2"/>
      <c r="AY504" s="253"/>
    </row>
    <row r="505" ht="15.75" customHeight="1">
      <c r="A505" s="2"/>
      <c r="B505" s="288" t="str">
        <f>Controle!B505</f>
        <v/>
      </c>
      <c r="C505" s="233" t="str">
        <f>Controle!C505</f>
        <v/>
      </c>
      <c r="D505" s="289" t="str">
        <f>Controle!D505</f>
        <v/>
      </c>
      <c r="E505" s="290"/>
      <c r="F505" s="291" t="str">
        <f>Controle!F505</f>
        <v/>
      </c>
      <c r="G505" s="289" t="str">
        <f>Controle!G505</f>
        <v/>
      </c>
      <c r="H505" s="290"/>
      <c r="I505" s="291" t="str">
        <f>Controle!I505</f>
        <v/>
      </c>
      <c r="J505" s="233" t="str">
        <f>Controle!J505</f>
        <v/>
      </c>
      <c r="K505" s="292"/>
      <c r="L505" s="233" t="str">
        <f>Controle!L505</f>
        <v/>
      </c>
      <c r="M505" s="233" t="str">
        <f>Controle!M505</f>
        <v/>
      </c>
      <c r="N505" s="235" t="str">
        <f>Controle!N505</f>
        <v/>
      </c>
      <c r="O505" s="235" t="str">
        <f>Controle!O505</f>
        <v/>
      </c>
      <c r="P505" s="235" t="str">
        <f>Controle!P505</f>
        <v/>
      </c>
      <c r="Q505" s="235" t="str">
        <f>Controle!Q505</f>
        <v/>
      </c>
      <c r="R505" s="286" t="str">
        <f>Controle!R505</f>
        <v/>
      </c>
      <c r="S505" s="286"/>
      <c r="T505" s="286"/>
      <c r="U505" s="286"/>
      <c r="V505" s="286"/>
      <c r="W505" s="286"/>
      <c r="X505" s="286"/>
      <c r="Y505" s="286"/>
      <c r="Z505" s="286"/>
      <c r="AA505" s="294"/>
      <c r="AB505" s="253"/>
      <c r="AC505" s="253"/>
      <c r="AD505" s="253"/>
      <c r="AE505" s="253"/>
      <c r="AF505" s="253"/>
      <c r="AG505" s="253"/>
      <c r="AH505" s="253"/>
      <c r="AI505" s="253"/>
      <c r="AJ505" s="253"/>
      <c r="AK505" s="253"/>
      <c r="AL505" s="253"/>
      <c r="AM505" s="253"/>
      <c r="AN505" s="253"/>
      <c r="AO505" s="253"/>
      <c r="AP505" s="253"/>
      <c r="AQ505" s="253"/>
      <c r="AR505" s="253"/>
      <c r="AS505" s="253"/>
      <c r="AT505" s="2"/>
      <c r="AU505" s="2"/>
      <c r="AV505" s="2"/>
      <c r="AW505" s="2"/>
      <c r="AX505" s="2"/>
      <c r="AY505" s="253"/>
    </row>
    <row r="506" ht="15.75" customHeight="1">
      <c r="A506" s="2"/>
      <c r="B506" s="288" t="str">
        <f>Controle!B506</f>
        <v/>
      </c>
      <c r="C506" s="233" t="str">
        <f>Controle!C506</f>
        <v/>
      </c>
      <c r="D506" s="289" t="str">
        <f>Controle!D506</f>
        <v/>
      </c>
      <c r="E506" s="290"/>
      <c r="F506" s="291" t="str">
        <f>Controle!F506</f>
        <v/>
      </c>
      <c r="G506" s="289" t="str">
        <f>Controle!G506</f>
        <v/>
      </c>
      <c r="H506" s="290"/>
      <c r="I506" s="291" t="str">
        <f>Controle!I506</f>
        <v/>
      </c>
      <c r="J506" s="233" t="str">
        <f>Controle!J506</f>
        <v/>
      </c>
      <c r="K506" s="292"/>
      <c r="L506" s="233" t="str">
        <f>Controle!L506</f>
        <v/>
      </c>
      <c r="M506" s="233" t="str">
        <f>Controle!M506</f>
        <v/>
      </c>
      <c r="N506" s="235" t="str">
        <f>Controle!N506</f>
        <v/>
      </c>
      <c r="O506" s="235" t="str">
        <f>Controle!O506</f>
        <v/>
      </c>
      <c r="P506" s="235" t="str">
        <f>Controle!P506</f>
        <v/>
      </c>
      <c r="Q506" s="235" t="str">
        <f>Controle!Q506</f>
        <v/>
      </c>
      <c r="R506" s="286" t="str">
        <f>Controle!R506</f>
        <v/>
      </c>
      <c r="S506" s="286"/>
      <c r="T506" s="286"/>
      <c r="U506" s="286"/>
      <c r="V506" s="286"/>
      <c r="W506" s="286"/>
      <c r="X506" s="286"/>
      <c r="Y506" s="286"/>
      <c r="Z506" s="286"/>
      <c r="AA506" s="294"/>
      <c r="AB506" s="253"/>
      <c r="AC506" s="253"/>
      <c r="AD506" s="253"/>
      <c r="AE506" s="253"/>
      <c r="AF506" s="253"/>
      <c r="AG506" s="253"/>
      <c r="AH506" s="253"/>
      <c r="AI506" s="253"/>
      <c r="AJ506" s="253"/>
      <c r="AK506" s="253"/>
      <c r="AL506" s="253"/>
      <c r="AM506" s="253"/>
      <c r="AN506" s="253"/>
      <c r="AO506" s="253"/>
      <c r="AP506" s="253"/>
      <c r="AQ506" s="253"/>
      <c r="AR506" s="253"/>
      <c r="AS506" s="253"/>
      <c r="AT506" s="2"/>
      <c r="AU506" s="2"/>
      <c r="AV506" s="2"/>
      <c r="AW506" s="2"/>
      <c r="AX506" s="2"/>
      <c r="AY506" s="253"/>
    </row>
    <row r="507" ht="15.75" customHeight="1">
      <c r="A507" s="2"/>
      <c r="B507" s="288" t="str">
        <f>Controle!B507</f>
        <v/>
      </c>
      <c r="C507" s="233" t="str">
        <f>Controle!C507</f>
        <v/>
      </c>
      <c r="D507" s="289" t="str">
        <f>Controle!D507</f>
        <v/>
      </c>
      <c r="E507" s="290"/>
      <c r="F507" s="291" t="str">
        <f>Controle!F507</f>
        <v/>
      </c>
      <c r="G507" s="289" t="str">
        <f>Controle!G507</f>
        <v/>
      </c>
      <c r="H507" s="290"/>
      <c r="I507" s="291" t="str">
        <f>Controle!I507</f>
        <v/>
      </c>
      <c r="J507" s="233" t="str">
        <f>Controle!J507</f>
        <v/>
      </c>
      <c r="K507" s="292"/>
      <c r="L507" s="233" t="str">
        <f>Controle!L507</f>
        <v/>
      </c>
      <c r="M507" s="233" t="str">
        <f>Controle!M507</f>
        <v/>
      </c>
      <c r="N507" s="235" t="str">
        <f>Controle!N507</f>
        <v/>
      </c>
      <c r="O507" s="235" t="str">
        <f>Controle!O507</f>
        <v/>
      </c>
      <c r="P507" s="235" t="str">
        <f>Controle!P507</f>
        <v/>
      </c>
      <c r="Q507" s="235" t="str">
        <f>Controle!Q507</f>
        <v/>
      </c>
      <c r="R507" s="286" t="str">
        <f>Controle!R507</f>
        <v/>
      </c>
      <c r="S507" s="286"/>
      <c r="T507" s="286"/>
      <c r="U507" s="286"/>
      <c r="V507" s="286"/>
      <c r="W507" s="286"/>
      <c r="X507" s="286"/>
      <c r="Y507" s="286"/>
      <c r="Z507" s="286"/>
      <c r="AA507" s="294"/>
      <c r="AB507" s="253"/>
      <c r="AC507" s="253"/>
      <c r="AD507" s="253"/>
      <c r="AE507" s="253"/>
      <c r="AF507" s="253"/>
      <c r="AG507" s="253"/>
      <c r="AH507" s="253"/>
      <c r="AI507" s="253"/>
      <c r="AJ507" s="253"/>
      <c r="AK507" s="253"/>
      <c r="AL507" s="253"/>
      <c r="AM507" s="253"/>
      <c r="AN507" s="253"/>
      <c r="AO507" s="253"/>
      <c r="AP507" s="253"/>
      <c r="AQ507" s="253"/>
      <c r="AR507" s="253"/>
      <c r="AS507" s="253"/>
      <c r="AT507" s="2"/>
      <c r="AU507" s="2"/>
      <c r="AV507" s="2"/>
      <c r="AW507" s="2"/>
      <c r="AX507" s="2"/>
      <c r="AY507" s="253"/>
    </row>
    <row r="508" ht="15.75" customHeight="1">
      <c r="A508" s="2"/>
      <c r="B508" s="288" t="str">
        <f>Controle!B508</f>
        <v/>
      </c>
      <c r="C508" s="233" t="str">
        <f>Controle!C508</f>
        <v/>
      </c>
      <c r="D508" s="289" t="str">
        <f>Controle!D508</f>
        <v/>
      </c>
      <c r="E508" s="290"/>
      <c r="F508" s="291" t="str">
        <f>Controle!F508</f>
        <v/>
      </c>
      <c r="G508" s="289" t="str">
        <f>Controle!G508</f>
        <v/>
      </c>
      <c r="H508" s="290"/>
      <c r="I508" s="291" t="str">
        <f>Controle!I508</f>
        <v/>
      </c>
      <c r="J508" s="233" t="str">
        <f>Controle!J508</f>
        <v/>
      </c>
      <c r="K508" s="292"/>
      <c r="L508" s="233" t="str">
        <f>Controle!L508</f>
        <v/>
      </c>
      <c r="M508" s="233" t="str">
        <f>Controle!M508</f>
        <v/>
      </c>
      <c r="N508" s="235" t="str">
        <f>Controle!N508</f>
        <v/>
      </c>
      <c r="O508" s="235" t="str">
        <f>Controle!O508</f>
        <v/>
      </c>
      <c r="P508" s="235" t="str">
        <f>Controle!P508</f>
        <v/>
      </c>
      <c r="Q508" s="235" t="str">
        <f>Controle!Q508</f>
        <v/>
      </c>
      <c r="R508" s="286" t="str">
        <f>Controle!R508</f>
        <v/>
      </c>
      <c r="S508" s="286"/>
      <c r="T508" s="286"/>
      <c r="U508" s="286"/>
      <c r="V508" s="286"/>
      <c r="W508" s="286"/>
      <c r="X508" s="286"/>
      <c r="Y508" s="286"/>
      <c r="Z508" s="286"/>
      <c r="AA508" s="294"/>
      <c r="AB508" s="253"/>
      <c r="AC508" s="253"/>
      <c r="AD508" s="253"/>
      <c r="AE508" s="253"/>
      <c r="AF508" s="253"/>
      <c r="AG508" s="253"/>
      <c r="AH508" s="253"/>
      <c r="AI508" s="253"/>
      <c r="AJ508" s="253"/>
      <c r="AK508" s="253"/>
      <c r="AL508" s="253"/>
      <c r="AM508" s="253"/>
      <c r="AN508" s="253"/>
      <c r="AO508" s="253"/>
      <c r="AP508" s="253"/>
      <c r="AQ508" s="253"/>
      <c r="AR508" s="253"/>
      <c r="AS508" s="253"/>
      <c r="AT508" s="2"/>
      <c r="AU508" s="2"/>
      <c r="AV508" s="2"/>
      <c r="AW508" s="2"/>
      <c r="AX508" s="2"/>
      <c r="AY508" s="253"/>
    </row>
    <row r="509" ht="15.75" customHeight="1">
      <c r="A509" s="2"/>
      <c r="B509" s="288" t="str">
        <f>Controle!B509</f>
        <v/>
      </c>
      <c r="C509" s="233" t="str">
        <f>Controle!C509</f>
        <v/>
      </c>
      <c r="D509" s="289" t="str">
        <f>Controle!D509</f>
        <v/>
      </c>
      <c r="E509" s="290"/>
      <c r="F509" s="291" t="str">
        <f>Controle!F509</f>
        <v/>
      </c>
      <c r="G509" s="289" t="str">
        <f>Controle!G509</f>
        <v/>
      </c>
      <c r="H509" s="290"/>
      <c r="I509" s="291" t="str">
        <f>Controle!I509</f>
        <v/>
      </c>
      <c r="J509" s="233" t="str">
        <f>Controle!J509</f>
        <v/>
      </c>
      <c r="K509" s="292"/>
      <c r="L509" s="233" t="str">
        <f>Controle!L509</f>
        <v/>
      </c>
      <c r="M509" s="233" t="str">
        <f>Controle!M509</f>
        <v/>
      </c>
      <c r="N509" s="235" t="str">
        <f>Controle!N509</f>
        <v/>
      </c>
      <c r="O509" s="235" t="str">
        <f>Controle!O509</f>
        <v/>
      </c>
      <c r="P509" s="235" t="str">
        <f>Controle!P509</f>
        <v/>
      </c>
      <c r="Q509" s="235" t="str">
        <f>Controle!Q509</f>
        <v/>
      </c>
      <c r="R509" s="286" t="str">
        <f>Controle!R509</f>
        <v/>
      </c>
      <c r="S509" s="286"/>
      <c r="T509" s="286"/>
      <c r="U509" s="286"/>
      <c r="V509" s="286"/>
      <c r="W509" s="286"/>
      <c r="X509" s="286"/>
      <c r="Y509" s="286"/>
      <c r="Z509" s="286"/>
      <c r="AA509" s="294"/>
      <c r="AB509" s="253"/>
      <c r="AC509" s="253"/>
      <c r="AD509" s="253"/>
      <c r="AE509" s="253"/>
      <c r="AF509" s="253"/>
      <c r="AG509" s="253"/>
      <c r="AH509" s="253"/>
      <c r="AI509" s="253"/>
      <c r="AJ509" s="253"/>
      <c r="AK509" s="253"/>
      <c r="AL509" s="253"/>
      <c r="AM509" s="253"/>
      <c r="AN509" s="253"/>
      <c r="AO509" s="253"/>
      <c r="AP509" s="253"/>
      <c r="AQ509" s="253"/>
      <c r="AR509" s="253"/>
      <c r="AS509" s="253"/>
      <c r="AT509" s="2"/>
      <c r="AU509" s="2"/>
      <c r="AV509" s="2"/>
      <c r="AW509" s="2"/>
      <c r="AX509" s="2"/>
      <c r="AY509" s="253"/>
    </row>
    <row r="510" ht="15.75" customHeight="1">
      <c r="A510" s="2"/>
      <c r="B510" s="288" t="str">
        <f>Controle!B510</f>
        <v/>
      </c>
      <c r="C510" s="233" t="str">
        <f>Controle!C510</f>
        <v/>
      </c>
      <c r="D510" s="289" t="str">
        <f>Controle!D510</f>
        <v/>
      </c>
      <c r="E510" s="290"/>
      <c r="F510" s="291" t="str">
        <f>Controle!F510</f>
        <v/>
      </c>
      <c r="G510" s="289" t="str">
        <f>Controle!G510</f>
        <v/>
      </c>
      <c r="H510" s="290"/>
      <c r="I510" s="291" t="str">
        <f>Controle!I510</f>
        <v/>
      </c>
      <c r="J510" s="233" t="str">
        <f>Controle!J510</f>
        <v/>
      </c>
      <c r="K510" s="292"/>
      <c r="L510" s="233" t="str">
        <f>Controle!L510</f>
        <v/>
      </c>
      <c r="M510" s="233" t="str">
        <f>Controle!M510</f>
        <v/>
      </c>
      <c r="N510" s="235" t="str">
        <f>Controle!N510</f>
        <v/>
      </c>
      <c r="O510" s="235" t="str">
        <f>Controle!O510</f>
        <v/>
      </c>
      <c r="P510" s="235" t="str">
        <f>Controle!P510</f>
        <v/>
      </c>
      <c r="Q510" s="235" t="str">
        <f>Controle!Q510</f>
        <v/>
      </c>
      <c r="R510" s="286" t="str">
        <f>Controle!R510</f>
        <v/>
      </c>
      <c r="S510" s="286"/>
      <c r="T510" s="286"/>
      <c r="U510" s="286"/>
      <c r="V510" s="286"/>
      <c r="W510" s="286"/>
      <c r="X510" s="286"/>
      <c r="Y510" s="286"/>
      <c r="Z510" s="286"/>
      <c r="AA510" s="294"/>
      <c r="AB510" s="253"/>
      <c r="AC510" s="253"/>
      <c r="AD510" s="253"/>
      <c r="AE510" s="253"/>
      <c r="AF510" s="253"/>
      <c r="AG510" s="253"/>
      <c r="AH510" s="253"/>
      <c r="AI510" s="253"/>
      <c r="AJ510" s="253"/>
      <c r="AK510" s="253"/>
      <c r="AL510" s="253"/>
      <c r="AM510" s="253"/>
      <c r="AN510" s="253"/>
      <c r="AO510" s="253"/>
      <c r="AP510" s="253"/>
      <c r="AQ510" s="253"/>
      <c r="AR510" s="253"/>
      <c r="AS510" s="253"/>
      <c r="AT510" s="2"/>
      <c r="AU510" s="2"/>
      <c r="AV510" s="2"/>
      <c r="AW510" s="2"/>
      <c r="AX510" s="2"/>
      <c r="AY510" s="253"/>
    </row>
    <row r="511" ht="15.75" customHeight="1">
      <c r="A511" s="2"/>
      <c r="B511" s="288" t="str">
        <f>Controle!B511</f>
        <v/>
      </c>
      <c r="C511" s="233" t="str">
        <f>Controle!C511</f>
        <v/>
      </c>
      <c r="D511" s="289" t="str">
        <f>Controle!D511</f>
        <v/>
      </c>
      <c r="E511" s="290"/>
      <c r="F511" s="291" t="str">
        <f>Controle!F511</f>
        <v/>
      </c>
      <c r="G511" s="289" t="str">
        <f>Controle!G511</f>
        <v/>
      </c>
      <c r="H511" s="290"/>
      <c r="I511" s="291" t="str">
        <f>Controle!I511</f>
        <v/>
      </c>
      <c r="J511" s="233" t="str">
        <f>Controle!J511</f>
        <v/>
      </c>
      <c r="K511" s="292"/>
      <c r="L511" s="233" t="str">
        <f>Controle!L511</f>
        <v/>
      </c>
      <c r="M511" s="233" t="str">
        <f>Controle!M511</f>
        <v/>
      </c>
      <c r="N511" s="235" t="str">
        <f>Controle!N511</f>
        <v/>
      </c>
      <c r="O511" s="235" t="str">
        <f>Controle!O511</f>
        <v/>
      </c>
      <c r="P511" s="235" t="str">
        <f>Controle!P511</f>
        <v/>
      </c>
      <c r="Q511" s="235" t="str">
        <f>Controle!Q511</f>
        <v/>
      </c>
      <c r="R511" s="286" t="str">
        <f>Controle!R511</f>
        <v/>
      </c>
      <c r="S511" s="286"/>
      <c r="T511" s="286"/>
      <c r="U511" s="286"/>
      <c r="V511" s="286"/>
      <c r="W511" s="286"/>
      <c r="X511" s="286"/>
      <c r="Y511" s="286"/>
      <c r="Z511" s="286"/>
      <c r="AA511" s="294"/>
      <c r="AB511" s="253"/>
      <c r="AC511" s="253"/>
      <c r="AD511" s="253"/>
      <c r="AE511" s="253"/>
      <c r="AF511" s="253"/>
      <c r="AG511" s="253"/>
      <c r="AH511" s="253"/>
      <c r="AI511" s="253"/>
      <c r="AJ511" s="253"/>
      <c r="AK511" s="253"/>
      <c r="AL511" s="253"/>
      <c r="AM511" s="253"/>
      <c r="AN511" s="253"/>
      <c r="AO511" s="253"/>
      <c r="AP511" s="253"/>
      <c r="AQ511" s="253"/>
      <c r="AR511" s="253"/>
      <c r="AS511" s="253"/>
      <c r="AT511" s="2"/>
      <c r="AU511" s="2"/>
      <c r="AV511" s="2"/>
      <c r="AW511" s="2"/>
      <c r="AX511" s="2"/>
      <c r="AY511" s="253"/>
    </row>
    <row r="512" ht="15.75" customHeight="1">
      <c r="A512" s="2"/>
      <c r="B512" s="288" t="str">
        <f>Controle!B512</f>
        <v/>
      </c>
      <c r="C512" s="233" t="str">
        <f>Controle!C512</f>
        <v/>
      </c>
      <c r="D512" s="289" t="str">
        <f>Controle!D512</f>
        <v/>
      </c>
      <c r="E512" s="290"/>
      <c r="F512" s="291" t="str">
        <f>Controle!F512</f>
        <v/>
      </c>
      <c r="G512" s="289" t="str">
        <f>Controle!G512</f>
        <v/>
      </c>
      <c r="H512" s="290"/>
      <c r="I512" s="291" t="str">
        <f>Controle!I512</f>
        <v/>
      </c>
      <c r="J512" s="233" t="str">
        <f>Controle!J512</f>
        <v/>
      </c>
      <c r="K512" s="292"/>
      <c r="L512" s="233" t="str">
        <f>Controle!L512</f>
        <v/>
      </c>
      <c r="M512" s="233" t="str">
        <f>Controle!M512</f>
        <v/>
      </c>
      <c r="N512" s="235" t="str">
        <f>Controle!N512</f>
        <v/>
      </c>
      <c r="O512" s="235" t="str">
        <f>Controle!O512</f>
        <v/>
      </c>
      <c r="P512" s="235" t="str">
        <f>Controle!P512</f>
        <v/>
      </c>
      <c r="Q512" s="235" t="str">
        <f>Controle!Q512</f>
        <v/>
      </c>
      <c r="R512" s="286" t="str">
        <f>Controle!R512</f>
        <v/>
      </c>
      <c r="S512" s="286"/>
      <c r="T512" s="286"/>
      <c r="U512" s="286"/>
      <c r="V512" s="286"/>
      <c r="W512" s="286"/>
      <c r="X512" s="286"/>
      <c r="Y512" s="286"/>
      <c r="Z512" s="286"/>
      <c r="AA512" s="294"/>
      <c r="AB512" s="253"/>
      <c r="AC512" s="253"/>
      <c r="AD512" s="253"/>
      <c r="AE512" s="253"/>
      <c r="AF512" s="253"/>
      <c r="AG512" s="253"/>
      <c r="AH512" s="253"/>
      <c r="AI512" s="253"/>
      <c r="AJ512" s="253"/>
      <c r="AK512" s="253"/>
      <c r="AL512" s="253"/>
      <c r="AM512" s="253"/>
      <c r="AN512" s="253"/>
      <c r="AO512" s="253"/>
      <c r="AP512" s="253"/>
      <c r="AQ512" s="253"/>
      <c r="AR512" s="253"/>
      <c r="AS512" s="253"/>
      <c r="AT512" s="2"/>
      <c r="AU512" s="2"/>
      <c r="AV512" s="2"/>
      <c r="AW512" s="2"/>
      <c r="AX512" s="2"/>
      <c r="AY512" s="253"/>
    </row>
    <row r="513" ht="15.75" customHeight="1">
      <c r="A513" s="2"/>
      <c r="B513" s="288" t="str">
        <f>Controle!B513</f>
        <v/>
      </c>
      <c r="C513" s="233" t="str">
        <f>Controle!C513</f>
        <v/>
      </c>
      <c r="D513" s="289" t="str">
        <f>Controle!D513</f>
        <v/>
      </c>
      <c r="E513" s="290"/>
      <c r="F513" s="291" t="str">
        <f>Controle!F513</f>
        <v/>
      </c>
      <c r="G513" s="289" t="str">
        <f>Controle!G513</f>
        <v/>
      </c>
      <c r="H513" s="290"/>
      <c r="I513" s="291" t="str">
        <f>Controle!I513</f>
        <v/>
      </c>
      <c r="J513" s="233" t="str">
        <f>Controle!J513</f>
        <v/>
      </c>
      <c r="K513" s="292"/>
      <c r="L513" s="233" t="str">
        <f>Controle!L513</f>
        <v/>
      </c>
      <c r="M513" s="233" t="str">
        <f>Controle!M513</f>
        <v/>
      </c>
      <c r="N513" s="235" t="str">
        <f>Controle!N513</f>
        <v/>
      </c>
      <c r="O513" s="235" t="str">
        <f>Controle!O513</f>
        <v/>
      </c>
      <c r="P513" s="235" t="str">
        <f>Controle!P513</f>
        <v/>
      </c>
      <c r="Q513" s="235" t="str">
        <f>Controle!Q513</f>
        <v/>
      </c>
      <c r="R513" s="286" t="str">
        <f>Controle!R513</f>
        <v/>
      </c>
      <c r="S513" s="286"/>
      <c r="T513" s="286"/>
      <c r="U513" s="286"/>
      <c r="V513" s="286"/>
      <c r="W513" s="286"/>
      <c r="X513" s="286"/>
      <c r="Y513" s="286"/>
      <c r="Z513" s="286"/>
      <c r="AA513" s="294"/>
      <c r="AB513" s="253"/>
      <c r="AC513" s="253"/>
      <c r="AD513" s="253"/>
      <c r="AE513" s="253"/>
      <c r="AF513" s="253"/>
      <c r="AG513" s="253"/>
      <c r="AH513" s="253"/>
      <c r="AI513" s="253"/>
      <c r="AJ513" s="253"/>
      <c r="AK513" s="253"/>
      <c r="AL513" s="253"/>
      <c r="AM513" s="253"/>
      <c r="AN513" s="253"/>
      <c r="AO513" s="253"/>
      <c r="AP513" s="253"/>
      <c r="AQ513" s="253"/>
      <c r="AR513" s="253"/>
      <c r="AS513" s="253"/>
      <c r="AT513" s="2"/>
      <c r="AU513" s="2"/>
      <c r="AV513" s="2"/>
      <c r="AW513" s="2"/>
      <c r="AX513" s="2"/>
      <c r="AY513" s="253"/>
    </row>
    <row r="514" ht="15.75" customHeight="1">
      <c r="A514" s="2"/>
      <c r="B514" s="288" t="str">
        <f>Controle!B514</f>
        <v/>
      </c>
      <c r="C514" s="233" t="str">
        <f>Controle!C514</f>
        <v/>
      </c>
      <c r="D514" s="289" t="str">
        <f>Controle!D514</f>
        <v/>
      </c>
      <c r="E514" s="290"/>
      <c r="F514" s="291" t="str">
        <f>Controle!F514</f>
        <v/>
      </c>
      <c r="G514" s="289" t="str">
        <f>Controle!G514</f>
        <v/>
      </c>
      <c r="H514" s="290"/>
      <c r="I514" s="291" t="str">
        <f>Controle!I514</f>
        <v/>
      </c>
      <c r="J514" s="233" t="str">
        <f>Controle!J514</f>
        <v/>
      </c>
      <c r="K514" s="292"/>
      <c r="L514" s="233" t="str">
        <f>Controle!L514</f>
        <v/>
      </c>
      <c r="M514" s="233" t="str">
        <f>Controle!M514</f>
        <v/>
      </c>
      <c r="N514" s="235" t="str">
        <f>Controle!N514</f>
        <v/>
      </c>
      <c r="O514" s="235" t="str">
        <f>Controle!O514</f>
        <v/>
      </c>
      <c r="P514" s="235" t="str">
        <f>Controle!P514</f>
        <v/>
      </c>
      <c r="Q514" s="235" t="str">
        <f>Controle!Q514</f>
        <v/>
      </c>
      <c r="R514" s="286" t="str">
        <f>Controle!R514</f>
        <v/>
      </c>
      <c r="S514" s="286"/>
      <c r="T514" s="286"/>
      <c r="U514" s="286"/>
      <c r="V514" s="286"/>
      <c r="W514" s="286"/>
      <c r="X514" s="286"/>
      <c r="Y514" s="286"/>
      <c r="Z514" s="286"/>
      <c r="AA514" s="294"/>
      <c r="AB514" s="253"/>
      <c r="AC514" s="253"/>
      <c r="AD514" s="253"/>
      <c r="AE514" s="253"/>
      <c r="AF514" s="253"/>
      <c r="AG514" s="253"/>
      <c r="AH514" s="253"/>
      <c r="AI514" s="253"/>
      <c r="AJ514" s="253"/>
      <c r="AK514" s="253"/>
      <c r="AL514" s="253"/>
      <c r="AM514" s="253"/>
      <c r="AN514" s="253"/>
      <c r="AO514" s="253"/>
      <c r="AP514" s="253"/>
      <c r="AQ514" s="253"/>
      <c r="AR514" s="253"/>
      <c r="AS514" s="253"/>
      <c r="AT514" s="2"/>
      <c r="AU514" s="2"/>
      <c r="AV514" s="2"/>
      <c r="AW514" s="2"/>
      <c r="AX514" s="2"/>
      <c r="AY514" s="253"/>
    </row>
    <row r="515" ht="15.75" customHeight="1">
      <c r="A515" s="2"/>
      <c r="B515" s="288" t="str">
        <f>Controle!B515</f>
        <v/>
      </c>
      <c r="C515" s="233" t="str">
        <f>Controle!C515</f>
        <v/>
      </c>
      <c r="D515" s="289" t="str">
        <f>Controle!D515</f>
        <v/>
      </c>
      <c r="E515" s="290"/>
      <c r="F515" s="291" t="str">
        <f>Controle!F515</f>
        <v/>
      </c>
      <c r="G515" s="289" t="str">
        <f>Controle!G515</f>
        <v/>
      </c>
      <c r="H515" s="290"/>
      <c r="I515" s="291" t="str">
        <f>Controle!I515</f>
        <v/>
      </c>
      <c r="J515" s="233" t="str">
        <f>Controle!J515</f>
        <v/>
      </c>
      <c r="K515" s="292"/>
      <c r="L515" s="233" t="str">
        <f>Controle!L515</f>
        <v/>
      </c>
      <c r="M515" s="233" t="str">
        <f>Controle!M515</f>
        <v/>
      </c>
      <c r="N515" s="235" t="str">
        <f>Controle!N515</f>
        <v/>
      </c>
      <c r="O515" s="235" t="str">
        <f>Controle!O515</f>
        <v/>
      </c>
      <c r="P515" s="235" t="str">
        <f>Controle!P515</f>
        <v/>
      </c>
      <c r="Q515" s="235" t="str">
        <f>Controle!Q515</f>
        <v/>
      </c>
      <c r="R515" s="286" t="str">
        <f>Controle!R515</f>
        <v/>
      </c>
      <c r="S515" s="286"/>
      <c r="T515" s="286"/>
      <c r="U515" s="286"/>
      <c r="V515" s="286"/>
      <c r="W515" s="286"/>
      <c r="X515" s="286"/>
      <c r="Y515" s="286"/>
      <c r="Z515" s="286"/>
      <c r="AA515" s="294"/>
      <c r="AB515" s="253"/>
      <c r="AC515" s="253"/>
      <c r="AD515" s="253"/>
      <c r="AE515" s="253"/>
      <c r="AF515" s="253"/>
      <c r="AG515" s="253"/>
      <c r="AH515" s="253"/>
      <c r="AI515" s="253"/>
      <c r="AJ515" s="253"/>
      <c r="AK515" s="253"/>
      <c r="AL515" s="253"/>
      <c r="AM515" s="253"/>
      <c r="AN515" s="253"/>
      <c r="AO515" s="253"/>
      <c r="AP515" s="253"/>
      <c r="AQ515" s="253"/>
      <c r="AR515" s="253"/>
      <c r="AS515" s="253"/>
      <c r="AT515" s="2"/>
      <c r="AU515" s="2"/>
      <c r="AV515" s="2"/>
      <c r="AW515" s="2"/>
      <c r="AX515" s="2"/>
      <c r="AY515" s="253"/>
    </row>
    <row r="516" ht="15.75" customHeight="1">
      <c r="A516" s="2"/>
      <c r="B516" s="288" t="str">
        <f>Controle!B516</f>
        <v/>
      </c>
      <c r="C516" s="233" t="str">
        <f>Controle!C516</f>
        <v/>
      </c>
      <c r="D516" s="289" t="str">
        <f>Controle!D516</f>
        <v/>
      </c>
      <c r="E516" s="290"/>
      <c r="F516" s="291" t="str">
        <f>Controle!F516</f>
        <v/>
      </c>
      <c r="G516" s="289" t="str">
        <f>Controle!G516</f>
        <v/>
      </c>
      <c r="H516" s="290"/>
      <c r="I516" s="291" t="str">
        <f>Controle!I516</f>
        <v/>
      </c>
      <c r="J516" s="233" t="str">
        <f>Controle!J516</f>
        <v/>
      </c>
      <c r="K516" s="292"/>
      <c r="L516" s="233" t="str">
        <f>Controle!L516</f>
        <v/>
      </c>
      <c r="M516" s="233" t="str">
        <f>Controle!M516</f>
        <v/>
      </c>
      <c r="N516" s="235" t="str">
        <f>Controle!N516</f>
        <v/>
      </c>
      <c r="O516" s="235" t="str">
        <f>Controle!O516</f>
        <v/>
      </c>
      <c r="P516" s="235" t="str">
        <f>Controle!P516</f>
        <v/>
      </c>
      <c r="Q516" s="235" t="str">
        <f>Controle!Q516</f>
        <v/>
      </c>
      <c r="R516" s="286" t="str">
        <f>Controle!R516</f>
        <v/>
      </c>
      <c r="S516" s="286"/>
      <c r="T516" s="286"/>
      <c r="U516" s="286"/>
      <c r="V516" s="286"/>
      <c r="W516" s="286"/>
      <c r="X516" s="286"/>
      <c r="Y516" s="286"/>
      <c r="Z516" s="286"/>
      <c r="AA516" s="294"/>
      <c r="AB516" s="253"/>
      <c r="AC516" s="253"/>
      <c r="AD516" s="253"/>
      <c r="AE516" s="253"/>
      <c r="AF516" s="253"/>
      <c r="AG516" s="253"/>
      <c r="AH516" s="253"/>
      <c r="AI516" s="253"/>
      <c r="AJ516" s="253"/>
      <c r="AK516" s="253"/>
      <c r="AL516" s="253"/>
      <c r="AM516" s="253"/>
      <c r="AN516" s="253"/>
      <c r="AO516" s="253"/>
      <c r="AP516" s="253"/>
      <c r="AQ516" s="253"/>
      <c r="AR516" s="253"/>
      <c r="AS516" s="253"/>
      <c r="AT516" s="2"/>
      <c r="AU516" s="2"/>
      <c r="AV516" s="2"/>
      <c r="AW516" s="2"/>
      <c r="AX516" s="2"/>
      <c r="AY516" s="253"/>
    </row>
    <row r="517" ht="15.75" customHeight="1">
      <c r="A517" s="2"/>
      <c r="B517" s="288" t="str">
        <f>Controle!B517</f>
        <v/>
      </c>
      <c r="C517" s="233" t="str">
        <f>Controle!C517</f>
        <v/>
      </c>
      <c r="D517" s="289" t="str">
        <f>Controle!D517</f>
        <v/>
      </c>
      <c r="E517" s="290"/>
      <c r="F517" s="291" t="str">
        <f>Controle!F517</f>
        <v/>
      </c>
      <c r="G517" s="289" t="str">
        <f>Controle!G517</f>
        <v/>
      </c>
      <c r="H517" s="290"/>
      <c r="I517" s="291" t="str">
        <f>Controle!I517</f>
        <v/>
      </c>
      <c r="J517" s="233" t="str">
        <f>Controle!J517</f>
        <v/>
      </c>
      <c r="K517" s="292"/>
      <c r="L517" s="233" t="str">
        <f>Controle!L517</f>
        <v/>
      </c>
      <c r="M517" s="233" t="str">
        <f>Controle!M517</f>
        <v/>
      </c>
      <c r="N517" s="235" t="str">
        <f>Controle!N517</f>
        <v/>
      </c>
      <c r="O517" s="235" t="str">
        <f>Controle!O517</f>
        <v/>
      </c>
      <c r="P517" s="235" t="str">
        <f>Controle!P517</f>
        <v/>
      </c>
      <c r="Q517" s="235" t="str">
        <f>Controle!Q517</f>
        <v/>
      </c>
      <c r="R517" s="286" t="str">
        <f>Controle!R517</f>
        <v/>
      </c>
      <c r="S517" s="286"/>
      <c r="T517" s="286"/>
      <c r="U517" s="286"/>
      <c r="V517" s="286"/>
      <c r="W517" s="286"/>
      <c r="X517" s="286"/>
      <c r="Y517" s="286"/>
      <c r="Z517" s="286"/>
      <c r="AA517" s="294"/>
      <c r="AB517" s="253"/>
      <c r="AC517" s="253"/>
      <c r="AD517" s="253"/>
      <c r="AE517" s="253"/>
      <c r="AF517" s="253"/>
      <c r="AG517" s="253"/>
      <c r="AH517" s="253"/>
      <c r="AI517" s="253"/>
      <c r="AJ517" s="253"/>
      <c r="AK517" s="253"/>
      <c r="AL517" s="253"/>
      <c r="AM517" s="253"/>
      <c r="AN517" s="253"/>
      <c r="AO517" s="253"/>
      <c r="AP517" s="253"/>
      <c r="AQ517" s="253"/>
      <c r="AR517" s="253"/>
      <c r="AS517" s="253"/>
      <c r="AT517" s="2"/>
      <c r="AU517" s="2"/>
      <c r="AV517" s="2"/>
      <c r="AW517" s="2"/>
      <c r="AX517" s="2"/>
      <c r="AY517" s="253"/>
    </row>
    <row r="518" ht="15.75" customHeight="1">
      <c r="A518" s="2"/>
      <c r="B518" s="288" t="str">
        <f>Controle!B518</f>
        <v/>
      </c>
      <c r="C518" s="233" t="str">
        <f>Controle!C518</f>
        <v/>
      </c>
      <c r="D518" s="289" t="str">
        <f>Controle!D518</f>
        <v/>
      </c>
      <c r="E518" s="290"/>
      <c r="F518" s="291" t="str">
        <f>Controle!F518</f>
        <v/>
      </c>
      <c r="G518" s="289" t="str">
        <f>Controle!G518</f>
        <v/>
      </c>
      <c r="H518" s="290"/>
      <c r="I518" s="291" t="str">
        <f>Controle!I518</f>
        <v/>
      </c>
      <c r="J518" s="233" t="str">
        <f>Controle!J518</f>
        <v/>
      </c>
      <c r="K518" s="292"/>
      <c r="L518" s="233" t="str">
        <f>Controle!L518</f>
        <v/>
      </c>
      <c r="M518" s="233" t="str">
        <f>Controle!M518</f>
        <v/>
      </c>
      <c r="N518" s="235" t="str">
        <f>Controle!N518</f>
        <v/>
      </c>
      <c r="O518" s="235" t="str">
        <f>Controle!O518</f>
        <v/>
      </c>
      <c r="P518" s="235" t="str">
        <f>Controle!P518</f>
        <v/>
      </c>
      <c r="Q518" s="235" t="str">
        <f>Controle!Q518</f>
        <v/>
      </c>
      <c r="R518" s="286" t="str">
        <f>Controle!R518</f>
        <v/>
      </c>
      <c r="S518" s="286"/>
      <c r="T518" s="286"/>
      <c r="U518" s="286"/>
      <c r="V518" s="286"/>
      <c r="W518" s="286"/>
      <c r="X518" s="286"/>
      <c r="Y518" s="286"/>
      <c r="Z518" s="286"/>
      <c r="AA518" s="294"/>
      <c r="AB518" s="253"/>
      <c r="AC518" s="253"/>
      <c r="AD518" s="253"/>
      <c r="AE518" s="253"/>
      <c r="AF518" s="253"/>
      <c r="AG518" s="253"/>
      <c r="AH518" s="253"/>
      <c r="AI518" s="253"/>
      <c r="AJ518" s="253"/>
      <c r="AK518" s="253"/>
      <c r="AL518" s="253"/>
      <c r="AM518" s="253"/>
      <c r="AN518" s="253"/>
      <c r="AO518" s="253"/>
      <c r="AP518" s="253"/>
      <c r="AQ518" s="253"/>
      <c r="AR518" s="253"/>
      <c r="AS518" s="253"/>
      <c r="AT518" s="2"/>
      <c r="AU518" s="2"/>
      <c r="AV518" s="2"/>
      <c r="AW518" s="2"/>
      <c r="AX518" s="2"/>
      <c r="AY518" s="253"/>
    </row>
    <row r="519" ht="15.75" customHeight="1">
      <c r="A519" s="2"/>
      <c r="B519" s="288" t="str">
        <f>Controle!B519</f>
        <v/>
      </c>
      <c r="C519" s="233" t="str">
        <f>Controle!C519</f>
        <v/>
      </c>
      <c r="D519" s="289" t="str">
        <f>Controle!D519</f>
        <v/>
      </c>
      <c r="E519" s="290"/>
      <c r="F519" s="291" t="str">
        <f>Controle!F519</f>
        <v/>
      </c>
      <c r="G519" s="289" t="str">
        <f>Controle!G519</f>
        <v/>
      </c>
      <c r="H519" s="290"/>
      <c r="I519" s="291" t="str">
        <f>Controle!I519</f>
        <v/>
      </c>
      <c r="J519" s="233" t="str">
        <f>Controle!J519</f>
        <v/>
      </c>
      <c r="K519" s="292"/>
      <c r="L519" s="233" t="str">
        <f>Controle!L519</f>
        <v/>
      </c>
      <c r="M519" s="233" t="str">
        <f>Controle!M519</f>
        <v/>
      </c>
      <c r="N519" s="235" t="str">
        <f>Controle!N519</f>
        <v/>
      </c>
      <c r="O519" s="235" t="str">
        <f>Controle!O519</f>
        <v/>
      </c>
      <c r="P519" s="235" t="str">
        <f>Controle!P519</f>
        <v/>
      </c>
      <c r="Q519" s="235" t="str">
        <f>Controle!Q519</f>
        <v/>
      </c>
      <c r="R519" s="286" t="str">
        <f>Controle!R519</f>
        <v/>
      </c>
      <c r="S519" s="286"/>
      <c r="T519" s="286"/>
      <c r="U519" s="286"/>
      <c r="V519" s="286"/>
      <c r="W519" s="286"/>
      <c r="X519" s="286"/>
      <c r="Y519" s="286"/>
      <c r="Z519" s="286"/>
      <c r="AA519" s="294"/>
      <c r="AB519" s="253"/>
      <c r="AC519" s="253"/>
      <c r="AD519" s="253"/>
      <c r="AE519" s="253"/>
      <c r="AF519" s="253"/>
      <c r="AG519" s="253"/>
      <c r="AH519" s="253"/>
      <c r="AI519" s="253"/>
      <c r="AJ519" s="253"/>
      <c r="AK519" s="253"/>
      <c r="AL519" s="253"/>
      <c r="AM519" s="253"/>
      <c r="AN519" s="253"/>
      <c r="AO519" s="253"/>
      <c r="AP519" s="253"/>
      <c r="AQ519" s="253"/>
      <c r="AR519" s="253"/>
      <c r="AS519" s="253"/>
      <c r="AT519" s="2"/>
      <c r="AU519" s="2"/>
      <c r="AV519" s="2"/>
      <c r="AW519" s="2"/>
      <c r="AX519" s="2"/>
      <c r="AY519" s="253"/>
    </row>
    <row r="520" ht="15.75" customHeight="1">
      <c r="A520" s="2"/>
      <c r="B520" s="288" t="str">
        <f>Controle!B520</f>
        <v/>
      </c>
      <c r="C520" s="233" t="str">
        <f>Controle!C520</f>
        <v/>
      </c>
      <c r="D520" s="289" t="str">
        <f>Controle!D520</f>
        <v/>
      </c>
      <c r="E520" s="290"/>
      <c r="F520" s="291" t="str">
        <f>Controle!F520</f>
        <v/>
      </c>
      <c r="G520" s="289" t="str">
        <f>Controle!G520</f>
        <v/>
      </c>
      <c r="H520" s="290"/>
      <c r="I520" s="291" t="str">
        <f>Controle!I520</f>
        <v/>
      </c>
      <c r="J520" s="233" t="str">
        <f>Controle!J520</f>
        <v/>
      </c>
      <c r="K520" s="292"/>
      <c r="L520" s="233" t="str">
        <f>Controle!L520</f>
        <v/>
      </c>
      <c r="M520" s="233" t="str">
        <f>Controle!M520</f>
        <v/>
      </c>
      <c r="N520" s="235" t="str">
        <f>Controle!N520</f>
        <v/>
      </c>
      <c r="O520" s="235" t="str">
        <f>Controle!O520</f>
        <v/>
      </c>
      <c r="P520" s="235" t="str">
        <f>Controle!P520</f>
        <v/>
      </c>
      <c r="Q520" s="235" t="str">
        <f>Controle!Q520</f>
        <v/>
      </c>
      <c r="R520" s="286" t="str">
        <f>Controle!R520</f>
        <v/>
      </c>
      <c r="S520" s="286"/>
      <c r="T520" s="286"/>
      <c r="U520" s="286"/>
      <c r="V520" s="286"/>
      <c r="W520" s="286"/>
      <c r="X520" s="286"/>
      <c r="Y520" s="286"/>
      <c r="Z520" s="286"/>
      <c r="AA520" s="294"/>
      <c r="AB520" s="253"/>
      <c r="AC520" s="253"/>
      <c r="AD520" s="253"/>
      <c r="AE520" s="253"/>
      <c r="AF520" s="253"/>
      <c r="AG520" s="253"/>
      <c r="AH520" s="253"/>
      <c r="AI520" s="253"/>
      <c r="AJ520" s="253"/>
      <c r="AK520" s="253"/>
      <c r="AL520" s="253"/>
      <c r="AM520" s="253"/>
      <c r="AN520" s="253"/>
      <c r="AO520" s="253"/>
      <c r="AP520" s="253"/>
      <c r="AQ520" s="253"/>
      <c r="AR520" s="253"/>
      <c r="AS520" s="253"/>
      <c r="AT520" s="2"/>
      <c r="AU520" s="2"/>
      <c r="AV520" s="2"/>
      <c r="AW520" s="2"/>
      <c r="AX520" s="2"/>
      <c r="AY520" s="253"/>
    </row>
    <row r="521" ht="15.75" customHeight="1">
      <c r="A521" s="2"/>
      <c r="B521" s="288" t="str">
        <f>Controle!B521</f>
        <v/>
      </c>
      <c r="C521" s="233" t="str">
        <f>Controle!C521</f>
        <v/>
      </c>
      <c r="D521" s="289" t="str">
        <f>Controle!D521</f>
        <v/>
      </c>
      <c r="E521" s="290"/>
      <c r="F521" s="291" t="str">
        <f>Controle!F521</f>
        <v/>
      </c>
      <c r="G521" s="289" t="str">
        <f>Controle!G521</f>
        <v/>
      </c>
      <c r="H521" s="290"/>
      <c r="I521" s="291" t="str">
        <f>Controle!I521</f>
        <v/>
      </c>
      <c r="J521" s="233" t="str">
        <f>Controle!J521</f>
        <v/>
      </c>
      <c r="K521" s="292"/>
      <c r="L521" s="233" t="str">
        <f>Controle!L521</f>
        <v/>
      </c>
      <c r="M521" s="233" t="str">
        <f>Controle!M521</f>
        <v/>
      </c>
      <c r="N521" s="235" t="str">
        <f>Controle!N521</f>
        <v/>
      </c>
      <c r="O521" s="235" t="str">
        <f>Controle!O521</f>
        <v/>
      </c>
      <c r="P521" s="235" t="str">
        <f>Controle!P521</f>
        <v/>
      </c>
      <c r="Q521" s="235" t="str">
        <f>Controle!Q521</f>
        <v/>
      </c>
      <c r="R521" s="286" t="str">
        <f>Controle!R521</f>
        <v/>
      </c>
      <c r="S521" s="286"/>
      <c r="T521" s="286"/>
      <c r="U521" s="286"/>
      <c r="V521" s="286"/>
      <c r="W521" s="286"/>
      <c r="X521" s="286"/>
      <c r="Y521" s="286"/>
      <c r="Z521" s="286"/>
      <c r="AA521" s="294"/>
      <c r="AB521" s="253"/>
      <c r="AC521" s="253"/>
      <c r="AD521" s="253"/>
      <c r="AE521" s="253"/>
      <c r="AF521" s="253"/>
      <c r="AG521" s="253"/>
      <c r="AH521" s="253"/>
      <c r="AI521" s="253"/>
      <c r="AJ521" s="253"/>
      <c r="AK521" s="253"/>
      <c r="AL521" s="253"/>
      <c r="AM521" s="253"/>
      <c r="AN521" s="253"/>
      <c r="AO521" s="253"/>
      <c r="AP521" s="253"/>
      <c r="AQ521" s="253"/>
      <c r="AR521" s="253"/>
      <c r="AS521" s="253"/>
      <c r="AT521" s="2"/>
      <c r="AU521" s="2"/>
      <c r="AV521" s="2"/>
      <c r="AW521" s="2"/>
      <c r="AX521" s="2"/>
      <c r="AY521" s="253"/>
    </row>
    <row r="522" ht="15.75" customHeight="1">
      <c r="A522" s="2"/>
      <c r="B522" s="288" t="str">
        <f>Controle!B522</f>
        <v/>
      </c>
      <c r="C522" s="233" t="str">
        <f>Controle!C522</f>
        <v/>
      </c>
      <c r="D522" s="289" t="str">
        <f>Controle!D522</f>
        <v/>
      </c>
      <c r="E522" s="290"/>
      <c r="F522" s="291" t="str">
        <f>Controle!F522</f>
        <v/>
      </c>
      <c r="G522" s="289" t="str">
        <f>Controle!G522</f>
        <v/>
      </c>
      <c r="H522" s="290"/>
      <c r="I522" s="291" t="str">
        <f>Controle!I522</f>
        <v/>
      </c>
      <c r="J522" s="233" t="str">
        <f>Controle!J522</f>
        <v/>
      </c>
      <c r="K522" s="292"/>
      <c r="L522" s="233" t="str">
        <f>Controle!L522</f>
        <v/>
      </c>
      <c r="M522" s="233" t="str">
        <f>Controle!M522</f>
        <v/>
      </c>
      <c r="N522" s="235" t="str">
        <f>Controle!N522</f>
        <v/>
      </c>
      <c r="O522" s="235" t="str">
        <f>Controle!O522</f>
        <v/>
      </c>
      <c r="P522" s="235" t="str">
        <f>Controle!P522</f>
        <v/>
      </c>
      <c r="Q522" s="235" t="str">
        <f>Controle!Q522</f>
        <v/>
      </c>
      <c r="R522" s="286" t="str">
        <f>Controle!R522</f>
        <v/>
      </c>
      <c r="S522" s="286"/>
      <c r="T522" s="286"/>
      <c r="U522" s="286"/>
      <c r="V522" s="286"/>
      <c r="W522" s="286"/>
      <c r="X522" s="286"/>
      <c r="Y522" s="286"/>
      <c r="Z522" s="286"/>
      <c r="AA522" s="294"/>
      <c r="AB522" s="253"/>
      <c r="AC522" s="253"/>
      <c r="AD522" s="253"/>
      <c r="AE522" s="253"/>
      <c r="AF522" s="253"/>
      <c r="AG522" s="253"/>
      <c r="AH522" s="253"/>
      <c r="AI522" s="253"/>
      <c r="AJ522" s="253"/>
      <c r="AK522" s="253"/>
      <c r="AL522" s="253"/>
      <c r="AM522" s="253"/>
      <c r="AN522" s="253"/>
      <c r="AO522" s="253"/>
      <c r="AP522" s="253"/>
      <c r="AQ522" s="253"/>
      <c r="AR522" s="253"/>
      <c r="AS522" s="253"/>
      <c r="AT522" s="2"/>
      <c r="AU522" s="2"/>
      <c r="AV522" s="2"/>
      <c r="AW522" s="2"/>
      <c r="AX522" s="2"/>
      <c r="AY522" s="253"/>
    </row>
    <row r="523" ht="15.75" customHeight="1">
      <c r="A523" s="2"/>
      <c r="B523" s="288" t="str">
        <f>Controle!B523</f>
        <v/>
      </c>
      <c r="C523" s="233" t="str">
        <f>Controle!C523</f>
        <v/>
      </c>
      <c r="D523" s="289" t="str">
        <f>Controle!D523</f>
        <v/>
      </c>
      <c r="E523" s="290"/>
      <c r="F523" s="291" t="str">
        <f>Controle!F523</f>
        <v/>
      </c>
      <c r="G523" s="289" t="str">
        <f>Controle!G523</f>
        <v/>
      </c>
      <c r="H523" s="290"/>
      <c r="I523" s="291" t="str">
        <f>Controle!I523</f>
        <v/>
      </c>
      <c r="J523" s="233" t="str">
        <f>Controle!J523</f>
        <v/>
      </c>
      <c r="K523" s="292"/>
      <c r="L523" s="233" t="str">
        <f>Controle!L523</f>
        <v/>
      </c>
      <c r="M523" s="233" t="str">
        <f>Controle!M523</f>
        <v/>
      </c>
      <c r="N523" s="235" t="str">
        <f>Controle!N523</f>
        <v/>
      </c>
      <c r="O523" s="235" t="str">
        <f>Controle!O523</f>
        <v/>
      </c>
      <c r="P523" s="235" t="str">
        <f>Controle!P523</f>
        <v/>
      </c>
      <c r="Q523" s="235" t="str">
        <f>Controle!Q523</f>
        <v/>
      </c>
      <c r="R523" s="286" t="str">
        <f>Controle!R523</f>
        <v/>
      </c>
      <c r="S523" s="286"/>
      <c r="T523" s="286"/>
      <c r="U523" s="286"/>
      <c r="V523" s="286"/>
      <c r="W523" s="286"/>
      <c r="X523" s="286"/>
      <c r="Y523" s="286"/>
      <c r="Z523" s="286"/>
      <c r="AA523" s="294"/>
      <c r="AB523" s="253"/>
      <c r="AC523" s="253"/>
      <c r="AD523" s="253"/>
      <c r="AE523" s="253"/>
      <c r="AF523" s="253"/>
      <c r="AG523" s="253"/>
      <c r="AH523" s="253"/>
      <c r="AI523" s="253"/>
      <c r="AJ523" s="253"/>
      <c r="AK523" s="253"/>
      <c r="AL523" s="253"/>
      <c r="AM523" s="253"/>
      <c r="AN523" s="253"/>
      <c r="AO523" s="253"/>
      <c r="AP523" s="253"/>
      <c r="AQ523" s="253"/>
      <c r="AR523" s="253"/>
      <c r="AS523" s="253"/>
      <c r="AT523" s="2"/>
      <c r="AU523" s="2"/>
      <c r="AV523" s="2"/>
      <c r="AW523" s="2"/>
      <c r="AX523" s="2"/>
      <c r="AY523" s="253"/>
    </row>
    <row r="524" ht="15.75" customHeight="1">
      <c r="A524" s="2"/>
      <c r="B524" s="288" t="str">
        <f>Controle!B524</f>
        <v/>
      </c>
      <c r="C524" s="233" t="str">
        <f>Controle!C524</f>
        <v/>
      </c>
      <c r="D524" s="289" t="str">
        <f>Controle!D524</f>
        <v/>
      </c>
      <c r="E524" s="290"/>
      <c r="F524" s="291" t="str">
        <f>Controle!F524</f>
        <v/>
      </c>
      <c r="G524" s="289" t="str">
        <f>Controle!G524</f>
        <v/>
      </c>
      <c r="H524" s="290"/>
      <c r="I524" s="291" t="str">
        <f>Controle!I524</f>
        <v/>
      </c>
      <c r="J524" s="233" t="str">
        <f>Controle!J524</f>
        <v/>
      </c>
      <c r="K524" s="292"/>
      <c r="L524" s="233" t="str">
        <f>Controle!L524</f>
        <v/>
      </c>
      <c r="M524" s="233" t="str">
        <f>Controle!M524</f>
        <v/>
      </c>
      <c r="N524" s="235" t="str">
        <f>Controle!N524</f>
        <v/>
      </c>
      <c r="O524" s="235" t="str">
        <f>Controle!O524</f>
        <v/>
      </c>
      <c r="P524" s="235" t="str">
        <f>Controle!P524</f>
        <v/>
      </c>
      <c r="Q524" s="235" t="str">
        <f>Controle!Q524</f>
        <v/>
      </c>
      <c r="R524" s="286" t="str">
        <f>Controle!R524</f>
        <v/>
      </c>
      <c r="S524" s="286"/>
      <c r="T524" s="286"/>
      <c r="U524" s="286"/>
      <c r="V524" s="286"/>
      <c r="W524" s="286"/>
      <c r="X524" s="286"/>
      <c r="Y524" s="286"/>
      <c r="Z524" s="286"/>
      <c r="AA524" s="294"/>
      <c r="AB524" s="253"/>
      <c r="AC524" s="253"/>
      <c r="AD524" s="253"/>
      <c r="AE524" s="253"/>
      <c r="AF524" s="253"/>
      <c r="AG524" s="253"/>
      <c r="AH524" s="253"/>
      <c r="AI524" s="253"/>
      <c r="AJ524" s="253"/>
      <c r="AK524" s="253"/>
      <c r="AL524" s="253"/>
      <c r="AM524" s="253"/>
      <c r="AN524" s="253"/>
      <c r="AO524" s="253"/>
      <c r="AP524" s="253"/>
      <c r="AQ524" s="253"/>
      <c r="AR524" s="253"/>
      <c r="AS524" s="253"/>
      <c r="AT524" s="2"/>
      <c r="AU524" s="2"/>
      <c r="AV524" s="2"/>
      <c r="AW524" s="2"/>
      <c r="AX524" s="2"/>
      <c r="AY524" s="253"/>
    </row>
    <row r="525" ht="15.75" customHeight="1">
      <c r="A525" s="2"/>
      <c r="B525" s="288" t="str">
        <f>Controle!B525</f>
        <v/>
      </c>
      <c r="C525" s="233" t="str">
        <f>Controle!C525</f>
        <v/>
      </c>
      <c r="D525" s="289" t="str">
        <f>Controle!D525</f>
        <v/>
      </c>
      <c r="E525" s="290"/>
      <c r="F525" s="291" t="str">
        <f>Controle!F525</f>
        <v/>
      </c>
      <c r="G525" s="289" t="str">
        <f>Controle!G525</f>
        <v/>
      </c>
      <c r="H525" s="290"/>
      <c r="I525" s="291" t="str">
        <f>Controle!I525</f>
        <v/>
      </c>
      <c r="J525" s="233" t="str">
        <f>Controle!J525</f>
        <v/>
      </c>
      <c r="K525" s="292"/>
      <c r="L525" s="233" t="str">
        <f>Controle!L525</f>
        <v/>
      </c>
      <c r="M525" s="233" t="str">
        <f>Controle!M525</f>
        <v/>
      </c>
      <c r="N525" s="235" t="str">
        <f>Controle!N525</f>
        <v/>
      </c>
      <c r="O525" s="235" t="str">
        <f>Controle!O525</f>
        <v/>
      </c>
      <c r="P525" s="235" t="str">
        <f>Controle!P525</f>
        <v/>
      </c>
      <c r="Q525" s="235" t="str">
        <f>Controle!Q525</f>
        <v/>
      </c>
      <c r="R525" s="286" t="str">
        <f>Controle!R525</f>
        <v/>
      </c>
      <c r="S525" s="286"/>
      <c r="T525" s="286"/>
      <c r="U525" s="286"/>
      <c r="V525" s="286"/>
      <c r="W525" s="286"/>
      <c r="X525" s="286"/>
      <c r="Y525" s="286"/>
      <c r="Z525" s="286"/>
      <c r="AA525" s="294"/>
      <c r="AB525" s="253"/>
      <c r="AC525" s="253"/>
      <c r="AD525" s="253"/>
      <c r="AE525" s="253"/>
      <c r="AF525" s="253"/>
      <c r="AG525" s="253"/>
      <c r="AH525" s="253"/>
      <c r="AI525" s="253"/>
      <c r="AJ525" s="253"/>
      <c r="AK525" s="253"/>
      <c r="AL525" s="253"/>
      <c r="AM525" s="253"/>
      <c r="AN525" s="253"/>
      <c r="AO525" s="253"/>
      <c r="AP525" s="253"/>
      <c r="AQ525" s="253"/>
      <c r="AR525" s="253"/>
      <c r="AS525" s="253"/>
      <c r="AT525" s="2"/>
      <c r="AU525" s="2"/>
      <c r="AV525" s="2"/>
      <c r="AW525" s="2"/>
      <c r="AX525" s="2"/>
      <c r="AY525" s="253"/>
    </row>
    <row r="526" ht="15.75" customHeight="1">
      <c r="A526" s="2"/>
      <c r="B526" s="288" t="str">
        <f>Controle!B526</f>
        <v/>
      </c>
      <c r="C526" s="233" t="str">
        <f>Controle!C526</f>
        <v/>
      </c>
      <c r="D526" s="289" t="str">
        <f>Controle!D526</f>
        <v/>
      </c>
      <c r="E526" s="290"/>
      <c r="F526" s="291" t="str">
        <f>Controle!F526</f>
        <v/>
      </c>
      <c r="G526" s="289" t="str">
        <f>Controle!G526</f>
        <v/>
      </c>
      <c r="H526" s="290"/>
      <c r="I526" s="291" t="str">
        <f>Controle!I526</f>
        <v/>
      </c>
      <c r="J526" s="233" t="str">
        <f>Controle!J526</f>
        <v/>
      </c>
      <c r="K526" s="292"/>
      <c r="L526" s="233" t="str">
        <f>Controle!L526</f>
        <v/>
      </c>
      <c r="M526" s="233" t="str">
        <f>Controle!M526</f>
        <v/>
      </c>
      <c r="N526" s="235" t="str">
        <f>Controle!N526</f>
        <v/>
      </c>
      <c r="O526" s="235" t="str">
        <f>Controle!O526</f>
        <v/>
      </c>
      <c r="P526" s="235" t="str">
        <f>Controle!P526</f>
        <v/>
      </c>
      <c r="Q526" s="235" t="str">
        <f>Controle!Q526</f>
        <v/>
      </c>
      <c r="R526" s="286" t="str">
        <f>Controle!R526</f>
        <v/>
      </c>
      <c r="S526" s="286"/>
      <c r="T526" s="286"/>
      <c r="U526" s="286"/>
      <c r="V526" s="286"/>
      <c r="W526" s="286"/>
      <c r="X526" s="286"/>
      <c r="Y526" s="286"/>
      <c r="Z526" s="286"/>
      <c r="AA526" s="294"/>
      <c r="AB526" s="253"/>
      <c r="AC526" s="253"/>
      <c r="AD526" s="253"/>
      <c r="AE526" s="253"/>
      <c r="AF526" s="253"/>
      <c r="AG526" s="253"/>
      <c r="AH526" s="253"/>
      <c r="AI526" s="253"/>
      <c r="AJ526" s="253"/>
      <c r="AK526" s="253"/>
      <c r="AL526" s="253"/>
      <c r="AM526" s="253"/>
      <c r="AN526" s="253"/>
      <c r="AO526" s="253"/>
      <c r="AP526" s="253"/>
      <c r="AQ526" s="253"/>
      <c r="AR526" s="253"/>
      <c r="AS526" s="253"/>
      <c r="AT526" s="2"/>
      <c r="AU526" s="2"/>
      <c r="AV526" s="2"/>
      <c r="AW526" s="2"/>
      <c r="AX526" s="2"/>
      <c r="AY526" s="253"/>
    </row>
    <row r="527" ht="15.75" customHeight="1">
      <c r="A527" s="2"/>
      <c r="B527" s="288" t="str">
        <f>Controle!B527</f>
        <v/>
      </c>
      <c r="C527" s="233" t="str">
        <f>Controle!C527</f>
        <v/>
      </c>
      <c r="D527" s="289" t="str">
        <f>Controle!D527</f>
        <v/>
      </c>
      <c r="E527" s="290"/>
      <c r="F527" s="291" t="str">
        <f>Controle!F527</f>
        <v/>
      </c>
      <c r="G527" s="289" t="str">
        <f>Controle!G527</f>
        <v/>
      </c>
      <c r="H527" s="290"/>
      <c r="I527" s="291" t="str">
        <f>Controle!I527</f>
        <v/>
      </c>
      <c r="J527" s="233" t="str">
        <f>Controle!J527</f>
        <v/>
      </c>
      <c r="K527" s="292"/>
      <c r="L527" s="233" t="str">
        <f>Controle!L527</f>
        <v/>
      </c>
      <c r="M527" s="233" t="str">
        <f>Controle!M527</f>
        <v/>
      </c>
      <c r="N527" s="235" t="str">
        <f>Controle!N527</f>
        <v/>
      </c>
      <c r="O527" s="235" t="str">
        <f>Controle!O527</f>
        <v/>
      </c>
      <c r="P527" s="235" t="str">
        <f>Controle!P527</f>
        <v/>
      </c>
      <c r="Q527" s="235" t="str">
        <f>Controle!Q527</f>
        <v/>
      </c>
      <c r="R527" s="286" t="str">
        <f>Controle!R527</f>
        <v/>
      </c>
      <c r="S527" s="286"/>
      <c r="T527" s="286"/>
      <c r="U527" s="286"/>
      <c r="V527" s="286"/>
      <c r="W527" s="286"/>
      <c r="X527" s="286"/>
      <c r="Y527" s="286"/>
      <c r="Z527" s="286"/>
      <c r="AA527" s="294"/>
      <c r="AB527" s="253"/>
      <c r="AC527" s="253"/>
      <c r="AD527" s="253"/>
      <c r="AE527" s="253"/>
      <c r="AF527" s="253"/>
      <c r="AG527" s="253"/>
      <c r="AH527" s="253"/>
      <c r="AI527" s="253"/>
      <c r="AJ527" s="253"/>
      <c r="AK527" s="253"/>
      <c r="AL527" s="253"/>
      <c r="AM527" s="253"/>
      <c r="AN527" s="253"/>
      <c r="AO527" s="253"/>
      <c r="AP527" s="253"/>
      <c r="AQ527" s="253"/>
      <c r="AR527" s="253"/>
      <c r="AS527" s="253"/>
      <c r="AT527" s="2"/>
      <c r="AU527" s="2"/>
      <c r="AV527" s="2"/>
      <c r="AW527" s="2"/>
      <c r="AX527" s="2"/>
      <c r="AY527" s="253"/>
    </row>
    <row r="528" ht="15.75" customHeight="1">
      <c r="A528" s="2"/>
      <c r="B528" s="288" t="str">
        <f>Controle!B528</f>
        <v/>
      </c>
      <c r="C528" s="233" t="str">
        <f>Controle!C528</f>
        <v/>
      </c>
      <c r="D528" s="289" t="str">
        <f>Controle!D528</f>
        <v/>
      </c>
      <c r="E528" s="290"/>
      <c r="F528" s="291" t="str">
        <f>Controle!F528</f>
        <v/>
      </c>
      <c r="G528" s="289" t="str">
        <f>Controle!G528</f>
        <v/>
      </c>
      <c r="H528" s="290"/>
      <c r="I528" s="291" t="str">
        <f>Controle!I528</f>
        <v/>
      </c>
      <c r="J528" s="233" t="str">
        <f>Controle!J528</f>
        <v/>
      </c>
      <c r="K528" s="292"/>
      <c r="L528" s="233" t="str">
        <f>Controle!L528</f>
        <v/>
      </c>
      <c r="M528" s="233" t="str">
        <f>Controle!M528</f>
        <v/>
      </c>
      <c r="N528" s="235" t="str">
        <f>Controle!N528</f>
        <v/>
      </c>
      <c r="O528" s="235" t="str">
        <f>Controle!O528</f>
        <v/>
      </c>
      <c r="P528" s="235" t="str">
        <f>Controle!P528</f>
        <v/>
      </c>
      <c r="Q528" s="235" t="str">
        <f>Controle!Q528</f>
        <v/>
      </c>
      <c r="R528" s="286" t="str">
        <f>Controle!R528</f>
        <v/>
      </c>
      <c r="S528" s="286"/>
      <c r="T528" s="286"/>
      <c r="U528" s="286"/>
      <c r="V528" s="286"/>
      <c r="W528" s="286"/>
      <c r="X528" s="286"/>
      <c r="Y528" s="286"/>
      <c r="Z528" s="286"/>
      <c r="AA528" s="294"/>
      <c r="AB528" s="253"/>
      <c r="AC528" s="253"/>
      <c r="AD528" s="253"/>
      <c r="AE528" s="253"/>
      <c r="AF528" s="253"/>
      <c r="AG528" s="253"/>
      <c r="AH528" s="253"/>
      <c r="AI528" s="253"/>
      <c r="AJ528" s="253"/>
      <c r="AK528" s="253"/>
      <c r="AL528" s="253"/>
      <c r="AM528" s="253"/>
      <c r="AN528" s="253"/>
      <c r="AO528" s="253"/>
      <c r="AP528" s="253"/>
      <c r="AQ528" s="253"/>
      <c r="AR528" s="253"/>
      <c r="AS528" s="253"/>
      <c r="AT528" s="2"/>
      <c r="AU528" s="2"/>
      <c r="AV528" s="2"/>
      <c r="AW528" s="2"/>
      <c r="AX528" s="2"/>
      <c r="AY528" s="253"/>
    </row>
    <row r="529" ht="15.75" customHeight="1">
      <c r="A529" s="2"/>
      <c r="B529" s="288" t="str">
        <f>Controle!B529</f>
        <v/>
      </c>
      <c r="C529" s="233" t="str">
        <f>Controle!C529</f>
        <v/>
      </c>
      <c r="D529" s="289" t="str">
        <f>Controle!D529</f>
        <v/>
      </c>
      <c r="E529" s="290"/>
      <c r="F529" s="291" t="str">
        <f>Controle!F529</f>
        <v/>
      </c>
      <c r="G529" s="289" t="str">
        <f>Controle!G529</f>
        <v/>
      </c>
      <c r="H529" s="290"/>
      <c r="I529" s="291" t="str">
        <f>Controle!I529</f>
        <v/>
      </c>
      <c r="J529" s="233" t="str">
        <f>Controle!J529</f>
        <v/>
      </c>
      <c r="K529" s="292"/>
      <c r="L529" s="233" t="str">
        <f>Controle!L529</f>
        <v/>
      </c>
      <c r="M529" s="233" t="str">
        <f>Controle!M529</f>
        <v/>
      </c>
      <c r="N529" s="235" t="str">
        <f>Controle!N529</f>
        <v/>
      </c>
      <c r="O529" s="235" t="str">
        <f>Controle!O529</f>
        <v/>
      </c>
      <c r="P529" s="235" t="str">
        <f>Controle!P529</f>
        <v/>
      </c>
      <c r="Q529" s="235" t="str">
        <f>Controle!Q529</f>
        <v/>
      </c>
      <c r="R529" s="286" t="str">
        <f>Controle!R529</f>
        <v/>
      </c>
      <c r="S529" s="286"/>
      <c r="T529" s="286"/>
      <c r="U529" s="286"/>
      <c r="V529" s="286"/>
      <c r="W529" s="286"/>
      <c r="X529" s="286"/>
      <c r="Y529" s="286"/>
      <c r="Z529" s="286"/>
      <c r="AA529" s="294"/>
      <c r="AB529" s="253"/>
      <c r="AC529" s="253"/>
      <c r="AD529" s="253"/>
      <c r="AE529" s="253"/>
      <c r="AF529" s="253"/>
      <c r="AG529" s="253"/>
      <c r="AH529" s="253"/>
      <c r="AI529" s="253"/>
      <c r="AJ529" s="253"/>
      <c r="AK529" s="253"/>
      <c r="AL529" s="253"/>
      <c r="AM529" s="253"/>
      <c r="AN529" s="253"/>
      <c r="AO529" s="253"/>
      <c r="AP529" s="253"/>
      <c r="AQ529" s="253"/>
      <c r="AR529" s="253"/>
      <c r="AS529" s="253"/>
      <c r="AT529" s="2"/>
      <c r="AU529" s="2"/>
      <c r="AV529" s="2"/>
      <c r="AW529" s="2"/>
      <c r="AX529" s="2"/>
      <c r="AY529" s="253"/>
    </row>
    <row r="530" ht="15.75" customHeight="1">
      <c r="A530" s="2"/>
      <c r="B530" s="288" t="str">
        <f>Controle!B530</f>
        <v/>
      </c>
      <c r="C530" s="233" t="str">
        <f>Controle!C530</f>
        <v/>
      </c>
      <c r="D530" s="289" t="str">
        <f>Controle!D530</f>
        <v/>
      </c>
      <c r="E530" s="290"/>
      <c r="F530" s="291" t="str">
        <f>Controle!F530</f>
        <v/>
      </c>
      <c r="G530" s="289" t="str">
        <f>Controle!G530</f>
        <v/>
      </c>
      <c r="H530" s="290"/>
      <c r="I530" s="291" t="str">
        <f>Controle!I530</f>
        <v/>
      </c>
      <c r="J530" s="233" t="str">
        <f>Controle!J530</f>
        <v/>
      </c>
      <c r="K530" s="292"/>
      <c r="L530" s="233" t="str">
        <f>Controle!L530</f>
        <v/>
      </c>
      <c r="M530" s="233" t="str">
        <f>Controle!M530</f>
        <v/>
      </c>
      <c r="N530" s="235" t="str">
        <f>Controle!N530</f>
        <v/>
      </c>
      <c r="O530" s="235" t="str">
        <f>Controle!O530</f>
        <v/>
      </c>
      <c r="P530" s="235" t="str">
        <f>Controle!P530</f>
        <v/>
      </c>
      <c r="Q530" s="235" t="str">
        <f>Controle!Q530</f>
        <v/>
      </c>
      <c r="R530" s="286" t="str">
        <f>Controle!R530</f>
        <v/>
      </c>
      <c r="S530" s="286"/>
      <c r="T530" s="286"/>
      <c r="U530" s="286"/>
      <c r="V530" s="286"/>
      <c r="W530" s="286"/>
      <c r="X530" s="286"/>
      <c r="Y530" s="286"/>
      <c r="Z530" s="286"/>
      <c r="AA530" s="294"/>
      <c r="AB530" s="253"/>
      <c r="AC530" s="253"/>
      <c r="AD530" s="253"/>
      <c r="AE530" s="253"/>
      <c r="AF530" s="253"/>
      <c r="AG530" s="253"/>
      <c r="AH530" s="253"/>
      <c r="AI530" s="253"/>
      <c r="AJ530" s="253"/>
      <c r="AK530" s="253"/>
      <c r="AL530" s="253"/>
      <c r="AM530" s="253"/>
      <c r="AN530" s="253"/>
      <c r="AO530" s="253"/>
      <c r="AP530" s="253"/>
      <c r="AQ530" s="253"/>
      <c r="AR530" s="253"/>
      <c r="AS530" s="253"/>
      <c r="AT530" s="2"/>
      <c r="AU530" s="2"/>
      <c r="AV530" s="2"/>
      <c r="AW530" s="2"/>
      <c r="AX530" s="2"/>
      <c r="AY530" s="253"/>
    </row>
    <row r="531" ht="15.75" customHeight="1">
      <c r="A531" s="2"/>
      <c r="B531" s="288" t="str">
        <f>Controle!B531</f>
        <v/>
      </c>
      <c r="C531" s="233" t="str">
        <f>Controle!C531</f>
        <v/>
      </c>
      <c r="D531" s="289" t="str">
        <f>Controle!D531</f>
        <v/>
      </c>
      <c r="E531" s="290"/>
      <c r="F531" s="291" t="str">
        <f>Controle!F531</f>
        <v/>
      </c>
      <c r="G531" s="289" t="str">
        <f>Controle!G531</f>
        <v/>
      </c>
      <c r="H531" s="290"/>
      <c r="I531" s="291" t="str">
        <f>Controle!I531</f>
        <v/>
      </c>
      <c r="J531" s="233" t="str">
        <f>Controle!J531</f>
        <v/>
      </c>
      <c r="K531" s="292"/>
      <c r="L531" s="233" t="str">
        <f>Controle!L531</f>
        <v/>
      </c>
      <c r="M531" s="233" t="str">
        <f>Controle!M531</f>
        <v/>
      </c>
      <c r="N531" s="235" t="str">
        <f>Controle!N531</f>
        <v/>
      </c>
      <c r="O531" s="235" t="str">
        <f>Controle!O531</f>
        <v/>
      </c>
      <c r="P531" s="235" t="str">
        <f>Controle!P531</f>
        <v/>
      </c>
      <c r="Q531" s="235" t="str">
        <f>Controle!Q531</f>
        <v/>
      </c>
      <c r="R531" s="286" t="str">
        <f>Controle!R531</f>
        <v/>
      </c>
      <c r="S531" s="286"/>
      <c r="T531" s="286"/>
      <c r="U531" s="286"/>
      <c r="V531" s="286"/>
      <c r="W531" s="286"/>
      <c r="X531" s="286"/>
      <c r="Y531" s="286"/>
      <c r="Z531" s="286"/>
      <c r="AA531" s="294"/>
      <c r="AB531" s="253"/>
      <c r="AC531" s="253"/>
      <c r="AD531" s="253"/>
      <c r="AE531" s="253"/>
      <c r="AF531" s="253"/>
      <c r="AG531" s="253"/>
      <c r="AH531" s="253"/>
      <c r="AI531" s="253"/>
      <c r="AJ531" s="253"/>
      <c r="AK531" s="253"/>
      <c r="AL531" s="253"/>
      <c r="AM531" s="253"/>
      <c r="AN531" s="253"/>
      <c r="AO531" s="253"/>
      <c r="AP531" s="253"/>
      <c r="AQ531" s="253"/>
      <c r="AR531" s="253"/>
      <c r="AS531" s="253"/>
      <c r="AT531" s="2"/>
      <c r="AU531" s="2"/>
      <c r="AV531" s="2"/>
      <c r="AW531" s="2"/>
      <c r="AX531" s="2"/>
      <c r="AY531" s="253"/>
    </row>
    <row r="532" ht="15.75" customHeight="1">
      <c r="A532" s="2"/>
      <c r="B532" s="288" t="str">
        <f>Controle!B532</f>
        <v/>
      </c>
      <c r="C532" s="233" t="str">
        <f>Controle!C532</f>
        <v/>
      </c>
      <c r="D532" s="289" t="str">
        <f>Controle!D532</f>
        <v/>
      </c>
      <c r="E532" s="290"/>
      <c r="F532" s="291" t="str">
        <f>Controle!F532</f>
        <v/>
      </c>
      <c r="G532" s="289" t="str">
        <f>Controle!G532</f>
        <v/>
      </c>
      <c r="H532" s="290"/>
      <c r="I532" s="291" t="str">
        <f>Controle!I532</f>
        <v/>
      </c>
      <c r="J532" s="233" t="str">
        <f>Controle!J532</f>
        <v/>
      </c>
      <c r="K532" s="292"/>
      <c r="L532" s="233" t="str">
        <f>Controle!L532</f>
        <v/>
      </c>
      <c r="M532" s="233" t="str">
        <f>Controle!M532</f>
        <v/>
      </c>
      <c r="N532" s="235" t="str">
        <f>Controle!N532</f>
        <v/>
      </c>
      <c r="O532" s="235" t="str">
        <f>Controle!O532</f>
        <v/>
      </c>
      <c r="P532" s="235" t="str">
        <f>Controle!P532</f>
        <v/>
      </c>
      <c r="Q532" s="235" t="str">
        <f>Controle!Q532</f>
        <v/>
      </c>
      <c r="R532" s="286" t="str">
        <f>Controle!R532</f>
        <v/>
      </c>
      <c r="S532" s="286"/>
      <c r="T532" s="286"/>
      <c r="U532" s="286"/>
      <c r="V532" s="286"/>
      <c r="W532" s="286"/>
      <c r="X532" s="286"/>
      <c r="Y532" s="286"/>
      <c r="Z532" s="286"/>
      <c r="AA532" s="294"/>
      <c r="AB532" s="253"/>
      <c r="AC532" s="253"/>
      <c r="AD532" s="253"/>
      <c r="AE532" s="253"/>
      <c r="AF532" s="253"/>
      <c r="AG532" s="253"/>
      <c r="AH532" s="253"/>
      <c r="AI532" s="253"/>
      <c r="AJ532" s="253"/>
      <c r="AK532" s="253"/>
      <c r="AL532" s="253"/>
      <c r="AM532" s="253"/>
      <c r="AN532" s="253"/>
      <c r="AO532" s="253"/>
      <c r="AP532" s="253"/>
      <c r="AQ532" s="253"/>
      <c r="AR532" s="253"/>
      <c r="AS532" s="253"/>
      <c r="AT532" s="2"/>
      <c r="AU532" s="2"/>
      <c r="AV532" s="2"/>
      <c r="AW532" s="2"/>
      <c r="AX532" s="2"/>
      <c r="AY532" s="253"/>
    </row>
    <row r="533" ht="15.75" customHeight="1">
      <c r="A533" s="2"/>
      <c r="B533" s="288" t="str">
        <f>Controle!B533</f>
        <v/>
      </c>
      <c r="C533" s="233" t="str">
        <f>Controle!C533</f>
        <v/>
      </c>
      <c r="D533" s="289" t="str">
        <f>Controle!D533</f>
        <v/>
      </c>
      <c r="E533" s="290"/>
      <c r="F533" s="291" t="str">
        <f>Controle!F533</f>
        <v/>
      </c>
      <c r="G533" s="289" t="str">
        <f>Controle!G533</f>
        <v/>
      </c>
      <c r="H533" s="290"/>
      <c r="I533" s="291" t="str">
        <f>Controle!I533</f>
        <v/>
      </c>
      <c r="J533" s="233" t="str">
        <f>Controle!J533</f>
        <v/>
      </c>
      <c r="K533" s="292"/>
      <c r="L533" s="233" t="str">
        <f>Controle!L533</f>
        <v/>
      </c>
      <c r="M533" s="233" t="str">
        <f>Controle!M533</f>
        <v/>
      </c>
      <c r="N533" s="235" t="str">
        <f>Controle!N533</f>
        <v/>
      </c>
      <c r="O533" s="235" t="str">
        <f>Controle!O533</f>
        <v/>
      </c>
      <c r="P533" s="235" t="str">
        <f>Controle!P533</f>
        <v/>
      </c>
      <c r="Q533" s="235" t="str">
        <f>Controle!Q533</f>
        <v/>
      </c>
      <c r="R533" s="286" t="str">
        <f>Controle!R533</f>
        <v/>
      </c>
      <c r="S533" s="286"/>
      <c r="T533" s="286"/>
      <c r="U533" s="286"/>
      <c r="V533" s="286"/>
      <c r="W533" s="286"/>
      <c r="X533" s="286"/>
      <c r="Y533" s="286"/>
      <c r="Z533" s="286"/>
      <c r="AA533" s="294"/>
      <c r="AB533" s="253"/>
      <c r="AC533" s="253"/>
      <c r="AD533" s="253"/>
      <c r="AE533" s="253"/>
      <c r="AF533" s="253"/>
      <c r="AG533" s="253"/>
      <c r="AH533" s="253"/>
      <c r="AI533" s="253"/>
      <c r="AJ533" s="253"/>
      <c r="AK533" s="253"/>
      <c r="AL533" s="253"/>
      <c r="AM533" s="253"/>
      <c r="AN533" s="253"/>
      <c r="AO533" s="253"/>
      <c r="AP533" s="253"/>
      <c r="AQ533" s="253"/>
      <c r="AR533" s="253"/>
      <c r="AS533" s="253"/>
      <c r="AT533" s="2"/>
      <c r="AU533" s="2"/>
      <c r="AV533" s="2"/>
      <c r="AW533" s="2"/>
      <c r="AX533" s="2"/>
      <c r="AY533" s="253"/>
    </row>
    <row r="534" ht="15.75" customHeight="1">
      <c r="A534" s="2"/>
      <c r="B534" s="288" t="str">
        <f>Controle!B534</f>
        <v/>
      </c>
      <c r="C534" s="233" t="str">
        <f>Controle!C534</f>
        <v/>
      </c>
      <c r="D534" s="289" t="str">
        <f>Controle!D534</f>
        <v/>
      </c>
      <c r="E534" s="290"/>
      <c r="F534" s="291" t="str">
        <f>Controle!F534</f>
        <v/>
      </c>
      <c r="G534" s="289" t="str">
        <f>Controle!G534</f>
        <v/>
      </c>
      <c r="H534" s="290"/>
      <c r="I534" s="291" t="str">
        <f>Controle!I534</f>
        <v/>
      </c>
      <c r="J534" s="233" t="str">
        <f>Controle!J534</f>
        <v/>
      </c>
      <c r="K534" s="292"/>
      <c r="L534" s="233" t="str">
        <f>Controle!L534</f>
        <v/>
      </c>
      <c r="M534" s="233" t="str">
        <f>Controle!M534</f>
        <v/>
      </c>
      <c r="N534" s="235" t="str">
        <f>Controle!N534</f>
        <v/>
      </c>
      <c r="O534" s="235" t="str">
        <f>Controle!O534</f>
        <v/>
      </c>
      <c r="P534" s="235" t="str">
        <f>Controle!P534</f>
        <v/>
      </c>
      <c r="Q534" s="235" t="str">
        <f>Controle!Q534</f>
        <v/>
      </c>
      <c r="R534" s="286" t="str">
        <f>Controle!R534</f>
        <v/>
      </c>
      <c r="S534" s="286"/>
      <c r="T534" s="286"/>
      <c r="U534" s="286"/>
      <c r="V534" s="286"/>
      <c r="W534" s="286"/>
      <c r="X534" s="286"/>
      <c r="Y534" s="286"/>
      <c r="Z534" s="286"/>
      <c r="AA534" s="294"/>
      <c r="AB534" s="253"/>
      <c r="AC534" s="253"/>
      <c r="AD534" s="253"/>
      <c r="AE534" s="253"/>
      <c r="AF534" s="253"/>
      <c r="AG534" s="253"/>
      <c r="AH534" s="253"/>
      <c r="AI534" s="253"/>
      <c r="AJ534" s="253"/>
      <c r="AK534" s="253"/>
      <c r="AL534" s="253"/>
      <c r="AM534" s="253"/>
      <c r="AN534" s="253"/>
      <c r="AO534" s="253"/>
      <c r="AP534" s="253"/>
      <c r="AQ534" s="253"/>
      <c r="AR534" s="253"/>
      <c r="AS534" s="253"/>
      <c r="AT534" s="2"/>
      <c r="AU534" s="2"/>
      <c r="AV534" s="2"/>
      <c r="AW534" s="2"/>
      <c r="AX534" s="2"/>
      <c r="AY534" s="253"/>
    </row>
    <row r="535" ht="15.75" customHeight="1">
      <c r="A535" s="2"/>
      <c r="B535" s="288" t="str">
        <f>Controle!B535</f>
        <v/>
      </c>
      <c r="C535" s="233" t="str">
        <f>Controle!C535</f>
        <v/>
      </c>
      <c r="D535" s="289" t="str">
        <f>Controle!D535</f>
        <v/>
      </c>
      <c r="E535" s="290"/>
      <c r="F535" s="291" t="str">
        <f>Controle!F535</f>
        <v/>
      </c>
      <c r="G535" s="289" t="str">
        <f>Controle!G535</f>
        <v/>
      </c>
      <c r="H535" s="290"/>
      <c r="I535" s="291" t="str">
        <f>Controle!I535</f>
        <v/>
      </c>
      <c r="J535" s="233" t="str">
        <f>Controle!J535</f>
        <v/>
      </c>
      <c r="K535" s="292"/>
      <c r="L535" s="233" t="str">
        <f>Controle!L535</f>
        <v/>
      </c>
      <c r="M535" s="233" t="str">
        <f>Controle!M535</f>
        <v/>
      </c>
      <c r="N535" s="235" t="str">
        <f>Controle!N535</f>
        <v/>
      </c>
      <c r="O535" s="235" t="str">
        <f>Controle!O535</f>
        <v/>
      </c>
      <c r="P535" s="235" t="str">
        <f>Controle!P535</f>
        <v/>
      </c>
      <c r="Q535" s="235" t="str">
        <f>Controle!Q535</f>
        <v/>
      </c>
      <c r="R535" s="286" t="str">
        <f>Controle!R535</f>
        <v/>
      </c>
      <c r="S535" s="286"/>
      <c r="T535" s="286"/>
      <c r="U535" s="286"/>
      <c r="V535" s="286"/>
      <c r="W535" s="286"/>
      <c r="X535" s="286"/>
      <c r="Y535" s="286"/>
      <c r="Z535" s="286"/>
      <c r="AA535" s="294"/>
      <c r="AB535" s="253"/>
      <c r="AC535" s="253"/>
      <c r="AD535" s="253"/>
      <c r="AE535" s="253"/>
      <c r="AF535" s="253"/>
      <c r="AG535" s="253"/>
      <c r="AH535" s="253"/>
      <c r="AI535" s="253"/>
      <c r="AJ535" s="253"/>
      <c r="AK535" s="253"/>
      <c r="AL535" s="253"/>
      <c r="AM535" s="253"/>
      <c r="AN535" s="253"/>
      <c r="AO535" s="253"/>
      <c r="AP535" s="253"/>
      <c r="AQ535" s="253"/>
      <c r="AR535" s="253"/>
      <c r="AS535" s="253"/>
      <c r="AT535" s="2"/>
      <c r="AU535" s="2"/>
      <c r="AV535" s="2"/>
      <c r="AW535" s="2"/>
      <c r="AX535" s="2"/>
      <c r="AY535" s="253"/>
    </row>
    <row r="536" ht="15.75" customHeight="1">
      <c r="A536" s="2"/>
      <c r="B536" s="288" t="str">
        <f>Controle!B536</f>
        <v/>
      </c>
      <c r="C536" s="233" t="str">
        <f>Controle!C536</f>
        <v/>
      </c>
      <c r="D536" s="289" t="str">
        <f>Controle!D536</f>
        <v/>
      </c>
      <c r="E536" s="290"/>
      <c r="F536" s="291" t="str">
        <f>Controle!F536</f>
        <v/>
      </c>
      <c r="G536" s="289" t="str">
        <f>Controle!G536</f>
        <v/>
      </c>
      <c r="H536" s="290"/>
      <c r="I536" s="291" t="str">
        <f>Controle!I536</f>
        <v/>
      </c>
      <c r="J536" s="233" t="str">
        <f>Controle!J536</f>
        <v/>
      </c>
      <c r="K536" s="292"/>
      <c r="L536" s="233" t="str">
        <f>Controle!L536</f>
        <v/>
      </c>
      <c r="M536" s="233" t="str">
        <f>Controle!M536</f>
        <v/>
      </c>
      <c r="N536" s="235" t="str">
        <f>Controle!N536</f>
        <v/>
      </c>
      <c r="O536" s="235" t="str">
        <f>Controle!O536</f>
        <v/>
      </c>
      <c r="P536" s="235" t="str">
        <f>Controle!P536</f>
        <v/>
      </c>
      <c r="Q536" s="235" t="str">
        <f>Controle!Q536</f>
        <v/>
      </c>
      <c r="R536" s="286" t="str">
        <f>Controle!R536</f>
        <v/>
      </c>
      <c r="S536" s="286"/>
      <c r="T536" s="286"/>
      <c r="U536" s="286"/>
      <c r="V536" s="286"/>
      <c r="W536" s="286"/>
      <c r="X536" s="286"/>
      <c r="Y536" s="286"/>
      <c r="Z536" s="286"/>
      <c r="AA536" s="294"/>
      <c r="AB536" s="253"/>
      <c r="AC536" s="253"/>
      <c r="AD536" s="253"/>
      <c r="AE536" s="253"/>
      <c r="AF536" s="253"/>
      <c r="AG536" s="253"/>
      <c r="AH536" s="253"/>
      <c r="AI536" s="253"/>
      <c r="AJ536" s="253"/>
      <c r="AK536" s="253"/>
      <c r="AL536" s="253"/>
      <c r="AM536" s="253"/>
      <c r="AN536" s="253"/>
      <c r="AO536" s="253"/>
      <c r="AP536" s="253"/>
      <c r="AQ536" s="253"/>
      <c r="AR536" s="253"/>
      <c r="AS536" s="253"/>
      <c r="AT536" s="2"/>
      <c r="AU536" s="2"/>
      <c r="AV536" s="2"/>
      <c r="AW536" s="2"/>
      <c r="AX536" s="2"/>
      <c r="AY536" s="253"/>
    </row>
    <row r="537" ht="15.75" customHeight="1">
      <c r="A537" s="2"/>
      <c r="B537" s="288" t="str">
        <f>Controle!B537</f>
        <v/>
      </c>
      <c r="C537" s="233" t="str">
        <f>Controle!C537</f>
        <v/>
      </c>
      <c r="D537" s="289" t="str">
        <f>Controle!D537</f>
        <v/>
      </c>
      <c r="E537" s="290"/>
      <c r="F537" s="291" t="str">
        <f>Controle!F537</f>
        <v/>
      </c>
      <c r="G537" s="289" t="str">
        <f>Controle!G537</f>
        <v/>
      </c>
      <c r="H537" s="290"/>
      <c r="I537" s="291" t="str">
        <f>Controle!I537</f>
        <v/>
      </c>
      <c r="J537" s="233" t="str">
        <f>Controle!J537</f>
        <v/>
      </c>
      <c r="K537" s="292"/>
      <c r="L537" s="233" t="str">
        <f>Controle!L537</f>
        <v/>
      </c>
      <c r="M537" s="233" t="str">
        <f>Controle!M537</f>
        <v/>
      </c>
      <c r="N537" s="235" t="str">
        <f>Controle!N537</f>
        <v/>
      </c>
      <c r="O537" s="235" t="str">
        <f>Controle!O537</f>
        <v/>
      </c>
      <c r="P537" s="235" t="str">
        <f>Controle!P537</f>
        <v/>
      </c>
      <c r="Q537" s="235" t="str">
        <f>Controle!Q537</f>
        <v/>
      </c>
      <c r="R537" s="286" t="str">
        <f>Controle!R537</f>
        <v/>
      </c>
      <c r="S537" s="286"/>
      <c r="T537" s="286"/>
      <c r="U537" s="286"/>
      <c r="V537" s="286"/>
      <c r="W537" s="286"/>
      <c r="X537" s="286"/>
      <c r="Y537" s="286"/>
      <c r="Z537" s="286"/>
      <c r="AA537" s="294"/>
      <c r="AB537" s="253"/>
      <c r="AC537" s="253"/>
      <c r="AD537" s="253"/>
      <c r="AE537" s="253"/>
      <c r="AF537" s="253"/>
      <c r="AG537" s="253"/>
      <c r="AH537" s="253"/>
      <c r="AI537" s="253"/>
      <c r="AJ537" s="253"/>
      <c r="AK537" s="253"/>
      <c r="AL537" s="253"/>
      <c r="AM537" s="253"/>
      <c r="AN537" s="253"/>
      <c r="AO537" s="253"/>
      <c r="AP537" s="253"/>
      <c r="AQ537" s="253"/>
      <c r="AR537" s="253"/>
      <c r="AS537" s="253"/>
      <c r="AT537" s="2"/>
      <c r="AU537" s="2"/>
      <c r="AV537" s="2"/>
      <c r="AW537" s="2"/>
      <c r="AX537" s="2"/>
      <c r="AY537" s="253"/>
    </row>
    <row r="538" ht="15.75" customHeight="1">
      <c r="A538" s="2"/>
      <c r="B538" s="288" t="str">
        <f>Controle!B538</f>
        <v/>
      </c>
      <c r="C538" s="233" t="str">
        <f>Controle!C538</f>
        <v/>
      </c>
      <c r="D538" s="289" t="str">
        <f>Controle!D538</f>
        <v/>
      </c>
      <c r="E538" s="290"/>
      <c r="F538" s="291" t="str">
        <f>Controle!F538</f>
        <v/>
      </c>
      <c r="G538" s="289" t="str">
        <f>Controle!G538</f>
        <v/>
      </c>
      <c r="H538" s="290"/>
      <c r="I538" s="291" t="str">
        <f>Controle!I538</f>
        <v/>
      </c>
      <c r="J538" s="233" t="str">
        <f>Controle!J538</f>
        <v/>
      </c>
      <c r="K538" s="292"/>
      <c r="L538" s="233" t="str">
        <f>Controle!L538</f>
        <v/>
      </c>
      <c r="M538" s="233" t="str">
        <f>Controle!M538</f>
        <v/>
      </c>
      <c r="N538" s="235" t="str">
        <f>Controle!N538</f>
        <v/>
      </c>
      <c r="O538" s="235" t="str">
        <f>Controle!O538</f>
        <v/>
      </c>
      <c r="P538" s="235" t="str">
        <f>Controle!P538</f>
        <v/>
      </c>
      <c r="Q538" s="235" t="str">
        <f>Controle!Q538</f>
        <v/>
      </c>
      <c r="R538" s="286" t="str">
        <f>Controle!R538</f>
        <v/>
      </c>
      <c r="S538" s="286"/>
      <c r="T538" s="286"/>
      <c r="U538" s="286"/>
      <c r="V538" s="286"/>
      <c r="W538" s="286"/>
      <c r="X538" s="286"/>
      <c r="Y538" s="286"/>
      <c r="Z538" s="286"/>
      <c r="AA538" s="294"/>
      <c r="AB538" s="253"/>
      <c r="AC538" s="253"/>
      <c r="AD538" s="253"/>
      <c r="AE538" s="253"/>
      <c r="AF538" s="253"/>
      <c r="AG538" s="253"/>
      <c r="AH538" s="253"/>
      <c r="AI538" s="253"/>
      <c r="AJ538" s="253"/>
      <c r="AK538" s="253"/>
      <c r="AL538" s="253"/>
      <c r="AM538" s="253"/>
      <c r="AN538" s="253"/>
      <c r="AO538" s="253"/>
      <c r="AP538" s="253"/>
      <c r="AQ538" s="253"/>
      <c r="AR538" s="253"/>
      <c r="AS538" s="253"/>
      <c r="AT538" s="2"/>
      <c r="AU538" s="2"/>
      <c r="AV538" s="2"/>
      <c r="AW538" s="2"/>
      <c r="AX538" s="2"/>
      <c r="AY538" s="253"/>
    </row>
    <row r="539" ht="15.75" customHeight="1">
      <c r="A539" s="2"/>
      <c r="B539" s="288" t="str">
        <f>Controle!B539</f>
        <v/>
      </c>
      <c r="C539" s="233" t="str">
        <f>Controle!C539</f>
        <v/>
      </c>
      <c r="D539" s="289" t="str">
        <f>Controle!D539</f>
        <v/>
      </c>
      <c r="E539" s="290"/>
      <c r="F539" s="291" t="str">
        <f>Controle!F539</f>
        <v/>
      </c>
      <c r="G539" s="289" t="str">
        <f>Controle!G539</f>
        <v/>
      </c>
      <c r="H539" s="290"/>
      <c r="I539" s="291" t="str">
        <f>Controle!I539</f>
        <v/>
      </c>
      <c r="J539" s="233" t="str">
        <f>Controle!J539</f>
        <v/>
      </c>
      <c r="K539" s="292"/>
      <c r="L539" s="233" t="str">
        <f>Controle!L539</f>
        <v/>
      </c>
      <c r="M539" s="233" t="str">
        <f>Controle!M539</f>
        <v/>
      </c>
      <c r="N539" s="235" t="str">
        <f>Controle!N539</f>
        <v/>
      </c>
      <c r="O539" s="235" t="str">
        <f>Controle!O539</f>
        <v/>
      </c>
      <c r="P539" s="235" t="str">
        <f>Controle!P539</f>
        <v/>
      </c>
      <c r="Q539" s="235" t="str">
        <f>Controle!Q539</f>
        <v/>
      </c>
      <c r="R539" s="286" t="str">
        <f>Controle!R539</f>
        <v/>
      </c>
      <c r="S539" s="286"/>
      <c r="T539" s="286"/>
      <c r="U539" s="286"/>
      <c r="V539" s="286"/>
      <c r="W539" s="286"/>
      <c r="X539" s="286"/>
      <c r="Y539" s="286"/>
      <c r="Z539" s="286"/>
      <c r="AA539" s="294"/>
      <c r="AB539" s="253"/>
      <c r="AC539" s="253"/>
      <c r="AD539" s="253"/>
      <c r="AE539" s="253"/>
      <c r="AF539" s="253"/>
      <c r="AG539" s="253"/>
      <c r="AH539" s="253"/>
      <c r="AI539" s="253"/>
      <c r="AJ539" s="253"/>
      <c r="AK539" s="253"/>
      <c r="AL539" s="253"/>
      <c r="AM539" s="253"/>
      <c r="AN539" s="253"/>
      <c r="AO539" s="253"/>
      <c r="AP539" s="253"/>
      <c r="AQ539" s="253"/>
      <c r="AR539" s="253"/>
      <c r="AS539" s="253"/>
      <c r="AT539" s="2"/>
      <c r="AU539" s="2"/>
      <c r="AV539" s="2"/>
      <c r="AW539" s="2"/>
      <c r="AX539" s="2"/>
      <c r="AY539" s="253"/>
    </row>
    <row r="540" ht="15.75" customHeight="1">
      <c r="A540" s="2"/>
      <c r="B540" s="288" t="str">
        <f>Controle!B540</f>
        <v/>
      </c>
      <c r="C540" s="233" t="str">
        <f>Controle!C540</f>
        <v/>
      </c>
      <c r="D540" s="289" t="str">
        <f>Controle!D540</f>
        <v/>
      </c>
      <c r="E540" s="290"/>
      <c r="F540" s="291" t="str">
        <f>Controle!F540</f>
        <v/>
      </c>
      <c r="G540" s="289" t="str">
        <f>Controle!G540</f>
        <v/>
      </c>
      <c r="H540" s="290"/>
      <c r="I540" s="291" t="str">
        <f>Controle!I540</f>
        <v/>
      </c>
      <c r="J540" s="233" t="str">
        <f>Controle!J540</f>
        <v/>
      </c>
      <c r="K540" s="292"/>
      <c r="L540" s="233" t="str">
        <f>Controle!L540</f>
        <v/>
      </c>
      <c r="M540" s="233" t="str">
        <f>Controle!M540</f>
        <v/>
      </c>
      <c r="N540" s="235" t="str">
        <f>Controle!N540</f>
        <v/>
      </c>
      <c r="O540" s="235" t="str">
        <f>Controle!O540</f>
        <v/>
      </c>
      <c r="P540" s="235" t="str">
        <f>Controle!P540</f>
        <v/>
      </c>
      <c r="Q540" s="235" t="str">
        <f>Controle!Q540</f>
        <v/>
      </c>
      <c r="R540" s="286" t="str">
        <f>Controle!R540</f>
        <v/>
      </c>
      <c r="S540" s="286"/>
      <c r="T540" s="286"/>
      <c r="U540" s="286"/>
      <c r="V540" s="286"/>
      <c r="W540" s="286"/>
      <c r="X540" s="286"/>
      <c r="Y540" s="286"/>
      <c r="Z540" s="286"/>
      <c r="AA540" s="294"/>
      <c r="AB540" s="253"/>
      <c r="AC540" s="253"/>
      <c r="AD540" s="253"/>
      <c r="AE540" s="253"/>
      <c r="AF540" s="253"/>
      <c r="AG540" s="253"/>
      <c r="AH540" s="253"/>
      <c r="AI540" s="253"/>
      <c r="AJ540" s="253"/>
      <c r="AK540" s="253"/>
      <c r="AL540" s="253"/>
      <c r="AM540" s="253"/>
      <c r="AN540" s="253"/>
      <c r="AO540" s="253"/>
      <c r="AP540" s="253"/>
      <c r="AQ540" s="253"/>
      <c r="AR540" s="253"/>
      <c r="AS540" s="253"/>
      <c r="AT540" s="2"/>
      <c r="AU540" s="2"/>
      <c r="AV540" s="2"/>
      <c r="AW540" s="2"/>
      <c r="AX540" s="2"/>
      <c r="AY540" s="253"/>
    </row>
    <row r="541" ht="15.75" customHeight="1">
      <c r="A541" s="2"/>
      <c r="B541" s="288" t="str">
        <f>Controle!B541</f>
        <v/>
      </c>
      <c r="C541" s="233" t="str">
        <f>Controle!C541</f>
        <v/>
      </c>
      <c r="D541" s="289" t="str">
        <f>Controle!D541</f>
        <v/>
      </c>
      <c r="E541" s="290"/>
      <c r="F541" s="291" t="str">
        <f>Controle!F541</f>
        <v/>
      </c>
      <c r="G541" s="289" t="str">
        <f>Controle!G541</f>
        <v/>
      </c>
      <c r="H541" s="290"/>
      <c r="I541" s="291" t="str">
        <f>Controle!I541</f>
        <v/>
      </c>
      <c r="J541" s="233" t="str">
        <f>Controle!J541</f>
        <v/>
      </c>
      <c r="K541" s="292"/>
      <c r="L541" s="233" t="str">
        <f>Controle!L541</f>
        <v/>
      </c>
      <c r="M541" s="233" t="str">
        <f>Controle!M541</f>
        <v/>
      </c>
      <c r="N541" s="235" t="str">
        <f>Controle!N541</f>
        <v/>
      </c>
      <c r="O541" s="235" t="str">
        <f>Controle!O541</f>
        <v/>
      </c>
      <c r="P541" s="235" t="str">
        <f>Controle!P541</f>
        <v/>
      </c>
      <c r="Q541" s="235" t="str">
        <f>Controle!Q541</f>
        <v/>
      </c>
      <c r="R541" s="286" t="str">
        <f>Controle!R541</f>
        <v/>
      </c>
      <c r="S541" s="286"/>
      <c r="T541" s="286"/>
      <c r="U541" s="286"/>
      <c r="V541" s="286"/>
      <c r="W541" s="286"/>
      <c r="X541" s="286"/>
      <c r="Y541" s="286"/>
      <c r="Z541" s="286"/>
      <c r="AA541" s="294"/>
      <c r="AB541" s="253"/>
      <c r="AC541" s="253"/>
      <c r="AD541" s="253"/>
      <c r="AE541" s="253"/>
      <c r="AF541" s="253"/>
      <c r="AG541" s="253"/>
      <c r="AH541" s="253"/>
      <c r="AI541" s="253"/>
      <c r="AJ541" s="253"/>
      <c r="AK541" s="253"/>
      <c r="AL541" s="253"/>
      <c r="AM541" s="253"/>
      <c r="AN541" s="253"/>
      <c r="AO541" s="253"/>
      <c r="AP541" s="253"/>
      <c r="AQ541" s="253"/>
      <c r="AR541" s="253"/>
      <c r="AS541" s="253"/>
      <c r="AT541" s="2"/>
      <c r="AU541" s="2"/>
      <c r="AV541" s="2"/>
      <c r="AW541" s="2"/>
      <c r="AX541" s="2"/>
      <c r="AY541" s="253"/>
    </row>
    <row r="542" ht="15.75" customHeight="1">
      <c r="A542" s="2"/>
      <c r="B542" s="288" t="str">
        <f>Controle!B542</f>
        <v/>
      </c>
      <c r="C542" s="233" t="str">
        <f>Controle!C542</f>
        <v/>
      </c>
      <c r="D542" s="289" t="str">
        <f>Controle!D542</f>
        <v/>
      </c>
      <c r="E542" s="290"/>
      <c r="F542" s="291" t="str">
        <f>Controle!F542</f>
        <v/>
      </c>
      <c r="G542" s="289" t="str">
        <f>Controle!G542</f>
        <v/>
      </c>
      <c r="H542" s="290"/>
      <c r="I542" s="291" t="str">
        <f>Controle!I542</f>
        <v/>
      </c>
      <c r="J542" s="233" t="str">
        <f>Controle!J542</f>
        <v/>
      </c>
      <c r="K542" s="292"/>
      <c r="L542" s="233" t="str">
        <f>Controle!L542</f>
        <v/>
      </c>
      <c r="M542" s="233" t="str">
        <f>Controle!M542</f>
        <v/>
      </c>
      <c r="N542" s="235" t="str">
        <f>Controle!N542</f>
        <v/>
      </c>
      <c r="O542" s="235" t="str">
        <f>Controle!O542</f>
        <v/>
      </c>
      <c r="P542" s="235" t="str">
        <f>Controle!P542</f>
        <v/>
      </c>
      <c r="Q542" s="235" t="str">
        <f>Controle!Q542</f>
        <v/>
      </c>
      <c r="R542" s="286" t="str">
        <f>Controle!R542</f>
        <v/>
      </c>
      <c r="S542" s="286"/>
      <c r="T542" s="286"/>
      <c r="U542" s="286"/>
      <c r="V542" s="286"/>
      <c r="W542" s="286"/>
      <c r="X542" s="286"/>
      <c r="Y542" s="286"/>
      <c r="Z542" s="286"/>
      <c r="AA542" s="294"/>
      <c r="AB542" s="253"/>
      <c r="AC542" s="253"/>
      <c r="AD542" s="253"/>
      <c r="AE542" s="253"/>
      <c r="AF542" s="253"/>
      <c r="AG542" s="253"/>
      <c r="AH542" s="253"/>
      <c r="AI542" s="253"/>
      <c r="AJ542" s="253"/>
      <c r="AK542" s="253"/>
      <c r="AL542" s="253"/>
      <c r="AM542" s="253"/>
      <c r="AN542" s="253"/>
      <c r="AO542" s="253"/>
      <c r="AP542" s="253"/>
      <c r="AQ542" s="253"/>
      <c r="AR542" s="253"/>
      <c r="AS542" s="253"/>
      <c r="AT542" s="2"/>
      <c r="AU542" s="2"/>
      <c r="AV542" s="2"/>
      <c r="AW542" s="2"/>
      <c r="AX542" s="2"/>
      <c r="AY542" s="253"/>
    </row>
    <row r="543" ht="15.75" customHeight="1">
      <c r="A543" s="2"/>
      <c r="B543" s="288" t="str">
        <f>Controle!B543</f>
        <v/>
      </c>
      <c r="C543" s="233" t="str">
        <f>Controle!C543</f>
        <v/>
      </c>
      <c r="D543" s="289" t="str">
        <f>Controle!D543</f>
        <v/>
      </c>
      <c r="E543" s="290"/>
      <c r="F543" s="291" t="str">
        <f>Controle!F543</f>
        <v/>
      </c>
      <c r="G543" s="289" t="str">
        <f>Controle!G543</f>
        <v/>
      </c>
      <c r="H543" s="290"/>
      <c r="I543" s="291" t="str">
        <f>Controle!I543</f>
        <v/>
      </c>
      <c r="J543" s="233" t="str">
        <f>Controle!J543</f>
        <v/>
      </c>
      <c r="K543" s="292"/>
      <c r="L543" s="233" t="str">
        <f>Controle!L543</f>
        <v/>
      </c>
      <c r="M543" s="233" t="str">
        <f>Controle!M543</f>
        <v/>
      </c>
      <c r="N543" s="235" t="str">
        <f>Controle!N543</f>
        <v/>
      </c>
      <c r="O543" s="235" t="str">
        <f>Controle!O543</f>
        <v/>
      </c>
      <c r="P543" s="235" t="str">
        <f>Controle!P543</f>
        <v/>
      </c>
      <c r="Q543" s="235" t="str">
        <f>Controle!Q543</f>
        <v/>
      </c>
      <c r="R543" s="286" t="str">
        <f>Controle!R543</f>
        <v/>
      </c>
      <c r="S543" s="286"/>
      <c r="T543" s="286"/>
      <c r="U543" s="286"/>
      <c r="V543" s="286"/>
      <c r="W543" s="286"/>
      <c r="X543" s="286"/>
      <c r="Y543" s="286"/>
      <c r="Z543" s="286"/>
      <c r="AA543" s="294"/>
      <c r="AB543" s="253"/>
      <c r="AC543" s="253"/>
      <c r="AD543" s="253"/>
      <c r="AE543" s="253"/>
      <c r="AF543" s="253"/>
      <c r="AG543" s="253"/>
      <c r="AH543" s="253"/>
      <c r="AI543" s="253"/>
      <c r="AJ543" s="253"/>
      <c r="AK543" s="253"/>
      <c r="AL543" s="253"/>
      <c r="AM543" s="253"/>
      <c r="AN543" s="253"/>
      <c r="AO543" s="253"/>
      <c r="AP543" s="253"/>
      <c r="AQ543" s="253"/>
      <c r="AR543" s="253"/>
      <c r="AS543" s="253"/>
      <c r="AT543" s="2"/>
      <c r="AU543" s="2"/>
      <c r="AV543" s="2"/>
      <c r="AW543" s="2"/>
      <c r="AX543" s="2"/>
      <c r="AY543" s="253"/>
    </row>
    <row r="544" ht="15.75" customHeight="1">
      <c r="A544" s="2"/>
      <c r="B544" s="288" t="str">
        <f>Controle!B544</f>
        <v/>
      </c>
      <c r="C544" s="233" t="str">
        <f>Controle!C544</f>
        <v/>
      </c>
      <c r="D544" s="289" t="str">
        <f>Controle!D544</f>
        <v/>
      </c>
      <c r="E544" s="290"/>
      <c r="F544" s="291" t="str">
        <f>Controle!F544</f>
        <v/>
      </c>
      <c r="G544" s="289" t="str">
        <f>Controle!G544</f>
        <v/>
      </c>
      <c r="H544" s="290"/>
      <c r="I544" s="291" t="str">
        <f>Controle!I544</f>
        <v/>
      </c>
      <c r="J544" s="233" t="str">
        <f>Controle!J544</f>
        <v/>
      </c>
      <c r="K544" s="292"/>
      <c r="L544" s="233" t="str">
        <f>Controle!L544</f>
        <v/>
      </c>
      <c r="M544" s="233" t="str">
        <f>Controle!M544</f>
        <v/>
      </c>
      <c r="N544" s="235" t="str">
        <f>Controle!N544</f>
        <v/>
      </c>
      <c r="O544" s="235" t="str">
        <f>Controle!O544</f>
        <v/>
      </c>
      <c r="P544" s="235" t="str">
        <f>Controle!P544</f>
        <v/>
      </c>
      <c r="Q544" s="235" t="str">
        <f>Controle!Q544</f>
        <v/>
      </c>
      <c r="R544" s="286" t="str">
        <f>Controle!R544</f>
        <v/>
      </c>
      <c r="S544" s="286"/>
      <c r="T544" s="286"/>
      <c r="U544" s="286"/>
      <c r="V544" s="286"/>
      <c r="W544" s="286"/>
      <c r="X544" s="286"/>
      <c r="Y544" s="286"/>
      <c r="Z544" s="286"/>
      <c r="AA544" s="294"/>
      <c r="AB544" s="253"/>
      <c r="AC544" s="253"/>
      <c r="AD544" s="253"/>
      <c r="AE544" s="253"/>
      <c r="AF544" s="253"/>
      <c r="AG544" s="253"/>
      <c r="AH544" s="253"/>
      <c r="AI544" s="253"/>
      <c r="AJ544" s="253"/>
      <c r="AK544" s="253"/>
      <c r="AL544" s="253"/>
      <c r="AM544" s="253"/>
      <c r="AN544" s="253"/>
      <c r="AO544" s="253"/>
      <c r="AP544" s="253"/>
      <c r="AQ544" s="253"/>
      <c r="AR544" s="253"/>
      <c r="AS544" s="253"/>
      <c r="AT544" s="2"/>
      <c r="AU544" s="2"/>
      <c r="AV544" s="2"/>
      <c r="AW544" s="2"/>
      <c r="AX544" s="2"/>
      <c r="AY544" s="253"/>
    </row>
    <row r="545" ht="15.75" customHeight="1">
      <c r="A545" s="2"/>
      <c r="B545" s="288" t="str">
        <f>Controle!B545</f>
        <v/>
      </c>
      <c r="C545" s="233" t="str">
        <f>Controle!C545</f>
        <v/>
      </c>
      <c r="D545" s="289" t="str">
        <f>Controle!D545</f>
        <v/>
      </c>
      <c r="E545" s="290"/>
      <c r="F545" s="291" t="str">
        <f>Controle!F545</f>
        <v/>
      </c>
      <c r="G545" s="289" t="str">
        <f>Controle!G545</f>
        <v/>
      </c>
      <c r="H545" s="290"/>
      <c r="I545" s="291" t="str">
        <f>Controle!I545</f>
        <v/>
      </c>
      <c r="J545" s="233" t="str">
        <f>Controle!J545</f>
        <v/>
      </c>
      <c r="K545" s="292"/>
      <c r="L545" s="233" t="str">
        <f>Controle!L545</f>
        <v/>
      </c>
      <c r="M545" s="233" t="str">
        <f>Controle!M545</f>
        <v/>
      </c>
      <c r="N545" s="235" t="str">
        <f>Controle!N545</f>
        <v/>
      </c>
      <c r="O545" s="235" t="str">
        <f>Controle!O545</f>
        <v/>
      </c>
      <c r="P545" s="235" t="str">
        <f>Controle!P545</f>
        <v/>
      </c>
      <c r="Q545" s="235" t="str">
        <f>Controle!Q545</f>
        <v/>
      </c>
      <c r="R545" s="286" t="str">
        <f>Controle!R545</f>
        <v/>
      </c>
      <c r="S545" s="286"/>
      <c r="T545" s="286"/>
      <c r="U545" s="286"/>
      <c r="V545" s="286"/>
      <c r="W545" s="286"/>
      <c r="X545" s="286"/>
      <c r="Y545" s="286"/>
      <c r="Z545" s="286"/>
      <c r="AA545" s="294"/>
      <c r="AB545" s="253"/>
      <c r="AC545" s="253"/>
      <c r="AD545" s="253"/>
      <c r="AE545" s="253"/>
      <c r="AF545" s="253"/>
      <c r="AG545" s="253"/>
      <c r="AH545" s="253"/>
      <c r="AI545" s="253"/>
      <c r="AJ545" s="253"/>
      <c r="AK545" s="253"/>
      <c r="AL545" s="253"/>
      <c r="AM545" s="253"/>
      <c r="AN545" s="253"/>
      <c r="AO545" s="253"/>
      <c r="AP545" s="253"/>
      <c r="AQ545" s="253"/>
      <c r="AR545" s="253"/>
      <c r="AS545" s="253"/>
      <c r="AT545" s="2"/>
      <c r="AU545" s="2"/>
      <c r="AV545" s="2"/>
      <c r="AW545" s="2"/>
      <c r="AX545" s="2"/>
      <c r="AY545" s="253"/>
    </row>
    <row r="546" ht="15.75" customHeight="1">
      <c r="A546" s="2"/>
      <c r="B546" s="288" t="str">
        <f>Controle!B546</f>
        <v/>
      </c>
      <c r="C546" s="233" t="str">
        <f>Controle!C546</f>
        <v/>
      </c>
      <c r="D546" s="289" t="str">
        <f>Controle!D546</f>
        <v/>
      </c>
      <c r="E546" s="290"/>
      <c r="F546" s="291" t="str">
        <f>Controle!F546</f>
        <v/>
      </c>
      <c r="G546" s="289" t="str">
        <f>Controle!G546</f>
        <v/>
      </c>
      <c r="H546" s="290"/>
      <c r="I546" s="291" t="str">
        <f>Controle!I546</f>
        <v/>
      </c>
      <c r="J546" s="233" t="str">
        <f>Controle!J546</f>
        <v/>
      </c>
      <c r="K546" s="292"/>
      <c r="L546" s="233" t="str">
        <f>Controle!L546</f>
        <v/>
      </c>
      <c r="M546" s="233" t="str">
        <f>Controle!M546</f>
        <v/>
      </c>
      <c r="N546" s="235" t="str">
        <f>Controle!N546</f>
        <v/>
      </c>
      <c r="O546" s="235" t="str">
        <f>Controle!O546</f>
        <v/>
      </c>
      <c r="P546" s="235" t="str">
        <f>Controle!P546</f>
        <v/>
      </c>
      <c r="Q546" s="235" t="str">
        <f>Controle!Q546</f>
        <v/>
      </c>
      <c r="R546" s="286" t="str">
        <f>Controle!R546</f>
        <v/>
      </c>
      <c r="S546" s="286"/>
      <c r="T546" s="286"/>
      <c r="U546" s="286"/>
      <c r="V546" s="286"/>
      <c r="W546" s="286"/>
      <c r="X546" s="286"/>
      <c r="Y546" s="286"/>
      <c r="Z546" s="286"/>
      <c r="AA546" s="294"/>
      <c r="AB546" s="253"/>
      <c r="AC546" s="253"/>
      <c r="AD546" s="253"/>
      <c r="AE546" s="253"/>
      <c r="AF546" s="253"/>
      <c r="AG546" s="253"/>
      <c r="AH546" s="253"/>
      <c r="AI546" s="253"/>
      <c r="AJ546" s="253"/>
      <c r="AK546" s="253"/>
      <c r="AL546" s="253"/>
      <c r="AM546" s="253"/>
      <c r="AN546" s="253"/>
      <c r="AO546" s="253"/>
      <c r="AP546" s="253"/>
      <c r="AQ546" s="253"/>
      <c r="AR546" s="253"/>
      <c r="AS546" s="253"/>
      <c r="AT546" s="2"/>
      <c r="AU546" s="2"/>
      <c r="AV546" s="2"/>
      <c r="AW546" s="2"/>
      <c r="AX546" s="2"/>
      <c r="AY546" s="253"/>
    </row>
    <row r="547" ht="15.75" customHeight="1">
      <c r="A547" s="2"/>
      <c r="B547" s="288" t="str">
        <f>Controle!B547</f>
        <v/>
      </c>
      <c r="C547" s="233" t="str">
        <f>Controle!C547</f>
        <v/>
      </c>
      <c r="D547" s="289" t="str">
        <f>Controle!D547</f>
        <v/>
      </c>
      <c r="E547" s="290"/>
      <c r="F547" s="291" t="str">
        <f>Controle!F547</f>
        <v/>
      </c>
      <c r="G547" s="289" t="str">
        <f>Controle!G547</f>
        <v/>
      </c>
      <c r="H547" s="290"/>
      <c r="I547" s="291" t="str">
        <f>Controle!I547</f>
        <v/>
      </c>
      <c r="J547" s="233" t="str">
        <f>Controle!J547</f>
        <v/>
      </c>
      <c r="K547" s="292"/>
      <c r="L547" s="233" t="str">
        <f>Controle!L547</f>
        <v/>
      </c>
      <c r="M547" s="233" t="str">
        <f>Controle!M547</f>
        <v/>
      </c>
      <c r="N547" s="235" t="str">
        <f>Controle!N547</f>
        <v/>
      </c>
      <c r="O547" s="235" t="str">
        <f>Controle!O547</f>
        <v/>
      </c>
      <c r="P547" s="235" t="str">
        <f>Controle!P547</f>
        <v/>
      </c>
      <c r="Q547" s="235" t="str">
        <f>Controle!Q547</f>
        <v/>
      </c>
      <c r="R547" s="286" t="str">
        <f>Controle!R547</f>
        <v/>
      </c>
      <c r="S547" s="286"/>
      <c r="T547" s="286"/>
      <c r="U547" s="286"/>
      <c r="V547" s="286"/>
      <c r="W547" s="286"/>
      <c r="X547" s="286"/>
      <c r="Y547" s="286"/>
      <c r="Z547" s="286"/>
      <c r="AA547" s="294"/>
      <c r="AB547" s="253"/>
      <c r="AC547" s="253"/>
      <c r="AD547" s="253"/>
      <c r="AE547" s="253"/>
      <c r="AF547" s="253"/>
      <c r="AG547" s="253"/>
      <c r="AH547" s="253"/>
      <c r="AI547" s="253"/>
      <c r="AJ547" s="253"/>
      <c r="AK547" s="253"/>
      <c r="AL547" s="253"/>
      <c r="AM547" s="253"/>
      <c r="AN547" s="253"/>
      <c r="AO547" s="253"/>
      <c r="AP547" s="253"/>
      <c r="AQ547" s="253"/>
      <c r="AR547" s="253"/>
      <c r="AS547" s="253"/>
      <c r="AT547" s="2"/>
      <c r="AU547" s="2"/>
      <c r="AV547" s="2"/>
      <c r="AW547" s="2"/>
      <c r="AX547" s="2"/>
      <c r="AY547" s="253"/>
    </row>
    <row r="548" ht="15.75" customHeight="1">
      <c r="A548" s="2"/>
      <c r="B548" s="288" t="str">
        <f>Controle!B548</f>
        <v/>
      </c>
      <c r="C548" s="233" t="str">
        <f>Controle!C548</f>
        <v/>
      </c>
      <c r="D548" s="289" t="str">
        <f>Controle!D548</f>
        <v/>
      </c>
      <c r="E548" s="290"/>
      <c r="F548" s="291" t="str">
        <f>Controle!F548</f>
        <v/>
      </c>
      <c r="G548" s="289" t="str">
        <f>Controle!G548</f>
        <v/>
      </c>
      <c r="H548" s="290"/>
      <c r="I548" s="291" t="str">
        <f>Controle!I548</f>
        <v/>
      </c>
      <c r="J548" s="233" t="str">
        <f>Controle!J548</f>
        <v/>
      </c>
      <c r="K548" s="292"/>
      <c r="L548" s="233" t="str">
        <f>Controle!L548</f>
        <v/>
      </c>
      <c r="M548" s="233" t="str">
        <f>Controle!M548</f>
        <v/>
      </c>
      <c r="N548" s="235" t="str">
        <f>Controle!N548</f>
        <v/>
      </c>
      <c r="O548" s="235" t="str">
        <f>Controle!O548</f>
        <v/>
      </c>
      <c r="P548" s="235" t="str">
        <f>Controle!P548</f>
        <v/>
      </c>
      <c r="Q548" s="235" t="str">
        <f>Controle!Q548</f>
        <v/>
      </c>
      <c r="R548" s="286" t="str">
        <f>Controle!R548</f>
        <v/>
      </c>
      <c r="S548" s="286"/>
      <c r="T548" s="286"/>
      <c r="U548" s="286"/>
      <c r="V548" s="286"/>
      <c r="W548" s="286"/>
      <c r="X548" s="286"/>
      <c r="Y548" s="286"/>
      <c r="Z548" s="286"/>
      <c r="AA548" s="294"/>
      <c r="AB548" s="253"/>
      <c r="AC548" s="253"/>
      <c r="AD548" s="253"/>
      <c r="AE548" s="253"/>
      <c r="AF548" s="253"/>
      <c r="AG548" s="253"/>
      <c r="AH548" s="253"/>
      <c r="AI548" s="253"/>
      <c r="AJ548" s="253"/>
      <c r="AK548" s="253"/>
      <c r="AL548" s="253"/>
      <c r="AM548" s="253"/>
      <c r="AN548" s="253"/>
      <c r="AO548" s="253"/>
      <c r="AP548" s="253"/>
      <c r="AQ548" s="253"/>
      <c r="AR548" s="253"/>
      <c r="AS548" s="253"/>
      <c r="AT548" s="2"/>
      <c r="AU548" s="2"/>
      <c r="AV548" s="2"/>
      <c r="AW548" s="2"/>
      <c r="AX548" s="2"/>
      <c r="AY548" s="253"/>
    </row>
    <row r="549" ht="15.75" customHeight="1">
      <c r="A549" s="2"/>
      <c r="B549" s="288" t="str">
        <f>Controle!B549</f>
        <v/>
      </c>
      <c r="C549" s="233" t="str">
        <f>Controle!C549</f>
        <v/>
      </c>
      <c r="D549" s="289" t="str">
        <f>Controle!D549</f>
        <v/>
      </c>
      <c r="E549" s="290"/>
      <c r="F549" s="291" t="str">
        <f>Controle!F549</f>
        <v/>
      </c>
      <c r="G549" s="289" t="str">
        <f>Controle!G549</f>
        <v/>
      </c>
      <c r="H549" s="290"/>
      <c r="I549" s="291" t="str">
        <f>Controle!I549</f>
        <v/>
      </c>
      <c r="J549" s="233" t="str">
        <f>Controle!J549</f>
        <v/>
      </c>
      <c r="K549" s="292"/>
      <c r="L549" s="233" t="str">
        <f>Controle!L549</f>
        <v/>
      </c>
      <c r="M549" s="233" t="str">
        <f>Controle!M549</f>
        <v/>
      </c>
      <c r="N549" s="235" t="str">
        <f>Controle!N549</f>
        <v/>
      </c>
      <c r="O549" s="235" t="str">
        <f>Controle!O549</f>
        <v/>
      </c>
      <c r="P549" s="235" t="str">
        <f>Controle!P549</f>
        <v/>
      </c>
      <c r="Q549" s="235" t="str">
        <f>Controle!Q549</f>
        <v/>
      </c>
      <c r="R549" s="286" t="str">
        <f>Controle!R549</f>
        <v/>
      </c>
      <c r="S549" s="286"/>
      <c r="T549" s="286"/>
      <c r="U549" s="286"/>
      <c r="V549" s="286"/>
      <c r="W549" s="286"/>
      <c r="X549" s="286"/>
      <c r="Y549" s="286"/>
      <c r="Z549" s="286"/>
      <c r="AA549" s="294"/>
      <c r="AB549" s="253"/>
      <c r="AC549" s="253"/>
      <c r="AD549" s="253"/>
      <c r="AE549" s="253"/>
      <c r="AF549" s="253"/>
      <c r="AG549" s="253"/>
      <c r="AH549" s="253"/>
      <c r="AI549" s="253"/>
      <c r="AJ549" s="253"/>
      <c r="AK549" s="253"/>
      <c r="AL549" s="253"/>
      <c r="AM549" s="253"/>
      <c r="AN549" s="253"/>
      <c r="AO549" s="253"/>
      <c r="AP549" s="253"/>
      <c r="AQ549" s="253"/>
      <c r="AR549" s="253"/>
      <c r="AS549" s="253"/>
      <c r="AT549" s="2"/>
      <c r="AU549" s="2"/>
      <c r="AV549" s="2"/>
      <c r="AW549" s="2"/>
      <c r="AX549" s="2"/>
      <c r="AY549" s="253"/>
    </row>
    <row r="550" ht="15.75" customHeight="1">
      <c r="A550" s="2"/>
      <c r="B550" s="288" t="str">
        <f>Controle!B550</f>
        <v/>
      </c>
      <c r="C550" s="233" t="str">
        <f>Controle!C550</f>
        <v/>
      </c>
      <c r="D550" s="289" t="str">
        <f>Controle!D550</f>
        <v/>
      </c>
      <c r="E550" s="290"/>
      <c r="F550" s="291" t="str">
        <f>Controle!F550</f>
        <v/>
      </c>
      <c r="G550" s="289" t="str">
        <f>Controle!G550</f>
        <v/>
      </c>
      <c r="H550" s="290"/>
      <c r="I550" s="291" t="str">
        <f>Controle!I550</f>
        <v/>
      </c>
      <c r="J550" s="233" t="str">
        <f>Controle!J550</f>
        <v/>
      </c>
      <c r="K550" s="292"/>
      <c r="L550" s="233" t="str">
        <f>Controle!L550</f>
        <v/>
      </c>
      <c r="M550" s="233" t="str">
        <f>Controle!M550</f>
        <v/>
      </c>
      <c r="N550" s="235" t="str">
        <f>Controle!N550</f>
        <v/>
      </c>
      <c r="O550" s="235" t="str">
        <f>Controle!O550</f>
        <v/>
      </c>
      <c r="P550" s="235" t="str">
        <f>Controle!P550</f>
        <v/>
      </c>
      <c r="Q550" s="235" t="str">
        <f>Controle!Q550</f>
        <v/>
      </c>
      <c r="R550" s="286" t="str">
        <f>Controle!R550</f>
        <v/>
      </c>
      <c r="S550" s="286"/>
      <c r="T550" s="286"/>
      <c r="U550" s="286"/>
      <c r="V550" s="286"/>
      <c r="W550" s="286"/>
      <c r="X550" s="286"/>
      <c r="Y550" s="286"/>
      <c r="Z550" s="286"/>
      <c r="AA550" s="294"/>
      <c r="AB550" s="253"/>
      <c r="AC550" s="253"/>
      <c r="AD550" s="253"/>
      <c r="AE550" s="253"/>
      <c r="AF550" s="253"/>
      <c r="AG550" s="253"/>
      <c r="AH550" s="253"/>
      <c r="AI550" s="253"/>
      <c r="AJ550" s="253"/>
      <c r="AK550" s="253"/>
      <c r="AL550" s="253"/>
      <c r="AM550" s="253"/>
      <c r="AN550" s="253"/>
      <c r="AO550" s="253"/>
      <c r="AP550" s="253"/>
      <c r="AQ550" s="253"/>
      <c r="AR550" s="253"/>
      <c r="AS550" s="253"/>
      <c r="AT550" s="2"/>
      <c r="AU550" s="2"/>
      <c r="AV550" s="2"/>
      <c r="AW550" s="2"/>
      <c r="AX550" s="2"/>
      <c r="AY550" s="253"/>
    </row>
    <row r="551" ht="15.75" customHeight="1">
      <c r="A551" s="2"/>
      <c r="B551" s="288" t="str">
        <f>Controle!B551</f>
        <v/>
      </c>
      <c r="C551" s="233" t="str">
        <f>Controle!C551</f>
        <v/>
      </c>
      <c r="D551" s="289" t="str">
        <f>Controle!D551</f>
        <v/>
      </c>
      <c r="E551" s="290"/>
      <c r="F551" s="291" t="str">
        <f>Controle!F551</f>
        <v/>
      </c>
      <c r="G551" s="289" t="str">
        <f>Controle!G551</f>
        <v/>
      </c>
      <c r="H551" s="290"/>
      <c r="I551" s="291" t="str">
        <f>Controle!I551</f>
        <v/>
      </c>
      <c r="J551" s="233" t="str">
        <f>Controle!J551</f>
        <v/>
      </c>
      <c r="K551" s="292"/>
      <c r="L551" s="233" t="str">
        <f>Controle!L551</f>
        <v/>
      </c>
      <c r="M551" s="233" t="str">
        <f>Controle!M551</f>
        <v/>
      </c>
      <c r="N551" s="235" t="str">
        <f>Controle!N551</f>
        <v/>
      </c>
      <c r="O551" s="235" t="str">
        <f>Controle!O551</f>
        <v/>
      </c>
      <c r="P551" s="235" t="str">
        <f>Controle!P551</f>
        <v/>
      </c>
      <c r="Q551" s="235" t="str">
        <f>Controle!Q551</f>
        <v/>
      </c>
      <c r="R551" s="286" t="str">
        <f>Controle!R551</f>
        <v/>
      </c>
      <c r="S551" s="286"/>
      <c r="T551" s="286"/>
      <c r="U551" s="286"/>
      <c r="V551" s="286"/>
      <c r="W551" s="286"/>
      <c r="X551" s="286"/>
      <c r="Y551" s="286"/>
      <c r="Z551" s="286"/>
      <c r="AA551" s="294"/>
      <c r="AB551" s="253"/>
      <c r="AC551" s="253"/>
      <c r="AD551" s="253"/>
      <c r="AE551" s="253"/>
      <c r="AF551" s="253"/>
      <c r="AG551" s="253"/>
      <c r="AH551" s="253"/>
      <c r="AI551" s="253"/>
      <c r="AJ551" s="253"/>
      <c r="AK551" s="253"/>
      <c r="AL551" s="253"/>
      <c r="AM551" s="253"/>
      <c r="AN551" s="253"/>
      <c r="AO551" s="253"/>
      <c r="AP551" s="253"/>
      <c r="AQ551" s="253"/>
      <c r="AR551" s="253"/>
      <c r="AS551" s="253"/>
      <c r="AT551" s="2"/>
      <c r="AU551" s="2"/>
      <c r="AV551" s="2"/>
      <c r="AW551" s="2"/>
      <c r="AX551" s="2"/>
      <c r="AY551" s="253"/>
    </row>
    <row r="552" ht="15.75" customHeight="1">
      <c r="A552" s="2"/>
      <c r="B552" s="288" t="str">
        <f>Controle!B552</f>
        <v/>
      </c>
      <c r="C552" s="233" t="str">
        <f>Controle!C552</f>
        <v/>
      </c>
      <c r="D552" s="289" t="str">
        <f>Controle!D552</f>
        <v/>
      </c>
      <c r="E552" s="290"/>
      <c r="F552" s="291" t="str">
        <f>Controle!F552</f>
        <v/>
      </c>
      <c r="G552" s="289" t="str">
        <f>Controle!G552</f>
        <v/>
      </c>
      <c r="H552" s="290"/>
      <c r="I552" s="291" t="str">
        <f>Controle!I552</f>
        <v/>
      </c>
      <c r="J552" s="233" t="str">
        <f>Controle!J552</f>
        <v/>
      </c>
      <c r="K552" s="292"/>
      <c r="L552" s="233" t="str">
        <f>Controle!L552</f>
        <v/>
      </c>
      <c r="M552" s="233" t="str">
        <f>Controle!M552</f>
        <v/>
      </c>
      <c r="N552" s="235" t="str">
        <f>Controle!N552</f>
        <v/>
      </c>
      <c r="O552" s="235" t="str">
        <f>Controle!O552</f>
        <v/>
      </c>
      <c r="P552" s="235" t="str">
        <f>Controle!P552</f>
        <v/>
      </c>
      <c r="Q552" s="235" t="str">
        <f>Controle!Q552</f>
        <v/>
      </c>
      <c r="R552" s="286" t="str">
        <f>Controle!R552</f>
        <v/>
      </c>
      <c r="S552" s="286"/>
      <c r="T552" s="286"/>
      <c r="U552" s="286"/>
      <c r="V552" s="286"/>
      <c r="W552" s="286"/>
      <c r="X552" s="286"/>
      <c r="Y552" s="286"/>
      <c r="Z552" s="286"/>
      <c r="AA552" s="294"/>
      <c r="AB552" s="253"/>
      <c r="AC552" s="253"/>
      <c r="AD552" s="253"/>
      <c r="AE552" s="253"/>
      <c r="AF552" s="253"/>
      <c r="AG552" s="253"/>
      <c r="AH552" s="253"/>
      <c r="AI552" s="253"/>
      <c r="AJ552" s="253"/>
      <c r="AK552" s="253"/>
      <c r="AL552" s="253"/>
      <c r="AM552" s="253"/>
      <c r="AN552" s="253"/>
      <c r="AO552" s="253"/>
      <c r="AP552" s="253"/>
      <c r="AQ552" s="253"/>
      <c r="AR552" s="253"/>
      <c r="AS552" s="253"/>
      <c r="AT552" s="2"/>
      <c r="AU552" s="2"/>
      <c r="AV552" s="2"/>
      <c r="AW552" s="2"/>
      <c r="AX552" s="2"/>
      <c r="AY552" s="253"/>
    </row>
    <row r="553" ht="15.75" customHeight="1">
      <c r="A553" s="2"/>
      <c r="B553" s="288" t="str">
        <f>Controle!B553</f>
        <v/>
      </c>
      <c r="C553" s="233" t="str">
        <f>Controle!C553</f>
        <v/>
      </c>
      <c r="D553" s="289" t="str">
        <f>Controle!D553</f>
        <v/>
      </c>
      <c r="E553" s="290"/>
      <c r="F553" s="291" t="str">
        <f>Controle!F553</f>
        <v/>
      </c>
      <c r="G553" s="289" t="str">
        <f>Controle!G553</f>
        <v/>
      </c>
      <c r="H553" s="290"/>
      <c r="I553" s="291" t="str">
        <f>Controle!I553</f>
        <v/>
      </c>
      <c r="J553" s="233" t="str">
        <f>Controle!J553</f>
        <v/>
      </c>
      <c r="K553" s="292"/>
      <c r="L553" s="233" t="str">
        <f>Controle!L553</f>
        <v/>
      </c>
      <c r="M553" s="233" t="str">
        <f>Controle!M553</f>
        <v/>
      </c>
      <c r="N553" s="235" t="str">
        <f>Controle!N553</f>
        <v/>
      </c>
      <c r="O553" s="235" t="str">
        <f>Controle!O553</f>
        <v/>
      </c>
      <c r="P553" s="235" t="str">
        <f>Controle!P553</f>
        <v/>
      </c>
      <c r="Q553" s="235" t="str">
        <f>Controle!Q553</f>
        <v/>
      </c>
      <c r="R553" s="286" t="str">
        <f>Controle!R553</f>
        <v/>
      </c>
      <c r="S553" s="286"/>
      <c r="T553" s="286"/>
      <c r="U553" s="286"/>
      <c r="V553" s="286"/>
      <c r="W553" s="286"/>
      <c r="X553" s="286"/>
      <c r="Y553" s="286"/>
      <c r="Z553" s="286"/>
      <c r="AA553" s="294"/>
      <c r="AB553" s="253"/>
      <c r="AC553" s="253"/>
      <c r="AD553" s="253"/>
      <c r="AE553" s="253"/>
      <c r="AF553" s="253"/>
      <c r="AG553" s="253"/>
      <c r="AH553" s="253"/>
      <c r="AI553" s="253"/>
      <c r="AJ553" s="253"/>
      <c r="AK553" s="253"/>
      <c r="AL553" s="253"/>
      <c r="AM553" s="253"/>
      <c r="AN553" s="253"/>
      <c r="AO553" s="253"/>
      <c r="AP553" s="253"/>
      <c r="AQ553" s="253"/>
      <c r="AR553" s="253"/>
      <c r="AS553" s="253"/>
      <c r="AT553" s="2"/>
      <c r="AU553" s="2"/>
      <c r="AV553" s="2"/>
      <c r="AW553" s="2"/>
      <c r="AX553" s="2"/>
      <c r="AY553" s="253"/>
    </row>
    <row r="554" ht="15.75" customHeight="1">
      <c r="A554" s="2"/>
      <c r="B554" s="288" t="str">
        <f>Controle!B554</f>
        <v/>
      </c>
      <c r="C554" s="233" t="str">
        <f>Controle!C554</f>
        <v/>
      </c>
      <c r="D554" s="289" t="str">
        <f>Controle!D554</f>
        <v/>
      </c>
      <c r="E554" s="290"/>
      <c r="F554" s="291" t="str">
        <f>Controle!F554</f>
        <v/>
      </c>
      <c r="G554" s="289" t="str">
        <f>Controle!G554</f>
        <v/>
      </c>
      <c r="H554" s="290"/>
      <c r="I554" s="291" t="str">
        <f>Controle!I554</f>
        <v/>
      </c>
      <c r="J554" s="233" t="str">
        <f>Controle!J554</f>
        <v/>
      </c>
      <c r="K554" s="292"/>
      <c r="L554" s="233" t="str">
        <f>Controle!L554</f>
        <v/>
      </c>
      <c r="M554" s="233" t="str">
        <f>Controle!M554</f>
        <v/>
      </c>
      <c r="N554" s="235" t="str">
        <f>Controle!N554</f>
        <v/>
      </c>
      <c r="O554" s="235" t="str">
        <f>Controle!O554</f>
        <v/>
      </c>
      <c r="P554" s="235" t="str">
        <f>Controle!P554</f>
        <v/>
      </c>
      <c r="Q554" s="235" t="str">
        <f>Controle!Q554</f>
        <v/>
      </c>
      <c r="R554" s="286" t="str">
        <f>Controle!R554</f>
        <v/>
      </c>
      <c r="S554" s="286"/>
      <c r="T554" s="286"/>
      <c r="U554" s="286"/>
      <c r="V554" s="286"/>
      <c r="W554" s="286"/>
      <c r="X554" s="286"/>
      <c r="Y554" s="286"/>
      <c r="Z554" s="286"/>
      <c r="AA554" s="294"/>
      <c r="AB554" s="253"/>
      <c r="AC554" s="253"/>
      <c r="AD554" s="253"/>
      <c r="AE554" s="253"/>
      <c r="AF554" s="253"/>
      <c r="AG554" s="253"/>
      <c r="AH554" s="253"/>
      <c r="AI554" s="253"/>
      <c r="AJ554" s="253"/>
      <c r="AK554" s="253"/>
      <c r="AL554" s="253"/>
      <c r="AM554" s="253"/>
      <c r="AN554" s="253"/>
      <c r="AO554" s="253"/>
      <c r="AP554" s="253"/>
      <c r="AQ554" s="253"/>
      <c r="AR554" s="253"/>
      <c r="AS554" s="253"/>
      <c r="AT554" s="2"/>
      <c r="AU554" s="2"/>
      <c r="AV554" s="2"/>
      <c r="AW554" s="2"/>
      <c r="AX554" s="2"/>
      <c r="AY554" s="253"/>
    </row>
    <row r="555" ht="15.75" customHeight="1">
      <c r="A555" s="2"/>
      <c r="B555" s="288" t="str">
        <f>Controle!B555</f>
        <v/>
      </c>
      <c r="C555" s="233" t="str">
        <f>Controle!C555</f>
        <v/>
      </c>
      <c r="D555" s="289" t="str">
        <f>Controle!D555</f>
        <v/>
      </c>
      <c r="E555" s="290"/>
      <c r="F555" s="291" t="str">
        <f>Controle!F555</f>
        <v/>
      </c>
      <c r="G555" s="289" t="str">
        <f>Controle!G555</f>
        <v/>
      </c>
      <c r="H555" s="290"/>
      <c r="I555" s="291" t="str">
        <f>Controle!I555</f>
        <v/>
      </c>
      <c r="J555" s="233" t="str">
        <f>Controle!J555</f>
        <v/>
      </c>
      <c r="K555" s="292"/>
      <c r="L555" s="233" t="str">
        <f>Controle!L555</f>
        <v/>
      </c>
      <c r="M555" s="233" t="str">
        <f>Controle!M555</f>
        <v/>
      </c>
      <c r="N555" s="235" t="str">
        <f>Controle!N555</f>
        <v/>
      </c>
      <c r="O555" s="235" t="str">
        <f>Controle!O555</f>
        <v/>
      </c>
      <c r="P555" s="235" t="str">
        <f>Controle!P555</f>
        <v/>
      </c>
      <c r="Q555" s="235" t="str">
        <f>Controle!Q555</f>
        <v/>
      </c>
      <c r="R555" s="286" t="str">
        <f>Controle!R555</f>
        <v/>
      </c>
      <c r="S555" s="286"/>
      <c r="T555" s="286"/>
      <c r="U555" s="286"/>
      <c r="V555" s="286"/>
      <c r="W555" s="286"/>
      <c r="X555" s="286"/>
      <c r="Y555" s="286"/>
      <c r="Z555" s="286"/>
      <c r="AA555" s="294"/>
      <c r="AB555" s="253"/>
      <c r="AC555" s="253"/>
      <c r="AD555" s="253"/>
      <c r="AE555" s="253"/>
      <c r="AF555" s="253"/>
      <c r="AG555" s="253"/>
      <c r="AH555" s="253"/>
      <c r="AI555" s="253"/>
      <c r="AJ555" s="253"/>
      <c r="AK555" s="253"/>
      <c r="AL555" s="253"/>
      <c r="AM555" s="253"/>
      <c r="AN555" s="253"/>
      <c r="AO555" s="253"/>
      <c r="AP555" s="253"/>
      <c r="AQ555" s="253"/>
      <c r="AR555" s="253"/>
      <c r="AS555" s="253"/>
      <c r="AT555" s="2"/>
      <c r="AU555" s="2"/>
      <c r="AV555" s="2"/>
      <c r="AW555" s="2"/>
      <c r="AX555" s="2"/>
      <c r="AY555" s="253"/>
    </row>
    <row r="556" ht="15.75" customHeight="1">
      <c r="A556" s="2"/>
      <c r="B556" s="288" t="str">
        <f>Controle!B556</f>
        <v/>
      </c>
      <c r="C556" s="233" t="str">
        <f>Controle!C556</f>
        <v/>
      </c>
      <c r="D556" s="289" t="str">
        <f>Controle!D556</f>
        <v/>
      </c>
      <c r="E556" s="290"/>
      <c r="F556" s="291" t="str">
        <f>Controle!F556</f>
        <v/>
      </c>
      <c r="G556" s="289" t="str">
        <f>Controle!G556</f>
        <v/>
      </c>
      <c r="H556" s="290"/>
      <c r="I556" s="291" t="str">
        <f>Controle!I556</f>
        <v/>
      </c>
      <c r="J556" s="233" t="str">
        <f>Controle!J556</f>
        <v/>
      </c>
      <c r="K556" s="292"/>
      <c r="L556" s="233" t="str">
        <f>Controle!L556</f>
        <v/>
      </c>
      <c r="M556" s="233" t="str">
        <f>Controle!M556</f>
        <v/>
      </c>
      <c r="N556" s="235" t="str">
        <f>Controle!N556</f>
        <v/>
      </c>
      <c r="O556" s="235" t="str">
        <f>Controle!O556</f>
        <v/>
      </c>
      <c r="P556" s="235" t="str">
        <f>Controle!P556</f>
        <v/>
      </c>
      <c r="Q556" s="235" t="str">
        <f>Controle!Q556</f>
        <v/>
      </c>
      <c r="R556" s="286" t="str">
        <f>Controle!R556</f>
        <v/>
      </c>
      <c r="S556" s="286"/>
      <c r="T556" s="286"/>
      <c r="U556" s="286"/>
      <c r="V556" s="286"/>
      <c r="W556" s="286"/>
      <c r="X556" s="286"/>
      <c r="Y556" s="286"/>
      <c r="Z556" s="286"/>
      <c r="AA556" s="294"/>
      <c r="AB556" s="253"/>
      <c r="AC556" s="253"/>
      <c r="AD556" s="253"/>
      <c r="AE556" s="253"/>
      <c r="AF556" s="253"/>
      <c r="AG556" s="253"/>
      <c r="AH556" s="253"/>
      <c r="AI556" s="253"/>
      <c r="AJ556" s="253"/>
      <c r="AK556" s="253"/>
      <c r="AL556" s="253"/>
      <c r="AM556" s="253"/>
      <c r="AN556" s="253"/>
      <c r="AO556" s="253"/>
      <c r="AP556" s="253"/>
      <c r="AQ556" s="253"/>
      <c r="AR556" s="253"/>
      <c r="AS556" s="253"/>
      <c r="AT556" s="2"/>
      <c r="AU556" s="2"/>
      <c r="AV556" s="2"/>
      <c r="AW556" s="2"/>
      <c r="AX556" s="2"/>
      <c r="AY556" s="253"/>
    </row>
    <row r="557" ht="15.75" customHeight="1">
      <c r="A557" s="2"/>
      <c r="B557" s="288" t="str">
        <f>Controle!B557</f>
        <v/>
      </c>
      <c r="C557" s="233" t="str">
        <f>Controle!C557</f>
        <v/>
      </c>
      <c r="D557" s="289" t="str">
        <f>Controle!D557</f>
        <v/>
      </c>
      <c r="E557" s="290"/>
      <c r="F557" s="291" t="str">
        <f>Controle!F557</f>
        <v/>
      </c>
      <c r="G557" s="289" t="str">
        <f>Controle!G557</f>
        <v/>
      </c>
      <c r="H557" s="290"/>
      <c r="I557" s="291" t="str">
        <f>Controle!I557</f>
        <v/>
      </c>
      <c r="J557" s="233" t="str">
        <f>Controle!J557</f>
        <v/>
      </c>
      <c r="K557" s="292"/>
      <c r="L557" s="233" t="str">
        <f>Controle!L557</f>
        <v/>
      </c>
      <c r="M557" s="233" t="str">
        <f>Controle!M557</f>
        <v/>
      </c>
      <c r="N557" s="235" t="str">
        <f>Controle!N557</f>
        <v/>
      </c>
      <c r="O557" s="235" t="str">
        <f>Controle!O557</f>
        <v/>
      </c>
      <c r="P557" s="235" t="str">
        <f>Controle!P557</f>
        <v/>
      </c>
      <c r="Q557" s="235" t="str">
        <f>Controle!Q557</f>
        <v/>
      </c>
      <c r="R557" s="286" t="str">
        <f>Controle!R557</f>
        <v/>
      </c>
      <c r="S557" s="286"/>
      <c r="T557" s="286"/>
      <c r="U557" s="286"/>
      <c r="V557" s="286"/>
      <c r="W557" s="286"/>
      <c r="X557" s="286"/>
      <c r="Y557" s="286"/>
      <c r="Z557" s="286"/>
      <c r="AA557" s="294"/>
      <c r="AB557" s="253"/>
      <c r="AC557" s="253"/>
      <c r="AD557" s="253"/>
      <c r="AE557" s="253"/>
      <c r="AF557" s="253"/>
      <c r="AG557" s="253"/>
      <c r="AH557" s="253"/>
      <c r="AI557" s="253"/>
      <c r="AJ557" s="253"/>
      <c r="AK557" s="253"/>
      <c r="AL557" s="253"/>
      <c r="AM557" s="253"/>
      <c r="AN557" s="253"/>
      <c r="AO557" s="253"/>
      <c r="AP557" s="253"/>
      <c r="AQ557" s="253"/>
      <c r="AR557" s="253"/>
      <c r="AS557" s="253"/>
      <c r="AT557" s="2"/>
      <c r="AU557" s="2"/>
      <c r="AV557" s="2"/>
      <c r="AW557" s="2"/>
      <c r="AX557" s="2"/>
      <c r="AY557" s="253"/>
    </row>
    <row r="558" ht="15.75" customHeight="1">
      <c r="A558" s="2"/>
      <c r="B558" s="288" t="str">
        <f>Controle!B558</f>
        <v/>
      </c>
      <c r="C558" s="233" t="str">
        <f>Controle!C558</f>
        <v/>
      </c>
      <c r="D558" s="289" t="str">
        <f>Controle!D558</f>
        <v/>
      </c>
      <c r="E558" s="290"/>
      <c r="F558" s="291" t="str">
        <f>Controle!F558</f>
        <v/>
      </c>
      <c r="G558" s="289" t="str">
        <f>Controle!G558</f>
        <v/>
      </c>
      <c r="H558" s="290"/>
      <c r="I558" s="291" t="str">
        <f>Controle!I558</f>
        <v/>
      </c>
      <c r="J558" s="233" t="str">
        <f>Controle!J558</f>
        <v/>
      </c>
      <c r="K558" s="292"/>
      <c r="L558" s="233" t="str">
        <f>Controle!L558</f>
        <v/>
      </c>
      <c r="M558" s="233" t="str">
        <f>Controle!M558</f>
        <v/>
      </c>
      <c r="N558" s="235" t="str">
        <f>Controle!N558</f>
        <v/>
      </c>
      <c r="O558" s="235" t="str">
        <f>Controle!O558</f>
        <v/>
      </c>
      <c r="P558" s="235" t="str">
        <f>Controle!P558</f>
        <v/>
      </c>
      <c r="Q558" s="235" t="str">
        <f>Controle!Q558</f>
        <v/>
      </c>
      <c r="R558" s="286" t="str">
        <f>Controle!R558</f>
        <v/>
      </c>
      <c r="S558" s="286"/>
      <c r="T558" s="286"/>
      <c r="U558" s="286"/>
      <c r="V558" s="286"/>
      <c r="W558" s="286"/>
      <c r="X558" s="286"/>
      <c r="Y558" s="286"/>
      <c r="Z558" s="286"/>
      <c r="AA558" s="294"/>
      <c r="AB558" s="253"/>
      <c r="AC558" s="253"/>
      <c r="AD558" s="253"/>
      <c r="AE558" s="253"/>
      <c r="AF558" s="253"/>
      <c r="AG558" s="253"/>
      <c r="AH558" s="253"/>
      <c r="AI558" s="253"/>
      <c r="AJ558" s="253"/>
      <c r="AK558" s="253"/>
      <c r="AL558" s="253"/>
      <c r="AM558" s="253"/>
      <c r="AN558" s="253"/>
      <c r="AO558" s="253"/>
      <c r="AP558" s="253"/>
      <c r="AQ558" s="253"/>
      <c r="AR558" s="253"/>
      <c r="AS558" s="253"/>
      <c r="AT558" s="2"/>
      <c r="AU558" s="2"/>
      <c r="AV558" s="2"/>
      <c r="AW558" s="2"/>
      <c r="AX558" s="2"/>
      <c r="AY558" s="253"/>
    </row>
    <row r="559" ht="15.75" customHeight="1">
      <c r="A559" s="2"/>
      <c r="B559" s="288" t="str">
        <f>Controle!B559</f>
        <v/>
      </c>
      <c r="C559" s="233" t="str">
        <f>Controle!C559</f>
        <v/>
      </c>
      <c r="D559" s="289" t="str">
        <f>Controle!D559</f>
        <v/>
      </c>
      <c r="E559" s="290"/>
      <c r="F559" s="291" t="str">
        <f>Controle!F559</f>
        <v/>
      </c>
      <c r="G559" s="289" t="str">
        <f>Controle!G559</f>
        <v/>
      </c>
      <c r="H559" s="290"/>
      <c r="I559" s="291" t="str">
        <f>Controle!I559</f>
        <v/>
      </c>
      <c r="J559" s="233" t="str">
        <f>Controle!J559</f>
        <v/>
      </c>
      <c r="K559" s="292"/>
      <c r="L559" s="233" t="str">
        <f>Controle!L559</f>
        <v/>
      </c>
      <c r="M559" s="233" t="str">
        <f>Controle!M559</f>
        <v/>
      </c>
      <c r="N559" s="235" t="str">
        <f>Controle!N559</f>
        <v/>
      </c>
      <c r="O559" s="235" t="str">
        <f>Controle!O559</f>
        <v/>
      </c>
      <c r="P559" s="235" t="str">
        <f>Controle!P559</f>
        <v/>
      </c>
      <c r="Q559" s="235" t="str">
        <f>Controle!Q559</f>
        <v/>
      </c>
      <c r="R559" s="286" t="str">
        <f>Controle!R559</f>
        <v/>
      </c>
      <c r="S559" s="286"/>
      <c r="T559" s="286"/>
      <c r="U559" s="286"/>
      <c r="V559" s="286"/>
      <c r="W559" s="286"/>
      <c r="X559" s="286"/>
      <c r="Y559" s="286"/>
      <c r="Z559" s="286"/>
      <c r="AA559" s="294"/>
      <c r="AB559" s="253"/>
      <c r="AC559" s="253"/>
      <c r="AD559" s="253"/>
      <c r="AE559" s="253"/>
      <c r="AF559" s="253"/>
      <c r="AG559" s="253"/>
      <c r="AH559" s="253"/>
      <c r="AI559" s="253"/>
      <c r="AJ559" s="253"/>
      <c r="AK559" s="253"/>
      <c r="AL559" s="253"/>
      <c r="AM559" s="253"/>
      <c r="AN559" s="253"/>
      <c r="AO559" s="253"/>
      <c r="AP559" s="253"/>
      <c r="AQ559" s="253"/>
      <c r="AR559" s="253"/>
      <c r="AS559" s="253"/>
      <c r="AT559" s="2"/>
      <c r="AU559" s="2"/>
      <c r="AV559" s="2"/>
      <c r="AW559" s="2"/>
      <c r="AX559" s="2"/>
      <c r="AY559" s="253"/>
    </row>
    <row r="560" ht="15.75" customHeight="1">
      <c r="A560" s="2"/>
      <c r="B560" s="288" t="str">
        <f>Controle!B560</f>
        <v/>
      </c>
      <c r="C560" s="233" t="str">
        <f>Controle!C560</f>
        <v/>
      </c>
      <c r="D560" s="289" t="str">
        <f>Controle!D560</f>
        <v/>
      </c>
      <c r="E560" s="290"/>
      <c r="F560" s="291" t="str">
        <f>Controle!F560</f>
        <v/>
      </c>
      <c r="G560" s="289" t="str">
        <f>Controle!G560</f>
        <v/>
      </c>
      <c r="H560" s="290"/>
      <c r="I560" s="291" t="str">
        <f>Controle!I560</f>
        <v/>
      </c>
      <c r="J560" s="233" t="str">
        <f>Controle!J560</f>
        <v/>
      </c>
      <c r="K560" s="292"/>
      <c r="L560" s="233" t="str">
        <f>Controle!L560</f>
        <v/>
      </c>
      <c r="M560" s="233" t="str">
        <f>Controle!M560</f>
        <v/>
      </c>
      <c r="N560" s="235" t="str">
        <f>Controle!N560</f>
        <v/>
      </c>
      <c r="O560" s="235" t="str">
        <f>Controle!O560</f>
        <v/>
      </c>
      <c r="P560" s="235" t="str">
        <f>Controle!P560</f>
        <v/>
      </c>
      <c r="Q560" s="235" t="str">
        <f>Controle!Q560</f>
        <v/>
      </c>
      <c r="R560" s="286" t="str">
        <f>Controle!R560</f>
        <v/>
      </c>
      <c r="S560" s="286"/>
      <c r="T560" s="286"/>
      <c r="U560" s="286"/>
      <c r="V560" s="286"/>
      <c r="W560" s="286"/>
      <c r="X560" s="286"/>
      <c r="Y560" s="286"/>
      <c r="Z560" s="286"/>
      <c r="AA560" s="294"/>
      <c r="AB560" s="253"/>
      <c r="AC560" s="253"/>
      <c r="AD560" s="253"/>
      <c r="AE560" s="253"/>
      <c r="AF560" s="253"/>
      <c r="AG560" s="253"/>
      <c r="AH560" s="253"/>
      <c r="AI560" s="253"/>
      <c r="AJ560" s="253"/>
      <c r="AK560" s="253"/>
      <c r="AL560" s="253"/>
      <c r="AM560" s="253"/>
      <c r="AN560" s="253"/>
      <c r="AO560" s="253"/>
      <c r="AP560" s="253"/>
      <c r="AQ560" s="253"/>
      <c r="AR560" s="253"/>
      <c r="AS560" s="253"/>
      <c r="AT560" s="2"/>
      <c r="AU560" s="2"/>
      <c r="AV560" s="2"/>
      <c r="AW560" s="2"/>
      <c r="AX560" s="2"/>
      <c r="AY560" s="253"/>
    </row>
    <row r="561" ht="15.75" customHeight="1">
      <c r="A561" s="2"/>
      <c r="B561" s="288" t="str">
        <f>Controle!B561</f>
        <v/>
      </c>
      <c r="C561" s="233" t="str">
        <f>Controle!C561</f>
        <v/>
      </c>
      <c r="D561" s="289" t="str">
        <f>Controle!D561</f>
        <v/>
      </c>
      <c r="E561" s="290"/>
      <c r="F561" s="291" t="str">
        <f>Controle!F561</f>
        <v/>
      </c>
      <c r="G561" s="289" t="str">
        <f>Controle!G561</f>
        <v/>
      </c>
      <c r="H561" s="290"/>
      <c r="I561" s="291" t="str">
        <f>Controle!I561</f>
        <v/>
      </c>
      <c r="J561" s="233" t="str">
        <f>Controle!J561</f>
        <v/>
      </c>
      <c r="K561" s="292"/>
      <c r="L561" s="233" t="str">
        <f>Controle!L561</f>
        <v/>
      </c>
      <c r="M561" s="233" t="str">
        <f>Controle!M561</f>
        <v/>
      </c>
      <c r="N561" s="235" t="str">
        <f>Controle!N561</f>
        <v/>
      </c>
      <c r="O561" s="235" t="str">
        <f>Controle!O561</f>
        <v/>
      </c>
      <c r="P561" s="235" t="str">
        <f>Controle!P561</f>
        <v/>
      </c>
      <c r="Q561" s="235" t="str">
        <f>Controle!Q561</f>
        <v/>
      </c>
      <c r="R561" s="286" t="str">
        <f>Controle!R561</f>
        <v/>
      </c>
      <c r="S561" s="286"/>
      <c r="T561" s="286"/>
      <c r="U561" s="286"/>
      <c r="V561" s="286"/>
      <c r="W561" s="286"/>
      <c r="X561" s="286"/>
      <c r="Y561" s="286"/>
      <c r="Z561" s="286"/>
      <c r="AA561" s="294"/>
      <c r="AB561" s="253"/>
      <c r="AC561" s="253"/>
      <c r="AD561" s="253"/>
      <c r="AE561" s="253"/>
      <c r="AF561" s="253"/>
      <c r="AG561" s="253"/>
      <c r="AH561" s="253"/>
      <c r="AI561" s="253"/>
      <c r="AJ561" s="253"/>
      <c r="AK561" s="253"/>
      <c r="AL561" s="253"/>
      <c r="AM561" s="253"/>
      <c r="AN561" s="253"/>
      <c r="AO561" s="253"/>
      <c r="AP561" s="253"/>
      <c r="AQ561" s="253"/>
      <c r="AR561" s="253"/>
      <c r="AS561" s="253"/>
      <c r="AT561" s="2"/>
      <c r="AU561" s="2"/>
      <c r="AV561" s="2"/>
      <c r="AW561" s="2"/>
      <c r="AX561" s="2"/>
      <c r="AY561" s="253"/>
    </row>
    <row r="562" ht="15.75" customHeight="1">
      <c r="A562" s="2"/>
      <c r="B562" s="288" t="str">
        <f>Controle!B562</f>
        <v/>
      </c>
      <c r="C562" s="233" t="str">
        <f>Controle!C562</f>
        <v/>
      </c>
      <c r="D562" s="289" t="str">
        <f>Controle!D562</f>
        <v/>
      </c>
      <c r="E562" s="290"/>
      <c r="F562" s="291" t="str">
        <f>Controle!F562</f>
        <v/>
      </c>
      <c r="G562" s="289" t="str">
        <f>Controle!G562</f>
        <v/>
      </c>
      <c r="H562" s="290"/>
      <c r="I562" s="291" t="str">
        <f>Controle!I562</f>
        <v/>
      </c>
      <c r="J562" s="233" t="str">
        <f>Controle!J562</f>
        <v/>
      </c>
      <c r="K562" s="292"/>
      <c r="L562" s="233" t="str">
        <f>Controle!L562</f>
        <v/>
      </c>
      <c r="M562" s="233" t="str">
        <f>Controle!M562</f>
        <v/>
      </c>
      <c r="N562" s="235" t="str">
        <f>Controle!N562</f>
        <v/>
      </c>
      <c r="O562" s="235" t="str">
        <f>Controle!O562</f>
        <v/>
      </c>
      <c r="P562" s="235" t="str">
        <f>Controle!P562</f>
        <v/>
      </c>
      <c r="Q562" s="235" t="str">
        <f>Controle!Q562</f>
        <v/>
      </c>
      <c r="R562" s="286" t="str">
        <f>Controle!R562</f>
        <v/>
      </c>
      <c r="S562" s="286"/>
      <c r="T562" s="286"/>
      <c r="U562" s="286"/>
      <c r="V562" s="286"/>
      <c r="W562" s="286"/>
      <c r="X562" s="286"/>
      <c r="Y562" s="286"/>
      <c r="Z562" s="286"/>
      <c r="AA562" s="294"/>
      <c r="AB562" s="253"/>
      <c r="AC562" s="253"/>
      <c r="AD562" s="253"/>
      <c r="AE562" s="253"/>
      <c r="AF562" s="253"/>
      <c r="AG562" s="253"/>
      <c r="AH562" s="253"/>
      <c r="AI562" s="253"/>
      <c r="AJ562" s="253"/>
      <c r="AK562" s="253"/>
      <c r="AL562" s="253"/>
      <c r="AM562" s="253"/>
      <c r="AN562" s="253"/>
      <c r="AO562" s="253"/>
      <c r="AP562" s="253"/>
      <c r="AQ562" s="253"/>
      <c r="AR562" s="253"/>
      <c r="AS562" s="253"/>
      <c r="AT562" s="2"/>
      <c r="AU562" s="2"/>
      <c r="AV562" s="2"/>
      <c r="AW562" s="2"/>
      <c r="AX562" s="2"/>
      <c r="AY562" s="253"/>
    </row>
    <row r="563" ht="15.75" customHeight="1">
      <c r="A563" s="2"/>
      <c r="B563" s="288" t="str">
        <f>Controle!B563</f>
        <v/>
      </c>
      <c r="C563" s="233" t="str">
        <f>Controle!C563</f>
        <v/>
      </c>
      <c r="D563" s="289" t="str">
        <f>Controle!D563</f>
        <v/>
      </c>
      <c r="E563" s="290"/>
      <c r="F563" s="291" t="str">
        <f>Controle!F563</f>
        <v/>
      </c>
      <c r="G563" s="289" t="str">
        <f>Controle!G563</f>
        <v/>
      </c>
      <c r="H563" s="290"/>
      <c r="I563" s="291" t="str">
        <f>Controle!I563</f>
        <v/>
      </c>
      <c r="J563" s="233" t="str">
        <f>Controle!J563</f>
        <v/>
      </c>
      <c r="K563" s="292"/>
      <c r="L563" s="233" t="str">
        <f>Controle!L563</f>
        <v/>
      </c>
      <c r="M563" s="233" t="str">
        <f>Controle!M563</f>
        <v/>
      </c>
      <c r="N563" s="235" t="str">
        <f>Controle!N563</f>
        <v/>
      </c>
      <c r="O563" s="235" t="str">
        <f>Controle!O563</f>
        <v/>
      </c>
      <c r="P563" s="235" t="str">
        <f>Controle!P563</f>
        <v/>
      </c>
      <c r="Q563" s="235" t="str">
        <f>Controle!Q563</f>
        <v/>
      </c>
      <c r="R563" s="286" t="str">
        <f>Controle!R563</f>
        <v/>
      </c>
      <c r="S563" s="286"/>
      <c r="T563" s="286"/>
      <c r="U563" s="286"/>
      <c r="V563" s="286"/>
      <c r="W563" s="286"/>
      <c r="X563" s="286"/>
      <c r="Y563" s="286"/>
      <c r="Z563" s="286"/>
      <c r="AA563" s="294"/>
      <c r="AB563" s="253"/>
      <c r="AC563" s="253"/>
      <c r="AD563" s="253"/>
      <c r="AE563" s="253"/>
      <c r="AF563" s="253"/>
      <c r="AG563" s="253"/>
      <c r="AH563" s="253"/>
      <c r="AI563" s="253"/>
      <c r="AJ563" s="253"/>
      <c r="AK563" s="253"/>
      <c r="AL563" s="253"/>
      <c r="AM563" s="253"/>
      <c r="AN563" s="253"/>
      <c r="AO563" s="253"/>
      <c r="AP563" s="253"/>
      <c r="AQ563" s="253"/>
      <c r="AR563" s="253"/>
      <c r="AS563" s="253"/>
      <c r="AT563" s="2"/>
      <c r="AU563" s="2"/>
      <c r="AV563" s="2"/>
      <c r="AW563" s="2"/>
      <c r="AX563" s="2"/>
      <c r="AY563" s="253"/>
    </row>
    <row r="564" ht="15.75" customHeight="1">
      <c r="A564" s="2"/>
      <c r="B564" s="288" t="str">
        <f>Controle!B564</f>
        <v/>
      </c>
      <c r="C564" s="233" t="str">
        <f>Controle!C564</f>
        <v/>
      </c>
      <c r="D564" s="289" t="str">
        <f>Controle!D564</f>
        <v/>
      </c>
      <c r="E564" s="290"/>
      <c r="F564" s="291" t="str">
        <f>Controle!F564</f>
        <v/>
      </c>
      <c r="G564" s="289" t="str">
        <f>Controle!G564</f>
        <v/>
      </c>
      <c r="H564" s="290"/>
      <c r="I564" s="291" t="str">
        <f>Controle!I564</f>
        <v/>
      </c>
      <c r="J564" s="233" t="str">
        <f>Controle!J564</f>
        <v/>
      </c>
      <c r="K564" s="292"/>
      <c r="L564" s="233" t="str">
        <f>Controle!L564</f>
        <v/>
      </c>
      <c r="M564" s="233" t="str">
        <f>Controle!M564</f>
        <v/>
      </c>
      <c r="N564" s="235" t="str">
        <f>Controle!N564</f>
        <v/>
      </c>
      <c r="O564" s="235" t="str">
        <f>Controle!O564</f>
        <v/>
      </c>
      <c r="P564" s="235" t="str">
        <f>Controle!P564</f>
        <v/>
      </c>
      <c r="Q564" s="235" t="str">
        <f>Controle!Q564</f>
        <v/>
      </c>
      <c r="R564" s="286" t="str">
        <f>Controle!R564</f>
        <v/>
      </c>
      <c r="S564" s="286"/>
      <c r="T564" s="286"/>
      <c r="U564" s="286"/>
      <c r="V564" s="286"/>
      <c r="W564" s="286"/>
      <c r="X564" s="286"/>
      <c r="Y564" s="286"/>
      <c r="Z564" s="286"/>
      <c r="AA564" s="294"/>
      <c r="AB564" s="253"/>
      <c r="AC564" s="253"/>
      <c r="AD564" s="253"/>
      <c r="AE564" s="253"/>
      <c r="AF564" s="253"/>
      <c r="AG564" s="253"/>
      <c r="AH564" s="253"/>
      <c r="AI564" s="253"/>
      <c r="AJ564" s="253"/>
      <c r="AK564" s="253"/>
      <c r="AL564" s="253"/>
      <c r="AM564" s="253"/>
      <c r="AN564" s="253"/>
      <c r="AO564" s="253"/>
      <c r="AP564" s="253"/>
      <c r="AQ564" s="253"/>
      <c r="AR564" s="253"/>
      <c r="AS564" s="253"/>
      <c r="AT564" s="2"/>
      <c r="AU564" s="2"/>
      <c r="AV564" s="2"/>
      <c r="AW564" s="2"/>
      <c r="AX564" s="2"/>
      <c r="AY564" s="253"/>
    </row>
    <row r="565" ht="15.75" customHeight="1">
      <c r="A565" s="2"/>
      <c r="B565" s="288" t="str">
        <f>Controle!B565</f>
        <v/>
      </c>
      <c r="C565" s="233" t="str">
        <f>Controle!C565</f>
        <v/>
      </c>
      <c r="D565" s="289" t="str">
        <f>Controle!D565</f>
        <v/>
      </c>
      <c r="E565" s="290"/>
      <c r="F565" s="291" t="str">
        <f>Controle!F565</f>
        <v/>
      </c>
      <c r="G565" s="289" t="str">
        <f>Controle!G565</f>
        <v/>
      </c>
      <c r="H565" s="290"/>
      <c r="I565" s="291" t="str">
        <f>Controle!I565</f>
        <v/>
      </c>
      <c r="J565" s="233" t="str">
        <f>Controle!J565</f>
        <v/>
      </c>
      <c r="K565" s="292"/>
      <c r="L565" s="233" t="str">
        <f>Controle!L565</f>
        <v/>
      </c>
      <c r="M565" s="233" t="str">
        <f>Controle!M565</f>
        <v/>
      </c>
      <c r="N565" s="235" t="str">
        <f>Controle!N565</f>
        <v/>
      </c>
      <c r="O565" s="235" t="str">
        <f>Controle!O565</f>
        <v/>
      </c>
      <c r="P565" s="235" t="str">
        <f>Controle!P565</f>
        <v/>
      </c>
      <c r="Q565" s="235" t="str">
        <f>Controle!Q565</f>
        <v/>
      </c>
      <c r="R565" s="286" t="str">
        <f>Controle!R565</f>
        <v/>
      </c>
      <c r="S565" s="286"/>
      <c r="T565" s="286"/>
      <c r="U565" s="286"/>
      <c r="V565" s="286"/>
      <c r="W565" s="286"/>
      <c r="X565" s="286"/>
      <c r="Y565" s="286"/>
      <c r="Z565" s="286"/>
      <c r="AA565" s="294"/>
      <c r="AB565" s="253"/>
      <c r="AC565" s="253"/>
      <c r="AD565" s="253"/>
      <c r="AE565" s="253"/>
      <c r="AF565" s="253"/>
      <c r="AG565" s="253"/>
      <c r="AH565" s="253"/>
      <c r="AI565" s="253"/>
      <c r="AJ565" s="253"/>
      <c r="AK565" s="253"/>
      <c r="AL565" s="253"/>
      <c r="AM565" s="253"/>
      <c r="AN565" s="253"/>
      <c r="AO565" s="253"/>
      <c r="AP565" s="253"/>
      <c r="AQ565" s="253"/>
      <c r="AR565" s="253"/>
      <c r="AS565" s="253"/>
      <c r="AT565" s="2"/>
      <c r="AU565" s="2"/>
      <c r="AV565" s="2"/>
      <c r="AW565" s="2"/>
      <c r="AX565" s="2"/>
      <c r="AY565" s="253"/>
    </row>
    <row r="566" ht="15.75" customHeight="1">
      <c r="A566" s="2"/>
      <c r="B566" s="288" t="str">
        <f>Controle!B566</f>
        <v/>
      </c>
      <c r="C566" s="233" t="str">
        <f>Controle!C566</f>
        <v/>
      </c>
      <c r="D566" s="289" t="str">
        <f>Controle!D566</f>
        <v/>
      </c>
      <c r="E566" s="290"/>
      <c r="F566" s="291" t="str">
        <f>Controle!F566</f>
        <v/>
      </c>
      <c r="G566" s="289" t="str">
        <f>Controle!G566</f>
        <v/>
      </c>
      <c r="H566" s="290"/>
      <c r="I566" s="291" t="str">
        <f>Controle!I566</f>
        <v/>
      </c>
      <c r="J566" s="233" t="str">
        <f>Controle!J566</f>
        <v/>
      </c>
      <c r="K566" s="292"/>
      <c r="L566" s="233" t="str">
        <f>Controle!L566</f>
        <v/>
      </c>
      <c r="M566" s="233" t="str">
        <f>Controle!M566</f>
        <v/>
      </c>
      <c r="N566" s="235" t="str">
        <f>Controle!N566</f>
        <v/>
      </c>
      <c r="O566" s="235" t="str">
        <f>Controle!O566</f>
        <v/>
      </c>
      <c r="P566" s="235" t="str">
        <f>Controle!P566</f>
        <v/>
      </c>
      <c r="Q566" s="235" t="str">
        <f>Controle!Q566</f>
        <v/>
      </c>
      <c r="R566" s="286" t="str">
        <f>Controle!R566</f>
        <v/>
      </c>
      <c r="S566" s="286"/>
      <c r="T566" s="286"/>
      <c r="U566" s="286"/>
      <c r="V566" s="286"/>
      <c r="W566" s="286"/>
      <c r="X566" s="286"/>
      <c r="Y566" s="286"/>
      <c r="Z566" s="286"/>
      <c r="AA566" s="294"/>
      <c r="AB566" s="253"/>
      <c r="AC566" s="253"/>
      <c r="AD566" s="253"/>
      <c r="AE566" s="253"/>
      <c r="AF566" s="253"/>
      <c r="AG566" s="253"/>
      <c r="AH566" s="253"/>
      <c r="AI566" s="253"/>
      <c r="AJ566" s="253"/>
      <c r="AK566" s="253"/>
      <c r="AL566" s="253"/>
      <c r="AM566" s="253"/>
      <c r="AN566" s="253"/>
      <c r="AO566" s="253"/>
      <c r="AP566" s="253"/>
      <c r="AQ566" s="253"/>
      <c r="AR566" s="253"/>
      <c r="AS566" s="253"/>
      <c r="AT566" s="2"/>
      <c r="AU566" s="2"/>
      <c r="AV566" s="2"/>
      <c r="AW566" s="2"/>
      <c r="AX566" s="2"/>
      <c r="AY566" s="253"/>
    </row>
    <row r="567" ht="15.75" customHeight="1">
      <c r="A567" s="2"/>
      <c r="B567" s="288" t="str">
        <f>Controle!B567</f>
        <v/>
      </c>
      <c r="C567" s="233" t="str">
        <f>Controle!C567</f>
        <v/>
      </c>
      <c r="D567" s="289" t="str">
        <f>Controle!D567</f>
        <v/>
      </c>
      <c r="E567" s="290"/>
      <c r="F567" s="291" t="str">
        <f>Controle!F567</f>
        <v/>
      </c>
      <c r="G567" s="289" t="str">
        <f>Controle!G567</f>
        <v/>
      </c>
      <c r="H567" s="290"/>
      <c r="I567" s="291" t="str">
        <f>Controle!I567</f>
        <v/>
      </c>
      <c r="J567" s="233" t="str">
        <f>Controle!J567</f>
        <v/>
      </c>
      <c r="K567" s="292"/>
      <c r="L567" s="233" t="str">
        <f>Controle!L567</f>
        <v/>
      </c>
      <c r="M567" s="233" t="str">
        <f>Controle!M567</f>
        <v/>
      </c>
      <c r="N567" s="235" t="str">
        <f>Controle!N567</f>
        <v/>
      </c>
      <c r="O567" s="235" t="str">
        <f>Controle!O567</f>
        <v/>
      </c>
      <c r="P567" s="235" t="str">
        <f>Controle!P567</f>
        <v/>
      </c>
      <c r="Q567" s="235" t="str">
        <f>Controle!Q567</f>
        <v/>
      </c>
      <c r="R567" s="286" t="str">
        <f>Controle!R567</f>
        <v/>
      </c>
      <c r="S567" s="286"/>
      <c r="T567" s="286"/>
      <c r="U567" s="286"/>
      <c r="V567" s="286"/>
      <c r="W567" s="286"/>
      <c r="X567" s="286"/>
      <c r="Y567" s="286"/>
      <c r="Z567" s="286"/>
      <c r="AA567" s="294"/>
      <c r="AB567" s="253"/>
      <c r="AC567" s="253"/>
      <c r="AD567" s="253"/>
      <c r="AE567" s="253"/>
      <c r="AF567" s="253"/>
      <c r="AG567" s="253"/>
      <c r="AH567" s="253"/>
      <c r="AI567" s="253"/>
      <c r="AJ567" s="253"/>
      <c r="AK567" s="253"/>
      <c r="AL567" s="253"/>
      <c r="AM567" s="253"/>
      <c r="AN567" s="253"/>
      <c r="AO567" s="253"/>
      <c r="AP567" s="253"/>
      <c r="AQ567" s="253"/>
      <c r="AR567" s="253"/>
      <c r="AS567" s="253"/>
      <c r="AT567" s="2"/>
      <c r="AU567" s="2"/>
      <c r="AV567" s="2"/>
      <c r="AW567" s="2"/>
      <c r="AX567" s="2"/>
      <c r="AY567" s="253"/>
    </row>
    <row r="568" ht="15.75" customHeight="1">
      <c r="A568" s="2"/>
      <c r="B568" s="288" t="str">
        <f>Controle!B568</f>
        <v/>
      </c>
      <c r="C568" s="233" t="str">
        <f>Controle!C568</f>
        <v/>
      </c>
      <c r="D568" s="289" t="str">
        <f>Controle!D568</f>
        <v/>
      </c>
      <c r="E568" s="290"/>
      <c r="F568" s="291" t="str">
        <f>Controle!F568</f>
        <v/>
      </c>
      <c r="G568" s="289" t="str">
        <f>Controle!G568</f>
        <v/>
      </c>
      <c r="H568" s="290"/>
      <c r="I568" s="291" t="str">
        <f>Controle!I568</f>
        <v/>
      </c>
      <c r="J568" s="233" t="str">
        <f>Controle!J568</f>
        <v/>
      </c>
      <c r="K568" s="292"/>
      <c r="L568" s="233" t="str">
        <f>Controle!L568</f>
        <v/>
      </c>
      <c r="M568" s="233" t="str">
        <f>Controle!M568</f>
        <v/>
      </c>
      <c r="N568" s="235" t="str">
        <f>Controle!N568</f>
        <v/>
      </c>
      <c r="O568" s="235" t="str">
        <f>Controle!O568</f>
        <v/>
      </c>
      <c r="P568" s="235" t="str">
        <f>Controle!P568</f>
        <v/>
      </c>
      <c r="Q568" s="235" t="str">
        <f>Controle!Q568</f>
        <v/>
      </c>
      <c r="R568" s="286" t="str">
        <f>Controle!R568</f>
        <v/>
      </c>
      <c r="S568" s="286"/>
      <c r="T568" s="286"/>
      <c r="U568" s="286"/>
      <c r="V568" s="286"/>
      <c r="W568" s="286"/>
      <c r="X568" s="286"/>
      <c r="Y568" s="286"/>
      <c r="Z568" s="286"/>
      <c r="AA568" s="294"/>
      <c r="AB568" s="253"/>
      <c r="AC568" s="253"/>
      <c r="AD568" s="253"/>
      <c r="AE568" s="253"/>
      <c r="AF568" s="253"/>
      <c r="AG568" s="253"/>
      <c r="AH568" s="253"/>
      <c r="AI568" s="253"/>
      <c r="AJ568" s="253"/>
      <c r="AK568" s="253"/>
      <c r="AL568" s="253"/>
      <c r="AM568" s="253"/>
      <c r="AN568" s="253"/>
      <c r="AO568" s="253"/>
      <c r="AP568" s="253"/>
      <c r="AQ568" s="253"/>
      <c r="AR568" s="253"/>
      <c r="AS568" s="253"/>
      <c r="AT568" s="2"/>
      <c r="AU568" s="2"/>
      <c r="AV568" s="2"/>
      <c r="AW568" s="2"/>
      <c r="AX568" s="2"/>
      <c r="AY568" s="253"/>
    </row>
    <row r="569" ht="15.75" customHeight="1">
      <c r="A569" s="2"/>
      <c r="B569" s="288" t="str">
        <f>Controle!B569</f>
        <v/>
      </c>
      <c r="C569" s="233" t="str">
        <f>Controle!C569</f>
        <v/>
      </c>
      <c r="D569" s="289" t="str">
        <f>Controle!D569</f>
        <v/>
      </c>
      <c r="E569" s="290"/>
      <c r="F569" s="291" t="str">
        <f>Controle!F569</f>
        <v/>
      </c>
      <c r="G569" s="289" t="str">
        <f>Controle!G569</f>
        <v/>
      </c>
      <c r="H569" s="290"/>
      <c r="I569" s="291" t="str">
        <f>Controle!I569</f>
        <v/>
      </c>
      <c r="J569" s="233" t="str">
        <f>Controle!J569</f>
        <v/>
      </c>
      <c r="K569" s="292"/>
      <c r="L569" s="233" t="str">
        <f>Controle!L569</f>
        <v/>
      </c>
      <c r="M569" s="233" t="str">
        <f>Controle!M569</f>
        <v/>
      </c>
      <c r="N569" s="235" t="str">
        <f>Controle!N569</f>
        <v/>
      </c>
      <c r="O569" s="235" t="str">
        <f>Controle!O569</f>
        <v/>
      </c>
      <c r="P569" s="235" t="str">
        <f>Controle!P569</f>
        <v/>
      </c>
      <c r="Q569" s="235" t="str">
        <f>Controle!Q569</f>
        <v/>
      </c>
      <c r="R569" s="286" t="str">
        <f>Controle!R569</f>
        <v/>
      </c>
      <c r="S569" s="286"/>
      <c r="T569" s="286"/>
      <c r="U569" s="286"/>
      <c r="V569" s="286"/>
      <c r="W569" s="286"/>
      <c r="X569" s="286"/>
      <c r="Y569" s="286"/>
      <c r="Z569" s="286"/>
      <c r="AA569" s="294"/>
      <c r="AB569" s="253"/>
      <c r="AC569" s="253"/>
      <c r="AD569" s="253"/>
      <c r="AE569" s="253"/>
      <c r="AF569" s="253"/>
      <c r="AG569" s="253"/>
      <c r="AH569" s="253"/>
      <c r="AI569" s="253"/>
      <c r="AJ569" s="253"/>
      <c r="AK569" s="253"/>
      <c r="AL569" s="253"/>
      <c r="AM569" s="253"/>
      <c r="AN569" s="253"/>
      <c r="AO569" s="253"/>
      <c r="AP569" s="253"/>
      <c r="AQ569" s="253"/>
      <c r="AR569" s="253"/>
      <c r="AS569" s="253"/>
      <c r="AT569" s="2"/>
      <c r="AU569" s="2"/>
      <c r="AV569" s="2"/>
      <c r="AW569" s="2"/>
      <c r="AX569" s="2"/>
      <c r="AY569" s="253"/>
    </row>
    <row r="570" ht="15.75" customHeight="1">
      <c r="A570" s="2"/>
      <c r="B570" s="288" t="str">
        <f>Controle!B570</f>
        <v/>
      </c>
      <c r="C570" s="233" t="str">
        <f>Controle!C570</f>
        <v/>
      </c>
      <c r="D570" s="289" t="str">
        <f>Controle!D570</f>
        <v/>
      </c>
      <c r="E570" s="290"/>
      <c r="F570" s="291" t="str">
        <f>Controle!F570</f>
        <v/>
      </c>
      <c r="G570" s="289" t="str">
        <f>Controle!G570</f>
        <v/>
      </c>
      <c r="H570" s="290"/>
      <c r="I570" s="291" t="str">
        <f>Controle!I570</f>
        <v/>
      </c>
      <c r="J570" s="233" t="str">
        <f>Controle!J570</f>
        <v/>
      </c>
      <c r="K570" s="292"/>
      <c r="L570" s="233" t="str">
        <f>Controle!L570</f>
        <v/>
      </c>
      <c r="M570" s="233" t="str">
        <f>Controle!M570</f>
        <v/>
      </c>
      <c r="N570" s="235" t="str">
        <f>Controle!N570</f>
        <v/>
      </c>
      <c r="O570" s="235" t="str">
        <f>Controle!O570</f>
        <v/>
      </c>
      <c r="P570" s="235" t="str">
        <f>Controle!P570</f>
        <v/>
      </c>
      <c r="Q570" s="235" t="str">
        <f>Controle!Q570</f>
        <v/>
      </c>
      <c r="R570" s="286" t="str">
        <f>Controle!R570</f>
        <v/>
      </c>
      <c r="S570" s="286"/>
      <c r="T570" s="286"/>
      <c r="U570" s="286"/>
      <c r="V570" s="286"/>
      <c r="W570" s="286"/>
      <c r="X570" s="286"/>
      <c r="Y570" s="286"/>
      <c r="Z570" s="286"/>
      <c r="AA570" s="294"/>
      <c r="AB570" s="253"/>
      <c r="AC570" s="253"/>
      <c r="AD570" s="253"/>
      <c r="AE570" s="253"/>
      <c r="AF570" s="253"/>
      <c r="AG570" s="253"/>
      <c r="AH570" s="253"/>
      <c r="AI570" s="253"/>
      <c r="AJ570" s="253"/>
      <c r="AK570" s="253"/>
      <c r="AL570" s="253"/>
      <c r="AM570" s="253"/>
      <c r="AN570" s="253"/>
      <c r="AO570" s="253"/>
      <c r="AP570" s="253"/>
      <c r="AQ570" s="253"/>
      <c r="AR570" s="253"/>
      <c r="AS570" s="253"/>
      <c r="AT570" s="2"/>
      <c r="AU570" s="2"/>
      <c r="AV570" s="2"/>
      <c r="AW570" s="2"/>
      <c r="AX570" s="2"/>
      <c r="AY570" s="253"/>
    </row>
    <row r="571" ht="15.75" customHeight="1">
      <c r="A571" s="2"/>
      <c r="B571" s="288" t="str">
        <f>Controle!B571</f>
        <v/>
      </c>
      <c r="C571" s="233" t="str">
        <f>Controle!C571</f>
        <v/>
      </c>
      <c r="D571" s="289" t="str">
        <f>Controle!D571</f>
        <v/>
      </c>
      <c r="E571" s="290"/>
      <c r="F571" s="291" t="str">
        <f>Controle!F571</f>
        <v/>
      </c>
      <c r="G571" s="289" t="str">
        <f>Controle!G571</f>
        <v/>
      </c>
      <c r="H571" s="290"/>
      <c r="I571" s="291" t="str">
        <f>Controle!I571</f>
        <v/>
      </c>
      <c r="J571" s="233" t="str">
        <f>Controle!J571</f>
        <v/>
      </c>
      <c r="K571" s="292"/>
      <c r="L571" s="233" t="str">
        <f>Controle!L571</f>
        <v/>
      </c>
      <c r="M571" s="233" t="str">
        <f>Controle!M571</f>
        <v/>
      </c>
      <c r="N571" s="235" t="str">
        <f>Controle!N571</f>
        <v/>
      </c>
      <c r="O571" s="235" t="str">
        <f>Controle!O571</f>
        <v/>
      </c>
      <c r="P571" s="235" t="str">
        <f>Controle!P571</f>
        <v/>
      </c>
      <c r="Q571" s="235" t="str">
        <f>Controle!Q571</f>
        <v/>
      </c>
      <c r="R571" s="286" t="str">
        <f>Controle!R571</f>
        <v/>
      </c>
      <c r="S571" s="286"/>
      <c r="T571" s="286"/>
      <c r="U571" s="286"/>
      <c r="V571" s="286"/>
      <c r="W571" s="286"/>
      <c r="X571" s="286"/>
      <c r="Y571" s="286"/>
      <c r="Z571" s="286"/>
      <c r="AA571" s="294"/>
      <c r="AB571" s="253"/>
      <c r="AC571" s="253"/>
      <c r="AD571" s="253"/>
      <c r="AE571" s="253"/>
      <c r="AF571" s="253"/>
      <c r="AG571" s="253"/>
      <c r="AH571" s="253"/>
      <c r="AI571" s="253"/>
      <c r="AJ571" s="253"/>
      <c r="AK571" s="253"/>
      <c r="AL571" s="253"/>
      <c r="AM571" s="253"/>
      <c r="AN571" s="253"/>
      <c r="AO571" s="253"/>
      <c r="AP571" s="253"/>
      <c r="AQ571" s="253"/>
      <c r="AR571" s="253"/>
      <c r="AS571" s="253"/>
      <c r="AT571" s="2"/>
      <c r="AU571" s="2"/>
      <c r="AV571" s="2"/>
      <c r="AW571" s="2"/>
      <c r="AX571" s="2"/>
      <c r="AY571" s="253"/>
    </row>
    <row r="572" ht="15.75" customHeight="1">
      <c r="A572" s="2"/>
      <c r="B572" s="288" t="str">
        <f>Controle!B572</f>
        <v/>
      </c>
      <c r="C572" s="233" t="str">
        <f>Controle!C572</f>
        <v/>
      </c>
      <c r="D572" s="289" t="str">
        <f>Controle!D572</f>
        <v/>
      </c>
      <c r="E572" s="290"/>
      <c r="F572" s="291" t="str">
        <f>Controle!F572</f>
        <v/>
      </c>
      <c r="G572" s="289" t="str">
        <f>Controle!G572</f>
        <v/>
      </c>
      <c r="H572" s="290"/>
      <c r="I572" s="291" t="str">
        <f>Controle!I572</f>
        <v/>
      </c>
      <c r="J572" s="233" t="str">
        <f>Controle!J572</f>
        <v/>
      </c>
      <c r="K572" s="292"/>
      <c r="L572" s="233" t="str">
        <f>Controle!L572</f>
        <v/>
      </c>
      <c r="M572" s="233" t="str">
        <f>Controle!M572</f>
        <v/>
      </c>
      <c r="N572" s="235" t="str">
        <f>Controle!N572</f>
        <v/>
      </c>
      <c r="O572" s="235" t="str">
        <f>Controle!O572</f>
        <v/>
      </c>
      <c r="P572" s="235" t="str">
        <f>Controle!P572</f>
        <v/>
      </c>
      <c r="Q572" s="235" t="str">
        <f>Controle!Q572</f>
        <v/>
      </c>
      <c r="R572" s="286" t="str">
        <f>Controle!R572</f>
        <v/>
      </c>
      <c r="S572" s="286"/>
      <c r="T572" s="286"/>
      <c r="U572" s="286"/>
      <c r="V572" s="286"/>
      <c r="W572" s="286"/>
      <c r="X572" s="286"/>
      <c r="Y572" s="286"/>
      <c r="Z572" s="286"/>
      <c r="AA572" s="294"/>
      <c r="AB572" s="253"/>
      <c r="AC572" s="253"/>
      <c r="AD572" s="253"/>
      <c r="AE572" s="253"/>
      <c r="AF572" s="253"/>
      <c r="AG572" s="253"/>
      <c r="AH572" s="253"/>
      <c r="AI572" s="253"/>
      <c r="AJ572" s="253"/>
      <c r="AK572" s="253"/>
      <c r="AL572" s="253"/>
      <c r="AM572" s="253"/>
      <c r="AN572" s="253"/>
      <c r="AO572" s="253"/>
      <c r="AP572" s="253"/>
      <c r="AQ572" s="253"/>
      <c r="AR572" s="253"/>
      <c r="AS572" s="253"/>
      <c r="AT572" s="2"/>
      <c r="AU572" s="2"/>
      <c r="AV572" s="2"/>
      <c r="AW572" s="2"/>
      <c r="AX572" s="2"/>
      <c r="AY572" s="253"/>
    </row>
    <row r="573" ht="15.75" customHeight="1">
      <c r="A573" s="2"/>
      <c r="B573" s="288" t="str">
        <f>Controle!B573</f>
        <v/>
      </c>
      <c r="C573" s="233" t="str">
        <f>Controle!C573</f>
        <v/>
      </c>
      <c r="D573" s="289" t="str">
        <f>Controle!D573</f>
        <v/>
      </c>
      <c r="E573" s="290"/>
      <c r="F573" s="291" t="str">
        <f>Controle!F573</f>
        <v/>
      </c>
      <c r="G573" s="289" t="str">
        <f>Controle!G573</f>
        <v/>
      </c>
      <c r="H573" s="290"/>
      <c r="I573" s="291" t="str">
        <f>Controle!I573</f>
        <v/>
      </c>
      <c r="J573" s="233" t="str">
        <f>Controle!J573</f>
        <v/>
      </c>
      <c r="K573" s="292"/>
      <c r="L573" s="233" t="str">
        <f>Controle!L573</f>
        <v/>
      </c>
      <c r="M573" s="233" t="str">
        <f>Controle!M573</f>
        <v/>
      </c>
      <c r="N573" s="235" t="str">
        <f>Controle!N573</f>
        <v/>
      </c>
      <c r="O573" s="235" t="str">
        <f>Controle!O573</f>
        <v/>
      </c>
      <c r="P573" s="235" t="str">
        <f>Controle!P573</f>
        <v/>
      </c>
      <c r="Q573" s="235" t="str">
        <f>Controle!Q573</f>
        <v/>
      </c>
      <c r="R573" s="286" t="str">
        <f>Controle!R573</f>
        <v/>
      </c>
      <c r="S573" s="286"/>
      <c r="T573" s="286"/>
      <c r="U573" s="286"/>
      <c r="V573" s="286"/>
      <c r="W573" s="286"/>
      <c r="X573" s="286"/>
      <c r="Y573" s="286"/>
      <c r="Z573" s="286"/>
      <c r="AA573" s="294"/>
      <c r="AB573" s="253"/>
      <c r="AC573" s="253"/>
      <c r="AD573" s="253"/>
      <c r="AE573" s="253"/>
      <c r="AF573" s="253"/>
      <c r="AG573" s="253"/>
      <c r="AH573" s="253"/>
      <c r="AI573" s="253"/>
      <c r="AJ573" s="253"/>
      <c r="AK573" s="253"/>
      <c r="AL573" s="253"/>
      <c r="AM573" s="253"/>
      <c r="AN573" s="253"/>
      <c r="AO573" s="253"/>
      <c r="AP573" s="253"/>
      <c r="AQ573" s="253"/>
      <c r="AR573" s="253"/>
      <c r="AS573" s="253"/>
      <c r="AT573" s="2"/>
      <c r="AU573" s="2"/>
      <c r="AV573" s="2"/>
      <c r="AW573" s="2"/>
      <c r="AX573" s="2"/>
      <c r="AY573" s="253"/>
    </row>
    <row r="574" ht="15.75" customHeight="1">
      <c r="A574" s="2"/>
      <c r="B574" s="288" t="str">
        <f>Controle!B574</f>
        <v/>
      </c>
      <c r="C574" s="233" t="str">
        <f>Controle!C574</f>
        <v/>
      </c>
      <c r="D574" s="289" t="str">
        <f>Controle!D574</f>
        <v/>
      </c>
      <c r="E574" s="290"/>
      <c r="F574" s="291" t="str">
        <f>Controle!F574</f>
        <v/>
      </c>
      <c r="G574" s="289" t="str">
        <f>Controle!G574</f>
        <v/>
      </c>
      <c r="H574" s="290"/>
      <c r="I574" s="291" t="str">
        <f>Controle!I574</f>
        <v/>
      </c>
      <c r="J574" s="233" t="str">
        <f>Controle!J574</f>
        <v/>
      </c>
      <c r="K574" s="292"/>
      <c r="L574" s="233" t="str">
        <f>Controle!L574</f>
        <v/>
      </c>
      <c r="M574" s="233" t="str">
        <f>Controle!M574</f>
        <v/>
      </c>
      <c r="N574" s="235" t="str">
        <f>Controle!N574</f>
        <v/>
      </c>
      <c r="O574" s="235" t="str">
        <f>Controle!O574</f>
        <v/>
      </c>
      <c r="P574" s="235" t="str">
        <f>Controle!P574</f>
        <v/>
      </c>
      <c r="Q574" s="235" t="str">
        <f>Controle!Q574</f>
        <v/>
      </c>
      <c r="R574" s="286" t="str">
        <f>Controle!R574</f>
        <v/>
      </c>
      <c r="S574" s="286"/>
      <c r="T574" s="286"/>
      <c r="U574" s="286"/>
      <c r="V574" s="286"/>
      <c r="W574" s="286"/>
      <c r="X574" s="286"/>
      <c r="Y574" s="286"/>
      <c r="Z574" s="286"/>
      <c r="AA574" s="294"/>
      <c r="AB574" s="253"/>
      <c r="AC574" s="253"/>
      <c r="AD574" s="253"/>
      <c r="AE574" s="253"/>
      <c r="AF574" s="253"/>
      <c r="AG574" s="253"/>
      <c r="AH574" s="253"/>
      <c r="AI574" s="253"/>
      <c r="AJ574" s="253"/>
      <c r="AK574" s="253"/>
      <c r="AL574" s="253"/>
      <c r="AM574" s="253"/>
      <c r="AN574" s="253"/>
      <c r="AO574" s="253"/>
      <c r="AP574" s="253"/>
      <c r="AQ574" s="253"/>
      <c r="AR574" s="253"/>
      <c r="AS574" s="253"/>
      <c r="AT574" s="2"/>
      <c r="AU574" s="2"/>
      <c r="AV574" s="2"/>
      <c r="AW574" s="2"/>
      <c r="AX574" s="2"/>
      <c r="AY574" s="253"/>
    </row>
    <row r="575" ht="15.75" customHeight="1">
      <c r="A575" s="2"/>
      <c r="B575" s="288" t="str">
        <f>Controle!B575</f>
        <v/>
      </c>
      <c r="C575" s="233" t="str">
        <f>Controle!C575</f>
        <v/>
      </c>
      <c r="D575" s="289" t="str">
        <f>Controle!D575</f>
        <v/>
      </c>
      <c r="E575" s="290"/>
      <c r="F575" s="291" t="str">
        <f>Controle!F575</f>
        <v/>
      </c>
      <c r="G575" s="289" t="str">
        <f>Controle!G575</f>
        <v/>
      </c>
      <c r="H575" s="290"/>
      <c r="I575" s="291" t="str">
        <f>Controle!I575</f>
        <v/>
      </c>
      <c r="J575" s="233" t="str">
        <f>Controle!J575</f>
        <v/>
      </c>
      <c r="K575" s="292"/>
      <c r="L575" s="233" t="str">
        <f>Controle!L575</f>
        <v/>
      </c>
      <c r="M575" s="233" t="str">
        <f>Controle!M575</f>
        <v/>
      </c>
      <c r="N575" s="235" t="str">
        <f>Controle!N575</f>
        <v/>
      </c>
      <c r="O575" s="235" t="str">
        <f>Controle!O575</f>
        <v/>
      </c>
      <c r="P575" s="235" t="str">
        <f>Controle!P575</f>
        <v/>
      </c>
      <c r="Q575" s="235" t="str">
        <f>Controle!Q575</f>
        <v/>
      </c>
      <c r="R575" s="286" t="str">
        <f>Controle!R575</f>
        <v/>
      </c>
      <c r="S575" s="286"/>
      <c r="T575" s="286"/>
      <c r="U575" s="286"/>
      <c r="V575" s="286"/>
      <c r="W575" s="286"/>
      <c r="X575" s="286"/>
      <c r="Y575" s="286"/>
      <c r="Z575" s="286"/>
      <c r="AA575" s="294"/>
      <c r="AB575" s="253"/>
      <c r="AC575" s="253"/>
      <c r="AD575" s="253"/>
      <c r="AE575" s="253"/>
      <c r="AF575" s="253"/>
      <c r="AG575" s="253"/>
      <c r="AH575" s="253"/>
      <c r="AI575" s="253"/>
      <c r="AJ575" s="253"/>
      <c r="AK575" s="253"/>
      <c r="AL575" s="253"/>
      <c r="AM575" s="253"/>
      <c r="AN575" s="253"/>
      <c r="AO575" s="253"/>
      <c r="AP575" s="253"/>
      <c r="AQ575" s="253"/>
      <c r="AR575" s="253"/>
      <c r="AS575" s="253"/>
      <c r="AT575" s="2"/>
      <c r="AU575" s="2"/>
      <c r="AV575" s="2"/>
      <c r="AW575" s="2"/>
      <c r="AX575" s="2"/>
      <c r="AY575" s="253"/>
    </row>
    <row r="576" ht="15.75" customHeight="1">
      <c r="A576" s="2"/>
      <c r="B576" s="288" t="str">
        <f>Controle!B576</f>
        <v/>
      </c>
      <c r="C576" s="233" t="str">
        <f>Controle!C576</f>
        <v/>
      </c>
      <c r="D576" s="289" t="str">
        <f>Controle!D576</f>
        <v/>
      </c>
      <c r="E576" s="290"/>
      <c r="F576" s="291" t="str">
        <f>Controle!F576</f>
        <v/>
      </c>
      <c r="G576" s="289" t="str">
        <f>Controle!G576</f>
        <v/>
      </c>
      <c r="H576" s="290"/>
      <c r="I576" s="291" t="str">
        <f>Controle!I576</f>
        <v/>
      </c>
      <c r="J576" s="233" t="str">
        <f>Controle!J576</f>
        <v/>
      </c>
      <c r="K576" s="292"/>
      <c r="L576" s="233" t="str">
        <f>Controle!L576</f>
        <v/>
      </c>
      <c r="M576" s="233" t="str">
        <f>Controle!M576</f>
        <v/>
      </c>
      <c r="N576" s="235" t="str">
        <f>Controle!N576</f>
        <v/>
      </c>
      <c r="O576" s="235" t="str">
        <f>Controle!O576</f>
        <v/>
      </c>
      <c r="P576" s="235" t="str">
        <f>Controle!P576</f>
        <v/>
      </c>
      <c r="Q576" s="235" t="str">
        <f>Controle!Q576</f>
        <v/>
      </c>
      <c r="R576" s="286" t="str">
        <f>Controle!R576</f>
        <v/>
      </c>
      <c r="S576" s="286"/>
      <c r="T576" s="286"/>
      <c r="U576" s="286"/>
      <c r="V576" s="286"/>
      <c r="W576" s="286"/>
      <c r="X576" s="286"/>
      <c r="Y576" s="286"/>
      <c r="Z576" s="286"/>
      <c r="AA576" s="294"/>
      <c r="AB576" s="253"/>
      <c r="AC576" s="253"/>
      <c r="AD576" s="253"/>
      <c r="AE576" s="253"/>
      <c r="AF576" s="253"/>
      <c r="AG576" s="253"/>
      <c r="AH576" s="253"/>
      <c r="AI576" s="253"/>
      <c r="AJ576" s="253"/>
      <c r="AK576" s="253"/>
      <c r="AL576" s="253"/>
      <c r="AM576" s="253"/>
      <c r="AN576" s="253"/>
      <c r="AO576" s="253"/>
      <c r="AP576" s="253"/>
      <c r="AQ576" s="253"/>
      <c r="AR576" s="253"/>
      <c r="AS576" s="253"/>
      <c r="AT576" s="2"/>
      <c r="AU576" s="2"/>
      <c r="AV576" s="2"/>
      <c r="AW576" s="2"/>
      <c r="AX576" s="2"/>
      <c r="AY576" s="253"/>
    </row>
    <row r="577" ht="15.75" customHeight="1">
      <c r="A577" s="2"/>
      <c r="B577" s="288" t="str">
        <f>Controle!B577</f>
        <v/>
      </c>
      <c r="C577" s="233" t="str">
        <f>Controle!C577</f>
        <v/>
      </c>
      <c r="D577" s="289" t="str">
        <f>Controle!D577</f>
        <v/>
      </c>
      <c r="E577" s="290"/>
      <c r="F577" s="291" t="str">
        <f>Controle!F577</f>
        <v/>
      </c>
      <c r="G577" s="289" t="str">
        <f>Controle!G577</f>
        <v/>
      </c>
      <c r="H577" s="290"/>
      <c r="I577" s="291" t="str">
        <f>Controle!I577</f>
        <v/>
      </c>
      <c r="J577" s="233" t="str">
        <f>Controle!J577</f>
        <v/>
      </c>
      <c r="K577" s="292"/>
      <c r="L577" s="233" t="str">
        <f>Controle!L577</f>
        <v/>
      </c>
      <c r="M577" s="233" t="str">
        <f>Controle!M577</f>
        <v/>
      </c>
      <c r="N577" s="235" t="str">
        <f>Controle!N577</f>
        <v/>
      </c>
      <c r="O577" s="235" t="str">
        <f>Controle!O577</f>
        <v/>
      </c>
      <c r="P577" s="235" t="str">
        <f>Controle!P577</f>
        <v/>
      </c>
      <c r="Q577" s="235" t="str">
        <f>Controle!Q577</f>
        <v/>
      </c>
      <c r="R577" s="286" t="str">
        <f>Controle!R577</f>
        <v/>
      </c>
      <c r="S577" s="286"/>
      <c r="T577" s="286"/>
      <c r="U577" s="286"/>
      <c r="V577" s="286"/>
      <c r="W577" s="286"/>
      <c r="X577" s="286"/>
      <c r="Y577" s="286"/>
      <c r="Z577" s="286"/>
      <c r="AA577" s="294"/>
      <c r="AB577" s="253"/>
      <c r="AC577" s="253"/>
      <c r="AD577" s="253"/>
      <c r="AE577" s="253"/>
      <c r="AF577" s="253"/>
      <c r="AG577" s="253"/>
      <c r="AH577" s="253"/>
      <c r="AI577" s="253"/>
      <c r="AJ577" s="253"/>
      <c r="AK577" s="253"/>
      <c r="AL577" s="253"/>
      <c r="AM577" s="253"/>
      <c r="AN577" s="253"/>
      <c r="AO577" s="253"/>
      <c r="AP577" s="253"/>
      <c r="AQ577" s="253"/>
      <c r="AR577" s="253"/>
      <c r="AS577" s="253"/>
      <c r="AT577" s="2"/>
      <c r="AU577" s="2"/>
      <c r="AV577" s="2"/>
      <c r="AW577" s="2"/>
      <c r="AX577" s="2"/>
      <c r="AY577" s="253"/>
    </row>
    <row r="578" ht="15.75" customHeight="1">
      <c r="A578" s="2"/>
      <c r="B578" s="288" t="str">
        <f>Controle!B578</f>
        <v/>
      </c>
      <c r="C578" s="233" t="str">
        <f>Controle!C578</f>
        <v/>
      </c>
      <c r="D578" s="289" t="str">
        <f>Controle!D578</f>
        <v/>
      </c>
      <c r="E578" s="290"/>
      <c r="F578" s="291" t="str">
        <f>Controle!F578</f>
        <v/>
      </c>
      <c r="G578" s="289" t="str">
        <f>Controle!G578</f>
        <v/>
      </c>
      <c r="H578" s="290"/>
      <c r="I578" s="291" t="str">
        <f>Controle!I578</f>
        <v/>
      </c>
      <c r="J578" s="233" t="str">
        <f>Controle!J578</f>
        <v/>
      </c>
      <c r="K578" s="292"/>
      <c r="L578" s="233" t="str">
        <f>Controle!L578</f>
        <v/>
      </c>
      <c r="M578" s="233" t="str">
        <f>Controle!M578</f>
        <v/>
      </c>
      <c r="N578" s="235" t="str">
        <f>Controle!N578</f>
        <v/>
      </c>
      <c r="O578" s="235" t="str">
        <f>Controle!O578</f>
        <v/>
      </c>
      <c r="P578" s="235" t="str">
        <f>Controle!P578</f>
        <v/>
      </c>
      <c r="Q578" s="235" t="str">
        <f>Controle!Q578</f>
        <v/>
      </c>
      <c r="R578" s="286" t="str">
        <f>Controle!R578</f>
        <v/>
      </c>
      <c r="S578" s="286"/>
      <c r="T578" s="286"/>
      <c r="U578" s="286"/>
      <c r="V578" s="286"/>
      <c r="W578" s="286"/>
      <c r="X578" s="286"/>
      <c r="Y578" s="286"/>
      <c r="Z578" s="286"/>
      <c r="AA578" s="294"/>
      <c r="AB578" s="253"/>
      <c r="AC578" s="253"/>
      <c r="AD578" s="253"/>
      <c r="AE578" s="253"/>
      <c r="AF578" s="253"/>
      <c r="AG578" s="253"/>
      <c r="AH578" s="253"/>
      <c r="AI578" s="253"/>
      <c r="AJ578" s="253"/>
      <c r="AK578" s="253"/>
      <c r="AL578" s="253"/>
      <c r="AM578" s="253"/>
      <c r="AN578" s="253"/>
      <c r="AO578" s="253"/>
      <c r="AP578" s="253"/>
      <c r="AQ578" s="253"/>
      <c r="AR578" s="253"/>
      <c r="AS578" s="253"/>
      <c r="AT578" s="2"/>
      <c r="AU578" s="2"/>
      <c r="AV578" s="2"/>
      <c r="AW578" s="2"/>
      <c r="AX578" s="2"/>
      <c r="AY578" s="253"/>
    </row>
    <row r="579" ht="15.75" customHeight="1">
      <c r="A579" s="2"/>
      <c r="B579" s="288" t="str">
        <f>Controle!B579</f>
        <v/>
      </c>
      <c r="C579" s="233" t="str">
        <f>Controle!C579</f>
        <v/>
      </c>
      <c r="D579" s="289" t="str">
        <f>Controle!D579</f>
        <v/>
      </c>
      <c r="E579" s="290"/>
      <c r="F579" s="291" t="str">
        <f>Controle!F579</f>
        <v/>
      </c>
      <c r="G579" s="289" t="str">
        <f>Controle!G579</f>
        <v/>
      </c>
      <c r="H579" s="290"/>
      <c r="I579" s="291" t="str">
        <f>Controle!I579</f>
        <v/>
      </c>
      <c r="J579" s="233" t="str">
        <f>Controle!J579</f>
        <v/>
      </c>
      <c r="K579" s="292"/>
      <c r="L579" s="233" t="str">
        <f>Controle!L579</f>
        <v/>
      </c>
      <c r="M579" s="233" t="str">
        <f>Controle!M579</f>
        <v/>
      </c>
      <c r="N579" s="235" t="str">
        <f>Controle!N579</f>
        <v/>
      </c>
      <c r="O579" s="235" t="str">
        <f>Controle!O579</f>
        <v/>
      </c>
      <c r="P579" s="235" t="str">
        <f>Controle!P579</f>
        <v/>
      </c>
      <c r="Q579" s="235" t="str">
        <f>Controle!Q579</f>
        <v/>
      </c>
      <c r="R579" s="286" t="str">
        <f>Controle!R579</f>
        <v/>
      </c>
      <c r="S579" s="286"/>
      <c r="T579" s="286"/>
      <c r="U579" s="286"/>
      <c r="V579" s="286"/>
      <c r="W579" s="286"/>
      <c r="X579" s="286"/>
      <c r="Y579" s="286"/>
      <c r="Z579" s="286"/>
      <c r="AA579" s="294"/>
      <c r="AB579" s="253"/>
      <c r="AC579" s="253"/>
      <c r="AD579" s="253"/>
      <c r="AE579" s="253"/>
      <c r="AF579" s="253"/>
      <c r="AG579" s="253"/>
      <c r="AH579" s="253"/>
      <c r="AI579" s="253"/>
      <c r="AJ579" s="253"/>
      <c r="AK579" s="253"/>
      <c r="AL579" s="253"/>
      <c r="AM579" s="253"/>
      <c r="AN579" s="253"/>
      <c r="AO579" s="253"/>
      <c r="AP579" s="253"/>
      <c r="AQ579" s="253"/>
      <c r="AR579" s="253"/>
      <c r="AS579" s="253"/>
      <c r="AT579" s="2"/>
      <c r="AU579" s="2"/>
      <c r="AV579" s="2"/>
      <c r="AW579" s="2"/>
      <c r="AX579" s="2"/>
      <c r="AY579" s="253"/>
    </row>
    <row r="580" ht="15.75" customHeight="1">
      <c r="A580" s="2"/>
      <c r="B580" s="288" t="str">
        <f>Controle!B580</f>
        <v/>
      </c>
      <c r="C580" s="233" t="str">
        <f>Controle!C580</f>
        <v/>
      </c>
      <c r="D580" s="289" t="str">
        <f>Controle!D580</f>
        <v/>
      </c>
      <c r="E580" s="290"/>
      <c r="F580" s="291" t="str">
        <f>Controle!F580</f>
        <v/>
      </c>
      <c r="G580" s="289" t="str">
        <f>Controle!G580</f>
        <v/>
      </c>
      <c r="H580" s="290"/>
      <c r="I580" s="291" t="str">
        <f>Controle!I580</f>
        <v/>
      </c>
      <c r="J580" s="233" t="str">
        <f>Controle!J580</f>
        <v/>
      </c>
      <c r="K580" s="292"/>
      <c r="L580" s="233" t="str">
        <f>Controle!L580</f>
        <v/>
      </c>
      <c r="M580" s="233" t="str">
        <f>Controle!M580</f>
        <v/>
      </c>
      <c r="N580" s="235" t="str">
        <f>Controle!N580</f>
        <v/>
      </c>
      <c r="O580" s="235" t="str">
        <f>Controle!O580</f>
        <v/>
      </c>
      <c r="P580" s="235" t="str">
        <f>Controle!P580</f>
        <v/>
      </c>
      <c r="Q580" s="235" t="str">
        <f>Controle!Q580</f>
        <v/>
      </c>
      <c r="R580" s="286" t="str">
        <f>Controle!R580</f>
        <v/>
      </c>
      <c r="S580" s="286"/>
      <c r="T580" s="286"/>
      <c r="U580" s="286"/>
      <c r="V580" s="286"/>
      <c r="W580" s="286"/>
      <c r="X580" s="286"/>
      <c r="Y580" s="286"/>
      <c r="Z580" s="286"/>
      <c r="AA580" s="294"/>
      <c r="AB580" s="253"/>
      <c r="AC580" s="253"/>
      <c r="AD580" s="253"/>
      <c r="AE580" s="253"/>
      <c r="AF580" s="253"/>
      <c r="AG580" s="253"/>
      <c r="AH580" s="253"/>
      <c r="AI580" s="253"/>
      <c r="AJ580" s="253"/>
      <c r="AK580" s="253"/>
      <c r="AL580" s="253"/>
      <c r="AM580" s="253"/>
      <c r="AN580" s="253"/>
      <c r="AO580" s="253"/>
      <c r="AP580" s="253"/>
      <c r="AQ580" s="253"/>
      <c r="AR580" s="253"/>
      <c r="AS580" s="253"/>
      <c r="AT580" s="2"/>
      <c r="AU580" s="2"/>
      <c r="AV580" s="2"/>
      <c r="AW580" s="2"/>
      <c r="AX580" s="2"/>
      <c r="AY580" s="253"/>
    </row>
    <row r="581" ht="15.75" customHeight="1">
      <c r="A581" s="2"/>
      <c r="B581" s="288" t="str">
        <f>Controle!B581</f>
        <v/>
      </c>
      <c r="C581" s="233" t="str">
        <f>Controle!C581</f>
        <v/>
      </c>
      <c r="D581" s="289" t="str">
        <f>Controle!D581</f>
        <v/>
      </c>
      <c r="E581" s="290"/>
      <c r="F581" s="291" t="str">
        <f>Controle!F581</f>
        <v/>
      </c>
      <c r="G581" s="289" t="str">
        <f>Controle!G581</f>
        <v/>
      </c>
      <c r="H581" s="290"/>
      <c r="I581" s="291" t="str">
        <f>Controle!I581</f>
        <v/>
      </c>
      <c r="J581" s="233" t="str">
        <f>Controle!J581</f>
        <v/>
      </c>
      <c r="K581" s="292"/>
      <c r="L581" s="233" t="str">
        <f>Controle!L581</f>
        <v/>
      </c>
      <c r="M581" s="233" t="str">
        <f>Controle!M581</f>
        <v/>
      </c>
      <c r="N581" s="235" t="str">
        <f>Controle!N581</f>
        <v/>
      </c>
      <c r="O581" s="235" t="str">
        <f>Controle!O581</f>
        <v/>
      </c>
      <c r="P581" s="235" t="str">
        <f>Controle!P581</f>
        <v/>
      </c>
      <c r="Q581" s="235" t="str">
        <f>Controle!Q581</f>
        <v/>
      </c>
      <c r="R581" s="286" t="str">
        <f>Controle!R581</f>
        <v/>
      </c>
      <c r="S581" s="286"/>
      <c r="T581" s="286"/>
      <c r="U581" s="286"/>
      <c r="V581" s="286"/>
      <c r="W581" s="286"/>
      <c r="X581" s="286"/>
      <c r="Y581" s="286"/>
      <c r="Z581" s="286"/>
      <c r="AA581" s="294"/>
      <c r="AB581" s="253"/>
      <c r="AC581" s="253"/>
      <c r="AD581" s="253"/>
      <c r="AE581" s="253"/>
      <c r="AF581" s="253"/>
      <c r="AG581" s="253"/>
      <c r="AH581" s="253"/>
      <c r="AI581" s="253"/>
      <c r="AJ581" s="253"/>
      <c r="AK581" s="253"/>
      <c r="AL581" s="253"/>
      <c r="AM581" s="253"/>
      <c r="AN581" s="253"/>
      <c r="AO581" s="253"/>
      <c r="AP581" s="253"/>
      <c r="AQ581" s="253"/>
      <c r="AR581" s="253"/>
      <c r="AS581" s="253"/>
      <c r="AT581" s="2"/>
      <c r="AU581" s="2"/>
      <c r="AV581" s="2"/>
      <c r="AW581" s="2"/>
      <c r="AX581" s="2"/>
      <c r="AY581" s="253"/>
    </row>
    <row r="582" ht="15.75" customHeight="1">
      <c r="A582" s="2"/>
      <c r="B582" s="288" t="str">
        <f>Controle!B582</f>
        <v/>
      </c>
      <c r="C582" s="233" t="str">
        <f>Controle!C582</f>
        <v/>
      </c>
      <c r="D582" s="289" t="str">
        <f>Controle!D582</f>
        <v/>
      </c>
      <c r="E582" s="290"/>
      <c r="F582" s="291" t="str">
        <f>Controle!F582</f>
        <v/>
      </c>
      <c r="G582" s="289" t="str">
        <f>Controle!G582</f>
        <v/>
      </c>
      <c r="H582" s="290"/>
      <c r="I582" s="291" t="str">
        <f>Controle!I582</f>
        <v/>
      </c>
      <c r="J582" s="233" t="str">
        <f>Controle!J582</f>
        <v/>
      </c>
      <c r="K582" s="292"/>
      <c r="L582" s="233" t="str">
        <f>Controle!L582</f>
        <v/>
      </c>
      <c r="M582" s="233" t="str">
        <f>Controle!M582</f>
        <v/>
      </c>
      <c r="N582" s="235" t="str">
        <f>Controle!N582</f>
        <v/>
      </c>
      <c r="O582" s="235" t="str">
        <f>Controle!O582</f>
        <v/>
      </c>
      <c r="P582" s="235" t="str">
        <f>Controle!P582</f>
        <v/>
      </c>
      <c r="Q582" s="235" t="str">
        <f>Controle!Q582</f>
        <v/>
      </c>
      <c r="R582" s="286" t="str">
        <f>Controle!R582</f>
        <v/>
      </c>
      <c r="S582" s="286"/>
      <c r="T582" s="286"/>
      <c r="U582" s="286"/>
      <c r="V582" s="286"/>
      <c r="W582" s="286"/>
      <c r="X582" s="286"/>
      <c r="Y582" s="286"/>
      <c r="Z582" s="286"/>
      <c r="AA582" s="294"/>
      <c r="AB582" s="253"/>
      <c r="AC582" s="253"/>
      <c r="AD582" s="253"/>
      <c r="AE582" s="253"/>
      <c r="AF582" s="253"/>
      <c r="AG582" s="253"/>
      <c r="AH582" s="253"/>
      <c r="AI582" s="253"/>
      <c r="AJ582" s="253"/>
      <c r="AK582" s="253"/>
      <c r="AL582" s="253"/>
      <c r="AM582" s="253"/>
      <c r="AN582" s="253"/>
      <c r="AO582" s="253"/>
      <c r="AP582" s="253"/>
      <c r="AQ582" s="253"/>
      <c r="AR582" s="253"/>
      <c r="AS582" s="253"/>
      <c r="AT582" s="2"/>
      <c r="AU582" s="2"/>
      <c r="AV582" s="2"/>
      <c r="AW582" s="2"/>
      <c r="AX582" s="2"/>
      <c r="AY582" s="253"/>
    </row>
    <row r="583" ht="15.75" customHeight="1">
      <c r="A583" s="2"/>
      <c r="B583" s="288" t="str">
        <f>Controle!B583</f>
        <v/>
      </c>
      <c r="C583" s="233" t="str">
        <f>Controle!C583</f>
        <v/>
      </c>
      <c r="D583" s="289" t="str">
        <f>Controle!D583</f>
        <v/>
      </c>
      <c r="E583" s="290"/>
      <c r="F583" s="291" t="str">
        <f>Controle!F583</f>
        <v/>
      </c>
      <c r="G583" s="289" t="str">
        <f>Controle!G583</f>
        <v/>
      </c>
      <c r="H583" s="290"/>
      <c r="I583" s="291" t="str">
        <f>Controle!I583</f>
        <v/>
      </c>
      <c r="J583" s="233" t="str">
        <f>Controle!J583</f>
        <v/>
      </c>
      <c r="K583" s="292"/>
      <c r="L583" s="233" t="str">
        <f>Controle!L583</f>
        <v/>
      </c>
      <c r="M583" s="233" t="str">
        <f>Controle!M583</f>
        <v/>
      </c>
      <c r="N583" s="235" t="str">
        <f>Controle!N583</f>
        <v/>
      </c>
      <c r="O583" s="235" t="str">
        <f>Controle!O583</f>
        <v/>
      </c>
      <c r="P583" s="235" t="str">
        <f>Controle!P583</f>
        <v/>
      </c>
      <c r="Q583" s="235" t="str">
        <f>Controle!Q583</f>
        <v/>
      </c>
      <c r="R583" s="286" t="str">
        <f>Controle!R583</f>
        <v/>
      </c>
      <c r="S583" s="286"/>
      <c r="T583" s="286"/>
      <c r="U583" s="286"/>
      <c r="V583" s="286"/>
      <c r="W583" s="286"/>
      <c r="X583" s="286"/>
      <c r="Y583" s="286"/>
      <c r="Z583" s="286"/>
      <c r="AA583" s="294"/>
      <c r="AB583" s="253"/>
      <c r="AC583" s="253"/>
      <c r="AD583" s="253"/>
      <c r="AE583" s="253"/>
      <c r="AF583" s="253"/>
      <c r="AG583" s="253"/>
      <c r="AH583" s="253"/>
      <c r="AI583" s="253"/>
      <c r="AJ583" s="253"/>
      <c r="AK583" s="253"/>
      <c r="AL583" s="253"/>
      <c r="AM583" s="253"/>
      <c r="AN583" s="253"/>
      <c r="AO583" s="253"/>
      <c r="AP583" s="253"/>
      <c r="AQ583" s="253"/>
      <c r="AR583" s="253"/>
      <c r="AS583" s="253"/>
      <c r="AT583" s="2"/>
      <c r="AU583" s="2"/>
      <c r="AV583" s="2"/>
      <c r="AW583" s="2"/>
      <c r="AX583" s="2"/>
      <c r="AY583" s="253"/>
    </row>
    <row r="584" ht="15.75" customHeight="1">
      <c r="A584" s="2"/>
      <c r="B584" s="288" t="str">
        <f>Controle!B584</f>
        <v/>
      </c>
      <c r="C584" s="233" t="str">
        <f>Controle!C584</f>
        <v/>
      </c>
      <c r="D584" s="289" t="str">
        <f>Controle!D584</f>
        <v/>
      </c>
      <c r="E584" s="290"/>
      <c r="F584" s="291" t="str">
        <f>Controle!F584</f>
        <v/>
      </c>
      <c r="G584" s="289" t="str">
        <f>Controle!G584</f>
        <v/>
      </c>
      <c r="H584" s="290"/>
      <c r="I584" s="291" t="str">
        <f>Controle!I584</f>
        <v/>
      </c>
      <c r="J584" s="233" t="str">
        <f>Controle!J584</f>
        <v/>
      </c>
      <c r="K584" s="292"/>
      <c r="L584" s="233" t="str">
        <f>Controle!L584</f>
        <v/>
      </c>
      <c r="M584" s="233" t="str">
        <f>Controle!M584</f>
        <v/>
      </c>
      <c r="N584" s="235" t="str">
        <f>Controle!N584</f>
        <v/>
      </c>
      <c r="O584" s="235" t="str">
        <f>Controle!O584</f>
        <v/>
      </c>
      <c r="P584" s="235" t="str">
        <f>Controle!P584</f>
        <v/>
      </c>
      <c r="Q584" s="235" t="str">
        <f>Controle!Q584</f>
        <v/>
      </c>
      <c r="R584" s="286" t="str">
        <f>Controle!R584</f>
        <v/>
      </c>
      <c r="S584" s="286"/>
      <c r="T584" s="286"/>
      <c r="U584" s="286"/>
      <c r="V584" s="286"/>
      <c r="W584" s="286"/>
      <c r="X584" s="286"/>
      <c r="Y584" s="286"/>
      <c r="Z584" s="286"/>
      <c r="AA584" s="294"/>
      <c r="AB584" s="253"/>
      <c r="AC584" s="253"/>
      <c r="AD584" s="253"/>
      <c r="AE584" s="253"/>
      <c r="AF584" s="253"/>
      <c r="AG584" s="253"/>
      <c r="AH584" s="253"/>
      <c r="AI584" s="253"/>
      <c r="AJ584" s="253"/>
      <c r="AK584" s="253"/>
      <c r="AL584" s="253"/>
      <c r="AM584" s="253"/>
      <c r="AN584" s="253"/>
      <c r="AO584" s="253"/>
      <c r="AP584" s="253"/>
      <c r="AQ584" s="253"/>
      <c r="AR584" s="253"/>
      <c r="AS584" s="253"/>
      <c r="AT584" s="2"/>
      <c r="AU584" s="2"/>
      <c r="AV584" s="2"/>
      <c r="AW584" s="2"/>
      <c r="AX584" s="2"/>
      <c r="AY584" s="253"/>
    </row>
    <row r="585" ht="15.75" customHeight="1">
      <c r="A585" s="2"/>
      <c r="B585" s="288" t="str">
        <f>Controle!B585</f>
        <v/>
      </c>
      <c r="C585" s="233" t="str">
        <f>Controle!C585</f>
        <v/>
      </c>
      <c r="D585" s="289" t="str">
        <f>Controle!D585</f>
        <v/>
      </c>
      <c r="E585" s="290"/>
      <c r="F585" s="291" t="str">
        <f>Controle!F585</f>
        <v/>
      </c>
      <c r="G585" s="289" t="str">
        <f>Controle!G585</f>
        <v/>
      </c>
      <c r="H585" s="290"/>
      <c r="I585" s="291" t="str">
        <f>Controle!I585</f>
        <v/>
      </c>
      <c r="J585" s="233" t="str">
        <f>Controle!J585</f>
        <v/>
      </c>
      <c r="K585" s="292"/>
      <c r="L585" s="233" t="str">
        <f>Controle!L585</f>
        <v/>
      </c>
      <c r="M585" s="233" t="str">
        <f>Controle!M585</f>
        <v/>
      </c>
      <c r="N585" s="235" t="str">
        <f>Controle!N585</f>
        <v/>
      </c>
      <c r="O585" s="235" t="str">
        <f>Controle!O585</f>
        <v/>
      </c>
      <c r="P585" s="235" t="str">
        <f>Controle!P585</f>
        <v/>
      </c>
      <c r="Q585" s="235" t="str">
        <f>Controle!Q585</f>
        <v/>
      </c>
      <c r="R585" s="286" t="str">
        <f>Controle!R585</f>
        <v/>
      </c>
      <c r="S585" s="286"/>
      <c r="T585" s="286"/>
      <c r="U585" s="286"/>
      <c r="V585" s="286"/>
      <c r="W585" s="286"/>
      <c r="X585" s="286"/>
      <c r="Y585" s="286"/>
      <c r="Z585" s="286"/>
      <c r="AA585" s="294"/>
      <c r="AB585" s="253"/>
      <c r="AC585" s="253"/>
      <c r="AD585" s="253"/>
      <c r="AE585" s="253"/>
      <c r="AF585" s="253"/>
      <c r="AG585" s="253"/>
      <c r="AH585" s="253"/>
      <c r="AI585" s="253"/>
      <c r="AJ585" s="253"/>
      <c r="AK585" s="253"/>
      <c r="AL585" s="253"/>
      <c r="AM585" s="253"/>
      <c r="AN585" s="253"/>
      <c r="AO585" s="253"/>
      <c r="AP585" s="253"/>
      <c r="AQ585" s="253"/>
      <c r="AR585" s="253"/>
      <c r="AS585" s="253"/>
      <c r="AT585" s="2"/>
      <c r="AU585" s="2"/>
      <c r="AV585" s="2"/>
      <c r="AW585" s="2"/>
      <c r="AX585" s="2"/>
      <c r="AY585" s="253"/>
    </row>
    <row r="586" ht="15.75" customHeight="1">
      <c r="A586" s="2"/>
      <c r="B586" s="288" t="str">
        <f>Controle!B586</f>
        <v/>
      </c>
      <c r="C586" s="233" t="str">
        <f>Controle!C586</f>
        <v/>
      </c>
      <c r="D586" s="289" t="str">
        <f>Controle!D586</f>
        <v/>
      </c>
      <c r="E586" s="290"/>
      <c r="F586" s="291" t="str">
        <f>Controle!F586</f>
        <v/>
      </c>
      <c r="G586" s="289" t="str">
        <f>Controle!G586</f>
        <v/>
      </c>
      <c r="H586" s="290"/>
      <c r="I586" s="291" t="str">
        <f>Controle!I586</f>
        <v/>
      </c>
      <c r="J586" s="233" t="str">
        <f>Controle!J586</f>
        <v/>
      </c>
      <c r="K586" s="292"/>
      <c r="L586" s="233" t="str">
        <f>Controle!L586</f>
        <v/>
      </c>
      <c r="M586" s="233" t="str">
        <f>Controle!M586</f>
        <v/>
      </c>
      <c r="N586" s="235" t="str">
        <f>Controle!N586</f>
        <v/>
      </c>
      <c r="O586" s="235" t="str">
        <f>Controle!O586</f>
        <v/>
      </c>
      <c r="P586" s="235" t="str">
        <f>Controle!P586</f>
        <v/>
      </c>
      <c r="Q586" s="235" t="str">
        <f>Controle!Q586</f>
        <v/>
      </c>
      <c r="R586" s="286" t="str">
        <f>Controle!R586</f>
        <v/>
      </c>
      <c r="S586" s="286"/>
      <c r="T586" s="286"/>
      <c r="U586" s="286"/>
      <c r="V586" s="286"/>
      <c r="W586" s="286"/>
      <c r="X586" s="286"/>
      <c r="Y586" s="286"/>
      <c r="Z586" s="286"/>
      <c r="AA586" s="294"/>
      <c r="AB586" s="253"/>
      <c r="AC586" s="253"/>
      <c r="AD586" s="253"/>
      <c r="AE586" s="253"/>
      <c r="AF586" s="253"/>
      <c r="AG586" s="253"/>
      <c r="AH586" s="253"/>
      <c r="AI586" s="253"/>
      <c r="AJ586" s="253"/>
      <c r="AK586" s="253"/>
      <c r="AL586" s="253"/>
      <c r="AM586" s="253"/>
      <c r="AN586" s="253"/>
      <c r="AO586" s="253"/>
      <c r="AP586" s="253"/>
      <c r="AQ586" s="253"/>
      <c r="AR586" s="253"/>
      <c r="AS586" s="253"/>
      <c r="AT586" s="2"/>
      <c r="AU586" s="2"/>
      <c r="AV586" s="2"/>
      <c r="AW586" s="2"/>
      <c r="AX586" s="2"/>
      <c r="AY586" s="253"/>
    </row>
    <row r="587" ht="15.75" customHeight="1">
      <c r="A587" s="2"/>
      <c r="B587" s="288" t="str">
        <f>Controle!B587</f>
        <v/>
      </c>
      <c r="C587" s="233" t="str">
        <f>Controle!C587</f>
        <v/>
      </c>
      <c r="D587" s="289" t="str">
        <f>Controle!D587</f>
        <v/>
      </c>
      <c r="E587" s="290"/>
      <c r="F587" s="291" t="str">
        <f>Controle!F587</f>
        <v/>
      </c>
      <c r="G587" s="289" t="str">
        <f>Controle!G587</f>
        <v/>
      </c>
      <c r="H587" s="290"/>
      <c r="I587" s="291" t="str">
        <f>Controle!I587</f>
        <v/>
      </c>
      <c r="J587" s="233" t="str">
        <f>Controle!J587</f>
        <v/>
      </c>
      <c r="K587" s="292"/>
      <c r="L587" s="233" t="str">
        <f>Controle!L587</f>
        <v/>
      </c>
      <c r="M587" s="233" t="str">
        <f>Controle!M587</f>
        <v/>
      </c>
      <c r="N587" s="235" t="str">
        <f>Controle!N587</f>
        <v/>
      </c>
      <c r="O587" s="235" t="str">
        <f>Controle!O587</f>
        <v/>
      </c>
      <c r="P587" s="235" t="str">
        <f>Controle!P587</f>
        <v/>
      </c>
      <c r="Q587" s="235" t="str">
        <f>Controle!Q587</f>
        <v/>
      </c>
      <c r="R587" s="286" t="str">
        <f>Controle!R587</f>
        <v/>
      </c>
      <c r="S587" s="286"/>
      <c r="T587" s="286"/>
      <c r="U587" s="286"/>
      <c r="V587" s="286"/>
      <c r="W587" s="286"/>
      <c r="X587" s="286"/>
      <c r="Y587" s="286"/>
      <c r="Z587" s="286"/>
      <c r="AA587" s="294"/>
      <c r="AB587" s="253"/>
      <c r="AC587" s="253"/>
      <c r="AD587" s="253"/>
      <c r="AE587" s="253"/>
      <c r="AF587" s="253"/>
      <c r="AG587" s="253"/>
      <c r="AH587" s="253"/>
      <c r="AI587" s="253"/>
      <c r="AJ587" s="253"/>
      <c r="AK587" s="253"/>
      <c r="AL587" s="253"/>
      <c r="AM587" s="253"/>
      <c r="AN587" s="253"/>
      <c r="AO587" s="253"/>
      <c r="AP587" s="253"/>
      <c r="AQ587" s="253"/>
      <c r="AR587" s="253"/>
      <c r="AS587" s="253"/>
      <c r="AT587" s="2"/>
      <c r="AU587" s="2"/>
      <c r="AV587" s="2"/>
      <c r="AW587" s="2"/>
      <c r="AX587" s="2"/>
      <c r="AY587" s="253"/>
    </row>
    <row r="588" ht="15.75" customHeight="1">
      <c r="A588" s="2"/>
      <c r="B588" s="288" t="str">
        <f>Controle!B588</f>
        <v/>
      </c>
      <c r="C588" s="233" t="str">
        <f>Controle!C588</f>
        <v/>
      </c>
      <c r="D588" s="289" t="str">
        <f>Controle!D588</f>
        <v/>
      </c>
      <c r="E588" s="290"/>
      <c r="F588" s="291" t="str">
        <f>Controle!F588</f>
        <v/>
      </c>
      <c r="G588" s="289" t="str">
        <f>Controle!G588</f>
        <v/>
      </c>
      <c r="H588" s="290"/>
      <c r="I588" s="291" t="str">
        <f>Controle!I588</f>
        <v/>
      </c>
      <c r="J588" s="233" t="str">
        <f>Controle!J588</f>
        <v/>
      </c>
      <c r="K588" s="292"/>
      <c r="L588" s="233" t="str">
        <f>Controle!L588</f>
        <v/>
      </c>
      <c r="M588" s="233" t="str">
        <f>Controle!M588</f>
        <v/>
      </c>
      <c r="N588" s="235" t="str">
        <f>Controle!N588</f>
        <v/>
      </c>
      <c r="O588" s="235" t="str">
        <f>Controle!O588</f>
        <v/>
      </c>
      <c r="P588" s="235" t="str">
        <f>Controle!P588</f>
        <v/>
      </c>
      <c r="Q588" s="235" t="str">
        <f>Controle!Q588</f>
        <v/>
      </c>
      <c r="R588" s="286" t="str">
        <f>Controle!R588</f>
        <v/>
      </c>
      <c r="S588" s="286"/>
      <c r="T588" s="286"/>
      <c r="U588" s="286"/>
      <c r="V588" s="286"/>
      <c r="W588" s="286"/>
      <c r="X588" s="286"/>
      <c r="Y588" s="286"/>
      <c r="Z588" s="286"/>
      <c r="AA588" s="294"/>
      <c r="AB588" s="253"/>
      <c r="AC588" s="253"/>
      <c r="AD588" s="253"/>
      <c r="AE588" s="253"/>
      <c r="AF588" s="253"/>
      <c r="AG588" s="253"/>
      <c r="AH588" s="253"/>
      <c r="AI588" s="253"/>
      <c r="AJ588" s="253"/>
      <c r="AK588" s="253"/>
      <c r="AL588" s="253"/>
      <c r="AM588" s="253"/>
      <c r="AN588" s="253"/>
      <c r="AO588" s="253"/>
      <c r="AP588" s="253"/>
      <c r="AQ588" s="253"/>
      <c r="AR588" s="253"/>
      <c r="AS588" s="253"/>
      <c r="AT588" s="2"/>
      <c r="AU588" s="2"/>
      <c r="AV588" s="2"/>
      <c r="AW588" s="2"/>
      <c r="AX588" s="2"/>
      <c r="AY588" s="253"/>
    </row>
    <row r="589" ht="15.75" customHeight="1">
      <c r="A589" s="2"/>
      <c r="B589" s="288" t="str">
        <f>Controle!B589</f>
        <v/>
      </c>
      <c r="C589" s="233" t="str">
        <f>Controle!C589</f>
        <v/>
      </c>
      <c r="D589" s="289" t="str">
        <f>Controle!D589</f>
        <v/>
      </c>
      <c r="E589" s="290"/>
      <c r="F589" s="291" t="str">
        <f>Controle!F589</f>
        <v/>
      </c>
      <c r="G589" s="289" t="str">
        <f>Controle!G589</f>
        <v/>
      </c>
      <c r="H589" s="290"/>
      <c r="I589" s="291" t="str">
        <f>Controle!I589</f>
        <v/>
      </c>
      <c r="J589" s="233" t="str">
        <f>Controle!J589</f>
        <v/>
      </c>
      <c r="K589" s="292"/>
      <c r="L589" s="233" t="str">
        <f>Controle!L589</f>
        <v/>
      </c>
      <c r="M589" s="233" t="str">
        <f>Controle!M589</f>
        <v/>
      </c>
      <c r="N589" s="235" t="str">
        <f>Controle!N589</f>
        <v/>
      </c>
      <c r="O589" s="235" t="str">
        <f>Controle!O589</f>
        <v/>
      </c>
      <c r="P589" s="235" t="str">
        <f>Controle!P589</f>
        <v/>
      </c>
      <c r="Q589" s="235" t="str">
        <f>Controle!Q589</f>
        <v/>
      </c>
      <c r="R589" s="286" t="str">
        <f>Controle!R589</f>
        <v/>
      </c>
      <c r="S589" s="286"/>
      <c r="T589" s="286"/>
      <c r="U589" s="286"/>
      <c r="V589" s="286"/>
      <c r="W589" s="286"/>
      <c r="X589" s="286"/>
      <c r="Y589" s="286"/>
      <c r="Z589" s="286"/>
      <c r="AA589" s="294"/>
      <c r="AB589" s="253"/>
      <c r="AC589" s="253"/>
      <c r="AD589" s="253"/>
      <c r="AE589" s="253"/>
      <c r="AF589" s="253"/>
      <c r="AG589" s="253"/>
      <c r="AH589" s="253"/>
      <c r="AI589" s="253"/>
      <c r="AJ589" s="253"/>
      <c r="AK589" s="253"/>
      <c r="AL589" s="253"/>
      <c r="AM589" s="253"/>
      <c r="AN589" s="253"/>
      <c r="AO589" s="253"/>
      <c r="AP589" s="253"/>
      <c r="AQ589" s="253"/>
      <c r="AR589" s="253"/>
      <c r="AS589" s="253"/>
      <c r="AT589" s="2"/>
      <c r="AU589" s="2"/>
      <c r="AV589" s="2"/>
      <c r="AW589" s="2"/>
      <c r="AX589" s="2"/>
      <c r="AY589" s="253"/>
    </row>
    <row r="590" ht="15.75" customHeight="1">
      <c r="A590" s="2"/>
      <c r="B590" s="288" t="str">
        <f>Controle!B590</f>
        <v/>
      </c>
      <c r="C590" s="233" t="str">
        <f>Controle!C590</f>
        <v/>
      </c>
      <c r="D590" s="289" t="str">
        <f>Controle!D590</f>
        <v/>
      </c>
      <c r="E590" s="290"/>
      <c r="F590" s="291" t="str">
        <f>Controle!F590</f>
        <v/>
      </c>
      <c r="G590" s="289" t="str">
        <f>Controle!G590</f>
        <v/>
      </c>
      <c r="H590" s="290"/>
      <c r="I590" s="291" t="str">
        <f>Controle!I590</f>
        <v/>
      </c>
      <c r="J590" s="233" t="str">
        <f>Controle!J590</f>
        <v/>
      </c>
      <c r="K590" s="292"/>
      <c r="L590" s="233" t="str">
        <f>Controle!L590</f>
        <v/>
      </c>
      <c r="M590" s="233" t="str">
        <f>Controle!M590</f>
        <v/>
      </c>
      <c r="N590" s="235" t="str">
        <f>Controle!N590</f>
        <v/>
      </c>
      <c r="O590" s="235" t="str">
        <f>Controle!O590</f>
        <v/>
      </c>
      <c r="P590" s="235" t="str">
        <f>Controle!P590</f>
        <v/>
      </c>
      <c r="Q590" s="235" t="str">
        <f>Controle!Q590</f>
        <v/>
      </c>
      <c r="R590" s="286" t="str">
        <f>Controle!R590</f>
        <v/>
      </c>
      <c r="S590" s="286"/>
      <c r="T590" s="286"/>
      <c r="U590" s="286"/>
      <c r="V590" s="286"/>
      <c r="W590" s="286"/>
      <c r="X590" s="286"/>
      <c r="Y590" s="286"/>
      <c r="Z590" s="286"/>
      <c r="AA590" s="294"/>
      <c r="AB590" s="253"/>
      <c r="AC590" s="253"/>
      <c r="AD590" s="253"/>
      <c r="AE590" s="253"/>
      <c r="AF590" s="253"/>
      <c r="AG590" s="253"/>
      <c r="AH590" s="253"/>
      <c r="AI590" s="253"/>
      <c r="AJ590" s="253"/>
      <c r="AK590" s="253"/>
      <c r="AL590" s="253"/>
      <c r="AM590" s="253"/>
      <c r="AN590" s="253"/>
      <c r="AO590" s="253"/>
      <c r="AP590" s="253"/>
      <c r="AQ590" s="253"/>
      <c r="AR590" s="253"/>
      <c r="AS590" s="253"/>
      <c r="AT590" s="2"/>
      <c r="AU590" s="2"/>
      <c r="AV590" s="2"/>
      <c r="AW590" s="2"/>
      <c r="AX590" s="2"/>
      <c r="AY590" s="253"/>
    </row>
    <row r="591" ht="15.75" customHeight="1">
      <c r="A591" s="2"/>
      <c r="B591" s="288" t="str">
        <f>Controle!B591</f>
        <v/>
      </c>
      <c r="C591" s="233" t="str">
        <f>Controle!C591</f>
        <v/>
      </c>
      <c r="D591" s="289" t="str">
        <f>Controle!D591</f>
        <v/>
      </c>
      <c r="E591" s="290"/>
      <c r="F591" s="291" t="str">
        <f>Controle!F591</f>
        <v/>
      </c>
      <c r="G591" s="289" t="str">
        <f>Controle!G591</f>
        <v/>
      </c>
      <c r="H591" s="290"/>
      <c r="I591" s="291" t="str">
        <f>Controle!I591</f>
        <v/>
      </c>
      <c r="J591" s="233" t="str">
        <f>Controle!J591</f>
        <v/>
      </c>
      <c r="K591" s="292"/>
      <c r="L591" s="233" t="str">
        <f>Controle!L591</f>
        <v/>
      </c>
      <c r="M591" s="233" t="str">
        <f>Controle!M591</f>
        <v/>
      </c>
      <c r="N591" s="235" t="str">
        <f>Controle!N591</f>
        <v/>
      </c>
      <c r="O591" s="235" t="str">
        <f>Controle!O591</f>
        <v/>
      </c>
      <c r="P591" s="235" t="str">
        <f>Controle!P591</f>
        <v/>
      </c>
      <c r="Q591" s="235" t="str">
        <f>Controle!Q591</f>
        <v/>
      </c>
      <c r="R591" s="286" t="str">
        <f>Controle!R591</f>
        <v/>
      </c>
      <c r="S591" s="286"/>
      <c r="T591" s="286"/>
      <c r="U591" s="286"/>
      <c r="V591" s="286"/>
      <c r="W591" s="286"/>
      <c r="X591" s="286"/>
      <c r="Y591" s="286"/>
      <c r="Z591" s="286"/>
      <c r="AA591" s="294"/>
      <c r="AB591" s="253"/>
      <c r="AC591" s="253"/>
      <c r="AD591" s="253"/>
      <c r="AE591" s="253"/>
      <c r="AF591" s="253"/>
      <c r="AG591" s="253"/>
      <c r="AH591" s="253"/>
      <c r="AI591" s="253"/>
      <c r="AJ591" s="253"/>
      <c r="AK591" s="253"/>
      <c r="AL591" s="253"/>
      <c r="AM591" s="253"/>
      <c r="AN591" s="253"/>
      <c r="AO591" s="253"/>
      <c r="AP591" s="253"/>
      <c r="AQ591" s="253"/>
      <c r="AR591" s="253"/>
      <c r="AS591" s="253"/>
      <c r="AT591" s="2"/>
      <c r="AU591" s="2"/>
      <c r="AV591" s="2"/>
      <c r="AW591" s="2"/>
      <c r="AX591" s="2"/>
      <c r="AY591" s="253"/>
    </row>
    <row r="592" ht="15.75" customHeight="1">
      <c r="A592" s="2"/>
      <c r="B592" s="288" t="str">
        <f>Controle!B592</f>
        <v/>
      </c>
      <c r="C592" s="233" t="str">
        <f>Controle!C592</f>
        <v/>
      </c>
      <c r="D592" s="289" t="str">
        <f>Controle!D592</f>
        <v/>
      </c>
      <c r="E592" s="290"/>
      <c r="F592" s="291" t="str">
        <f>Controle!F592</f>
        <v/>
      </c>
      <c r="G592" s="289" t="str">
        <f>Controle!G592</f>
        <v/>
      </c>
      <c r="H592" s="290"/>
      <c r="I592" s="291" t="str">
        <f>Controle!I592</f>
        <v/>
      </c>
      <c r="J592" s="233" t="str">
        <f>Controle!J592</f>
        <v/>
      </c>
      <c r="K592" s="292"/>
      <c r="L592" s="233" t="str">
        <f>Controle!L592</f>
        <v/>
      </c>
      <c r="M592" s="233" t="str">
        <f>Controle!M592</f>
        <v/>
      </c>
      <c r="N592" s="235" t="str">
        <f>Controle!N592</f>
        <v/>
      </c>
      <c r="O592" s="235" t="str">
        <f>Controle!O592</f>
        <v/>
      </c>
      <c r="P592" s="235" t="str">
        <f>Controle!P592</f>
        <v/>
      </c>
      <c r="Q592" s="235" t="str">
        <f>Controle!Q592</f>
        <v/>
      </c>
      <c r="R592" s="286" t="str">
        <f>Controle!R592</f>
        <v/>
      </c>
      <c r="S592" s="286"/>
      <c r="T592" s="286"/>
      <c r="U592" s="286"/>
      <c r="V592" s="286"/>
      <c r="W592" s="286"/>
      <c r="X592" s="286"/>
      <c r="Y592" s="286"/>
      <c r="Z592" s="286"/>
      <c r="AA592" s="294"/>
      <c r="AB592" s="253"/>
      <c r="AC592" s="253"/>
      <c r="AD592" s="253"/>
      <c r="AE592" s="253"/>
      <c r="AF592" s="253"/>
      <c r="AG592" s="253"/>
      <c r="AH592" s="253"/>
      <c r="AI592" s="253"/>
      <c r="AJ592" s="253"/>
      <c r="AK592" s="253"/>
      <c r="AL592" s="253"/>
      <c r="AM592" s="253"/>
      <c r="AN592" s="253"/>
      <c r="AO592" s="253"/>
      <c r="AP592" s="253"/>
      <c r="AQ592" s="253"/>
      <c r="AR592" s="253"/>
      <c r="AS592" s="253"/>
      <c r="AT592" s="2"/>
      <c r="AU592" s="2"/>
      <c r="AV592" s="2"/>
      <c r="AW592" s="2"/>
      <c r="AX592" s="2"/>
      <c r="AY592" s="253"/>
    </row>
    <row r="593" ht="15.75" customHeight="1">
      <c r="A593" s="2"/>
      <c r="B593" s="288" t="str">
        <f>Controle!B593</f>
        <v/>
      </c>
      <c r="C593" s="233" t="str">
        <f>Controle!C593</f>
        <v/>
      </c>
      <c r="D593" s="289" t="str">
        <f>Controle!D593</f>
        <v/>
      </c>
      <c r="E593" s="290"/>
      <c r="F593" s="291" t="str">
        <f>Controle!F593</f>
        <v/>
      </c>
      <c r="G593" s="289" t="str">
        <f>Controle!G593</f>
        <v/>
      </c>
      <c r="H593" s="290"/>
      <c r="I593" s="291" t="str">
        <f>Controle!I593</f>
        <v/>
      </c>
      <c r="J593" s="233" t="str">
        <f>Controle!J593</f>
        <v/>
      </c>
      <c r="K593" s="292"/>
      <c r="L593" s="233" t="str">
        <f>Controle!L593</f>
        <v/>
      </c>
      <c r="M593" s="233" t="str">
        <f>Controle!M593</f>
        <v/>
      </c>
      <c r="N593" s="235" t="str">
        <f>Controle!N593</f>
        <v/>
      </c>
      <c r="O593" s="235" t="str">
        <f>Controle!O593</f>
        <v/>
      </c>
      <c r="P593" s="235" t="str">
        <f>Controle!P593</f>
        <v/>
      </c>
      <c r="Q593" s="235" t="str">
        <f>Controle!Q593</f>
        <v/>
      </c>
      <c r="R593" s="286" t="str">
        <f>Controle!R593</f>
        <v/>
      </c>
      <c r="S593" s="286"/>
      <c r="T593" s="286"/>
      <c r="U593" s="286"/>
      <c r="V593" s="286"/>
      <c r="W593" s="286"/>
      <c r="X593" s="286"/>
      <c r="Y593" s="286"/>
      <c r="Z593" s="286"/>
      <c r="AA593" s="294"/>
      <c r="AB593" s="253"/>
      <c r="AC593" s="253"/>
      <c r="AD593" s="253"/>
      <c r="AE593" s="253"/>
      <c r="AF593" s="253"/>
      <c r="AG593" s="253"/>
      <c r="AH593" s="253"/>
      <c r="AI593" s="253"/>
      <c r="AJ593" s="253"/>
      <c r="AK593" s="253"/>
      <c r="AL593" s="253"/>
      <c r="AM593" s="253"/>
      <c r="AN593" s="253"/>
      <c r="AO593" s="253"/>
      <c r="AP593" s="253"/>
      <c r="AQ593" s="253"/>
      <c r="AR593" s="253"/>
      <c r="AS593" s="253"/>
      <c r="AT593" s="2"/>
      <c r="AU593" s="2"/>
      <c r="AV593" s="2"/>
      <c r="AW593" s="2"/>
      <c r="AX593" s="2"/>
      <c r="AY593" s="253"/>
    </row>
    <row r="594" ht="15.75" customHeight="1">
      <c r="A594" s="2"/>
      <c r="B594" s="288" t="str">
        <f>Controle!B594</f>
        <v/>
      </c>
      <c r="C594" s="233" t="str">
        <f>Controle!C594</f>
        <v/>
      </c>
      <c r="D594" s="289" t="str">
        <f>Controle!D594</f>
        <v/>
      </c>
      <c r="E594" s="290"/>
      <c r="F594" s="291" t="str">
        <f>Controle!F594</f>
        <v/>
      </c>
      <c r="G594" s="289" t="str">
        <f>Controle!G594</f>
        <v/>
      </c>
      <c r="H594" s="290"/>
      <c r="I594" s="291" t="str">
        <f>Controle!I594</f>
        <v/>
      </c>
      <c r="J594" s="233" t="str">
        <f>Controle!J594</f>
        <v/>
      </c>
      <c r="K594" s="292"/>
      <c r="L594" s="233" t="str">
        <f>Controle!L594</f>
        <v/>
      </c>
      <c r="M594" s="233" t="str">
        <f>Controle!M594</f>
        <v/>
      </c>
      <c r="N594" s="235" t="str">
        <f>Controle!N594</f>
        <v/>
      </c>
      <c r="O594" s="235" t="str">
        <f>Controle!O594</f>
        <v/>
      </c>
      <c r="P594" s="235" t="str">
        <f>Controle!P594</f>
        <v/>
      </c>
      <c r="Q594" s="235" t="str">
        <f>Controle!Q594</f>
        <v/>
      </c>
      <c r="R594" s="286" t="str">
        <f>Controle!R594</f>
        <v/>
      </c>
      <c r="S594" s="286"/>
      <c r="T594" s="286"/>
      <c r="U594" s="286"/>
      <c r="V594" s="286"/>
      <c r="W594" s="286"/>
      <c r="X594" s="286"/>
      <c r="Y594" s="286"/>
      <c r="Z594" s="286"/>
      <c r="AA594" s="294"/>
      <c r="AB594" s="253"/>
      <c r="AC594" s="253"/>
      <c r="AD594" s="253"/>
      <c r="AE594" s="253"/>
      <c r="AF594" s="253"/>
      <c r="AG594" s="253"/>
      <c r="AH594" s="253"/>
      <c r="AI594" s="253"/>
      <c r="AJ594" s="253"/>
      <c r="AK594" s="253"/>
      <c r="AL594" s="253"/>
      <c r="AM594" s="253"/>
      <c r="AN594" s="253"/>
      <c r="AO594" s="253"/>
      <c r="AP594" s="253"/>
      <c r="AQ594" s="253"/>
      <c r="AR594" s="253"/>
      <c r="AS594" s="253"/>
      <c r="AT594" s="2"/>
      <c r="AU594" s="2"/>
      <c r="AV594" s="2"/>
      <c r="AW594" s="2"/>
      <c r="AX594" s="2"/>
      <c r="AY594" s="253"/>
    </row>
    <row r="595" ht="15.75" customHeight="1">
      <c r="A595" s="2"/>
      <c r="B595" s="288" t="str">
        <f>Controle!B595</f>
        <v/>
      </c>
      <c r="C595" s="233" t="str">
        <f>Controle!C595</f>
        <v/>
      </c>
      <c r="D595" s="289" t="str">
        <f>Controle!D595</f>
        <v/>
      </c>
      <c r="E595" s="290"/>
      <c r="F595" s="291" t="str">
        <f>Controle!F595</f>
        <v/>
      </c>
      <c r="G595" s="289" t="str">
        <f>Controle!G595</f>
        <v/>
      </c>
      <c r="H595" s="290"/>
      <c r="I595" s="291" t="str">
        <f>Controle!I595</f>
        <v/>
      </c>
      <c r="J595" s="233" t="str">
        <f>Controle!J595</f>
        <v/>
      </c>
      <c r="K595" s="292"/>
      <c r="L595" s="233" t="str">
        <f>Controle!L595</f>
        <v/>
      </c>
      <c r="M595" s="233" t="str">
        <f>Controle!M595</f>
        <v/>
      </c>
      <c r="N595" s="235" t="str">
        <f>Controle!N595</f>
        <v/>
      </c>
      <c r="O595" s="235" t="str">
        <f>Controle!O595</f>
        <v/>
      </c>
      <c r="P595" s="235" t="str">
        <f>Controle!P595</f>
        <v/>
      </c>
      <c r="Q595" s="235" t="str">
        <f>Controle!Q595</f>
        <v/>
      </c>
      <c r="R595" s="286" t="str">
        <f>Controle!R595</f>
        <v/>
      </c>
      <c r="S595" s="286"/>
      <c r="T595" s="286"/>
      <c r="U595" s="286"/>
      <c r="V595" s="286"/>
      <c r="W595" s="286"/>
      <c r="X595" s="286"/>
      <c r="Y595" s="286"/>
      <c r="Z595" s="286"/>
      <c r="AA595" s="294"/>
      <c r="AB595" s="253"/>
      <c r="AC595" s="253"/>
      <c r="AD595" s="253"/>
      <c r="AE595" s="253"/>
      <c r="AF595" s="253"/>
      <c r="AG595" s="253"/>
      <c r="AH595" s="253"/>
      <c r="AI595" s="253"/>
      <c r="AJ595" s="253"/>
      <c r="AK595" s="253"/>
      <c r="AL595" s="253"/>
      <c r="AM595" s="253"/>
      <c r="AN595" s="253"/>
      <c r="AO595" s="253"/>
      <c r="AP595" s="253"/>
      <c r="AQ595" s="253"/>
      <c r="AR595" s="253"/>
      <c r="AS595" s="253"/>
      <c r="AT595" s="2"/>
      <c r="AU595" s="2"/>
      <c r="AV595" s="2"/>
      <c r="AW595" s="2"/>
      <c r="AX595" s="2"/>
      <c r="AY595" s="253"/>
    </row>
    <row r="596" ht="15.75" customHeight="1">
      <c r="A596" s="2"/>
      <c r="B596" s="288" t="str">
        <f>Controle!B596</f>
        <v/>
      </c>
      <c r="C596" s="233" t="str">
        <f>Controle!C596</f>
        <v/>
      </c>
      <c r="D596" s="289" t="str">
        <f>Controle!D596</f>
        <v/>
      </c>
      <c r="E596" s="290"/>
      <c r="F596" s="291" t="str">
        <f>Controle!F596</f>
        <v/>
      </c>
      <c r="G596" s="289" t="str">
        <f>Controle!G596</f>
        <v/>
      </c>
      <c r="H596" s="290"/>
      <c r="I596" s="291" t="str">
        <f>Controle!I596</f>
        <v/>
      </c>
      <c r="J596" s="233" t="str">
        <f>Controle!J596</f>
        <v/>
      </c>
      <c r="K596" s="292"/>
      <c r="L596" s="233" t="str">
        <f>Controle!L596</f>
        <v/>
      </c>
      <c r="M596" s="233" t="str">
        <f>Controle!M596</f>
        <v/>
      </c>
      <c r="N596" s="235" t="str">
        <f>Controle!N596</f>
        <v/>
      </c>
      <c r="O596" s="235" t="str">
        <f>Controle!O596</f>
        <v/>
      </c>
      <c r="P596" s="235" t="str">
        <f>Controle!P596</f>
        <v/>
      </c>
      <c r="Q596" s="235" t="str">
        <f>Controle!Q596</f>
        <v/>
      </c>
      <c r="R596" s="286" t="str">
        <f>Controle!R596</f>
        <v/>
      </c>
      <c r="S596" s="286"/>
      <c r="T596" s="286"/>
      <c r="U596" s="286"/>
      <c r="V596" s="286"/>
      <c r="W596" s="286"/>
      <c r="X596" s="286"/>
      <c r="Y596" s="286"/>
      <c r="Z596" s="286"/>
      <c r="AA596" s="294"/>
      <c r="AB596" s="253"/>
      <c r="AC596" s="253"/>
      <c r="AD596" s="253"/>
      <c r="AE596" s="253"/>
      <c r="AF596" s="253"/>
      <c r="AG596" s="253"/>
      <c r="AH596" s="253"/>
      <c r="AI596" s="253"/>
      <c r="AJ596" s="253"/>
      <c r="AK596" s="253"/>
      <c r="AL596" s="253"/>
      <c r="AM596" s="253"/>
      <c r="AN596" s="253"/>
      <c r="AO596" s="253"/>
      <c r="AP596" s="253"/>
      <c r="AQ596" s="253"/>
      <c r="AR596" s="253"/>
      <c r="AS596" s="253"/>
      <c r="AT596" s="2"/>
      <c r="AU596" s="2"/>
      <c r="AV596" s="2"/>
      <c r="AW596" s="2"/>
      <c r="AX596" s="2"/>
      <c r="AY596" s="253"/>
    </row>
    <row r="597" ht="15.75" customHeight="1">
      <c r="A597" s="2"/>
      <c r="B597" s="288" t="str">
        <f>Controle!B597</f>
        <v/>
      </c>
      <c r="C597" s="233" t="str">
        <f>Controle!C597</f>
        <v/>
      </c>
      <c r="D597" s="289" t="str">
        <f>Controle!D597</f>
        <v/>
      </c>
      <c r="E597" s="290"/>
      <c r="F597" s="291" t="str">
        <f>Controle!F597</f>
        <v/>
      </c>
      <c r="G597" s="289" t="str">
        <f>Controle!G597</f>
        <v/>
      </c>
      <c r="H597" s="290"/>
      <c r="I597" s="291" t="str">
        <f>Controle!I597</f>
        <v/>
      </c>
      <c r="J597" s="233" t="str">
        <f>Controle!J597</f>
        <v/>
      </c>
      <c r="K597" s="292"/>
      <c r="L597" s="233" t="str">
        <f>Controle!L597</f>
        <v/>
      </c>
      <c r="M597" s="233" t="str">
        <f>Controle!M597</f>
        <v/>
      </c>
      <c r="N597" s="235" t="str">
        <f>Controle!N597</f>
        <v/>
      </c>
      <c r="O597" s="235" t="str">
        <f>Controle!O597</f>
        <v/>
      </c>
      <c r="P597" s="235" t="str">
        <f>Controle!P597</f>
        <v/>
      </c>
      <c r="Q597" s="235" t="str">
        <f>Controle!Q597</f>
        <v/>
      </c>
      <c r="R597" s="286" t="str">
        <f>Controle!R597</f>
        <v/>
      </c>
      <c r="S597" s="286"/>
      <c r="T597" s="286"/>
      <c r="U597" s="286"/>
      <c r="V597" s="286"/>
      <c r="W597" s="286"/>
      <c r="X597" s="286"/>
      <c r="Y597" s="286"/>
      <c r="Z597" s="286"/>
      <c r="AA597" s="294"/>
      <c r="AB597" s="253"/>
      <c r="AC597" s="253"/>
      <c r="AD597" s="253"/>
      <c r="AE597" s="253"/>
      <c r="AF597" s="253"/>
      <c r="AG597" s="253"/>
      <c r="AH597" s="253"/>
      <c r="AI597" s="253"/>
      <c r="AJ597" s="253"/>
      <c r="AK597" s="253"/>
      <c r="AL597" s="253"/>
      <c r="AM597" s="253"/>
      <c r="AN597" s="253"/>
      <c r="AO597" s="253"/>
      <c r="AP597" s="253"/>
      <c r="AQ597" s="253"/>
      <c r="AR597" s="253"/>
      <c r="AS597" s="253"/>
      <c r="AT597" s="2"/>
      <c r="AU597" s="2"/>
      <c r="AV597" s="2"/>
      <c r="AW597" s="2"/>
      <c r="AX597" s="2"/>
      <c r="AY597" s="253"/>
    </row>
    <row r="598" ht="15.75" customHeight="1">
      <c r="A598" s="2"/>
      <c r="B598" s="288" t="str">
        <f>Controle!B598</f>
        <v/>
      </c>
      <c r="C598" s="233" t="str">
        <f>Controle!C598</f>
        <v/>
      </c>
      <c r="D598" s="289" t="str">
        <f>Controle!D598</f>
        <v/>
      </c>
      <c r="E598" s="290"/>
      <c r="F598" s="291" t="str">
        <f>Controle!F598</f>
        <v/>
      </c>
      <c r="G598" s="289" t="str">
        <f>Controle!G598</f>
        <v/>
      </c>
      <c r="H598" s="290"/>
      <c r="I598" s="291" t="str">
        <f>Controle!I598</f>
        <v/>
      </c>
      <c r="J598" s="233" t="str">
        <f>Controle!J598</f>
        <v/>
      </c>
      <c r="K598" s="292"/>
      <c r="L598" s="233" t="str">
        <f>Controle!L598</f>
        <v/>
      </c>
      <c r="M598" s="233" t="str">
        <f>Controle!M598</f>
        <v/>
      </c>
      <c r="N598" s="235" t="str">
        <f>Controle!N598</f>
        <v/>
      </c>
      <c r="O598" s="235" t="str">
        <f>Controle!O598</f>
        <v/>
      </c>
      <c r="P598" s="235" t="str">
        <f>Controle!P598</f>
        <v/>
      </c>
      <c r="Q598" s="235" t="str">
        <f>Controle!Q598</f>
        <v/>
      </c>
      <c r="R598" s="286" t="str">
        <f>Controle!R598</f>
        <v/>
      </c>
      <c r="S598" s="286"/>
      <c r="T598" s="286"/>
      <c r="U598" s="286"/>
      <c r="V598" s="286"/>
      <c r="W598" s="286"/>
      <c r="X598" s="286"/>
      <c r="Y598" s="286"/>
      <c r="Z598" s="286"/>
      <c r="AA598" s="294"/>
      <c r="AB598" s="253"/>
      <c r="AC598" s="253"/>
      <c r="AD598" s="253"/>
      <c r="AE598" s="253"/>
      <c r="AF598" s="253"/>
      <c r="AG598" s="253"/>
      <c r="AH598" s="253"/>
      <c r="AI598" s="253"/>
      <c r="AJ598" s="253"/>
      <c r="AK598" s="253"/>
      <c r="AL598" s="253"/>
      <c r="AM598" s="253"/>
      <c r="AN598" s="253"/>
      <c r="AO598" s="253"/>
      <c r="AP598" s="253"/>
      <c r="AQ598" s="253"/>
      <c r="AR598" s="253"/>
      <c r="AS598" s="253"/>
      <c r="AT598" s="2"/>
      <c r="AU598" s="2"/>
      <c r="AV598" s="2"/>
      <c r="AW598" s="2"/>
      <c r="AX598" s="2"/>
      <c r="AY598" s="253"/>
    </row>
    <row r="599" ht="15.75" customHeight="1">
      <c r="A599" s="2"/>
      <c r="B599" s="288" t="str">
        <f>Controle!B599</f>
        <v/>
      </c>
      <c r="C599" s="233" t="str">
        <f>Controle!C599</f>
        <v/>
      </c>
      <c r="D599" s="289" t="str">
        <f>Controle!D599</f>
        <v/>
      </c>
      <c r="E599" s="290"/>
      <c r="F599" s="291" t="str">
        <f>Controle!F599</f>
        <v/>
      </c>
      <c r="G599" s="289" t="str">
        <f>Controle!G599</f>
        <v/>
      </c>
      <c r="H599" s="290"/>
      <c r="I599" s="291" t="str">
        <f>Controle!I599</f>
        <v/>
      </c>
      <c r="J599" s="233" t="str">
        <f>Controle!J599</f>
        <v/>
      </c>
      <c r="K599" s="292"/>
      <c r="L599" s="233" t="str">
        <f>Controle!L599</f>
        <v/>
      </c>
      <c r="M599" s="233" t="str">
        <f>Controle!M599</f>
        <v/>
      </c>
      <c r="N599" s="235" t="str">
        <f>Controle!N599</f>
        <v/>
      </c>
      <c r="O599" s="235" t="str">
        <f>Controle!O599</f>
        <v/>
      </c>
      <c r="P599" s="235" t="str">
        <f>Controle!P599</f>
        <v/>
      </c>
      <c r="Q599" s="235" t="str">
        <f>Controle!Q599</f>
        <v/>
      </c>
      <c r="R599" s="286" t="str">
        <f>Controle!R599</f>
        <v/>
      </c>
      <c r="S599" s="286"/>
      <c r="T599" s="286"/>
      <c r="U599" s="286"/>
      <c r="V599" s="286"/>
      <c r="W599" s="286"/>
      <c r="X599" s="286"/>
      <c r="Y599" s="286"/>
      <c r="Z599" s="286"/>
      <c r="AA599" s="294"/>
      <c r="AB599" s="253"/>
      <c r="AC599" s="253"/>
      <c r="AD599" s="253"/>
      <c r="AE599" s="253"/>
      <c r="AF599" s="253"/>
      <c r="AG599" s="253"/>
      <c r="AH599" s="253"/>
      <c r="AI599" s="253"/>
      <c r="AJ599" s="253"/>
      <c r="AK599" s="253"/>
      <c r="AL599" s="253"/>
      <c r="AM599" s="253"/>
      <c r="AN599" s="253"/>
      <c r="AO599" s="253"/>
      <c r="AP599" s="253"/>
      <c r="AQ599" s="253"/>
      <c r="AR599" s="253"/>
      <c r="AS599" s="253"/>
      <c r="AT599" s="2"/>
      <c r="AU599" s="2"/>
      <c r="AV599" s="2"/>
      <c r="AW599" s="2"/>
      <c r="AX599" s="2"/>
      <c r="AY599" s="253"/>
    </row>
    <row r="600" ht="15.75" customHeight="1">
      <c r="A600" s="2"/>
      <c r="B600" s="288" t="str">
        <f>Controle!B600</f>
        <v/>
      </c>
      <c r="C600" s="233" t="str">
        <f>Controle!C600</f>
        <v/>
      </c>
      <c r="D600" s="289" t="str">
        <f>Controle!D600</f>
        <v/>
      </c>
      <c r="E600" s="290"/>
      <c r="F600" s="291" t="str">
        <f>Controle!F600</f>
        <v/>
      </c>
      <c r="G600" s="289" t="str">
        <f>Controle!G600</f>
        <v/>
      </c>
      <c r="H600" s="290"/>
      <c r="I600" s="291" t="str">
        <f>Controle!I600</f>
        <v/>
      </c>
      <c r="J600" s="233" t="str">
        <f>Controle!J600</f>
        <v/>
      </c>
      <c r="K600" s="292"/>
      <c r="L600" s="233" t="str">
        <f>Controle!L600</f>
        <v/>
      </c>
      <c r="M600" s="233" t="str">
        <f>Controle!M600</f>
        <v/>
      </c>
      <c r="N600" s="235" t="str">
        <f>Controle!N600</f>
        <v/>
      </c>
      <c r="O600" s="235" t="str">
        <f>Controle!O600</f>
        <v/>
      </c>
      <c r="P600" s="235" t="str">
        <f>Controle!P600</f>
        <v/>
      </c>
      <c r="Q600" s="235" t="str">
        <f>Controle!Q600</f>
        <v/>
      </c>
      <c r="R600" s="286" t="str">
        <f>Controle!R600</f>
        <v/>
      </c>
      <c r="S600" s="286"/>
      <c r="T600" s="286"/>
      <c r="U600" s="286"/>
      <c r="V600" s="286"/>
      <c r="W600" s="286"/>
      <c r="X600" s="286"/>
      <c r="Y600" s="286"/>
      <c r="Z600" s="286"/>
      <c r="AA600" s="294"/>
      <c r="AB600" s="253"/>
      <c r="AC600" s="253"/>
      <c r="AD600" s="253"/>
      <c r="AE600" s="253"/>
      <c r="AF600" s="253"/>
      <c r="AG600" s="253"/>
      <c r="AH600" s="253"/>
      <c r="AI600" s="253"/>
      <c r="AJ600" s="253"/>
      <c r="AK600" s="253"/>
      <c r="AL600" s="253"/>
      <c r="AM600" s="253"/>
      <c r="AN600" s="253"/>
      <c r="AO600" s="253"/>
      <c r="AP600" s="253"/>
      <c r="AQ600" s="253"/>
      <c r="AR600" s="253"/>
      <c r="AS600" s="253"/>
      <c r="AT600" s="2"/>
      <c r="AU600" s="2"/>
      <c r="AV600" s="2"/>
      <c r="AW600" s="2"/>
      <c r="AX600" s="2"/>
      <c r="AY600" s="253"/>
    </row>
    <row r="601" ht="15.75" customHeight="1">
      <c r="A601" s="2"/>
      <c r="B601" s="288" t="str">
        <f>Controle!B601</f>
        <v/>
      </c>
      <c r="C601" s="233" t="str">
        <f>Controle!C601</f>
        <v/>
      </c>
      <c r="D601" s="289" t="str">
        <f>Controle!D601</f>
        <v/>
      </c>
      <c r="E601" s="290"/>
      <c r="F601" s="291" t="str">
        <f>Controle!F601</f>
        <v/>
      </c>
      <c r="G601" s="289" t="str">
        <f>Controle!G601</f>
        <v/>
      </c>
      <c r="H601" s="290"/>
      <c r="I601" s="291" t="str">
        <f>Controle!I601</f>
        <v/>
      </c>
      <c r="J601" s="233" t="str">
        <f>Controle!J601</f>
        <v/>
      </c>
      <c r="K601" s="292"/>
      <c r="L601" s="233" t="str">
        <f>Controle!L601</f>
        <v/>
      </c>
      <c r="M601" s="233" t="str">
        <f>Controle!M601</f>
        <v/>
      </c>
      <c r="N601" s="235" t="str">
        <f>Controle!N601</f>
        <v/>
      </c>
      <c r="O601" s="235" t="str">
        <f>Controle!O601</f>
        <v/>
      </c>
      <c r="P601" s="235" t="str">
        <f>Controle!P601</f>
        <v/>
      </c>
      <c r="Q601" s="235" t="str">
        <f>Controle!Q601</f>
        <v/>
      </c>
      <c r="R601" s="286" t="str">
        <f>Controle!R601</f>
        <v/>
      </c>
      <c r="S601" s="286"/>
      <c r="T601" s="286"/>
      <c r="U601" s="286"/>
      <c r="V601" s="286"/>
      <c r="W601" s="286"/>
      <c r="X601" s="286"/>
      <c r="Y601" s="286"/>
      <c r="Z601" s="286"/>
      <c r="AA601" s="294"/>
      <c r="AB601" s="253"/>
      <c r="AC601" s="253"/>
      <c r="AD601" s="253"/>
      <c r="AE601" s="253"/>
      <c r="AF601" s="253"/>
      <c r="AG601" s="253"/>
      <c r="AH601" s="253"/>
      <c r="AI601" s="253"/>
      <c r="AJ601" s="253"/>
      <c r="AK601" s="253"/>
      <c r="AL601" s="253"/>
      <c r="AM601" s="253"/>
      <c r="AN601" s="253"/>
      <c r="AO601" s="253"/>
      <c r="AP601" s="253"/>
      <c r="AQ601" s="253"/>
      <c r="AR601" s="253"/>
      <c r="AS601" s="253"/>
      <c r="AT601" s="2"/>
      <c r="AU601" s="2"/>
      <c r="AV601" s="2"/>
      <c r="AW601" s="2"/>
      <c r="AX601" s="2"/>
      <c r="AY601" s="253"/>
    </row>
    <row r="602" ht="15.75" customHeight="1">
      <c r="A602" s="2"/>
      <c r="B602" s="288" t="str">
        <f>Controle!B602</f>
        <v/>
      </c>
      <c r="C602" s="233" t="str">
        <f>Controle!C602</f>
        <v/>
      </c>
      <c r="D602" s="289" t="str">
        <f>Controle!D602</f>
        <v/>
      </c>
      <c r="E602" s="290"/>
      <c r="F602" s="291" t="str">
        <f>Controle!F602</f>
        <v/>
      </c>
      <c r="G602" s="289" t="str">
        <f>Controle!G602</f>
        <v/>
      </c>
      <c r="H602" s="290"/>
      <c r="I602" s="291" t="str">
        <f>Controle!I602</f>
        <v/>
      </c>
      <c r="J602" s="233" t="str">
        <f>Controle!J602</f>
        <v/>
      </c>
      <c r="K602" s="292"/>
      <c r="L602" s="233" t="str">
        <f>Controle!L602</f>
        <v/>
      </c>
      <c r="M602" s="233" t="str">
        <f>Controle!M602</f>
        <v/>
      </c>
      <c r="N602" s="235" t="str">
        <f>Controle!N602</f>
        <v/>
      </c>
      <c r="O602" s="235" t="str">
        <f>Controle!O602</f>
        <v/>
      </c>
      <c r="P602" s="235" t="str">
        <f>Controle!P602</f>
        <v/>
      </c>
      <c r="Q602" s="235" t="str">
        <f>Controle!Q602</f>
        <v/>
      </c>
      <c r="R602" s="286" t="str">
        <f>Controle!R602</f>
        <v/>
      </c>
      <c r="S602" s="286"/>
      <c r="T602" s="286"/>
      <c r="U602" s="286"/>
      <c r="V602" s="286"/>
      <c r="W602" s="286"/>
      <c r="X602" s="286"/>
      <c r="Y602" s="286"/>
      <c r="Z602" s="286"/>
      <c r="AA602" s="294"/>
      <c r="AB602" s="253"/>
      <c r="AC602" s="253"/>
      <c r="AD602" s="253"/>
      <c r="AE602" s="253"/>
      <c r="AF602" s="253"/>
      <c r="AG602" s="253"/>
      <c r="AH602" s="253"/>
      <c r="AI602" s="253"/>
      <c r="AJ602" s="253"/>
      <c r="AK602" s="253"/>
      <c r="AL602" s="253"/>
      <c r="AM602" s="253"/>
      <c r="AN602" s="253"/>
      <c r="AO602" s="253"/>
      <c r="AP602" s="253"/>
      <c r="AQ602" s="253"/>
      <c r="AR602" s="253"/>
      <c r="AS602" s="253"/>
      <c r="AT602" s="2"/>
      <c r="AU602" s="2"/>
      <c r="AV602" s="2"/>
      <c r="AW602" s="2"/>
      <c r="AX602" s="2"/>
      <c r="AY602" s="253"/>
    </row>
    <row r="603" ht="15.75" customHeight="1">
      <c r="A603" s="2"/>
      <c r="B603" s="288" t="str">
        <f>Controle!B603</f>
        <v/>
      </c>
      <c r="C603" s="233" t="str">
        <f>Controle!C603</f>
        <v/>
      </c>
      <c r="D603" s="289" t="str">
        <f>Controle!D603</f>
        <v/>
      </c>
      <c r="E603" s="290"/>
      <c r="F603" s="291" t="str">
        <f>Controle!F603</f>
        <v/>
      </c>
      <c r="G603" s="289" t="str">
        <f>Controle!G603</f>
        <v/>
      </c>
      <c r="H603" s="290"/>
      <c r="I603" s="291" t="str">
        <f>Controle!I603</f>
        <v/>
      </c>
      <c r="J603" s="233" t="str">
        <f>Controle!J603</f>
        <v/>
      </c>
      <c r="K603" s="292"/>
      <c r="L603" s="233" t="str">
        <f>Controle!L603</f>
        <v/>
      </c>
      <c r="M603" s="233" t="str">
        <f>Controle!M603</f>
        <v/>
      </c>
      <c r="N603" s="235" t="str">
        <f>Controle!N603</f>
        <v/>
      </c>
      <c r="O603" s="235" t="str">
        <f>Controle!O603</f>
        <v/>
      </c>
      <c r="P603" s="235" t="str">
        <f>Controle!P603</f>
        <v/>
      </c>
      <c r="Q603" s="235" t="str">
        <f>Controle!Q603</f>
        <v/>
      </c>
      <c r="R603" s="286" t="str">
        <f>Controle!R603</f>
        <v/>
      </c>
      <c r="S603" s="286"/>
      <c r="T603" s="286"/>
      <c r="U603" s="286"/>
      <c r="V603" s="286"/>
      <c r="W603" s="286"/>
      <c r="X603" s="286"/>
      <c r="Y603" s="286"/>
      <c r="Z603" s="286"/>
      <c r="AA603" s="294"/>
      <c r="AB603" s="253"/>
      <c r="AC603" s="253"/>
      <c r="AD603" s="253"/>
      <c r="AE603" s="253"/>
      <c r="AF603" s="253"/>
      <c r="AG603" s="253"/>
      <c r="AH603" s="253"/>
      <c r="AI603" s="253"/>
      <c r="AJ603" s="253"/>
      <c r="AK603" s="253"/>
      <c r="AL603" s="253"/>
      <c r="AM603" s="253"/>
      <c r="AN603" s="253"/>
      <c r="AO603" s="253"/>
      <c r="AP603" s="253"/>
      <c r="AQ603" s="253"/>
      <c r="AR603" s="253"/>
      <c r="AS603" s="253"/>
      <c r="AT603" s="2"/>
      <c r="AU603" s="2"/>
      <c r="AV603" s="2"/>
      <c r="AW603" s="2"/>
      <c r="AX603" s="2"/>
      <c r="AY603" s="253"/>
    </row>
    <row r="604" ht="15.75" customHeight="1">
      <c r="A604" s="2"/>
      <c r="B604" s="288" t="str">
        <f>Controle!B604</f>
        <v/>
      </c>
      <c r="C604" s="233" t="str">
        <f>Controle!C604</f>
        <v/>
      </c>
      <c r="D604" s="289" t="str">
        <f>Controle!D604</f>
        <v/>
      </c>
      <c r="E604" s="290"/>
      <c r="F604" s="291" t="str">
        <f>Controle!F604</f>
        <v/>
      </c>
      <c r="G604" s="289" t="str">
        <f>Controle!G604</f>
        <v/>
      </c>
      <c r="H604" s="290"/>
      <c r="I604" s="291" t="str">
        <f>Controle!I604</f>
        <v/>
      </c>
      <c r="J604" s="233" t="str">
        <f>Controle!J604</f>
        <v/>
      </c>
      <c r="K604" s="292"/>
      <c r="L604" s="233" t="str">
        <f>Controle!L604</f>
        <v/>
      </c>
      <c r="M604" s="233" t="str">
        <f>Controle!M604</f>
        <v/>
      </c>
      <c r="N604" s="235" t="str">
        <f>Controle!N604</f>
        <v/>
      </c>
      <c r="O604" s="235" t="str">
        <f>Controle!O604</f>
        <v/>
      </c>
      <c r="P604" s="235" t="str">
        <f>Controle!P604</f>
        <v/>
      </c>
      <c r="Q604" s="235" t="str">
        <f>Controle!Q604</f>
        <v/>
      </c>
      <c r="R604" s="286" t="str">
        <f>Controle!R604</f>
        <v/>
      </c>
      <c r="S604" s="286"/>
      <c r="T604" s="286"/>
      <c r="U604" s="286"/>
      <c r="V604" s="286"/>
      <c r="W604" s="286"/>
      <c r="X604" s="286"/>
      <c r="Y604" s="286"/>
      <c r="Z604" s="286"/>
      <c r="AA604" s="294"/>
      <c r="AB604" s="253"/>
      <c r="AC604" s="253"/>
      <c r="AD604" s="253"/>
      <c r="AE604" s="253"/>
      <c r="AF604" s="253"/>
      <c r="AG604" s="253"/>
      <c r="AH604" s="253"/>
      <c r="AI604" s="253"/>
      <c r="AJ604" s="253"/>
      <c r="AK604" s="253"/>
      <c r="AL604" s="253"/>
      <c r="AM604" s="253"/>
      <c r="AN604" s="253"/>
      <c r="AO604" s="253"/>
      <c r="AP604" s="253"/>
      <c r="AQ604" s="253"/>
      <c r="AR604" s="253"/>
      <c r="AS604" s="253"/>
      <c r="AT604" s="2"/>
      <c r="AU604" s="2"/>
      <c r="AV604" s="2"/>
      <c r="AW604" s="2"/>
      <c r="AX604" s="2"/>
      <c r="AY604" s="253"/>
    </row>
    <row r="605" ht="15.75" customHeight="1">
      <c r="A605" s="2"/>
      <c r="B605" s="288" t="str">
        <f>Controle!B605</f>
        <v/>
      </c>
      <c r="C605" s="233" t="str">
        <f>Controle!C605</f>
        <v/>
      </c>
      <c r="D605" s="289" t="str">
        <f>Controle!D605</f>
        <v/>
      </c>
      <c r="E605" s="290"/>
      <c r="F605" s="291" t="str">
        <f>Controle!F605</f>
        <v/>
      </c>
      <c r="G605" s="289" t="str">
        <f>Controle!G605</f>
        <v/>
      </c>
      <c r="H605" s="290"/>
      <c r="I605" s="291" t="str">
        <f>Controle!I605</f>
        <v/>
      </c>
      <c r="J605" s="233" t="str">
        <f>Controle!J605</f>
        <v/>
      </c>
      <c r="K605" s="292"/>
      <c r="L605" s="233" t="str">
        <f>Controle!L605</f>
        <v/>
      </c>
      <c r="M605" s="233" t="str">
        <f>Controle!M605</f>
        <v/>
      </c>
      <c r="N605" s="235" t="str">
        <f>Controle!N605</f>
        <v/>
      </c>
      <c r="O605" s="235" t="str">
        <f>Controle!O605</f>
        <v/>
      </c>
      <c r="P605" s="235" t="str">
        <f>Controle!P605</f>
        <v/>
      </c>
      <c r="Q605" s="235" t="str">
        <f>Controle!Q605</f>
        <v/>
      </c>
      <c r="R605" s="286" t="str">
        <f>Controle!R605</f>
        <v/>
      </c>
      <c r="S605" s="286"/>
      <c r="T605" s="286"/>
      <c r="U605" s="286"/>
      <c r="V605" s="286"/>
      <c r="W605" s="286"/>
      <c r="X605" s="286"/>
      <c r="Y605" s="286"/>
      <c r="Z605" s="286"/>
      <c r="AA605" s="294"/>
      <c r="AB605" s="253"/>
      <c r="AC605" s="253"/>
      <c r="AD605" s="253"/>
      <c r="AE605" s="253"/>
      <c r="AF605" s="253"/>
      <c r="AG605" s="253"/>
      <c r="AH605" s="253"/>
      <c r="AI605" s="253"/>
      <c r="AJ605" s="253"/>
      <c r="AK605" s="253"/>
      <c r="AL605" s="253"/>
      <c r="AM605" s="253"/>
      <c r="AN605" s="253"/>
      <c r="AO605" s="253"/>
      <c r="AP605" s="253"/>
      <c r="AQ605" s="253"/>
      <c r="AR605" s="253"/>
      <c r="AS605" s="253"/>
      <c r="AT605" s="2"/>
      <c r="AU605" s="2"/>
      <c r="AV605" s="2"/>
      <c r="AW605" s="2"/>
      <c r="AX605" s="2"/>
      <c r="AY605" s="253"/>
    </row>
    <row r="606" ht="15.75" customHeight="1">
      <c r="A606" s="2"/>
      <c r="B606" s="288" t="str">
        <f>Controle!B606</f>
        <v/>
      </c>
      <c r="C606" s="233" t="str">
        <f>Controle!C606</f>
        <v/>
      </c>
      <c r="D606" s="289" t="str">
        <f>Controle!D606</f>
        <v/>
      </c>
      <c r="E606" s="290"/>
      <c r="F606" s="291" t="str">
        <f>Controle!F606</f>
        <v/>
      </c>
      <c r="G606" s="289" t="str">
        <f>Controle!G606</f>
        <v/>
      </c>
      <c r="H606" s="290"/>
      <c r="I606" s="291" t="str">
        <f>Controle!I606</f>
        <v/>
      </c>
      <c r="J606" s="233" t="str">
        <f>Controle!J606</f>
        <v/>
      </c>
      <c r="K606" s="292"/>
      <c r="L606" s="233" t="str">
        <f>Controle!L606</f>
        <v/>
      </c>
      <c r="M606" s="233" t="str">
        <f>Controle!M606</f>
        <v/>
      </c>
      <c r="N606" s="235" t="str">
        <f>Controle!N606</f>
        <v/>
      </c>
      <c r="O606" s="235" t="str">
        <f>Controle!O606</f>
        <v/>
      </c>
      <c r="P606" s="235" t="str">
        <f>Controle!P606</f>
        <v/>
      </c>
      <c r="Q606" s="235" t="str">
        <f>Controle!Q606</f>
        <v/>
      </c>
      <c r="R606" s="286" t="str">
        <f>Controle!R606</f>
        <v/>
      </c>
      <c r="S606" s="286"/>
      <c r="T606" s="286"/>
      <c r="U606" s="286"/>
      <c r="V606" s="286"/>
      <c r="W606" s="286"/>
      <c r="X606" s="286"/>
      <c r="Y606" s="286"/>
      <c r="Z606" s="286"/>
      <c r="AA606" s="294"/>
      <c r="AB606" s="253"/>
      <c r="AC606" s="253"/>
      <c r="AD606" s="253"/>
      <c r="AE606" s="253"/>
      <c r="AF606" s="253"/>
      <c r="AG606" s="253"/>
      <c r="AH606" s="253"/>
      <c r="AI606" s="253"/>
      <c r="AJ606" s="253"/>
      <c r="AK606" s="253"/>
      <c r="AL606" s="253"/>
      <c r="AM606" s="253"/>
      <c r="AN606" s="253"/>
      <c r="AO606" s="253"/>
      <c r="AP606" s="253"/>
      <c r="AQ606" s="253"/>
      <c r="AR606" s="253"/>
      <c r="AS606" s="253"/>
      <c r="AT606" s="2"/>
      <c r="AU606" s="2"/>
      <c r="AV606" s="2"/>
      <c r="AW606" s="2"/>
      <c r="AX606" s="2"/>
      <c r="AY606" s="253"/>
    </row>
    <row r="607" ht="15.75" customHeight="1">
      <c r="A607" s="2"/>
      <c r="B607" s="288" t="str">
        <f>Controle!B607</f>
        <v/>
      </c>
      <c r="C607" s="233" t="str">
        <f>Controle!C607</f>
        <v/>
      </c>
      <c r="D607" s="289" t="str">
        <f>Controle!D607</f>
        <v/>
      </c>
      <c r="E607" s="290"/>
      <c r="F607" s="291" t="str">
        <f>Controle!F607</f>
        <v/>
      </c>
      <c r="G607" s="289" t="str">
        <f>Controle!G607</f>
        <v/>
      </c>
      <c r="H607" s="290"/>
      <c r="I607" s="291" t="str">
        <f>Controle!I607</f>
        <v/>
      </c>
      <c r="J607" s="233" t="str">
        <f>Controle!J607</f>
        <v/>
      </c>
      <c r="K607" s="292"/>
      <c r="L607" s="233" t="str">
        <f>Controle!L607</f>
        <v/>
      </c>
      <c r="M607" s="233" t="str">
        <f>Controle!M607</f>
        <v/>
      </c>
      <c r="N607" s="235" t="str">
        <f>Controle!N607</f>
        <v/>
      </c>
      <c r="O607" s="235" t="str">
        <f>Controle!O607</f>
        <v/>
      </c>
      <c r="P607" s="235" t="str">
        <f>Controle!P607</f>
        <v/>
      </c>
      <c r="Q607" s="235" t="str">
        <f>Controle!Q607</f>
        <v/>
      </c>
      <c r="R607" s="286" t="str">
        <f>Controle!R607</f>
        <v/>
      </c>
      <c r="S607" s="286"/>
      <c r="T607" s="286"/>
      <c r="U607" s="286"/>
      <c r="V607" s="286"/>
      <c r="W607" s="286"/>
      <c r="X607" s="286"/>
      <c r="Y607" s="286"/>
      <c r="Z607" s="286"/>
      <c r="AA607" s="294"/>
      <c r="AB607" s="253"/>
      <c r="AC607" s="253"/>
      <c r="AD607" s="253"/>
      <c r="AE607" s="253"/>
      <c r="AF607" s="253"/>
      <c r="AG607" s="253"/>
      <c r="AH607" s="253"/>
      <c r="AI607" s="253"/>
      <c r="AJ607" s="253"/>
      <c r="AK607" s="253"/>
      <c r="AL607" s="253"/>
      <c r="AM607" s="253"/>
      <c r="AN607" s="253"/>
      <c r="AO607" s="253"/>
      <c r="AP607" s="253"/>
      <c r="AQ607" s="253"/>
      <c r="AR607" s="253"/>
      <c r="AS607" s="253"/>
      <c r="AT607" s="2"/>
      <c r="AU607" s="2"/>
      <c r="AV607" s="2"/>
      <c r="AW607" s="2"/>
      <c r="AX607" s="2"/>
      <c r="AY607" s="253"/>
    </row>
    <row r="608" ht="15.75" customHeight="1">
      <c r="A608" s="2"/>
      <c r="B608" s="288" t="str">
        <f>Controle!B608</f>
        <v/>
      </c>
      <c r="C608" s="233" t="str">
        <f>Controle!C608</f>
        <v/>
      </c>
      <c r="D608" s="289" t="str">
        <f>Controle!D608</f>
        <v/>
      </c>
      <c r="E608" s="290"/>
      <c r="F608" s="291" t="str">
        <f>Controle!F608</f>
        <v/>
      </c>
      <c r="G608" s="289" t="str">
        <f>Controle!G608</f>
        <v/>
      </c>
      <c r="H608" s="290"/>
      <c r="I608" s="291" t="str">
        <f>Controle!I608</f>
        <v/>
      </c>
      <c r="J608" s="233" t="str">
        <f>Controle!J608</f>
        <v/>
      </c>
      <c r="K608" s="292"/>
      <c r="L608" s="233" t="str">
        <f>Controle!L608</f>
        <v/>
      </c>
      <c r="M608" s="233" t="str">
        <f>Controle!M608</f>
        <v/>
      </c>
      <c r="N608" s="235" t="str">
        <f>Controle!N608</f>
        <v/>
      </c>
      <c r="O608" s="235" t="str">
        <f>Controle!O608</f>
        <v/>
      </c>
      <c r="P608" s="235" t="str">
        <f>Controle!P608</f>
        <v/>
      </c>
      <c r="Q608" s="235" t="str">
        <f>Controle!Q608</f>
        <v/>
      </c>
      <c r="R608" s="286" t="str">
        <f>Controle!R608</f>
        <v/>
      </c>
      <c r="S608" s="286"/>
      <c r="T608" s="286"/>
      <c r="U608" s="286"/>
      <c r="V608" s="286"/>
      <c r="W608" s="286"/>
      <c r="X608" s="286"/>
      <c r="Y608" s="286"/>
      <c r="Z608" s="286"/>
      <c r="AA608" s="294"/>
      <c r="AB608" s="253"/>
      <c r="AC608" s="253"/>
      <c r="AD608" s="253"/>
      <c r="AE608" s="253"/>
      <c r="AF608" s="253"/>
      <c r="AG608" s="253"/>
      <c r="AH608" s="253"/>
      <c r="AI608" s="253"/>
      <c r="AJ608" s="253"/>
      <c r="AK608" s="253"/>
      <c r="AL608" s="253"/>
      <c r="AM608" s="253"/>
      <c r="AN608" s="253"/>
      <c r="AO608" s="253"/>
      <c r="AP608" s="253"/>
      <c r="AQ608" s="253"/>
      <c r="AR608" s="253"/>
      <c r="AS608" s="253"/>
      <c r="AT608" s="2"/>
      <c r="AU608" s="2"/>
      <c r="AV608" s="2"/>
      <c r="AW608" s="2"/>
      <c r="AX608" s="2"/>
      <c r="AY608" s="253"/>
    </row>
    <row r="609" ht="15.75" customHeight="1">
      <c r="A609" s="2"/>
      <c r="B609" s="288" t="str">
        <f>Controle!B609</f>
        <v/>
      </c>
      <c r="C609" s="233" t="str">
        <f>Controle!C609</f>
        <v/>
      </c>
      <c r="D609" s="289" t="str">
        <f>Controle!D609</f>
        <v/>
      </c>
      <c r="E609" s="290"/>
      <c r="F609" s="291" t="str">
        <f>Controle!F609</f>
        <v/>
      </c>
      <c r="G609" s="289" t="str">
        <f>Controle!G609</f>
        <v/>
      </c>
      <c r="H609" s="290"/>
      <c r="I609" s="291" t="str">
        <f>Controle!I609</f>
        <v/>
      </c>
      <c r="J609" s="233" t="str">
        <f>Controle!J609</f>
        <v/>
      </c>
      <c r="K609" s="292"/>
      <c r="L609" s="233" t="str">
        <f>Controle!L609</f>
        <v/>
      </c>
      <c r="M609" s="233" t="str">
        <f>Controle!M609</f>
        <v/>
      </c>
      <c r="N609" s="235" t="str">
        <f>Controle!N609</f>
        <v/>
      </c>
      <c r="O609" s="235" t="str">
        <f>Controle!O609</f>
        <v/>
      </c>
      <c r="P609" s="235" t="str">
        <f>Controle!P609</f>
        <v/>
      </c>
      <c r="Q609" s="235" t="str">
        <f>Controle!Q609</f>
        <v/>
      </c>
      <c r="R609" s="286" t="str">
        <f>Controle!R609</f>
        <v/>
      </c>
      <c r="S609" s="286"/>
      <c r="T609" s="286"/>
      <c r="U609" s="286"/>
      <c r="V609" s="286"/>
      <c r="W609" s="286"/>
      <c r="X609" s="286"/>
      <c r="Y609" s="286"/>
      <c r="Z609" s="286"/>
      <c r="AA609" s="294"/>
      <c r="AB609" s="253"/>
      <c r="AC609" s="253"/>
      <c r="AD609" s="253"/>
      <c r="AE609" s="253"/>
      <c r="AF609" s="253"/>
      <c r="AG609" s="253"/>
      <c r="AH609" s="253"/>
      <c r="AI609" s="253"/>
      <c r="AJ609" s="253"/>
      <c r="AK609" s="253"/>
      <c r="AL609" s="253"/>
      <c r="AM609" s="253"/>
      <c r="AN609" s="253"/>
      <c r="AO609" s="253"/>
      <c r="AP609" s="253"/>
      <c r="AQ609" s="253"/>
      <c r="AR609" s="253"/>
      <c r="AS609" s="253"/>
      <c r="AT609" s="2"/>
      <c r="AU609" s="2"/>
      <c r="AV609" s="2"/>
      <c r="AW609" s="2"/>
      <c r="AX609" s="2"/>
      <c r="AY609" s="253"/>
    </row>
    <row r="610" ht="15.75" customHeight="1">
      <c r="A610" s="2"/>
      <c r="B610" s="288" t="str">
        <f>Controle!B610</f>
        <v/>
      </c>
      <c r="C610" s="233" t="str">
        <f>Controle!C610</f>
        <v/>
      </c>
      <c r="D610" s="289" t="str">
        <f>Controle!D610</f>
        <v/>
      </c>
      <c r="E610" s="290"/>
      <c r="F610" s="291" t="str">
        <f>Controle!F610</f>
        <v/>
      </c>
      <c r="G610" s="289" t="str">
        <f>Controle!G610</f>
        <v/>
      </c>
      <c r="H610" s="290"/>
      <c r="I610" s="291" t="str">
        <f>Controle!I610</f>
        <v/>
      </c>
      <c r="J610" s="233" t="str">
        <f>Controle!J610</f>
        <v/>
      </c>
      <c r="K610" s="292"/>
      <c r="L610" s="233" t="str">
        <f>Controle!L610</f>
        <v/>
      </c>
      <c r="M610" s="233" t="str">
        <f>Controle!M610</f>
        <v/>
      </c>
      <c r="N610" s="235" t="str">
        <f>Controle!N610</f>
        <v/>
      </c>
      <c r="O610" s="235" t="str">
        <f>Controle!O610</f>
        <v/>
      </c>
      <c r="P610" s="235" t="str">
        <f>Controle!P610</f>
        <v/>
      </c>
      <c r="Q610" s="235" t="str">
        <f>Controle!Q610</f>
        <v/>
      </c>
      <c r="R610" s="286" t="str">
        <f>Controle!R610</f>
        <v/>
      </c>
      <c r="S610" s="286"/>
      <c r="T610" s="286"/>
      <c r="U610" s="286"/>
      <c r="V610" s="286"/>
      <c r="W610" s="286"/>
      <c r="X610" s="286"/>
      <c r="Y610" s="286"/>
      <c r="Z610" s="286"/>
      <c r="AA610" s="294"/>
      <c r="AB610" s="253"/>
      <c r="AC610" s="253"/>
      <c r="AD610" s="253"/>
      <c r="AE610" s="253"/>
      <c r="AF610" s="253"/>
      <c r="AG610" s="253"/>
      <c r="AH610" s="253"/>
      <c r="AI610" s="253"/>
      <c r="AJ610" s="253"/>
      <c r="AK610" s="253"/>
      <c r="AL610" s="253"/>
      <c r="AM610" s="253"/>
      <c r="AN610" s="253"/>
      <c r="AO610" s="253"/>
      <c r="AP610" s="253"/>
      <c r="AQ610" s="253"/>
      <c r="AR610" s="253"/>
      <c r="AS610" s="253"/>
      <c r="AT610" s="2"/>
      <c r="AU610" s="2"/>
      <c r="AV610" s="2"/>
      <c r="AW610" s="2"/>
      <c r="AX610" s="2"/>
      <c r="AY610" s="253"/>
    </row>
    <row r="611" ht="15.75" customHeight="1">
      <c r="A611" s="2"/>
      <c r="B611" s="288" t="str">
        <f>Controle!B611</f>
        <v/>
      </c>
      <c r="C611" s="233" t="str">
        <f>Controle!C611</f>
        <v/>
      </c>
      <c r="D611" s="289" t="str">
        <f>Controle!D611</f>
        <v/>
      </c>
      <c r="E611" s="290"/>
      <c r="F611" s="291" t="str">
        <f>Controle!F611</f>
        <v/>
      </c>
      <c r="G611" s="289" t="str">
        <f>Controle!G611</f>
        <v/>
      </c>
      <c r="H611" s="290"/>
      <c r="I611" s="291" t="str">
        <f>Controle!I611</f>
        <v/>
      </c>
      <c r="J611" s="233" t="str">
        <f>Controle!J611</f>
        <v/>
      </c>
      <c r="K611" s="292"/>
      <c r="L611" s="233" t="str">
        <f>Controle!L611</f>
        <v/>
      </c>
      <c r="M611" s="233" t="str">
        <f>Controle!M611</f>
        <v/>
      </c>
      <c r="N611" s="235" t="str">
        <f>Controle!N611</f>
        <v/>
      </c>
      <c r="O611" s="235" t="str">
        <f>Controle!O611</f>
        <v/>
      </c>
      <c r="P611" s="235" t="str">
        <f>Controle!P611</f>
        <v/>
      </c>
      <c r="Q611" s="235" t="str">
        <f>Controle!Q611</f>
        <v/>
      </c>
      <c r="R611" s="286" t="str">
        <f>Controle!R611</f>
        <v/>
      </c>
      <c r="S611" s="286"/>
      <c r="T611" s="286"/>
      <c r="U611" s="286"/>
      <c r="V611" s="286"/>
      <c r="W611" s="286"/>
      <c r="X611" s="286"/>
      <c r="Y611" s="286"/>
      <c r="Z611" s="286"/>
      <c r="AA611" s="294"/>
      <c r="AB611" s="253"/>
      <c r="AC611" s="253"/>
      <c r="AD611" s="253"/>
      <c r="AE611" s="253"/>
      <c r="AF611" s="253"/>
      <c r="AG611" s="253"/>
      <c r="AH611" s="253"/>
      <c r="AI611" s="253"/>
      <c r="AJ611" s="253"/>
      <c r="AK611" s="253"/>
      <c r="AL611" s="253"/>
      <c r="AM611" s="253"/>
      <c r="AN611" s="253"/>
      <c r="AO611" s="253"/>
      <c r="AP611" s="253"/>
      <c r="AQ611" s="253"/>
      <c r="AR611" s="253"/>
      <c r="AS611" s="253"/>
      <c r="AT611" s="2"/>
      <c r="AU611" s="2"/>
      <c r="AV611" s="2"/>
      <c r="AW611" s="2"/>
      <c r="AX611" s="2"/>
      <c r="AY611" s="253"/>
    </row>
    <row r="612" ht="15.75" customHeight="1">
      <c r="A612" s="2"/>
      <c r="B612" s="288" t="str">
        <f>Controle!B612</f>
        <v/>
      </c>
      <c r="C612" s="233" t="str">
        <f>Controle!C612</f>
        <v/>
      </c>
      <c r="D612" s="289" t="str">
        <f>Controle!D612</f>
        <v/>
      </c>
      <c r="E612" s="290"/>
      <c r="F612" s="291" t="str">
        <f>Controle!F612</f>
        <v/>
      </c>
      <c r="G612" s="289" t="str">
        <f>Controle!G612</f>
        <v/>
      </c>
      <c r="H612" s="290"/>
      <c r="I612" s="291" t="str">
        <f>Controle!I612</f>
        <v/>
      </c>
      <c r="J612" s="233" t="str">
        <f>Controle!J612</f>
        <v/>
      </c>
      <c r="K612" s="292"/>
      <c r="L612" s="233" t="str">
        <f>Controle!L612</f>
        <v/>
      </c>
      <c r="M612" s="233" t="str">
        <f>Controle!M612</f>
        <v/>
      </c>
      <c r="N612" s="235" t="str">
        <f>Controle!N612</f>
        <v/>
      </c>
      <c r="O612" s="235" t="str">
        <f>Controle!O612</f>
        <v/>
      </c>
      <c r="P612" s="235" t="str">
        <f>Controle!P612</f>
        <v/>
      </c>
      <c r="Q612" s="235" t="str">
        <f>Controle!Q612</f>
        <v/>
      </c>
      <c r="R612" s="286" t="str">
        <f>Controle!R612</f>
        <v/>
      </c>
      <c r="S612" s="286"/>
      <c r="T612" s="286"/>
      <c r="U612" s="286"/>
      <c r="V612" s="286"/>
      <c r="W612" s="286"/>
      <c r="X612" s="286"/>
      <c r="Y612" s="286"/>
      <c r="Z612" s="286"/>
      <c r="AA612" s="294"/>
      <c r="AB612" s="253"/>
      <c r="AC612" s="253"/>
      <c r="AD612" s="253"/>
      <c r="AE612" s="253"/>
      <c r="AF612" s="253"/>
      <c r="AG612" s="253"/>
      <c r="AH612" s="253"/>
      <c r="AI612" s="253"/>
      <c r="AJ612" s="253"/>
      <c r="AK612" s="253"/>
      <c r="AL612" s="253"/>
      <c r="AM612" s="253"/>
      <c r="AN612" s="253"/>
      <c r="AO612" s="253"/>
      <c r="AP612" s="253"/>
      <c r="AQ612" s="253"/>
      <c r="AR612" s="253"/>
      <c r="AS612" s="253"/>
      <c r="AT612" s="2"/>
      <c r="AU612" s="2"/>
      <c r="AV612" s="2"/>
      <c r="AW612" s="2"/>
      <c r="AX612" s="2"/>
      <c r="AY612" s="253"/>
    </row>
    <row r="613" ht="15.75" customHeight="1">
      <c r="A613" s="2"/>
      <c r="B613" s="288" t="str">
        <f>Controle!B613</f>
        <v/>
      </c>
      <c r="C613" s="233" t="str">
        <f>Controle!C613</f>
        <v/>
      </c>
      <c r="D613" s="289" t="str">
        <f>Controle!D613</f>
        <v/>
      </c>
      <c r="E613" s="290"/>
      <c r="F613" s="291" t="str">
        <f>Controle!F613</f>
        <v/>
      </c>
      <c r="G613" s="289" t="str">
        <f>Controle!G613</f>
        <v/>
      </c>
      <c r="H613" s="290"/>
      <c r="I613" s="291" t="str">
        <f>Controle!I613</f>
        <v/>
      </c>
      <c r="J613" s="233" t="str">
        <f>Controle!J613</f>
        <v/>
      </c>
      <c r="K613" s="292"/>
      <c r="L613" s="233" t="str">
        <f>Controle!L613</f>
        <v/>
      </c>
      <c r="M613" s="233" t="str">
        <f>Controle!M613</f>
        <v/>
      </c>
      <c r="N613" s="235" t="str">
        <f>Controle!N613</f>
        <v/>
      </c>
      <c r="O613" s="235" t="str">
        <f>Controle!O613</f>
        <v/>
      </c>
      <c r="P613" s="235" t="str">
        <f>Controle!P613</f>
        <v/>
      </c>
      <c r="Q613" s="235" t="str">
        <f>Controle!Q613</f>
        <v/>
      </c>
      <c r="R613" s="286" t="str">
        <f>Controle!R613</f>
        <v/>
      </c>
      <c r="S613" s="286"/>
      <c r="T613" s="286"/>
      <c r="U613" s="286"/>
      <c r="V613" s="286"/>
      <c r="W613" s="286"/>
      <c r="X613" s="286"/>
      <c r="Y613" s="286"/>
      <c r="Z613" s="286"/>
      <c r="AA613" s="294"/>
      <c r="AB613" s="253"/>
      <c r="AC613" s="253"/>
      <c r="AD613" s="253"/>
      <c r="AE613" s="253"/>
      <c r="AF613" s="253"/>
      <c r="AG613" s="253"/>
      <c r="AH613" s="253"/>
      <c r="AI613" s="253"/>
      <c r="AJ613" s="253"/>
      <c r="AK613" s="253"/>
      <c r="AL613" s="253"/>
      <c r="AM613" s="253"/>
      <c r="AN613" s="253"/>
      <c r="AO613" s="253"/>
      <c r="AP613" s="253"/>
      <c r="AQ613" s="253"/>
      <c r="AR613" s="253"/>
      <c r="AS613" s="253"/>
      <c r="AT613" s="2"/>
      <c r="AU613" s="2"/>
      <c r="AV613" s="2"/>
      <c r="AW613" s="2"/>
      <c r="AX613" s="2"/>
      <c r="AY613" s="253"/>
    </row>
    <row r="614" ht="15.75" customHeight="1">
      <c r="A614" s="2"/>
      <c r="B614" s="288" t="str">
        <f>Controle!B614</f>
        <v/>
      </c>
      <c r="C614" s="233" t="str">
        <f>Controle!C614</f>
        <v/>
      </c>
      <c r="D614" s="289" t="str">
        <f>Controle!D614</f>
        <v/>
      </c>
      <c r="E614" s="290"/>
      <c r="F614" s="291" t="str">
        <f>Controle!F614</f>
        <v/>
      </c>
      <c r="G614" s="289" t="str">
        <f>Controle!G614</f>
        <v/>
      </c>
      <c r="H614" s="290"/>
      <c r="I614" s="291" t="str">
        <f>Controle!I614</f>
        <v/>
      </c>
      <c r="J614" s="233" t="str">
        <f>Controle!J614</f>
        <v/>
      </c>
      <c r="K614" s="292"/>
      <c r="L614" s="233" t="str">
        <f>Controle!L614</f>
        <v/>
      </c>
      <c r="M614" s="233" t="str">
        <f>Controle!M614</f>
        <v/>
      </c>
      <c r="N614" s="235" t="str">
        <f>Controle!N614</f>
        <v/>
      </c>
      <c r="O614" s="235" t="str">
        <f>Controle!O614</f>
        <v/>
      </c>
      <c r="P614" s="235" t="str">
        <f>Controle!P614</f>
        <v/>
      </c>
      <c r="Q614" s="235" t="str">
        <f>Controle!Q614</f>
        <v/>
      </c>
      <c r="R614" s="286" t="str">
        <f>Controle!R614</f>
        <v/>
      </c>
      <c r="S614" s="286"/>
      <c r="T614" s="286"/>
      <c r="U614" s="286"/>
      <c r="V614" s="286"/>
      <c r="W614" s="286"/>
      <c r="X614" s="286"/>
      <c r="Y614" s="286"/>
      <c r="Z614" s="286"/>
      <c r="AA614" s="294"/>
      <c r="AB614" s="253"/>
      <c r="AC614" s="253"/>
      <c r="AD614" s="253"/>
      <c r="AE614" s="253"/>
      <c r="AF614" s="253"/>
      <c r="AG614" s="253"/>
      <c r="AH614" s="253"/>
      <c r="AI614" s="253"/>
      <c r="AJ614" s="253"/>
      <c r="AK614" s="253"/>
      <c r="AL614" s="253"/>
      <c r="AM614" s="253"/>
      <c r="AN614" s="253"/>
      <c r="AO614" s="253"/>
      <c r="AP614" s="253"/>
      <c r="AQ614" s="253"/>
      <c r="AR614" s="253"/>
      <c r="AS614" s="253"/>
      <c r="AT614" s="2"/>
      <c r="AU614" s="2"/>
      <c r="AV614" s="2"/>
      <c r="AW614" s="2"/>
      <c r="AX614" s="2"/>
      <c r="AY614" s="253"/>
    </row>
    <row r="615" ht="15.75" customHeight="1">
      <c r="A615" s="2"/>
      <c r="B615" s="288" t="str">
        <f>Controle!B615</f>
        <v/>
      </c>
      <c r="C615" s="233" t="str">
        <f>Controle!C615</f>
        <v/>
      </c>
      <c r="D615" s="289" t="str">
        <f>Controle!D615</f>
        <v/>
      </c>
      <c r="E615" s="290"/>
      <c r="F615" s="291" t="str">
        <f>Controle!F615</f>
        <v/>
      </c>
      <c r="G615" s="289" t="str">
        <f>Controle!G615</f>
        <v/>
      </c>
      <c r="H615" s="290"/>
      <c r="I615" s="291" t="str">
        <f>Controle!I615</f>
        <v/>
      </c>
      <c r="J615" s="233" t="str">
        <f>Controle!J615</f>
        <v/>
      </c>
      <c r="K615" s="292"/>
      <c r="L615" s="233" t="str">
        <f>Controle!L615</f>
        <v/>
      </c>
      <c r="M615" s="233" t="str">
        <f>Controle!M615</f>
        <v/>
      </c>
      <c r="N615" s="235" t="str">
        <f>Controle!N615</f>
        <v/>
      </c>
      <c r="O615" s="235" t="str">
        <f>Controle!O615</f>
        <v/>
      </c>
      <c r="P615" s="235" t="str">
        <f>Controle!P615</f>
        <v/>
      </c>
      <c r="Q615" s="235" t="str">
        <f>Controle!Q615</f>
        <v/>
      </c>
      <c r="R615" s="286" t="str">
        <f>Controle!R615</f>
        <v/>
      </c>
      <c r="S615" s="286"/>
      <c r="T615" s="286"/>
      <c r="U615" s="286"/>
      <c r="V615" s="286"/>
      <c r="W615" s="286"/>
      <c r="X615" s="286"/>
      <c r="Y615" s="286"/>
      <c r="Z615" s="286"/>
      <c r="AA615" s="294"/>
      <c r="AB615" s="253"/>
      <c r="AC615" s="253"/>
      <c r="AD615" s="253"/>
      <c r="AE615" s="253"/>
      <c r="AF615" s="253"/>
      <c r="AG615" s="253"/>
      <c r="AH615" s="253"/>
      <c r="AI615" s="253"/>
      <c r="AJ615" s="253"/>
      <c r="AK615" s="253"/>
      <c r="AL615" s="253"/>
      <c r="AM615" s="253"/>
      <c r="AN615" s="253"/>
      <c r="AO615" s="253"/>
      <c r="AP615" s="253"/>
      <c r="AQ615" s="253"/>
      <c r="AR615" s="253"/>
      <c r="AS615" s="253"/>
      <c r="AT615" s="2"/>
      <c r="AU615" s="2"/>
      <c r="AV615" s="2"/>
      <c r="AW615" s="2"/>
      <c r="AX615" s="2"/>
      <c r="AY615" s="253"/>
    </row>
    <row r="616" ht="15.75" customHeight="1">
      <c r="A616" s="2"/>
      <c r="B616" s="288" t="str">
        <f>Controle!B616</f>
        <v/>
      </c>
      <c r="C616" s="233" t="str">
        <f>Controle!C616</f>
        <v/>
      </c>
      <c r="D616" s="289" t="str">
        <f>Controle!D616</f>
        <v/>
      </c>
      <c r="E616" s="290"/>
      <c r="F616" s="291" t="str">
        <f>Controle!F616</f>
        <v/>
      </c>
      <c r="G616" s="289" t="str">
        <f>Controle!G616</f>
        <v/>
      </c>
      <c r="H616" s="290"/>
      <c r="I616" s="291" t="str">
        <f>Controle!I616</f>
        <v/>
      </c>
      <c r="J616" s="233" t="str">
        <f>Controle!J616</f>
        <v/>
      </c>
      <c r="K616" s="292"/>
      <c r="L616" s="233" t="str">
        <f>Controle!L616</f>
        <v/>
      </c>
      <c r="M616" s="233" t="str">
        <f>Controle!M616</f>
        <v/>
      </c>
      <c r="N616" s="235" t="str">
        <f>Controle!N616</f>
        <v/>
      </c>
      <c r="O616" s="235" t="str">
        <f>Controle!O616</f>
        <v/>
      </c>
      <c r="P616" s="235" t="str">
        <f>Controle!P616</f>
        <v/>
      </c>
      <c r="Q616" s="235" t="str">
        <f>Controle!Q616</f>
        <v/>
      </c>
      <c r="R616" s="286" t="str">
        <f>Controle!R616</f>
        <v/>
      </c>
      <c r="S616" s="286"/>
      <c r="T616" s="286"/>
      <c r="U616" s="286"/>
      <c r="V616" s="286"/>
      <c r="W616" s="286"/>
      <c r="X616" s="286"/>
      <c r="Y616" s="286"/>
      <c r="Z616" s="286"/>
      <c r="AA616" s="294"/>
      <c r="AB616" s="253"/>
      <c r="AC616" s="253"/>
      <c r="AD616" s="253"/>
      <c r="AE616" s="253"/>
      <c r="AF616" s="253"/>
      <c r="AG616" s="253"/>
      <c r="AH616" s="253"/>
      <c r="AI616" s="253"/>
      <c r="AJ616" s="253"/>
      <c r="AK616" s="253"/>
      <c r="AL616" s="253"/>
      <c r="AM616" s="253"/>
      <c r="AN616" s="253"/>
      <c r="AO616" s="253"/>
      <c r="AP616" s="253"/>
      <c r="AQ616" s="253"/>
      <c r="AR616" s="253"/>
      <c r="AS616" s="253"/>
      <c r="AT616" s="2"/>
      <c r="AU616" s="2"/>
      <c r="AV616" s="2"/>
      <c r="AW616" s="2"/>
      <c r="AX616" s="2"/>
      <c r="AY616" s="253"/>
    </row>
    <row r="617" ht="15.75" customHeight="1">
      <c r="A617" s="2"/>
      <c r="B617" s="288" t="str">
        <f>Controle!B617</f>
        <v/>
      </c>
      <c r="C617" s="233" t="str">
        <f>Controle!C617</f>
        <v/>
      </c>
      <c r="D617" s="289" t="str">
        <f>Controle!D617</f>
        <v/>
      </c>
      <c r="E617" s="290"/>
      <c r="F617" s="291" t="str">
        <f>Controle!F617</f>
        <v/>
      </c>
      <c r="G617" s="289" t="str">
        <f>Controle!G617</f>
        <v/>
      </c>
      <c r="H617" s="290"/>
      <c r="I617" s="291" t="str">
        <f>Controle!I617</f>
        <v/>
      </c>
      <c r="J617" s="233" t="str">
        <f>Controle!J617</f>
        <v/>
      </c>
      <c r="K617" s="292"/>
      <c r="L617" s="233" t="str">
        <f>Controle!L617</f>
        <v/>
      </c>
      <c r="M617" s="233" t="str">
        <f>Controle!M617</f>
        <v/>
      </c>
      <c r="N617" s="235" t="str">
        <f>Controle!N617</f>
        <v/>
      </c>
      <c r="O617" s="235" t="str">
        <f>Controle!O617</f>
        <v/>
      </c>
      <c r="P617" s="235" t="str">
        <f>Controle!P617</f>
        <v/>
      </c>
      <c r="Q617" s="235" t="str">
        <f>Controle!Q617</f>
        <v/>
      </c>
      <c r="R617" s="286" t="str">
        <f>Controle!R617</f>
        <v/>
      </c>
      <c r="S617" s="286"/>
      <c r="T617" s="286"/>
      <c r="U617" s="286"/>
      <c r="V617" s="286"/>
      <c r="W617" s="286"/>
      <c r="X617" s="286"/>
      <c r="Y617" s="286"/>
      <c r="Z617" s="286"/>
      <c r="AA617" s="294"/>
      <c r="AB617" s="253"/>
      <c r="AC617" s="253"/>
      <c r="AD617" s="253"/>
      <c r="AE617" s="253"/>
      <c r="AF617" s="253"/>
      <c r="AG617" s="253"/>
      <c r="AH617" s="253"/>
      <c r="AI617" s="253"/>
      <c r="AJ617" s="253"/>
      <c r="AK617" s="253"/>
      <c r="AL617" s="253"/>
      <c r="AM617" s="253"/>
      <c r="AN617" s="253"/>
      <c r="AO617" s="253"/>
      <c r="AP617" s="253"/>
      <c r="AQ617" s="253"/>
      <c r="AR617" s="253"/>
      <c r="AS617" s="253"/>
      <c r="AT617" s="2"/>
      <c r="AU617" s="2"/>
      <c r="AV617" s="2"/>
      <c r="AW617" s="2"/>
      <c r="AX617" s="2"/>
      <c r="AY617" s="253"/>
    </row>
    <row r="618" ht="15.75" customHeight="1">
      <c r="A618" s="2"/>
      <c r="B618" s="288" t="str">
        <f>Controle!B618</f>
        <v/>
      </c>
      <c r="C618" s="233" t="str">
        <f>Controle!C618</f>
        <v/>
      </c>
      <c r="D618" s="289" t="str">
        <f>Controle!D618</f>
        <v/>
      </c>
      <c r="E618" s="290"/>
      <c r="F618" s="291" t="str">
        <f>Controle!F618</f>
        <v/>
      </c>
      <c r="G618" s="289" t="str">
        <f>Controle!G618</f>
        <v/>
      </c>
      <c r="H618" s="290"/>
      <c r="I618" s="291" t="str">
        <f>Controle!I618</f>
        <v/>
      </c>
      <c r="J618" s="233" t="str">
        <f>Controle!J618</f>
        <v/>
      </c>
      <c r="K618" s="292"/>
      <c r="L618" s="233" t="str">
        <f>Controle!L618</f>
        <v/>
      </c>
      <c r="M618" s="233" t="str">
        <f>Controle!M618</f>
        <v/>
      </c>
      <c r="N618" s="235" t="str">
        <f>Controle!N618</f>
        <v/>
      </c>
      <c r="O618" s="235" t="str">
        <f>Controle!O618</f>
        <v/>
      </c>
      <c r="P618" s="235" t="str">
        <f>Controle!P618</f>
        <v/>
      </c>
      <c r="Q618" s="235" t="str">
        <f>Controle!Q618</f>
        <v/>
      </c>
      <c r="R618" s="286" t="str">
        <f>Controle!R618</f>
        <v/>
      </c>
      <c r="S618" s="286"/>
      <c r="T618" s="286"/>
      <c r="U618" s="286"/>
      <c r="V618" s="286"/>
      <c r="W618" s="286"/>
      <c r="X618" s="286"/>
      <c r="Y618" s="286"/>
      <c r="Z618" s="286"/>
      <c r="AA618" s="294"/>
      <c r="AB618" s="253"/>
      <c r="AC618" s="253"/>
      <c r="AD618" s="253"/>
      <c r="AE618" s="253"/>
      <c r="AF618" s="253"/>
      <c r="AG618" s="253"/>
      <c r="AH618" s="253"/>
      <c r="AI618" s="253"/>
      <c r="AJ618" s="253"/>
      <c r="AK618" s="253"/>
      <c r="AL618" s="253"/>
      <c r="AM618" s="253"/>
      <c r="AN618" s="253"/>
      <c r="AO618" s="253"/>
      <c r="AP618" s="253"/>
      <c r="AQ618" s="253"/>
      <c r="AR618" s="253"/>
      <c r="AS618" s="253"/>
      <c r="AT618" s="2"/>
      <c r="AU618" s="2"/>
      <c r="AV618" s="2"/>
      <c r="AW618" s="2"/>
      <c r="AX618" s="2"/>
      <c r="AY618" s="253"/>
    </row>
    <row r="619" ht="15.75" customHeight="1">
      <c r="A619" s="2"/>
      <c r="B619" s="288" t="str">
        <f>Controle!B619</f>
        <v/>
      </c>
      <c r="C619" s="233" t="str">
        <f>Controle!C619</f>
        <v/>
      </c>
      <c r="D619" s="289" t="str">
        <f>Controle!D619</f>
        <v/>
      </c>
      <c r="E619" s="290"/>
      <c r="F619" s="291" t="str">
        <f>Controle!F619</f>
        <v/>
      </c>
      <c r="G619" s="289" t="str">
        <f>Controle!G619</f>
        <v/>
      </c>
      <c r="H619" s="290"/>
      <c r="I619" s="291" t="str">
        <f>Controle!I619</f>
        <v/>
      </c>
      <c r="J619" s="233" t="str">
        <f>Controle!J619</f>
        <v/>
      </c>
      <c r="K619" s="292"/>
      <c r="L619" s="233" t="str">
        <f>Controle!L619</f>
        <v/>
      </c>
      <c r="M619" s="233" t="str">
        <f>Controle!M619</f>
        <v/>
      </c>
      <c r="N619" s="235" t="str">
        <f>Controle!N619</f>
        <v/>
      </c>
      <c r="O619" s="235" t="str">
        <f>Controle!O619</f>
        <v/>
      </c>
      <c r="P619" s="235" t="str">
        <f>Controle!P619</f>
        <v/>
      </c>
      <c r="Q619" s="235" t="str">
        <f>Controle!Q619</f>
        <v/>
      </c>
      <c r="R619" s="286" t="str">
        <f>Controle!R619</f>
        <v/>
      </c>
      <c r="S619" s="286"/>
      <c r="T619" s="286"/>
      <c r="U619" s="286"/>
      <c r="V619" s="286"/>
      <c r="W619" s="286"/>
      <c r="X619" s="286"/>
      <c r="Y619" s="286"/>
      <c r="Z619" s="286"/>
      <c r="AA619" s="294"/>
      <c r="AB619" s="253"/>
      <c r="AC619" s="253"/>
      <c r="AD619" s="253"/>
      <c r="AE619" s="253"/>
      <c r="AF619" s="253"/>
      <c r="AG619" s="253"/>
      <c r="AH619" s="253"/>
      <c r="AI619" s="253"/>
      <c r="AJ619" s="253"/>
      <c r="AK619" s="253"/>
      <c r="AL619" s="253"/>
      <c r="AM619" s="253"/>
      <c r="AN619" s="253"/>
      <c r="AO619" s="253"/>
      <c r="AP619" s="253"/>
      <c r="AQ619" s="253"/>
      <c r="AR619" s="253"/>
      <c r="AS619" s="253"/>
      <c r="AT619" s="2"/>
      <c r="AU619" s="2"/>
      <c r="AV619" s="2"/>
      <c r="AW619" s="2"/>
      <c r="AX619" s="2"/>
      <c r="AY619" s="253"/>
    </row>
    <row r="620" ht="15.75" customHeight="1">
      <c r="A620" s="2"/>
      <c r="B620" s="288" t="str">
        <f>Controle!B620</f>
        <v/>
      </c>
      <c r="C620" s="233" t="str">
        <f>Controle!C620</f>
        <v/>
      </c>
      <c r="D620" s="289" t="str">
        <f>Controle!D620</f>
        <v/>
      </c>
      <c r="E620" s="290"/>
      <c r="F620" s="291" t="str">
        <f>Controle!F620</f>
        <v/>
      </c>
      <c r="G620" s="289" t="str">
        <f>Controle!G620</f>
        <v/>
      </c>
      <c r="H620" s="290"/>
      <c r="I620" s="291" t="str">
        <f>Controle!I620</f>
        <v/>
      </c>
      <c r="J620" s="233" t="str">
        <f>Controle!J620</f>
        <v/>
      </c>
      <c r="K620" s="292"/>
      <c r="L620" s="233" t="str">
        <f>Controle!L620</f>
        <v/>
      </c>
      <c r="M620" s="233" t="str">
        <f>Controle!M620</f>
        <v/>
      </c>
      <c r="N620" s="235" t="str">
        <f>Controle!N620</f>
        <v/>
      </c>
      <c r="O620" s="235" t="str">
        <f>Controle!O620</f>
        <v/>
      </c>
      <c r="P620" s="235" t="str">
        <f>Controle!P620</f>
        <v/>
      </c>
      <c r="Q620" s="235" t="str">
        <f>Controle!Q620</f>
        <v/>
      </c>
      <c r="R620" s="286" t="str">
        <f>Controle!R620</f>
        <v/>
      </c>
      <c r="S620" s="286"/>
      <c r="T620" s="286"/>
      <c r="U620" s="286"/>
      <c r="V620" s="286"/>
      <c r="W620" s="286"/>
      <c r="X620" s="286"/>
      <c r="Y620" s="286"/>
      <c r="Z620" s="286"/>
      <c r="AA620" s="294"/>
      <c r="AB620" s="253"/>
      <c r="AC620" s="253"/>
      <c r="AD620" s="253"/>
      <c r="AE620" s="253"/>
      <c r="AF620" s="253"/>
      <c r="AG620" s="253"/>
      <c r="AH620" s="253"/>
      <c r="AI620" s="253"/>
      <c r="AJ620" s="253"/>
      <c r="AK620" s="253"/>
      <c r="AL620" s="253"/>
      <c r="AM620" s="253"/>
      <c r="AN620" s="253"/>
      <c r="AO620" s="253"/>
      <c r="AP620" s="253"/>
      <c r="AQ620" s="253"/>
      <c r="AR620" s="253"/>
      <c r="AS620" s="253"/>
      <c r="AT620" s="2"/>
      <c r="AU620" s="2"/>
      <c r="AV620" s="2"/>
      <c r="AW620" s="2"/>
      <c r="AX620" s="2"/>
      <c r="AY620" s="253"/>
    </row>
    <row r="621" ht="15.75" customHeight="1">
      <c r="A621" s="2"/>
      <c r="B621" s="288" t="str">
        <f>Controle!B621</f>
        <v/>
      </c>
      <c r="C621" s="233" t="str">
        <f>Controle!C621</f>
        <v/>
      </c>
      <c r="D621" s="289" t="str">
        <f>Controle!D621</f>
        <v/>
      </c>
      <c r="E621" s="290"/>
      <c r="F621" s="291" t="str">
        <f>Controle!F621</f>
        <v/>
      </c>
      <c r="G621" s="289" t="str">
        <f>Controle!G621</f>
        <v/>
      </c>
      <c r="H621" s="290"/>
      <c r="I621" s="291" t="str">
        <f>Controle!I621</f>
        <v/>
      </c>
      <c r="J621" s="233" t="str">
        <f>Controle!J621</f>
        <v/>
      </c>
      <c r="K621" s="292"/>
      <c r="L621" s="233" t="str">
        <f>Controle!L621</f>
        <v/>
      </c>
      <c r="M621" s="233" t="str">
        <f>Controle!M621</f>
        <v/>
      </c>
      <c r="N621" s="235" t="str">
        <f>Controle!N621</f>
        <v/>
      </c>
      <c r="O621" s="235" t="str">
        <f>Controle!O621</f>
        <v/>
      </c>
      <c r="P621" s="235" t="str">
        <f>Controle!P621</f>
        <v/>
      </c>
      <c r="Q621" s="235" t="str">
        <f>Controle!Q621</f>
        <v/>
      </c>
      <c r="R621" s="286" t="str">
        <f>Controle!R621</f>
        <v/>
      </c>
      <c r="S621" s="286"/>
      <c r="T621" s="286"/>
      <c r="U621" s="286"/>
      <c r="V621" s="286"/>
      <c r="W621" s="286"/>
      <c r="X621" s="286"/>
      <c r="Y621" s="286"/>
      <c r="Z621" s="286"/>
      <c r="AA621" s="294"/>
      <c r="AB621" s="253"/>
      <c r="AC621" s="253"/>
      <c r="AD621" s="253"/>
      <c r="AE621" s="253"/>
      <c r="AF621" s="253"/>
      <c r="AG621" s="253"/>
      <c r="AH621" s="253"/>
      <c r="AI621" s="253"/>
      <c r="AJ621" s="253"/>
      <c r="AK621" s="253"/>
      <c r="AL621" s="253"/>
      <c r="AM621" s="253"/>
      <c r="AN621" s="253"/>
      <c r="AO621" s="253"/>
      <c r="AP621" s="253"/>
      <c r="AQ621" s="253"/>
      <c r="AR621" s="253"/>
      <c r="AS621" s="253"/>
      <c r="AT621" s="2"/>
      <c r="AU621" s="2"/>
      <c r="AV621" s="2"/>
      <c r="AW621" s="2"/>
      <c r="AX621" s="2"/>
      <c r="AY621" s="253"/>
    </row>
    <row r="622" ht="15.75" customHeight="1">
      <c r="A622" s="2"/>
      <c r="B622" s="288" t="str">
        <f>Controle!B622</f>
        <v/>
      </c>
      <c r="C622" s="233" t="str">
        <f>Controle!C622</f>
        <v/>
      </c>
      <c r="D622" s="289" t="str">
        <f>Controle!D622</f>
        <v/>
      </c>
      <c r="E622" s="290"/>
      <c r="F622" s="291" t="str">
        <f>Controle!F622</f>
        <v/>
      </c>
      <c r="G622" s="289" t="str">
        <f>Controle!G622</f>
        <v/>
      </c>
      <c r="H622" s="290"/>
      <c r="I622" s="291" t="str">
        <f>Controle!I622</f>
        <v/>
      </c>
      <c r="J622" s="233" t="str">
        <f>Controle!J622</f>
        <v/>
      </c>
      <c r="K622" s="292"/>
      <c r="L622" s="233" t="str">
        <f>Controle!L622</f>
        <v/>
      </c>
      <c r="M622" s="233" t="str">
        <f>Controle!M622</f>
        <v/>
      </c>
      <c r="N622" s="235" t="str">
        <f>Controle!N622</f>
        <v/>
      </c>
      <c r="O622" s="235" t="str">
        <f>Controle!O622</f>
        <v/>
      </c>
      <c r="P622" s="235" t="str">
        <f>Controle!P622</f>
        <v/>
      </c>
      <c r="Q622" s="235" t="str">
        <f>Controle!Q622</f>
        <v/>
      </c>
      <c r="R622" s="286" t="str">
        <f>Controle!R622</f>
        <v/>
      </c>
      <c r="S622" s="286"/>
      <c r="T622" s="286"/>
      <c r="U622" s="286"/>
      <c r="V622" s="286"/>
      <c r="W622" s="286"/>
      <c r="X622" s="286"/>
      <c r="Y622" s="286"/>
      <c r="Z622" s="286"/>
      <c r="AA622" s="294"/>
      <c r="AB622" s="253"/>
      <c r="AC622" s="253"/>
      <c r="AD622" s="253"/>
      <c r="AE622" s="253"/>
      <c r="AF622" s="253"/>
      <c r="AG622" s="253"/>
      <c r="AH622" s="253"/>
      <c r="AI622" s="253"/>
      <c r="AJ622" s="253"/>
      <c r="AK622" s="253"/>
      <c r="AL622" s="253"/>
      <c r="AM622" s="253"/>
      <c r="AN622" s="253"/>
      <c r="AO622" s="253"/>
      <c r="AP622" s="253"/>
      <c r="AQ622" s="253"/>
      <c r="AR622" s="253"/>
      <c r="AS622" s="253"/>
      <c r="AT622" s="2"/>
      <c r="AU622" s="2"/>
      <c r="AV622" s="2"/>
      <c r="AW622" s="2"/>
      <c r="AX622" s="2"/>
      <c r="AY622" s="253"/>
    </row>
    <row r="623" ht="15.75" customHeight="1">
      <c r="A623" s="2"/>
      <c r="B623" s="288" t="str">
        <f>Controle!B623</f>
        <v/>
      </c>
      <c r="C623" s="233" t="str">
        <f>Controle!C623</f>
        <v/>
      </c>
      <c r="D623" s="289" t="str">
        <f>Controle!D623</f>
        <v/>
      </c>
      <c r="E623" s="290"/>
      <c r="F623" s="291" t="str">
        <f>Controle!F623</f>
        <v/>
      </c>
      <c r="G623" s="289" t="str">
        <f>Controle!G623</f>
        <v/>
      </c>
      <c r="H623" s="290"/>
      <c r="I623" s="291" t="str">
        <f>Controle!I623</f>
        <v/>
      </c>
      <c r="J623" s="233" t="str">
        <f>Controle!J623</f>
        <v/>
      </c>
      <c r="K623" s="292"/>
      <c r="L623" s="233" t="str">
        <f>Controle!L623</f>
        <v/>
      </c>
      <c r="M623" s="233" t="str">
        <f>Controle!M623</f>
        <v/>
      </c>
      <c r="N623" s="235" t="str">
        <f>Controle!N623</f>
        <v/>
      </c>
      <c r="O623" s="235" t="str">
        <f>Controle!O623</f>
        <v/>
      </c>
      <c r="P623" s="235" t="str">
        <f>Controle!P623</f>
        <v/>
      </c>
      <c r="Q623" s="235" t="str">
        <f>Controle!Q623</f>
        <v/>
      </c>
      <c r="R623" s="286" t="str">
        <f>Controle!R623</f>
        <v/>
      </c>
      <c r="S623" s="286"/>
      <c r="T623" s="286"/>
      <c r="U623" s="286"/>
      <c r="V623" s="286"/>
      <c r="W623" s="286"/>
      <c r="X623" s="286"/>
      <c r="Y623" s="286"/>
      <c r="Z623" s="286"/>
      <c r="AA623" s="294"/>
      <c r="AB623" s="253"/>
      <c r="AC623" s="253"/>
      <c r="AD623" s="253"/>
      <c r="AE623" s="253"/>
      <c r="AF623" s="253"/>
      <c r="AG623" s="253"/>
      <c r="AH623" s="253"/>
      <c r="AI623" s="253"/>
      <c r="AJ623" s="253"/>
      <c r="AK623" s="253"/>
      <c r="AL623" s="253"/>
      <c r="AM623" s="253"/>
      <c r="AN623" s="253"/>
      <c r="AO623" s="253"/>
      <c r="AP623" s="253"/>
      <c r="AQ623" s="253"/>
      <c r="AR623" s="253"/>
      <c r="AS623" s="253"/>
      <c r="AT623" s="2"/>
      <c r="AU623" s="2"/>
      <c r="AV623" s="2"/>
      <c r="AW623" s="2"/>
      <c r="AX623" s="2"/>
      <c r="AY623" s="253"/>
    </row>
    <row r="624" ht="15.75" customHeight="1">
      <c r="A624" s="2"/>
      <c r="B624" s="288" t="str">
        <f>Controle!B624</f>
        <v/>
      </c>
      <c r="C624" s="233" t="str">
        <f>Controle!C624</f>
        <v/>
      </c>
      <c r="D624" s="289" t="str">
        <f>Controle!D624</f>
        <v/>
      </c>
      <c r="E624" s="290"/>
      <c r="F624" s="291" t="str">
        <f>Controle!F624</f>
        <v/>
      </c>
      <c r="G624" s="289" t="str">
        <f>Controle!G624</f>
        <v/>
      </c>
      <c r="H624" s="290"/>
      <c r="I624" s="291" t="str">
        <f>Controle!I624</f>
        <v/>
      </c>
      <c r="J624" s="233" t="str">
        <f>Controle!J624</f>
        <v/>
      </c>
      <c r="K624" s="292"/>
      <c r="L624" s="233" t="str">
        <f>Controle!L624</f>
        <v/>
      </c>
      <c r="M624" s="233" t="str">
        <f>Controle!M624</f>
        <v/>
      </c>
      <c r="N624" s="235" t="str">
        <f>Controle!N624</f>
        <v/>
      </c>
      <c r="O624" s="235" t="str">
        <f>Controle!O624</f>
        <v/>
      </c>
      <c r="P624" s="235" t="str">
        <f>Controle!P624</f>
        <v/>
      </c>
      <c r="Q624" s="235" t="str">
        <f>Controle!Q624</f>
        <v/>
      </c>
      <c r="R624" s="286" t="str">
        <f>Controle!R624</f>
        <v/>
      </c>
      <c r="S624" s="286"/>
      <c r="T624" s="286"/>
      <c r="U624" s="286"/>
      <c r="V624" s="286"/>
      <c r="W624" s="286"/>
      <c r="X624" s="286"/>
      <c r="Y624" s="286"/>
      <c r="Z624" s="286"/>
      <c r="AA624" s="294"/>
      <c r="AB624" s="253"/>
      <c r="AC624" s="253"/>
      <c r="AD624" s="253"/>
      <c r="AE624" s="253"/>
      <c r="AF624" s="253"/>
      <c r="AG624" s="253"/>
      <c r="AH624" s="253"/>
      <c r="AI624" s="253"/>
      <c r="AJ624" s="253"/>
      <c r="AK624" s="253"/>
      <c r="AL624" s="253"/>
      <c r="AM624" s="253"/>
      <c r="AN624" s="253"/>
      <c r="AO624" s="253"/>
      <c r="AP624" s="253"/>
      <c r="AQ624" s="253"/>
      <c r="AR624" s="253"/>
      <c r="AS624" s="253"/>
      <c r="AT624" s="2"/>
      <c r="AU624" s="2"/>
      <c r="AV624" s="2"/>
      <c r="AW624" s="2"/>
      <c r="AX624" s="2"/>
      <c r="AY624" s="253"/>
    </row>
    <row r="625" ht="15.75" customHeight="1">
      <c r="A625" s="2"/>
      <c r="B625" s="288" t="str">
        <f>Controle!B625</f>
        <v/>
      </c>
      <c r="C625" s="233" t="str">
        <f>Controle!C625</f>
        <v/>
      </c>
      <c r="D625" s="289" t="str">
        <f>Controle!D625</f>
        <v/>
      </c>
      <c r="E625" s="290"/>
      <c r="F625" s="291" t="str">
        <f>Controle!F625</f>
        <v/>
      </c>
      <c r="G625" s="289" t="str">
        <f>Controle!G625</f>
        <v/>
      </c>
      <c r="H625" s="290"/>
      <c r="I625" s="291" t="str">
        <f>Controle!I625</f>
        <v/>
      </c>
      <c r="J625" s="233" t="str">
        <f>Controle!J625</f>
        <v/>
      </c>
      <c r="K625" s="292"/>
      <c r="L625" s="233" t="str">
        <f>Controle!L625</f>
        <v/>
      </c>
      <c r="M625" s="233" t="str">
        <f>Controle!M625</f>
        <v/>
      </c>
      <c r="N625" s="235" t="str">
        <f>Controle!N625</f>
        <v/>
      </c>
      <c r="O625" s="235" t="str">
        <f>Controle!O625</f>
        <v/>
      </c>
      <c r="P625" s="235" t="str">
        <f>Controle!P625</f>
        <v/>
      </c>
      <c r="Q625" s="235" t="str">
        <f>Controle!Q625</f>
        <v/>
      </c>
      <c r="R625" s="286" t="str">
        <f>Controle!R625</f>
        <v/>
      </c>
      <c r="S625" s="286"/>
      <c r="T625" s="286"/>
      <c r="U625" s="286"/>
      <c r="V625" s="286"/>
      <c r="W625" s="286"/>
      <c r="X625" s="286"/>
      <c r="Y625" s="286"/>
      <c r="Z625" s="286"/>
      <c r="AA625" s="294"/>
      <c r="AB625" s="253"/>
      <c r="AC625" s="253"/>
      <c r="AD625" s="253"/>
      <c r="AE625" s="253"/>
      <c r="AF625" s="253"/>
      <c r="AG625" s="253"/>
      <c r="AH625" s="253"/>
      <c r="AI625" s="253"/>
      <c r="AJ625" s="253"/>
      <c r="AK625" s="253"/>
      <c r="AL625" s="253"/>
      <c r="AM625" s="253"/>
      <c r="AN625" s="253"/>
      <c r="AO625" s="253"/>
      <c r="AP625" s="253"/>
      <c r="AQ625" s="253"/>
      <c r="AR625" s="253"/>
      <c r="AS625" s="253"/>
      <c r="AT625" s="2"/>
      <c r="AU625" s="2"/>
      <c r="AV625" s="2"/>
      <c r="AW625" s="2"/>
      <c r="AX625" s="2"/>
      <c r="AY625" s="253"/>
    </row>
    <row r="626" ht="15.75" customHeight="1">
      <c r="A626" s="2"/>
      <c r="B626" s="288" t="str">
        <f>Controle!B626</f>
        <v/>
      </c>
      <c r="C626" s="233" t="str">
        <f>Controle!C626</f>
        <v/>
      </c>
      <c r="D626" s="289" t="str">
        <f>Controle!D626</f>
        <v/>
      </c>
      <c r="E626" s="290"/>
      <c r="F626" s="291" t="str">
        <f>Controle!F626</f>
        <v/>
      </c>
      <c r="G626" s="289" t="str">
        <f>Controle!G626</f>
        <v/>
      </c>
      <c r="H626" s="290"/>
      <c r="I626" s="291" t="str">
        <f>Controle!I626</f>
        <v/>
      </c>
      <c r="J626" s="233" t="str">
        <f>Controle!J626</f>
        <v/>
      </c>
      <c r="K626" s="292"/>
      <c r="L626" s="233" t="str">
        <f>Controle!L626</f>
        <v/>
      </c>
      <c r="M626" s="233" t="str">
        <f>Controle!M626</f>
        <v/>
      </c>
      <c r="N626" s="235" t="str">
        <f>Controle!N626</f>
        <v/>
      </c>
      <c r="O626" s="235" t="str">
        <f>Controle!O626</f>
        <v/>
      </c>
      <c r="P626" s="235" t="str">
        <f>Controle!P626</f>
        <v/>
      </c>
      <c r="Q626" s="235" t="str">
        <f>Controle!Q626</f>
        <v/>
      </c>
      <c r="R626" s="286" t="str">
        <f>Controle!R626</f>
        <v/>
      </c>
      <c r="S626" s="286"/>
      <c r="T626" s="286"/>
      <c r="U626" s="286"/>
      <c r="V626" s="286"/>
      <c r="W626" s="286"/>
      <c r="X626" s="286"/>
      <c r="Y626" s="286"/>
      <c r="Z626" s="286"/>
      <c r="AA626" s="294"/>
      <c r="AB626" s="253"/>
      <c r="AC626" s="253"/>
      <c r="AD626" s="253"/>
      <c r="AE626" s="253"/>
      <c r="AF626" s="253"/>
      <c r="AG626" s="253"/>
      <c r="AH626" s="253"/>
      <c r="AI626" s="253"/>
      <c r="AJ626" s="253"/>
      <c r="AK626" s="253"/>
      <c r="AL626" s="253"/>
      <c r="AM626" s="253"/>
      <c r="AN626" s="253"/>
      <c r="AO626" s="253"/>
      <c r="AP626" s="253"/>
      <c r="AQ626" s="253"/>
      <c r="AR626" s="253"/>
      <c r="AS626" s="253"/>
      <c r="AT626" s="2"/>
      <c r="AU626" s="2"/>
      <c r="AV626" s="2"/>
      <c r="AW626" s="2"/>
      <c r="AX626" s="2"/>
      <c r="AY626" s="253"/>
    </row>
    <row r="627" ht="15.75" customHeight="1">
      <c r="A627" s="2"/>
      <c r="B627" s="288" t="str">
        <f>Controle!B627</f>
        <v/>
      </c>
      <c r="C627" s="233" t="str">
        <f>Controle!C627</f>
        <v/>
      </c>
      <c r="D627" s="289" t="str">
        <f>Controle!D627</f>
        <v/>
      </c>
      <c r="E627" s="290"/>
      <c r="F627" s="291" t="str">
        <f>Controle!F627</f>
        <v/>
      </c>
      <c r="G627" s="289" t="str">
        <f>Controle!G627</f>
        <v/>
      </c>
      <c r="H627" s="290"/>
      <c r="I627" s="291" t="str">
        <f>Controle!I627</f>
        <v/>
      </c>
      <c r="J627" s="233" t="str">
        <f>Controle!J627</f>
        <v/>
      </c>
      <c r="K627" s="292"/>
      <c r="L627" s="233" t="str">
        <f>Controle!L627</f>
        <v/>
      </c>
      <c r="M627" s="233" t="str">
        <f>Controle!M627</f>
        <v/>
      </c>
      <c r="N627" s="235" t="str">
        <f>Controle!N627</f>
        <v/>
      </c>
      <c r="O627" s="235" t="str">
        <f>Controle!O627</f>
        <v/>
      </c>
      <c r="P627" s="235" t="str">
        <f>Controle!P627</f>
        <v/>
      </c>
      <c r="Q627" s="235" t="str">
        <f>Controle!Q627</f>
        <v/>
      </c>
      <c r="R627" s="286" t="str">
        <f>Controle!R627</f>
        <v/>
      </c>
      <c r="S627" s="286"/>
      <c r="T627" s="286"/>
      <c r="U627" s="286"/>
      <c r="V627" s="286"/>
      <c r="W627" s="286"/>
      <c r="X627" s="286"/>
      <c r="Y627" s="286"/>
      <c r="Z627" s="286"/>
      <c r="AA627" s="294"/>
      <c r="AB627" s="253"/>
      <c r="AC627" s="253"/>
      <c r="AD627" s="253"/>
      <c r="AE627" s="253"/>
      <c r="AF627" s="253"/>
      <c r="AG627" s="253"/>
      <c r="AH627" s="253"/>
      <c r="AI627" s="253"/>
      <c r="AJ627" s="253"/>
      <c r="AK627" s="253"/>
      <c r="AL627" s="253"/>
      <c r="AM627" s="253"/>
      <c r="AN627" s="253"/>
      <c r="AO627" s="253"/>
      <c r="AP627" s="253"/>
      <c r="AQ627" s="253"/>
      <c r="AR627" s="253"/>
      <c r="AS627" s="253"/>
      <c r="AT627" s="2"/>
      <c r="AU627" s="2"/>
      <c r="AV627" s="2"/>
      <c r="AW627" s="2"/>
      <c r="AX627" s="2"/>
      <c r="AY627" s="253"/>
    </row>
    <row r="628" ht="15.75" customHeight="1">
      <c r="A628" s="2"/>
      <c r="B628" s="288" t="str">
        <f>Controle!B628</f>
        <v/>
      </c>
      <c r="C628" s="233" t="str">
        <f>Controle!C628</f>
        <v/>
      </c>
      <c r="D628" s="289" t="str">
        <f>Controle!D628</f>
        <v/>
      </c>
      <c r="E628" s="290"/>
      <c r="F628" s="291" t="str">
        <f>Controle!F628</f>
        <v/>
      </c>
      <c r="G628" s="289" t="str">
        <f>Controle!G628</f>
        <v/>
      </c>
      <c r="H628" s="290"/>
      <c r="I628" s="291" t="str">
        <f>Controle!I628</f>
        <v/>
      </c>
      <c r="J628" s="233" t="str">
        <f>Controle!J628</f>
        <v/>
      </c>
      <c r="K628" s="292"/>
      <c r="L628" s="233" t="str">
        <f>Controle!L628</f>
        <v/>
      </c>
      <c r="M628" s="233" t="str">
        <f>Controle!M628</f>
        <v/>
      </c>
      <c r="N628" s="235" t="str">
        <f>Controle!N628</f>
        <v/>
      </c>
      <c r="O628" s="235" t="str">
        <f>Controle!O628</f>
        <v/>
      </c>
      <c r="P628" s="235" t="str">
        <f>Controle!P628</f>
        <v/>
      </c>
      <c r="Q628" s="235" t="str">
        <f>Controle!Q628</f>
        <v/>
      </c>
      <c r="R628" s="286" t="str">
        <f>Controle!R628</f>
        <v/>
      </c>
      <c r="S628" s="286"/>
      <c r="T628" s="286"/>
      <c r="U628" s="286"/>
      <c r="V628" s="286"/>
      <c r="W628" s="286"/>
      <c r="X628" s="286"/>
      <c r="Y628" s="286"/>
      <c r="Z628" s="286"/>
      <c r="AA628" s="294"/>
      <c r="AB628" s="253"/>
      <c r="AC628" s="253"/>
      <c r="AD628" s="253"/>
      <c r="AE628" s="253"/>
      <c r="AF628" s="253"/>
      <c r="AG628" s="253"/>
      <c r="AH628" s="253"/>
      <c r="AI628" s="253"/>
      <c r="AJ628" s="253"/>
      <c r="AK628" s="253"/>
      <c r="AL628" s="253"/>
      <c r="AM628" s="253"/>
      <c r="AN628" s="253"/>
      <c r="AO628" s="253"/>
      <c r="AP628" s="253"/>
      <c r="AQ628" s="253"/>
      <c r="AR628" s="253"/>
      <c r="AS628" s="253"/>
      <c r="AT628" s="2"/>
      <c r="AU628" s="2"/>
      <c r="AV628" s="2"/>
      <c r="AW628" s="2"/>
      <c r="AX628" s="2"/>
      <c r="AY628" s="253"/>
    </row>
    <row r="629" ht="15.75" customHeight="1">
      <c r="A629" s="2"/>
      <c r="B629" s="288" t="str">
        <f>Controle!B629</f>
        <v/>
      </c>
      <c r="C629" s="233" t="str">
        <f>Controle!C629</f>
        <v/>
      </c>
      <c r="D629" s="289" t="str">
        <f>Controle!D629</f>
        <v/>
      </c>
      <c r="E629" s="290"/>
      <c r="F629" s="291" t="str">
        <f>Controle!F629</f>
        <v/>
      </c>
      <c r="G629" s="289" t="str">
        <f>Controle!G629</f>
        <v/>
      </c>
      <c r="H629" s="290"/>
      <c r="I629" s="291" t="str">
        <f>Controle!I629</f>
        <v/>
      </c>
      <c r="J629" s="233" t="str">
        <f>Controle!J629</f>
        <v/>
      </c>
      <c r="K629" s="292"/>
      <c r="L629" s="233" t="str">
        <f>Controle!L629</f>
        <v/>
      </c>
      <c r="M629" s="233" t="str">
        <f>Controle!M629</f>
        <v/>
      </c>
      <c r="N629" s="235" t="str">
        <f>Controle!N629</f>
        <v/>
      </c>
      <c r="O629" s="235" t="str">
        <f>Controle!O629</f>
        <v/>
      </c>
      <c r="P629" s="235" t="str">
        <f>Controle!P629</f>
        <v/>
      </c>
      <c r="Q629" s="235" t="str">
        <f>Controle!Q629</f>
        <v/>
      </c>
      <c r="R629" s="286" t="str">
        <f>Controle!R629</f>
        <v/>
      </c>
      <c r="S629" s="286"/>
      <c r="T629" s="286"/>
      <c r="U629" s="286"/>
      <c r="V629" s="286"/>
      <c r="W629" s="286"/>
      <c r="X629" s="286"/>
      <c r="Y629" s="286"/>
      <c r="Z629" s="286"/>
      <c r="AA629" s="294"/>
      <c r="AB629" s="253"/>
      <c r="AC629" s="253"/>
      <c r="AD629" s="253"/>
      <c r="AE629" s="253"/>
      <c r="AF629" s="253"/>
      <c r="AG629" s="253"/>
      <c r="AH629" s="253"/>
      <c r="AI629" s="253"/>
      <c r="AJ629" s="253"/>
      <c r="AK629" s="253"/>
      <c r="AL629" s="253"/>
      <c r="AM629" s="253"/>
      <c r="AN629" s="253"/>
      <c r="AO629" s="253"/>
      <c r="AP629" s="253"/>
      <c r="AQ629" s="253"/>
      <c r="AR629" s="253"/>
      <c r="AS629" s="253"/>
      <c r="AT629" s="2"/>
      <c r="AU629" s="2"/>
      <c r="AV629" s="2"/>
      <c r="AW629" s="2"/>
      <c r="AX629" s="2"/>
      <c r="AY629" s="253"/>
    </row>
    <row r="630" ht="15.75" customHeight="1">
      <c r="A630" s="2"/>
      <c r="B630" s="288" t="str">
        <f>Controle!B630</f>
        <v/>
      </c>
      <c r="C630" s="233" t="str">
        <f>Controle!C630</f>
        <v/>
      </c>
      <c r="D630" s="289" t="str">
        <f>Controle!D630</f>
        <v/>
      </c>
      <c r="E630" s="290"/>
      <c r="F630" s="291" t="str">
        <f>Controle!F630</f>
        <v/>
      </c>
      <c r="G630" s="289" t="str">
        <f>Controle!G630</f>
        <v/>
      </c>
      <c r="H630" s="290"/>
      <c r="I630" s="291" t="str">
        <f>Controle!I630</f>
        <v/>
      </c>
      <c r="J630" s="233" t="str">
        <f>Controle!J630</f>
        <v/>
      </c>
      <c r="K630" s="292"/>
      <c r="L630" s="233" t="str">
        <f>Controle!L630</f>
        <v/>
      </c>
      <c r="M630" s="233" t="str">
        <f>Controle!M630</f>
        <v/>
      </c>
      <c r="N630" s="235" t="str">
        <f>Controle!N630</f>
        <v/>
      </c>
      <c r="O630" s="235" t="str">
        <f>Controle!O630</f>
        <v/>
      </c>
      <c r="P630" s="235" t="str">
        <f>Controle!P630</f>
        <v/>
      </c>
      <c r="Q630" s="235" t="str">
        <f>Controle!Q630</f>
        <v/>
      </c>
      <c r="R630" s="286" t="str">
        <f>Controle!R630</f>
        <v/>
      </c>
      <c r="S630" s="286"/>
      <c r="T630" s="286"/>
      <c r="U630" s="286"/>
      <c r="V630" s="286"/>
      <c r="W630" s="286"/>
      <c r="X630" s="286"/>
      <c r="Y630" s="286"/>
      <c r="Z630" s="286"/>
      <c r="AA630" s="294"/>
      <c r="AB630" s="253"/>
      <c r="AC630" s="253"/>
      <c r="AD630" s="253"/>
      <c r="AE630" s="253"/>
      <c r="AF630" s="253"/>
      <c r="AG630" s="253"/>
      <c r="AH630" s="253"/>
      <c r="AI630" s="253"/>
      <c r="AJ630" s="253"/>
      <c r="AK630" s="253"/>
      <c r="AL630" s="253"/>
      <c r="AM630" s="253"/>
      <c r="AN630" s="253"/>
      <c r="AO630" s="253"/>
      <c r="AP630" s="253"/>
      <c r="AQ630" s="253"/>
      <c r="AR630" s="253"/>
      <c r="AS630" s="253"/>
      <c r="AT630" s="2"/>
      <c r="AU630" s="2"/>
      <c r="AV630" s="2"/>
      <c r="AW630" s="2"/>
      <c r="AX630" s="2"/>
      <c r="AY630" s="253"/>
    </row>
    <row r="631" ht="15.75" customHeight="1">
      <c r="A631" s="2"/>
      <c r="B631" s="288" t="str">
        <f>Controle!B631</f>
        <v/>
      </c>
      <c r="C631" s="233" t="str">
        <f>Controle!C631</f>
        <v/>
      </c>
      <c r="D631" s="289" t="str">
        <f>Controle!D631</f>
        <v/>
      </c>
      <c r="E631" s="290"/>
      <c r="F631" s="291" t="str">
        <f>Controle!F631</f>
        <v/>
      </c>
      <c r="G631" s="289" t="str">
        <f>Controle!G631</f>
        <v/>
      </c>
      <c r="H631" s="290"/>
      <c r="I631" s="291" t="str">
        <f>Controle!I631</f>
        <v/>
      </c>
      <c r="J631" s="233" t="str">
        <f>Controle!J631</f>
        <v/>
      </c>
      <c r="K631" s="292"/>
      <c r="L631" s="233" t="str">
        <f>Controle!L631</f>
        <v/>
      </c>
      <c r="M631" s="233" t="str">
        <f>Controle!M631</f>
        <v/>
      </c>
      <c r="N631" s="235" t="str">
        <f>Controle!N631</f>
        <v/>
      </c>
      <c r="O631" s="235" t="str">
        <f>Controle!O631</f>
        <v/>
      </c>
      <c r="P631" s="235" t="str">
        <f>Controle!P631</f>
        <v/>
      </c>
      <c r="Q631" s="235" t="str">
        <f>Controle!Q631</f>
        <v/>
      </c>
      <c r="R631" s="286" t="str">
        <f>Controle!R631</f>
        <v/>
      </c>
      <c r="S631" s="286"/>
      <c r="T631" s="286"/>
      <c r="U631" s="286"/>
      <c r="V631" s="286"/>
      <c r="W631" s="286"/>
      <c r="X631" s="286"/>
      <c r="Y631" s="286"/>
      <c r="Z631" s="286"/>
      <c r="AA631" s="294"/>
      <c r="AB631" s="253"/>
      <c r="AC631" s="253"/>
      <c r="AD631" s="253"/>
      <c r="AE631" s="253"/>
      <c r="AF631" s="253"/>
      <c r="AG631" s="253"/>
      <c r="AH631" s="253"/>
      <c r="AI631" s="253"/>
      <c r="AJ631" s="253"/>
      <c r="AK631" s="253"/>
      <c r="AL631" s="253"/>
      <c r="AM631" s="253"/>
      <c r="AN631" s="253"/>
      <c r="AO631" s="253"/>
      <c r="AP631" s="253"/>
      <c r="AQ631" s="253"/>
      <c r="AR631" s="253"/>
      <c r="AS631" s="253"/>
      <c r="AT631" s="2"/>
      <c r="AU631" s="2"/>
      <c r="AV631" s="2"/>
      <c r="AW631" s="2"/>
      <c r="AX631" s="2"/>
      <c r="AY631" s="253"/>
    </row>
    <row r="632" ht="15.75" customHeight="1">
      <c r="A632" s="2"/>
      <c r="B632" s="288" t="str">
        <f>Controle!B632</f>
        <v/>
      </c>
      <c r="C632" s="233" t="str">
        <f>Controle!C632</f>
        <v/>
      </c>
      <c r="D632" s="289" t="str">
        <f>Controle!D632</f>
        <v/>
      </c>
      <c r="E632" s="290"/>
      <c r="F632" s="291" t="str">
        <f>Controle!F632</f>
        <v/>
      </c>
      <c r="G632" s="289" t="str">
        <f>Controle!G632</f>
        <v/>
      </c>
      <c r="H632" s="290"/>
      <c r="I632" s="291" t="str">
        <f>Controle!I632</f>
        <v/>
      </c>
      <c r="J632" s="233" t="str">
        <f>Controle!J632</f>
        <v/>
      </c>
      <c r="K632" s="292"/>
      <c r="L632" s="233" t="str">
        <f>Controle!L632</f>
        <v/>
      </c>
      <c r="M632" s="233" t="str">
        <f>Controle!M632</f>
        <v/>
      </c>
      <c r="N632" s="235" t="str">
        <f>Controle!N632</f>
        <v/>
      </c>
      <c r="O632" s="235" t="str">
        <f>Controle!O632</f>
        <v/>
      </c>
      <c r="P632" s="235" t="str">
        <f>Controle!P632</f>
        <v/>
      </c>
      <c r="Q632" s="235" t="str">
        <f>Controle!Q632</f>
        <v/>
      </c>
      <c r="R632" s="286" t="str">
        <f>Controle!R632</f>
        <v/>
      </c>
      <c r="S632" s="286"/>
      <c r="T632" s="286"/>
      <c r="U632" s="286"/>
      <c r="V632" s="286"/>
      <c r="W632" s="286"/>
      <c r="X632" s="286"/>
      <c r="Y632" s="286"/>
      <c r="Z632" s="286"/>
      <c r="AA632" s="294"/>
      <c r="AB632" s="253"/>
      <c r="AC632" s="253"/>
      <c r="AD632" s="253"/>
      <c r="AE632" s="253"/>
      <c r="AF632" s="253"/>
      <c r="AG632" s="253"/>
      <c r="AH632" s="253"/>
      <c r="AI632" s="253"/>
      <c r="AJ632" s="253"/>
      <c r="AK632" s="253"/>
      <c r="AL632" s="253"/>
      <c r="AM632" s="253"/>
      <c r="AN632" s="253"/>
      <c r="AO632" s="253"/>
      <c r="AP632" s="253"/>
      <c r="AQ632" s="253"/>
      <c r="AR632" s="253"/>
      <c r="AS632" s="253"/>
      <c r="AT632" s="2"/>
      <c r="AU632" s="2"/>
      <c r="AV632" s="2"/>
      <c r="AW632" s="2"/>
      <c r="AX632" s="2"/>
      <c r="AY632" s="253"/>
    </row>
    <row r="633" ht="15.75" customHeight="1">
      <c r="A633" s="2"/>
      <c r="B633" s="288" t="str">
        <f>Controle!B633</f>
        <v/>
      </c>
      <c r="C633" s="233" t="str">
        <f>Controle!C633</f>
        <v/>
      </c>
      <c r="D633" s="289" t="str">
        <f>Controle!D633</f>
        <v/>
      </c>
      <c r="E633" s="290"/>
      <c r="F633" s="291" t="str">
        <f>Controle!F633</f>
        <v/>
      </c>
      <c r="G633" s="289" t="str">
        <f>Controle!G633</f>
        <v/>
      </c>
      <c r="H633" s="290"/>
      <c r="I633" s="291" t="str">
        <f>Controle!I633</f>
        <v/>
      </c>
      <c r="J633" s="233" t="str">
        <f>Controle!J633</f>
        <v/>
      </c>
      <c r="K633" s="292"/>
      <c r="L633" s="233" t="str">
        <f>Controle!L633</f>
        <v/>
      </c>
      <c r="M633" s="233" t="str">
        <f>Controle!M633</f>
        <v/>
      </c>
      <c r="N633" s="235" t="str">
        <f>Controle!N633</f>
        <v/>
      </c>
      <c r="O633" s="235" t="str">
        <f>Controle!O633</f>
        <v/>
      </c>
      <c r="P633" s="235" t="str">
        <f>Controle!P633</f>
        <v/>
      </c>
      <c r="Q633" s="235" t="str">
        <f>Controle!Q633</f>
        <v/>
      </c>
      <c r="R633" s="286" t="str">
        <f>Controle!R633</f>
        <v/>
      </c>
      <c r="S633" s="286"/>
      <c r="T633" s="286"/>
      <c r="U633" s="286"/>
      <c r="V633" s="286"/>
      <c r="W633" s="286"/>
      <c r="X633" s="286"/>
      <c r="Y633" s="286"/>
      <c r="Z633" s="286"/>
      <c r="AA633" s="294"/>
      <c r="AB633" s="253"/>
      <c r="AC633" s="253"/>
      <c r="AD633" s="253"/>
      <c r="AE633" s="253"/>
      <c r="AF633" s="253"/>
      <c r="AG633" s="253"/>
      <c r="AH633" s="253"/>
      <c r="AI633" s="253"/>
      <c r="AJ633" s="253"/>
      <c r="AK633" s="253"/>
      <c r="AL633" s="253"/>
      <c r="AM633" s="253"/>
      <c r="AN633" s="253"/>
      <c r="AO633" s="253"/>
      <c r="AP633" s="253"/>
      <c r="AQ633" s="253"/>
      <c r="AR633" s="253"/>
      <c r="AS633" s="253"/>
      <c r="AT633" s="2"/>
      <c r="AU633" s="2"/>
      <c r="AV633" s="2"/>
      <c r="AW633" s="2"/>
      <c r="AX633" s="2"/>
      <c r="AY633" s="253"/>
    </row>
    <row r="634" ht="15.75" customHeight="1">
      <c r="A634" s="2"/>
      <c r="B634" s="288" t="str">
        <f>Controle!B634</f>
        <v/>
      </c>
      <c r="C634" s="233" t="str">
        <f>Controle!C634</f>
        <v/>
      </c>
      <c r="D634" s="289" t="str">
        <f>Controle!D634</f>
        <v/>
      </c>
      <c r="E634" s="290"/>
      <c r="F634" s="291" t="str">
        <f>Controle!F634</f>
        <v/>
      </c>
      <c r="G634" s="289" t="str">
        <f>Controle!G634</f>
        <v/>
      </c>
      <c r="H634" s="290"/>
      <c r="I634" s="291" t="str">
        <f>Controle!I634</f>
        <v/>
      </c>
      <c r="J634" s="233" t="str">
        <f>Controle!J634</f>
        <v/>
      </c>
      <c r="K634" s="292"/>
      <c r="L634" s="233" t="str">
        <f>Controle!L634</f>
        <v/>
      </c>
      <c r="M634" s="233" t="str">
        <f>Controle!M634</f>
        <v/>
      </c>
      <c r="N634" s="235" t="str">
        <f>Controle!N634</f>
        <v/>
      </c>
      <c r="O634" s="235" t="str">
        <f>Controle!O634</f>
        <v/>
      </c>
      <c r="P634" s="235" t="str">
        <f>Controle!P634</f>
        <v/>
      </c>
      <c r="Q634" s="235" t="str">
        <f>Controle!Q634</f>
        <v/>
      </c>
      <c r="R634" s="286" t="str">
        <f>Controle!R634</f>
        <v/>
      </c>
      <c r="S634" s="286"/>
      <c r="T634" s="286"/>
      <c r="U634" s="286"/>
      <c r="V634" s="286"/>
      <c r="W634" s="286"/>
      <c r="X634" s="286"/>
      <c r="Y634" s="286"/>
      <c r="Z634" s="286"/>
      <c r="AA634" s="294"/>
      <c r="AB634" s="253"/>
      <c r="AC634" s="253"/>
      <c r="AD634" s="253"/>
      <c r="AE634" s="253"/>
      <c r="AF634" s="253"/>
      <c r="AG634" s="253"/>
      <c r="AH634" s="253"/>
      <c r="AI634" s="253"/>
      <c r="AJ634" s="253"/>
      <c r="AK634" s="253"/>
      <c r="AL634" s="253"/>
      <c r="AM634" s="253"/>
      <c r="AN634" s="253"/>
      <c r="AO634" s="253"/>
      <c r="AP634" s="253"/>
      <c r="AQ634" s="253"/>
      <c r="AR634" s="253"/>
      <c r="AS634" s="253"/>
      <c r="AT634" s="2"/>
      <c r="AU634" s="2"/>
      <c r="AV634" s="2"/>
      <c r="AW634" s="2"/>
      <c r="AX634" s="2"/>
      <c r="AY634" s="253"/>
    </row>
    <row r="635" ht="15.75" customHeight="1">
      <c r="A635" s="2"/>
      <c r="B635" s="288" t="str">
        <f>Controle!B635</f>
        <v/>
      </c>
      <c r="C635" s="233" t="str">
        <f>Controle!C635</f>
        <v/>
      </c>
      <c r="D635" s="289" t="str">
        <f>Controle!D635</f>
        <v/>
      </c>
      <c r="E635" s="290"/>
      <c r="F635" s="291" t="str">
        <f>Controle!F635</f>
        <v/>
      </c>
      <c r="G635" s="289" t="str">
        <f>Controle!G635</f>
        <v/>
      </c>
      <c r="H635" s="290"/>
      <c r="I635" s="291" t="str">
        <f>Controle!I635</f>
        <v/>
      </c>
      <c r="J635" s="233" t="str">
        <f>Controle!J635</f>
        <v/>
      </c>
      <c r="K635" s="292"/>
      <c r="L635" s="233" t="str">
        <f>Controle!L635</f>
        <v/>
      </c>
      <c r="M635" s="233" t="str">
        <f>Controle!M635</f>
        <v/>
      </c>
      <c r="N635" s="235" t="str">
        <f>Controle!N635</f>
        <v/>
      </c>
      <c r="O635" s="235" t="str">
        <f>Controle!O635</f>
        <v/>
      </c>
      <c r="P635" s="235" t="str">
        <f>Controle!P635</f>
        <v/>
      </c>
      <c r="Q635" s="235" t="str">
        <f>Controle!Q635</f>
        <v/>
      </c>
      <c r="R635" s="286" t="str">
        <f>Controle!R635</f>
        <v/>
      </c>
      <c r="S635" s="286"/>
      <c r="T635" s="286"/>
      <c r="U635" s="286"/>
      <c r="V635" s="286"/>
      <c r="W635" s="286"/>
      <c r="X635" s="286"/>
      <c r="Y635" s="286"/>
      <c r="Z635" s="286"/>
      <c r="AA635" s="294"/>
      <c r="AB635" s="253"/>
      <c r="AC635" s="253"/>
      <c r="AD635" s="253"/>
      <c r="AE635" s="253"/>
      <c r="AF635" s="253"/>
      <c r="AG635" s="253"/>
      <c r="AH635" s="253"/>
      <c r="AI635" s="253"/>
      <c r="AJ635" s="253"/>
      <c r="AK635" s="253"/>
      <c r="AL635" s="253"/>
      <c r="AM635" s="253"/>
      <c r="AN635" s="253"/>
      <c r="AO635" s="253"/>
      <c r="AP635" s="253"/>
      <c r="AQ635" s="253"/>
      <c r="AR635" s="253"/>
      <c r="AS635" s="253"/>
      <c r="AT635" s="2"/>
      <c r="AU635" s="2"/>
      <c r="AV635" s="2"/>
      <c r="AW635" s="2"/>
      <c r="AX635" s="2"/>
      <c r="AY635" s="253"/>
    </row>
    <row r="636" ht="15.75" customHeight="1">
      <c r="A636" s="2"/>
      <c r="B636" s="288" t="str">
        <f>Controle!B636</f>
        <v/>
      </c>
      <c r="C636" s="233" t="str">
        <f>Controle!C636</f>
        <v/>
      </c>
      <c r="D636" s="289" t="str">
        <f>Controle!D636</f>
        <v/>
      </c>
      <c r="E636" s="290"/>
      <c r="F636" s="291" t="str">
        <f>Controle!F636</f>
        <v/>
      </c>
      <c r="G636" s="289" t="str">
        <f>Controle!G636</f>
        <v/>
      </c>
      <c r="H636" s="290"/>
      <c r="I636" s="291" t="str">
        <f>Controle!I636</f>
        <v/>
      </c>
      <c r="J636" s="233" t="str">
        <f>Controle!J636</f>
        <v/>
      </c>
      <c r="K636" s="292"/>
      <c r="L636" s="233" t="str">
        <f>Controle!L636</f>
        <v/>
      </c>
      <c r="M636" s="233" t="str">
        <f>Controle!M636</f>
        <v/>
      </c>
      <c r="N636" s="235" t="str">
        <f>Controle!N636</f>
        <v/>
      </c>
      <c r="O636" s="235" t="str">
        <f>Controle!O636</f>
        <v/>
      </c>
      <c r="P636" s="235" t="str">
        <f>Controle!P636</f>
        <v/>
      </c>
      <c r="Q636" s="235" t="str">
        <f>Controle!Q636</f>
        <v/>
      </c>
      <c r="R636" s="286" t="str">
        <f>Controle!R636</f>
        <v/>
      </c>
      <c r="S636" s="286"/>
      <c r="T636" s="286"/>
      <c r="U636" s="286"/>
      <c r="V636" s="286"/>
      <c r="W636" s="286"/>
      <c r="X636" s="286"/>
      <c r="Y636" s="286"/>
      <c r="Z636" s="286"/>
      <c r="AA636" s="294"/>
      <c r="AB636" s="253"/>
      <c r="AC636" s="253"/>
      <c r="AD636" s="253"/>
      <c r="AE636" s="253"/>
      <c r="AF636" s="253"/>
      <c r="AG636" s="253"/>
      <c r="AH636" s="253"/>
      <c r="AI636" s="253"/>
      <c r="AJ636" s="253"/>
      <c r="AK636" s="253"/>
      <c r="AL636" s="253"/>
      <c r="AM636" s="253"/>
      <c r="AN636" s="253"/>
      <c r="AO636" s="253"/>
      <c r="AP636" s="253"/>
      <c r="AQ636" s="253"/>
      <c r="AR636" s="253"/>
      <c r="AS636" s="253"/>
      <c r="AT636" s="2"/>
      <c r="AU636" s="2"/>
      <c r="AV636" s="2"/>
      <c r="AW636" s="2"/>
      <c r="AX636" s="2"/>
      <c r="AY636" s="253"/>
    </row>
    <row r="637" ht="15.75" customHeight="1">
      <c r="A637" s="2"/>
      <c r="B637" s="288" t="str">
        <f>Controle!B637</f>
        <v/>
      </c>
      <c r="C637" s="233" t="str">
        <f>Controle!C637</f>
        <v/>
      </c>
      <c r="D637" s="289" t="str">
        <f>Controle!D637</f>
        <v/>
      </c>
      <c r="E637" s="290"/>
      <c r="F637" s="291" t="str">
        <f>Controle!F637</f>
        <v/>
      </c>
      <c r="G637" s="289" t="str">
        <f>Controle!G637</f>
        <v/>
      </c>
      <c r="H637" s="290"/>
      <c r="I637" s="291" t="str">
        <f>Controle!I637</f>
        <v/>
      </c>
      <c r="J637" s="233" t="str">
        <f>Controle!J637</f>
        <v/>
      </c>
      <c r="K637" s="292"/>
      <c r="L637" s="233" t="str">
        <f>Controle!L637</f>
        <v/>
      </c>
      <c r="M637" s="233" t="str">
        <f>Controle!M637</f>
        <v/>
      </c>
      <c r="N637" s="235" t="str">
        <f>Controle!N637</f>
        <v/>
      </c>
      <c r="O637" s="235" t="str">
        <f>Controle!O637</f>
        <v/>
      </c>
      <c r="P637" s="235" t="str">
        <f>Controle!P637</f>
        <v/>
      </c>
      <c r="Q637" s="235" t="str">
        <f>Controle!Q637</f>
        <v/>
      </c>
      <c r="R637" s="286" t="str">
        <f>Controle!R637</f>
        <v/>
      </c>
      <c r="S637" s="286"/>
      <c r="T637" s="286"/>
      <c r="U637" s="286"/>
      <c r="V637" s="286"/>
      <c r="W637" s="286"/>
      <c r="X637" s="286"/>
      <c r="Y637" s="286"/>
      <c r="Z637" s="286"/>
      <c r="AA637" s="294"/>
      <c r="AB637" s="253"/>
      <c r="AC637" s="253"/>
      <c r="AD637" s="253"/>
      <c r="AE637" s="253"/>
      <c r="AF637" s="253"/>
      <c r="AG637" s="253"/>
      <c r="AH637" s="253"/>
      <c r="AI637" s="253"/>
      <c r="AJ637" s="253"/>
      <c r="AK637" s="253"/>
      <c r="AL637" s="253"/>
      <c r="AM637" s="253"/>
      <c r="AN637" s="253"/>
      <c r="AO637" s="253"/>
      <c r="AP637" s="253"/>
      <c r="AQ637" s="253"/>
      <c r="AR637" s="253"/>
      <c r="AS637" s="253"/>
      <c r="AT637" s="2"/>
      <c r="AU637" s="2"/>
      <c r="AV637" s="2"/>
      <c r="AW637" s="2"/>
      <c r="AX637" s="2"/>
      <c r="AY637" s="253"/>
    </row>
    <row r="638" ht="15.75" customHeight="1">
      <c r="A638" s="2"/>
      <c r="B638" s="288" t="str">
        <f>Controle!B638</f>
        <v/>
      </c>
      <c r="C638" s="233" t="str">
        <f>Controle!C638</f>
        <v/>
      </c>
      <c r="D638" s="289" t="str">
        <f>Controle!D638</f>
        <v/>
      </c>
      <c r="E638" s="290"/>
      <c r="F638" s="291" t="str">
        <f>Controle!F638</f>
        <v/>
      </c>
      <c r="G638" s="289" t="str">
        <f>Controle!G638</f>
        <v/>
      </c>
      <c r="H638" s="290"/>
      <c r="I638" s="291" t="str">
        <f>Controle!I638</f>
        <v/>
      </c>
      <c r="J638" s="233" t="str">
        <f>Controle!J638</f>
        <v/>
      </c>
      <c r="K638" s="292"/>
      <c r="L638" s="233" t="str">
        <f>Controle!L638</f>
        <v/>
      </c>
      <c r="M638" s="233" t="str">
        <f>Controle!M638</f>
        <v/>
      </c>
      <c r="N638" s="235" t="str">
        <f>Controle!N638</f>
        <v/>
      </c>
      <c r="O638" s="235" t="str">
        <f>Controle!O638</f>
        <v/>
      </c>
      <c r="P638" s="235" t="str">
        <f>Controle!P638</f>
        <v/>
      </c>
      <c r="Q638" s="235" t="str">
        <f>Controle!Q638</f>
        <v/>
      </c>
      <c r="R638" s="286" t="str">
        <f>Controle!R638</f>
        <v/>
      </c>
      <c r="S638" s="286"/>
      <c r="T638" s="286"/>
      <c r="U638" s="286"/>
      <c r="V638" s="286"/>
      <c r="W638" s="286"/>
      <c r="X638" s="286"/>
      <c r="Y638" s="286"/>
      <c r="Z638" s="286"/>
      <c r="AA638" s="294"/>
      <c r="AB638" s="253"/>
      <c r="AC638" s="253"/>
      <c r="AD638" s="253"/>
      <c r="AE638" s="253"/>
      <c r="AF638" s="253"/>
      <c r="AG638" s="253"/>
      <c r="AH638" s="253"/>
      <c r="AI638" s="253"/>
      <c r="AJ638" s="253"/>
      <c r="AK638" s="253"/>
      <c r="AL638" s="253"/>
      <c r="AM638" s="253"/>
      <c r="AN638" s="253"/>
      <c r="AO638" s="253"/>
      <c r="AP638" s="253"/>
      <c r="AQ638" s="253"/>
      <c r="AR638" s="253"/>
      <c r="AS638" s="253"/>
      <c r="AT638" s="2"/>
      <c r="AU638" s="2"/>
      <c r="AV638" s="2"/>
      <c r="AW638" s="2"/>
      <c r="AX638" s="2"/>
      <c r="AY638" s="253"/>
    </row>
    <row r="639" ht="15.75" customHeight="1">
      <c r="A639" s="2"/>
      <c r="B639" s="288" t="str">
        <f>Controle!B639</f>
        <v/>
      </c>
      <c r="C639" s="233" t="str">
        <f>Controle!C639</f>
        <v/>
      </c>
      <c r="D639" s="289" t="str">
        <f>Controle!D639</f>
        <v/>
      </c>
      <c r="E639" s="290"/>
      <c r="F639" s="291" t="str">
        <f>Controle!F639</f>
        <v/>
      </c>
      <c r="G639" s="289" t="str">
        <f>Controle!G639</f>
        <v/>
      </c>
      <c r="H639" s="290"/>
      <c r="I639" s="291" t="str">
        <f>Controle!I639</f>
        <v/>
      </c>
      <c r="J639" s="233" t="str">
        <f>Controle!J639</f>
        <v/>
      </c>
      <c r="K639" s="292"/>
      <c r="L639" s="233" t="str">
        <f>Controle!L639</f>
        <v/>
      </c>
      <c r="M639" s="233" t="str">
        <f>Controle!M639</f>
        <v/>
      </c>
      <c r="N639" s="235" t="str">
        <f>Controle!N639</f>
        <v/>
      </c>
      <c r="O639" s="235" t="str">
        <f>Controle!O639</f>
        <v/>
      </c>
      <c r="P639" s="235" t="str">
        <f>Controle!P639</f>
        <v/>
      </c>
      <c r="Q639" s="235" t="str">
        <f>Controle!Q639</f>
        <v/>
      </c>
      <c r="R639" s="286" t="str">
        <f>Controle!R639</f>
        <v/>
      </c>
      <c r="S639" s="286"/>
      <c r="T639" s="286"/>
      <c r="U639" s="286"/>
      <c r="V639" s="286"/>
      <c r="W639" s="286"/>
      <c r="X639" s="286"/>
      <c r="Y639" s="286"/>
      <c r="Z639" s="286"/>
      <c r="AA639" s="294"/>
      <c r="AB639" s="253"/>
      <c r="AC639" s="253"/>
      <c r="AD639" s="253"/>
      <c r="AE639" s="253"/>
      <c r="AF639" s="253"/>
      <c r="AG639" s="253"/>
      <c r="AH639" s="253"/>
      <c r="AI639" s="253"/>
      <c r="AJ639" s="253"/>
      <c r="AK639" s="253"/>
      <c r="AL639" s="253"/>
      <c r="AM639" s="253"/>
      <c r="AN639" s="253"/>
      <c r="AO639" s="253"/>
      <c r="AP639" s="253"/>
      <c r="AQ639" s="253"/>
      <c r="AR639" s="253"/>
      <c r="AS639" s="253"/>
      <c r="AT639" s="2"/>
      <c r="AU639" s="2"/>
      <c r="AV639" s="2"/>
      <c r="AW639" s="2"/>
      <c r="AX639" s="2"/>
      <c r="AY639" s="253"/>
    </row>
    <row r="640" ht="15.75" customHeight="1">
      <c r="A640" s="2"/>
      <c r="B640" s="288" t="str">
        <f>Controle!B640</f>
        <v/>
      </c>
      <c r="C640" s="233" t="str">
        <f>Controle!C640</f>
        <v/>
      </c>
      <c r="D640" s="289" t="str">
        <f>Controle!D640</f>
        <v/>
      </c>
      <c r="E640" s="290"/>
      <c r="F640" s="291" t="str">
        <f>Controle!F640</f>
        <v/>
      </c>
      <c r="G640" s="289" t="str">
        <f>Controle!G640</f>
        <v/>
      </c>
      <c r="H640" s="290"/>
      <c r="I640" s="291" t="str">
        <f>Controle!I640</f>
        <v/>
      </c>
      <c r="J640" s="233" t="str">
        <f>Controle!J640</f>
        <v/>
      </c>
      <c r="K640" s="292"/>
      <c r="L640" s="233" t="str">
        <f>Controle!L640</f>
        <v/>
      </c>
      <c r="M640" s="233" t="str">
        <f>Controle!M640</f>
        <v/>
      </c>
      <c r="N640" s="235" t="str">
        <f>Controle!N640</f>
        <v/>
      </c>
      <c r="O640" s="235" t="str">
        <f>Controle!O640</f>
        <v/>
      </c>
      <c r="P640" s="235" t="str">
        <f>Controle!P640</f>
        <v/>
      </c>
      <c r="Q640" s="235" t="str">
        <f>Controle!Q640</f>
        <v/>
      </c>
      <c r="R640" s="286" t="str">
        <f>Controle!R640</f>
        <v/>
      </c>
      <c r="S640" s="286"/>
      <c r="T640" s="286"/>
      <c r="U640" s="286"/>
      <c r="V640" s="286"/>
      <c r="W640" s="286"/>
      <c r="X640" s="286"/>
      <c r="Y640" s="286"/>
      <c r="Z640" s="286"/>
      <c r="AA640" s="294"/>
      <c r="AB640" s="253"/>
      <c r="AC640" s="253"/>
      <c r="AD640" s="253"/>
      <c r="AE640" s="253"/>
      <c r="AF640" s="253"/>
      <c r="AG640" s="253"/>
      <c r="AH640" s="253"/>
      <c r="AI640" s="253"/>
      <c r="AJ640" s="253"/>
      <c r="AK640" s="253"/>
      <c r="AL640" s="253"/>
      <c r="AM640" s="253"/>
      <c r="AN640" s="253"/>
      <c r="AO640" s="253"/>
      <c r="AP640" s="253"/>
      <c r="AQ640" s="253"/>
      <c r="AR640" s="253"/>
      <c r="AS640" s="253"/>
      <c r="AT640" s="2"/>
      <c r="AU640" s="2"/>
      <c r="AV640" s="2"/>
      <c r="AW640" s="2"/>
      <c r="AX640" s="2"/>
      <c r="AY640" s="253"/>
    </row>
    <row r="641" ht="15.75" customHeight="1">
      <c r="A641" s="2"/>
      <c r="B641" s="288" t="str">
        <f>Controle!B641</f>
        <v/>
      </c>
      <c r="C641" s="233" t="str">
        <f>Controle!C641</f>
        <v/>
      </c>
      <c r="D641" s="289" t="str">
        <f>Controle!D641</f>
        <v/>
      </c>
      <c r="E641" s="290"/>
      <c r="F641" s="291" t="str">
        <f>Controle!F641</f>
        <v/>
      </c>
      <c r="G641" s="289" t="str">
        <f>Controle!G641</f>
        <v/>
      </c>
      <c r="H641" s="290"/>
      <c r="I641" s="291" t="str">
        <f>Controle!I641</f>
        <v/>
      </c>
      <c r="J641" s="233" t="str">
        <f>Controle!J641</f>
        <v/>
      </c>
      <c r="K641" s="292"/>
      <c r="L641" s="233" t="str">
        <f>Controle!L641</f>
        <v/>
      </c>
      <c r="M641" s="233" t="str">
        <f>Controle!M641</f>
        <v/>
      </c>
      <c r="N641" s="235" t="str">
        <f>Controle!N641</f>
        <v/>
      </c>
      <c r="O641" s="235" t="str">
        <f>Controle!O641</f>
        <v/>
      </c>
      <c r="P641" s="235" t="str">
        <f>Controle!P641</f>
        <v/>
      </c>
      <c r="Q641" s="235" t="str">
        <f>Controle!Q641</f>
        <v/>
      </c>
      <c r="R641" s="286" t="str">
        <f>Controle!R641</f>
        <v/>
      </c>
      <c r="S641" s="286"/>
      <c r="T641" s="286"/>
      <c r="U641" s="286"/>
      <c r="V641" s="286"/>
      <c r="W641" s="286"/>
      <c r="X641" s="286"/>
      <c r="Y641" s="286"/>
      <c r="Z641" s="286"/>
      <c r="AA641" s="294"/>
      <c r="AB641" s="253"/>
      <c r="AC641" s="253"/>
      <c r="AD641" s="253"/>
      <c r="AE641" s="253"/>
      <c r="AF641" s="253"/>
      <c r="AG641" s="253"/>
      <c r="AH641" s="253"/>
      <c r="AI641" s="253"/>
      <c r="AJ641" s="253"/>
      <c r="AK641" s="253"/>
      <c r="AL641" s="253"/>
      <c r="AM641" s="253"/>
      <c r="AN641" s="253"/>
      <c r="AO641" s="253"/>
      <c r="AP641" s="253"/>
      <c r="AQ641" s="253"/>
      <c r="AR641" s="253"/>
      <c r="AS641" s="253"/>
      <c r="AT641" s="2"/>
      <c r="AU641" s="2"/>
      <c r="AV641" s="2"/>
      <c r="AW641" s="2"/>
      <c r="AX641" s="2"/>
      <c r="AY641" s="253"/>
    </row>
    <row r="642" ht="15.75" customHeight="1">
      <c r="A642" s="2"/>
      <c r="B642" s="288" t="str">
        <f>Controle!B642</f>
        <v/>
      </c>
      <c r="C642" s="233" t="str">
        <f>Controle!C642</f>
        <v/>
      </c>
      <c r="D642" s="289" t="str">
        <f>Controle!D642</f>
        <v/>
      </c>
      <c r="E642" s="290"/>
      <c r="F642" s="291" t="str">
        <f>Controle!F642</f>
        <v/>
      </c>
      <c r="G642" s="289" t="str">
        <f>Controle!G642</f>
        <v/>
      </c>
      <c r="H642" s="290"/>
      <c r="I642" s="291" t="str">
        <f>Controle!I642</f>
        <v/>
      </c>
      <c r="J642" s="233" t="str">
        <f>Controle!J642</f>
        <v/>
      </c>
      <c r="K642" s="292"/>
      <c r="L642" s="233" t="str">
        <f>Controle!L642</f>
        <v/>
      </c>
      <c r="M642" s="233" t="str">
        <f>Controle!M642</f>
        <v/>
      </c>
      <c r="N642" s="235" t="str">
        <f>Controle!N642</f>
        <v/>
      </c>
      <c r="O642" s="235" t="str">
        <f>Controle!O642</f>
        <v/>
      </c>
      <c r="P642" s="235" t="str">
        <f>Controle!P642</f>
        <v/>
      </c>
      <c r="Q642" s="235" t="str">
        <f>Controle!Q642</f>
        <v/>
      </c>
      <c r="R642" s="286" t="str">
        <f>Controle!R642</f>
        <v/>
      </c>
      <c r="S642" s="286"/>
      <c r="T642" s="286"/>
      <c r="U642" s="286"/>
      <c r="V642" s="286"/>
      <c r="W642" s="286"/>
      <c r="X642" s="286"/>
      <c r="Y642" s="286"/>
      <c r="Z642" s="286"/>
      <c r="AA642" s="294"/>
      <c r="AB642" s="253"/>
      <c r="AC642" s="253"/>
      <c r="AD642" s="253"/>
      <c r="AE642" s="253"/>
      <c r="AF642" s="253"/>
      <c r="AG642" s="253"/>
      <c r="AH642" s="253"/>
      <c r="AI642" s="253"/>
      <c r="AJ642" s="253"/>
      <c r="AK642" s="253"/>
      <c r="AL642" s="253"/>
      <c r="AM642" s="253"/>
      <c r="AN642" s="253"/>
      <c r="AO642" s="253"/>
      <c r="AP642" s="253"/>
      <c r="AQ642" s="253"/>
      <c r="AR642" s="253"/>
      <c r="AS642" s="253"/>
      <c r="AT642" s="2"/>
      <c r="AU642" s="2"/>
      <c r="AV642" s="2"/>
      <c r="AW642" s="2"/>
      <c r="AX642" s="2"/>
      <c r="AY642" s="253"/>
    </row>
    <row r="643" ht="15.75" customHeight="1">
      <c r="A643" s="2"/>
      <c r="B643" s="288" t="str">
        <f>Controle!B643</f>
        <v/>
      </c>
      <c r="C643" s="233" t="str">
        <f>Controle!C643</f>
        <v/>
      </c>
      <c r="D643" s="289" t="str">
        <f>Controle!D643</f>
        <v/>
      </c>
      <c r="E643" s="290"/>
      <c r="F643" s="291" t="str">
        <f>Controle!F643</f>
        <v/>
      </c>
      <c r="G643" s="289" t="str">
        <f>Controle!G643</f>
        <v/>
      </c>
      <c r="H643" s="290"/>
      <c r="I643" s="291" t="str">
        <f>Controle!I643</f>
        <v/>
      </c>
      <c r="J643" s="233" t="str">
        <f>Controle!J643</f>
        <v/>
      </c>
      <c r="K643" s="292"/>
      <c r="L643" s="233" t="str">
        <f>Controle!L643</f>
        <v/>
      </c>
      <c r="M643" s="233" t="str">
        <f>Controle!M643</f>
        <v/>
      </c>
      <c r="N643" s="235" t="str">
        <f>Controle!N643</f>
        <v/>
      </c>
      <c r="O643" s="235" t="str">
        <f>Controle!O643</f>
        <v/>
      </c>
      <c r="P643" s="235" t="str">
        <f>Controle!P643</f>
        <v/>
      </c>
      <c r="Q643" s="235" t="str">
        <f>Controle!Q643</f>
        <v/>
      </c>
      <c r="R643" s="286" t="str">
        <f>Controle!R643</f>
        <v/>
      </c>
      <c r="S643" s="286"/>
      <c r="T643" s="286"/>
      <c r="U643" s="286"/>
      <c r="V643" s="286"/>
      <c r="W643" s="286"/>
      <c r="X643" s="286"/>
      <c r="Y643" s="286"/>
      <c r="Z643" s="286"/>
      <c r="AA643" s="294"/>
      <c r="AB643" s="253"/>
      <c r="AC643" s="253"/>
      <c r="AD643" s="253"/>
      <c r="AE643" s="253"/>
      <c r="AF643" s="253"/>
      <c r="AG643" s="253"/>
      <c r="AH643" s="253"/>
      <c r="AI643" s="253"/>
      <c r="AJ643" s="253"/>
      <c r="AK643" s="253"/>
      <c r="AL643" s="253"/>
      <c r="AM643" s="253"/>
      <c r="AN643" s="253"/>
      <c r="AO643" s="253"/>
      <c r="AP643" s="253"/>
      <c r="AQ643" s="253"/>
      <c r="AR643" s="253"/>
      <c r="AS643" s="253"/>
      <c r="AT643" s="2"/>
      <c r="AU643" s="2"/>
      <c r="AV643" s="2"/>
      <c r="AW643" s="2"/>
      <c r="AX643" s="2"/>
      <c r="AY643" s="253"/>
    </row>
    <row r="644" ht="15.75" customHeight="1">
      <c r="A644" s="2"/>
      <c r="B644" s="288" t="str">
        <f>Controle!B644</f>
        <v/>
      </c>
      <c r="C644" s="233" t="str">
        <f>Controle!C644</f>
        <v/>
      </c>
      <c r="D644" s="289" t="str">
        <f>Controle!D644</f>
        <v/>
      </c>
      <c r="E644" s="290"/>
      <c r="F644" s="291" t="str">
        <f>Controle!F644</f>
        <v/>
      </c>
      <c r="G644" s="289" t="str">
        <f>Controle!G644</f>
        <v/>
      </c>
      <c r="H644" s="290"/>
      <c r="I644" s="291" t="str">
        <f>Controle!I644</f>
        <v/>
      </c>
      <c r="J644" s="233" t="str">
        <f>Controle!J644</f>
        <v/>
      </c>
      <c r="K644" s="292"/>
      <c r="L644" s="233" t="str">
        <f>Controle!L644</f>
        <v/>
      </c>
      <c r="M644" s="233" t="str">
        <f>Controle!M644</f>
        <v/>
      </c>
      <c r="N644" s="235" t="str">
        <f>Controle!N644</f>
        <v/>
      </c>
      <c r="O644" s="235" t="str">
        <f>Controle!O644</f>
        <v/>
      </c>
      <c r="P644" s="235" t="str">
        <f>Controle!P644</f>
        <v/>
      </c>
      <c r="Q644" s="235" t="str">
        <f>Controle!Q644</f>
        <v/>
      </c>
      <c r="R644" s="286" t="str">
        <f>Controle!R644</f>
        <v/>
      </c>
      <c r="S644" s="286"/>
      <c r="T644" s="286"/>
      <c r="U644" s="286"/>
      <c r="V644" s="286"/>
      <c r="W644" s="286"/>
      <c r="X644" s="286"/>
      <c r="Y644" s="286"/>
      <c r="Z644" s="286"/>
      <c r="AA644" s="294"/>
      <c r="AB644" s="253"/>
      <c r="AC644" s="253"/>
      <c r="AD644" s="253"/>
      <c r="AE644" s="253"/>
      <c r="AF644" s="253"/>
      <c r="AG644" s="253"/>
      <c r="AH644" s="253"/>
      <c r="AI644" s="253"/>
      <c r="AJ644" s="253"/>
      <c r="AK644" s="253"/>
      <c r="AL644" s="253"/>
      <c r="AM644" s="253"/>
      <c r="AN644" s="253"/>
      <c r="AO644" s="253"/>
      <c r="AP644" s="253"/>
      <c r="AQ644" s="253"/>
      <c r="AR644" s="253"/>
      <c r="AS644" s="253"/>
      <c r="AT644" s="2"/>
      <c r="AU644" s="2"/>
      <c r="AV644" s="2"/>
      <c r="AW644" s="2"/>
      <c r="AX644" s="2"/>
      <c r="AY644" s="253"/>
    </row>
    <row r="645" ht="15.75" customHeight="1">
      <c r="A645" s="2"/>
      <c r="B645" s="288" t="str">
        <f>Controle!B645</f>
        <v/>
      </c>
      <c r="C645" s="233" t="str">
        <f>Controle!C645</f>
        <v/>
      </c>
      <c r="D645" s="289" t="str">
        <f>Controle!D645</f>
        <v/>
      </c>
      <c r="E645" s="290"/>
      <c r="F645" s="291" t="str">
        <f>Controle!F645</f>
        <v/>
      </c>
      <c r="G645" s="289" t="str">
        <f>Controle!G645</f>
        <v/>
      </c>
      <c r="H645" s="290"/>
      <c r="I645" s="291" t="str">
        <f>Controle!I645</f>
        <v/>
      </c>
      <c r="J645" s="233" t="str">
        <f>Controle!J645</f>
        <v/>
      </c>
      <c r="K645" s="292"/>
      <c r="L645" s="233" t="str">
        <f>Controle!L645</f>
        <v/>
      </c>
      <c r="M645" s="233" t="str">
        <f>Controle!M645</f>
        <v/>
      </c>
      <c r="N645" s="235" t="str">
        <f>Controle!N645</f>
        <v/>
      </c>
      <c r="O645" s="235" t="str">
        <f>Controle!O645</f>
        <v/>
      </c>
      <c r="P645" s="235" t="str">
        <f>Controle!P645</f>
        <v/>
      </c>
      <c r="Q645" s="235" t="str">
        <f>Controle!Q645</f>
        <v/>
      </c>
      <c r="R645" s="286" t="str">
        <f>Controle!R645</f>
        <v/>
      </c>
      <c r="S645" s="286"/>
      <c r="T645" s="286"/>
      <c r="U645" s="286"/>
      <c r="V645" s="286"/>
      <c r="W645" s="286"/>
      <c r="X645" s="286"/>
      <c r="Y645" s="286"/>
      <c r="Z645" s="286"/>
      <c r="AA645" s="294"/>
      <c r="AB645" s="253"/>
      <c r="AC645" s="253"/>
      <c r="AD645" s="253"/>
      <c r="AE645" s="253"/>
      <c r="AF645" s="253"/>
      <c r="AG645" s="253"/>
      <c r="AH645" s="253"/>
      <c r="AI645" s="253"/>
      <c r="AJ645" s="253"/>
      <c r="AK645" s="253"/>
      <c r="AL645" s="253"/>
      <c r="AM645" s="253"/>
      <c r="AN645" s="253"/>
      <c r="AO645" s="253"/>
      <c r="AP645" s="253"/>
      <c r="AQ645" s="253"/>
      <c r="AR645" s="253"/>
      <c r="AS645" s="253"/>
      <c r="AT645" s="2"/>
      <c r="AU645" s="2"/>
      <c r="AV645" s="2"/>
      <c r="AW645" s="2"/>
      <c r="AX645" s="2"/>
      <c r="AY645" s="253"/>
    </row>
    <row r="646" ht="15.75" customHeight="1">
      <c r="A646" s="2"/>
      <c r="B646" s="288" t="str">
        <f>Controle!B646</f>
        <v/>
      </c>
      <c r="C646" s="233" t="str">
        <f>Controle!C646</f>
        <v/>
      </c>
      <c r="D646" s="289" t="str">
        <f>Controle!D646</f>
        <v/>
      </c>
      <c r="E646" s="290"/>
      <c r="F646" s="291" t="str">
        <f>Controle!F646</f>
        <v/>
      </c>
      <c r="G646" s="289" t="str">
        <f>Controle!G646</f>
        <v/>
      </c>
      <c r="H646" s="290"/>
      <c r="I646" s="291" t="str">
        <f>Controle!I646</f>
        <v/>
      </c>
      <c r="J646" s="233" t="str">
        <f>Controle!J646</f>
        <v/>
      </c>
      <c r="K646" s="292"/>
      <c r="L646" s="233" t="str">
        <f>Controle!L646</f>
        <v/>
      </c>
      <c r="M646" s="233" t="str">
        <f>Controle!M646</f>
        <v/>
      </c>
      <c r="N646" s="235" t="str">
        <f>Controle!N646</f>
        <v/>
      </c>
      <c r="O646" s="235" t="str">
        <f>Controle!O646</f>
        <v/>
      </c>
      <c r="P646" s="235" t="str">
        <f>Controle!P646</f>
        <v/>
      </c>
      <c r="Q646" s="235" t="str">
        <f>Controle!Q646</f>
        <v/>
      </c>
      <c r="R646" s="286" t="str">
        <f>Controle!R646</f>
        <v/>
      </c>
      <c r="S646" s="286"/>
      <c r="T646" s="286"/>
      <c r="U646" s="286"/>
      <c r="V646" s="286"/>
      <c r="W646" s="286"/>
      <c r="X646" s="286"/>
      <c r="Y646" s="286"/>
      <c r="Z646" s="286"/>
      <c r="AA646" s="294"/>
      <c r="AB646" s="253"/>
      <c r="AC646" s="253"/>
      <c r="AD646" s="253"/>
      <c r="AE646" s="253"/>
      <c r="AF646" s="253"/>
      <c r="AG646" s="253"/>
      <c r="AH646" s="253"/>
      <c r="AI646" s="253"/>
      <c r="AJ646" s="253"/>
      <c r="AK646" s="253"/>
      <c r="AL646" s="253"/>
      <c r="AM646" s="253"/>
      <c r="AN646" s="253"/>
      <c r="AO646" s="253"/>
      <c r="AP646" s="253"/>
      <c r="AQ646" s="253"/>
      <c r="AR646" s="253"/>
      <c r="AS646" s="253"/>
      <c r="AT646" s="2"/>
      <c r="AU646" s="2"/>
      <c r="AV646" s="2"/>
      <c r="AW646" s="2"/>
      <c r="AX646" s="2"/>
      <c r="AY646" s="253"/>
    </row>
    <row r="647" ht="15.75" customHeight="1">
      <c r="A647" s="2"/>
      <c r="B647" s="288" t="str">
        <f>Controle!B647</f>
        <v/>
      </c>
      <c r="C647" s="233" t="str">
        <f>Controle!C647</f>
        <v/>
      </c>
      <c r="D647" s="289" t="str">
        <f>Controle!D647</f>
        <v/>
      </c>
      <c r="E647" s="290"/>
      <c r="F647" s="291" t="str">
        <f>Controle!F647</f>
        <v/>
      </c>
      <c r="G647" s="289" t="str">
        <f>Controle!G647</f>
        <v/>
      </c>
      <c r="H647" s="290"/>
      <c r="I647" s="291" t="str">
        <f>Controle!I647</f>
        <v/>
      </c>
      <c r="J647" s="233" t="str">
        <f>Controle!J647</f>
        <v/>
      </c>
      <c r="K647" s="292"/>
      <c r="L647" s="233" t="str">
        <f>Controle!L647</f>
        <v/>
      </c>
      <c r="M647" s="233" t="str">
        <f>Controle!M647</f>
        <v/>
      </c>
      <c r="N647" s="235" t="str">
        <f>Controle!N647</f>
        <v/>
      </c>
      <c r="O647" s="235" t="str">
        <f>Controle!O647</f>
        <v/>
      </c>
      <c r="P647" s="235" t="str">
        <f>Controle!P647</f>
        <v/>
      </c>
      <c r="Q647" s="235" t="str">
        <f>Controle!Q647</f>
        <v/>
      </c>
      <c r="R647" s="286" t="str">
        <f>Controle!R647</f>
        <v/>
      </c>
      <c r="S647" s="286"/>
      <c r="T647" s="286"/>
      <c r="U647" s="286"/>
      <c r="V647" s="286"/>
      <c r="W647" s="286"/>
      <c r="X647" s="286"/>
      <c r="Y647" s="286"/>
      <c r="Z647" s="286"/>
      <c r="AA647" s="294"/>
      <c r="AB647" s="253"/>
      <c r="AC647" s="253"/>
      <c r="AD647" s="253"/>
      <c r="AE647" s="253"/>
      <c r="AF647" s="253"/>
      <c r="AG647" s="253"/>
      <c r="AH647" s="253"/>
      <c r="AI647" s="253"/>
      <c r="AJ647" s="253"/>
      <c r="AK647" s="253"/>
      <c r="AL647" s="253"/>
      <c r="AM647" s="253"/>
      <c r="AN647" s="253"/>
      <c r="AO647" s="253"/>
      <c r="AP647" s="253"/>
      <c r="AQ647" s="253"/>
      <c r="AR647" s="253"/>
      <c r="AS647" s="253"/>
      <c r="AT647" s="2"/>
      <c r="AU647" s="2"/>
      <c r="AV647" s="2"/>
      <c r="AW647" s="2"/>
      <c r="AX647" s="2"/>
      <c r="AY647" s="253"/>
    </row>
    <row r="648" ht="15.75" customHeight="1">
      <c r="A648" s="2"/>
      <c r="B648" s="288" t="str">
        <f>Controle!B648</f>
        <v/>
      </c>
      <c r="C648" s="233" t="str">
        <f>Controle!C648</f>
        <v/>
      </c>
      <c r="D648" s="289" t="str">
        <f>Controle!D648</f>
        <v/>
      </c>
      <c r="E648" s="290"/>
      <c r="F648" s="291" t="str">
        <f>Controle!F648</f>
        <v/>
      </c>
      <c r="G648" s="289" t="str">
        <f>Controle!G648</f>
        <v/>
      </c>
      <c r="H648" s="290"/>
      <c r="I648" s="291" t="str">
        <f>Controle!I648</f>
        <v/>
      </c>
      <c r="J648" s="233" t="str">
        <f>Controle!J648</f>
        <v/>
      </c>
      <c r="K648" s="292"/>
      <c r="L648" s="233" t="str">
        <f>Controle!L648</f>
        <v/>
      </c>
      <c r="M648" s="233" t="str">
        <f>Controle!M648</f>
        <v/>
      </c>
      <c r="N648" s="235" t="str">
        <f>Controle!N648</f>
        <v/>
      </c>
      <c r="O648" s="235" t="str">
        <f>Controle!O648</f>
        <v/>
      </c>
      <c r="P648" s="235" t="str">
        <f>Controle!P648</f>
        <v/>
      </c>
      <c r="Q648" s="235" t="str">
        <f>Controle!Q648</f>
        <v/>
      </c>
      <c r="R648" s="286" t="str">
        <f>Controle!R648</f>
        <v/>
      </c>
      <c r="S648" s="286"/>
      <c r="T648" s="286"/>
      <c r="U648" s="286"/>
      <c r="V648" s="286"/>
      <c r="W648" s="286"/>
      <c r="X648" s="286"/>
      <c r="Y648" s="286"/>
      <c r="Z648" s="286"/>
      <c r="AA648" s="294"/>
      <c r="AB648" s="253"/>
      <c r="AC648" s="253"/>
      <c r="AD648" s="253"/>
      <c r="AE648" s="253"/>
      <c r="AF648" s="253"/>
      <c r="AG648" s="253"/>
      <c r="AH648" s="253"/>
      <c r="AI648" s="253"/>
      <c r="AJ648" s="253"/>
      <c r="AK648" s="253"/>
      <c r="AL648" s="253"/>
      <c r="AM648" s="253"/>
      <c r="AN648" s="253"/>
      <c r="AO648" s="253"/>
      <c r="AP648" s="253"/>
      <c r="AQ648" s="253"/>
      <c r="AR648" s="253"/>
      <c r="AS648" s="253"/>
      <c r="AT648" s="2"/>
      <c r="AU648" s="2"/>
      <c r="AV648" s="2"/>
      <c r="AW648" s="2"/>
      <c r="AX648" s="2"/>
      <c r="AY648" s="253"/>
    </row>
    <row r="649" ht="15.75" customHeight="1">
      <c r="A649" s="2"/>
      <c r="B649" s="288" t="str">
        <f>Controle!B649</f>
        <v/>
      </c>
      <c r="C649" s="233" t="str">
        <f>Controle!C649</f>
        <v/>
      </c>
      <c r="D649" s="289" t="str">
        <f>Controle!D649</f>
        <v/>
      </c>
      <c r="E649" s="290"/>
      <c r="F649" s="291" t="str">
        <f>Controle!F649</f>
        <v/>
      </c>
      <c r="G649" s="289" t="str">
        <f>Controle!G649</f>
        <v/>
      </c>
      <c r="H649" s="290"/>
      <c r="I649" s="291" t="str">
        <f>Controle!I649</f>
        <v/>
      </c>
      <c r="J649" s="233" t="str">
        <f>Controle!J649</f>
        <v/>
      </c>
      <c r="K649" s="292"/>
      <c r="L649" s="233" t="str">
        <f>Controle!L649</f>
        <v/>
      </c>
      <c r="M649" s="233" t="str">
        <f>Controle!M649</f>
        <v/>
      </c>
      <c r="N649" s="235" t="str">
        <f>Controle!N649</f>
        <v/>
      </c>
      <c r="O649" s="235" t="str">
        <f>Controle!O649</f>
        <v/>
      </c>
      <c r="P649" s="235" t="str">
        <f>Controle!P649</f>
        <v/>
      </c>
      <c r="Q649" s="235" t="str">
        <f>Controle!Q649</f>
        <v/>
      </c>
      <c r="R649" s="286" t="str">
        <f>Controle!R649</f>
        <v/>
      </c>
      <c r="S649" s="286"/>
      <c r="T649" s="286"/>
      <c r="U649" s="286"/>
      <c r="V649" s="286"/>
      <c r="W649" s="286"/>
      <c r="X649" s="286"/>
      <c r="Y649" s="286"/>
      <c r="Z649" s="286"/>
      <c r="AA649" s="294"/>
      <c r="AB649" s="253"/>
      <c r="AC649" s="253"/>
      <c r="AD649" s="253"/>
      <c r="AE649" s="253"/>
      <c r="AF649" s="253"/>
      <c r="AG649" s="253"/>
      <c r="AH649" s="253"/>
      <c r="AI649" s="253"/>
      <c r="AJ649" s="253"/>
      <c r="AK649" s="253"/>
      <c r="AL649" s="253"/>
      <c r="AM649" s="253"/>
      <c r="AN649" s="253"/>
      <c r="AO649" s="253"/>
      <c r="AP649" s="253"/>
      <c r="AQ649" s="253"/>
      <c r="AR649" s="253"/>
      <c r="AS649" s="253"/>
      <c r="AT649" s="2"/>
      <c r="AU649" s="2"/>
      <c r="AV649" s="2"/>
      <c r="AW649" s="2"/>
      <c r="AX649" s="2"/>
      <c r="AY649" s="253"/>
    </row>
    <row r="650" ht="15.75" customHeight="1">
      <c r="A650" s="2"/>
      <c r="B650" s="288" t="str">
        <f>Controle!B650</f>
        <v/>
      </c>
      <c r="C650" s="233" t="str">
        <f>Controle!C650</f>
        <v/>
      </c>
      <c r="D650" s="289" t="str">
        <f>Controle!D650</f>
        <v/>
      </c>
      <c r="E650" s="290"/>
      <c r="F650" s="291" t="str">
        <f>Controle!F650</f>
        <v/>
      </c>
      <c r="G650" s="289" t="str">
        <f>Controle!G650</f>
        <v/>
      </c>
      <c r="H650" s="290"/>
      <c r="I650" s="291" t="str">
        <f>Controle!I650</f>
        <v/>
      </c>
      <c r="J650" s="233" t="str">
        <f>Controle!J650</f>
        <v/>
      </c>
      <c r="K650" s="292"/>
      <c r="L650" s="233" t="str">
        <f>Controle!L650</f>
        <v/>
      </c>
      <c r="M650" s="233" t="str">
        <f>Controle!M650</f>
        <v/>
      </c>
      <c r="N650" s="235" t="str">
        <f>Controle!N650</f>
        <v/>
      </c>
      <c r="O650" s="235" t="str">
        <f>Controle!O650</f>
        <v/>
      </c>
      <c r="P650" s="235" t="str">
        <f>Controle!P650</f>
        <v/>
      </c>
      <c r="Q650" s="235" t="str">
        <f>Controle!Q650</f>
        <v/>
      </c>
      <c r="R650" s="286" t="str">
        <f>Controle!R650</f>
        <v/>
      </c>
      <c r="S650" s="286"/>
      <c r="T650" s="286"/>
      <c r="U650" s="286"/>
      <c r="V650" s="286"/>
      <c r="W650" s="286"/>
      <c r="X650" s="286"/>
      <c r="Y650" s="286"/>
      <c r="Z650" s="286"/>
      <c r="AA650" s="294"/>
      <c r="AB650" s="253"/>
      <c r="AC650" s="253"/>
      <c r="AD650" s="253"/>
      <c r="AE650" s="253"/>
      <c r="AF650" s="253"/>
      <c r="AG650" s="253"/>
      <c r="AH650" s="253"/>
      <c r="AI650" s="253"/>
      <c r="AJ650" s="253"/>
      <c r="AK650" s="253"/>
      <c r="AL650" s="253"/>
      <c r="AM650" s="253"/>
      <c r="AN650" s="253"/>
      <c r="AO650" s="253"/>
      <c r="AP650" s="253"/>
      <c r="AQ650" s="253"/>
      <c r="AR650" s="253"/>
      <c r="AS650" s="253"/>
      <c r="AT650" s="2"/>
      <c r="AU650" s="2"/>
      <c r="AV650" s="2"/>
      <c r="AW650" s="2"/>
      <c r="AX650" s="2"/>
      <c r="AY650" s="253"/>
    </row>
    <row r="651" ht="15.75" customHeight="1">
      <c r="A651" s="2"/>
      <c r="B651" s="288" t="str">
        <f>Controle!B651</f>
        <v/>
      </c>
      <c r="C651" s="233" t="str">
        <f>Controle!C651</f>
        <v/>
      </c>
      <c r="D651" s="289" t="str">
        <f>Controle!D651</f>
        <v/>
      </c>
      <c r="E651" s="290"/>
      <c r="F651" s="291" t="str">
        <f>Controle!F651</f>
        <v/>
      </c>
      <c r="G651" s="289" t="str">
        <f>Controle!G651</f>
        <v/>
      </c>
      <c r="H651" s="290"/>
      <c r="I651" s="291" t="str">
        <f>Controle!I651</f>
        <v/>
      </c>
      <c r="J651" s="233" t="str">
        <f>Controle!J651</f>
        <v/>
      </c>
      <c r="K651" s="292"/>
      <c r="L651" s="233" t="str">
        <f>Controle!L651</f>
        <v/>
      </c>
      <c r="M651" s="233" t="str">
        <f>Controle!M651</f>
        <v/>
      </c>
      <c r="N651" s="235" t="str">
        <f>Controle!N651</f>
        <v/>
      </c>
      <c r="O651" s="235" t="str">
        <f>Controle!O651</f>
        <v/>
      </c>
      <c r="P651" s="235" t="str">
        <f>Controle!P651</f>
        <v/>
      </c>
      <c r="Q651" s="235" t="str">
        <f>Controle!Q651</f>
        <v/>
      </c>
      <c r="R651" s="286" t="str">
        <f>Controle!R651</f>
        <v/>
      </c>
      <c r="S651" s="286"/>
      <c r="T651" s="286"/>
      <c r="U651" s="286"/>
      <c r="V651" s="286"/>
      <c r="W651" s="286"/>
      <c r="X651" s="286"/>
      <c r="Y651" s="286"/>
      <c r="Z651" s="286"/>
      <c r="AA651" s="294"/>
      <c r="AB651" s="253"/>
      <c r="AC651" s="253"/>
      <c r="AD651" s="253"/>
      <c r="AE651" s="253"/>
      <c r="AF651" s="253"/>
      <c r="AG651" s="253"/>
      <c r="AH651" s="253"/>
      <c r="AI651" s="253"/>
      <c r="AJ651" s="253"/>
      <c r="AK651" s="253"/>
      <c r="AL651" s="253"/>
      <c r="AM651" s="253"/>
      <c r="AN651" s="253"/>
      <c r="AO651" s="253"/>
      <c r="AP651" s="253"/>
      <c r="AQ651" s="253"/>
      <c r="AR651" s="253"/>
      <c r="AS651" s="253"/>
      <c r="AT651" s="2"/>
      <c r="AU651" s="2"/>
      <c r="AV651" s="2"/>
      <c r="AW651" s="2"/>
      <c r="AX651" s="2"/>
      <c r="AY651" s="253"/>
    </row>
    <row r="652" ht="15.75" customHeight="1">
      <c r="A652" s="2"/>
      <c r="B652" s="288" t="str">
        <f>Controle!B652</f>
        <v/>
      </c>
      <c r="C652" s="233" t="str">
        <f>Controle!C652</f>
        <v/>
      </c>
      <c r="D652" s="289" t="str">
        <f>Controle!D652</f>
        <v/>
      </c>
      <c r="E652" s="290"/>
      <c r="F652" s="291" t="str">
        <f>Controle!F652</f>
        <v/>
      </c>
      <c r="G652" s="289" t="str">
        <f>Controle!G652</f>
        <v/>
      </c>
      <c r="H652" s="290"/>
      <c r="I652" s="291" t="str">
        <f>Controle!I652</f>
        <v/>
      </c>
      <c r="J652" s="233" t="str">
        <f>Controle!J652</f>
        <v/>
      </c>
      <c r="K652" s="292"/>
      <c r="L652" s="233" t="str">
        <f>Controle!L652</f>
        <v/>
      </c>
      <c r="M652" s="233" t="str">
        <f>Controle!M652</f>
        <v/>
      </c>
      <c r="N652" s="235" t="str">
        <f>Controle!N652</f>
        <v/>
      </c>
      <c r="O652" s="235" t="str">
        <f>Controle!O652</f>
        <v/>
      </c>
      <c r="P652" s="235" t="str">
        <f>Controle!P652</f>
        <v/>
      </c>
      <c r="Q652" s="235" t="str">
        <f>Controle!Q652</f>
        <v/>
      </c>
      <c r="R652" s="286" t="str">
        <f>Controle!R652</f>
        <v/>
      </c>
      <c r="S652" s="286"/>
      <c r="T652" s="286"/>
      <c r="U652" s="286"/>
      <c r="V652" s="286"/>
      <c r="W652" s="286"/>
      <c r="X652" s="286"/>
      <c r="Y652" s="286"/>
      <c r="Z652" s="286"/>
      <c r="AA652" s="294"/>
      <c r="AB652" s="253"/>
      <c r="AC652" s="253"/>
      <c r="AD652" s="253"/>
      <c r="AE652" s="253"/>
      <c r="AF652" s="253"/>
      <c r="AG652" s="253"/>
      <c r="AH652" s="253"/>
      <c r="AI652" s="253"/>
      <c r="AJ652" s="253"/>
      <c r="AK652" s="253"/>
      <c r="AL652" s="253"/>
      <c r="AM652" s="253"/>
      <c r="AN652" s="253"/>
      <c r="AO652" s="253"/>
      <c r="AP652" s="253"/>
      <c r="AQ652" s="253"/>
      <c r="AR652" s="253"/>
      <c r="AS652" s="253"/>
      <c r="AT652" s="2"/>
      <c r="AU652" s="2"/>
      <c r="AV652" s="2"/>
      <c r="AW652" s="2"/>
      <c r="AX652" s="2"/>
      <c r="AY652" s="253"/>
    </row>
    <row r="653" ht="15.75" customHeight="1">
      <c r="A653" s="2"/>
      <c r="B653" s="288" t="str">
        <f>Controle!B653</f>
        <v/>
      </c>
      <c r="C653" s="233" t="str">
        <f>Controle!C653</f>
        <v/>
      </c>
      <c r="D653" s="289" t="str">
        <f>Controle!D653</f>
        <v/>
      </c>
      <c r="E653" s="290"/>
      <c r="F653" s="291" t="str">
        <f>Controle!F653</f>
        <v/>
      </c>
      <c r="G653" s="289" t="str">
        <f>Controle!G653</f>
        <v/>
      </c>
      <c r="H653" s="290"/>
      <c r="I653" s="291" t="str">
        <f>Controle!I653</f>
        <v/>
      </c>
      <c r="J653" s="233" t="str">
        <f>Controle!J653</f>
        <v/>
      </c>
      <c r="K653" s="292"/>
      <c r="L653" s="233" t="str">
        <f>Controle!L653</f>
        <v/>
      </c>
      <c r="M653" s="233" t="str">
        <f>Controle!M653</f>
        <v/>
      </c>
      <c r="N653" s="235" t="str">
        <f>Controle!N653</f>
        <v/>
      </c>
      <c r="O653" s="235" t="str">
        <f>Controle!O653</f>
        <v/>
      </c>
      <c r="P653" s="235" t="str">
        <f>Controle!P653</f>
        <v/>
      </c>
      <c r="Q653" s="235" t="str">
        <f>Controle!Q653</f>
        <v/>
      </c>
      <c r="R653" s="286" t="str">
        <f>Controle!R653</f>
        <v/>
      </c>
      <c r="S653" s="286"/>
      <c r="T653" s="286"/>
      <c r="U653" s="286"/>
      <c r="V653" s="286"/>
      <c r="W653" s="286"/>
      <c r="X653" s="286"/>
      <c r="Y653" s="286"/>
      <c r="Z653" s="286"/>
      <c r="AA653" s="294"/>
      <c r="AB653" s="253"/>
      <c r="AC653" s="253"/>
      <c r="AD653" s="253"/>
      <c r="AE653" s="253"/>
      <c r="AF653" s="253"/>
      <c r="AG653" s="253"/>
      <c r="AH653" s="253"/>
      <c r="AI653" s="253"/>
      <c r="AJ653" s="253"/>
      <c r="AK653" s="253"/>
      <c r="AL653" s="253"/>
      <c r="AM653" s="253"/>
      <c r="AN653" s="253"/>
      <c r="AO653" s="253"/>
      <c r="AP653" s="253"/>
      <c r="AQ653" s="253"/>
      <c r="AR653" s="253"/>
      <c r="AS653" s="253"/>
      <c r="AT653" s="2"/>
      <c r="AU653" s="2"/>
      <c r="AV653" s="2"/>
      <c r="AW653" s="2"/>
      <c r="AX653" s="2"/>
      <c r="AY653" s="253"/>
    </row>
    <row r="654" ht="15.75" customHeight="1">
      <c r="A654" s="2"/>
      <c r="B654" s="288" t="str">
        <f>Controle!B654</f>
        <v/>
      </c>
      <c r="C654" s="233" t="str">
        <f>Controle!C654</f>
        <v/>
      </c>
      <c r="D654" s="289" t="str">
        <f>Controle!D654</f>
        <v/>
      </c>
      <c r="E654" s="290"/>
      <c r="F654" s="291" t="str">
        <f>Controle!F654</f>
        <v/>
      </c>
      <c r="G654" s="289" t="str">
        <f>Controle!G654</f>
        <v/>
      </c>
      <c r="H654" s="290"/>
      <c r="I654" s="291" t="str">
        <f>Controle!I654</f>
        <v/>
      </c>
      <c r="J654" s="233" t="str">
        <f>Controle!J654</f>
        <v/>
      </c>
      <c r="K654" s="292"/>
      <c r="L654" s="233" t="str">
        <f>Controle!L654</f>
        <v/>
      </c>
      <c r="M654" s="233" t="str">
        <f>Controle!M654</f>
        <v/>
      </c>
      <c r="N654" s="235" t="str">
        <f>Controle!N654</f>
        <v/>
      </c>
      <c r="O654" s="235" t="str">
        <f>Controle!O654</f>
        <v/>
      </c>
      <c r="P654" s="235" t="str">
        <f>Controle!P654</f>
        <v/>
      </c>
      <c r="Q654" s="235" t="str">
        <f>Controle!Q654</f>
        <v/>
      </c>
      <c r="R654" s="286" t="str">
        <f>Controle!R654</f>
        <v/>
      </c>
      <c r="S654" s="286"/>
      <c r="T654" s="286"/>
      <c r="U654" s="286"/>
      <c r="V654" s="286"/>
      <c r="W654" s="286"/>
      <c r="X654" s="286"/>
      <c r="Y654" s="286"/>
      <c r="Z654" s="286"/>
      <c r="AA654" s="294"/>
      <c r="AB654" s="253"/>
      <c r="AC654" s="253"/>
      <c r="AD654" s="253"/>
      <c r="AE654" s="253"/>
      <c r="AF654" s="253"/>
      <c r="AG654" s="253"/>
      <c r="AH654" s="253"/>
      <c r="AI654" s="253"/>
      <c r="AJ654" s="253"/>
      <c r="AK654" s="253"/>
      <c r="AL654" s="253"/>
      <c r="AM654" s="253"/>
      <c r="AN654" s="253"/>
      <c r="AO654" s="253"/>
      <c r="AP654" s="253"/>
      <c r="AQ654" s="253"/>
      <c r="AR654" s="253"/>
      <c r="AS654" s="253"/>
      <c r="AT654" s="2"/>
      <c r="AU654" s="2"/>
      <c r="AV654" s="2"/>
      <c r="AW654" s="2"/>
      <c r="AX654" s="2"/>
      <c r="AY654" s="253"/>
    </row>
    <row r="655" ht="15.75" customHeight="1">
      <c r="A655" s="2"/>
      <c r="B655" s="288" t="str">
        <f>Controle!B655</f>
        <v/>
      </c>
      <c r="C655" s="233" t="str">
        <f>Controle!C655</f>
        <v/>
      </c>
      <c r="D655" s="289" t="str">
        <f>Controle!D655</f>
        <v/>
      </c>
      <c r="E655" s="290"/>
      <c r="F655" s="291" t="str">
        <f>Controle!F655</f>
        <v/>
      </c>
      <c r="G655" s="289" t="str">
        <f>Controle!G655</f>
        <v/>
      </c>
      <c r="H655" s="290"/>
      <c r="I655" s="291" t="str">
        <f>Controle!I655</f>
        <v/>
      </c>
      <c r="J655" s="233" t="str">
        <f>Controle!J655</f>
        <v/>
      </c>
      <c r="K655" s="292"/>
      <c r="L655" s="233" t="str">
        <f>Controle!L655</f>
        <v/>
      </c>
      <c r="M655" s="233" t="str">
        <f>Controle!M655</f>
        <v/>
      </c>
      <c r="N655" s="235" t="str">
        <f>Controle!N655</f>
        <v/>
      </c>
      <c r="O655" s="235" t="str">
        <f>Controle!O655</f>
        <v/>
      </c>
      <c r="P655" s="235" t="str">
        <f>Controle!P655</f>
        <v/>
      </c>
      <c r="Q655" s="235" t="str">
        <f>Controle!Q655</f>
        <v/>
      </c>
      <c r="R655" s="286" t="str">
        <f>Controle!R655</f>
        <v/>
      </c>
      <c r="S655" s="286"/>
      <c r="T655" s="286"/>
      <c r="U655" s="286"/>
      <c r="V655" s="286"/>
      <c r="W655" s="286"/>
      <c r="X655" s="286"/>
      <c r="Y655" s="286"/>
      <c r="Z655" s="286"/>
      <c r="AA655" s="294"/>
      <c r="AB655" s="253"/>
      <c r="AC655" s="253"/>
      <c r="AD655" s="253"/>
      <c r="AE655" s="253"/>
      <c r="AF655" s="253"/>
      <c r="AG655" s="253"/>
      <c r="AH655" s="253"/>
      <c r="AI655" s="253"/>
      <c r="AJ655" s="253"/>
      <c r="AK655" s="253"/>
      <c r="AL655" s="253"/>
      <c r="AM655" s="253"/>
      <c r="AN655" s="253"/>
      <c r="AO655" s="253"/>
      <c r="AP655" s="253"/>
      <c r="AQ655" s="253"/>
      <c r="AR655" s="253"/>
      <c r="AS655" s="253"/>
      <c r="AT655" s="2"/>
      <c r="AU655" s="2"/>
      <c r="AV655" s="2"/>
      <c r="AW655" s="2"/>
      <c r="AX655" s="2"/>
      <c r="AY655" s="253"/>
    </row>
    <row r="656" ht="15.75" customHeight="1">
      <c r="A656" s="2"/>
      <c r="B656" s="288" t="str">
        <f>Controle!B656</f>
        <v/>
      </c>
      <c r="C656" s="233" t="str">
        <f>Controle!C656</f>
        <v/>
      </c>
      <c r="D656" s="289" t="str">
        <f>Controle!D656</f>
        <v/>
      </c>
      <c r="E656" s="290"/>
      <c r="F656" s="291" t="str">
        <f>Controle!F656</f>
        <v/>
      </c>
      <c r="G656" s="289" t="str">
        <f>Controle!G656</f>
        <v/>
      </c>
      <c r="H656" s="290"/>
      <c r="I656" s="291" t="str">
        <f>Controle!I656</f>
        <v/>
      </c>
      <c r="J656" s="233" t="str">
        <f>Controle!J656</f>
        <v/>
      </c>
      <c r="K656" s="292"/>
      <c r="L656" s="233" t="str">
        <f>Controle!L656</f>
        <v/>
      </c>
      <c r="M656" s="233" t="str">
        <f>Controle!M656</f>
        <v/>
      </c>
      <c r="N656" s="235" t="str">
        <f>Controle!N656</f>
        <v/>
      </c>
      <c r="O656" s="235" t="str">
        <f>Controle!O656</f>
        <v/>
      </c>
      <c r="P656" s="235" t="str">
        <f>Controle!P656</f>
        <v/>
      </c>
      <c r="Q656" s="235" t="str">
        <f>Controle!Q656</f>
        <v/>
      </c>
      <c r="R656" s="286" t="str">
        <f>Controle!R656</f>
        <v/>
      </c>
      <c r="S656" s="286"/>
      <c r="T656" s="286"/>
      <c r="U656" s="286"/>
      <c r="V656" s="286"/>
      <c r="W656" s="286"/>
      <c r="X656" s="286"/>
      <c r="Y656" s="286"/>
      <c r="Z656" s="286"/>
      <c r="AA656" s="294"/>
      <c r="AB656" s="253"/>
      <c r="AC656" s="253"/>
      <c r="AD656" s="253"/>
      <c r="AE656" s="253"/>
      <c r="AF656" s="253"/>
      <c r="AG656" s="253"/>
      <c r="AH656" s="253"/>
      <c r="AI656" s="253"/>
      <c r="AJ656" s="253"/>
      <c r="AK656" s="253"/>
      <c r="AL656" s="253"/>
      <c r="AM656" s="253"/>
      <c r="AN656" s="253"/>
      <c r="AO656" s="253"/>
      <c r="AP656" s="253"/>
      <c r="AQ656" s="253"/>
      <c r="AR656" s="253"/>
      <c r="AS656" s="253"/>
      <c r="AT656" s="2"/>
      <c r="AU656" s="2"/>
      <c r="AV656" s="2"/>
      <c r="AW656" s="2"/>
      <c r="AX656" s="2"/>
      <c r="AY656" s="253"/>
    </row>
    <row r="657" ht="15.75" customHeight="1">
      <c r="A657" s="2"/>
      <c r="B657" s="288" t="str">
        <f>Controle!B657</f>
        <v/>
      </c>
      <c r="C657" s="233" t="str">
        <f>Controle!C657</f>
        <v/>
      </c>
      <c r="D657" s="289" t="str">
        <f>Controle!D657</f>
        <v/>
      </c>
      <c r="E657" s="290"/>
      <c r="F657" s="291" t="str">
        <f>Controle!F657</f>
        <v/>
      </c>
      <c r="G657" s="289" t="str">
        <f>Controle!G657</f>
        <v/>
      </c>
      <c r="H657" s="290"/>
      <c r="I657" s="291" t="str">
        <f>Controle!I657</f>
        <v/>
      </c>
      <c r="J657" s="233" t="str">
        <f>Controle!J657</f>
        <v/>
      </c>
      <c r="K657" s="292"/>
      <c r="L657" s="233" t="str">
        <f>Controle!L657</f>
        <v/>
      </c>
      <c r="M657" s="233" t="str">
        <f>Controle!M657</f>
        <v/>
      </c>
      <c r="N657" s="235" t="str">
        <f>Controle!N657</f>
        <v/>
      </c>
      <c r="O657" s="235" t="str">
        <f>Controle!O657</f>
        <v/>
      </c>
      <c r="P657" s="235" t="str">
        <f>Controle!P657</f>
        <v/>
      </c>
      <c r="Q657" s="235" t="str">
        <f>Controle!Q657</f>
        <v/>
      </c>
      <c r="R657" s="286" t="str">
        <f>Controle!R657</f>
        <v/>
      </c>
      <c r="S657" s="286"/>
      <c r="T657" s="286"/>
      <c r="U657" s="286"/>
      <c r="V657" s="286"/>
      <c r="W657" s="286"/>
      <c r="X657" s="286"/>
      <c r="Y657" s="286"/>
      <c r="Z657" s="286"/>
      <c r="AA657" s="294"/>
      <c r="AB657" s="253"/>
      <c r="AC657" s="253"/>
      <c r="AD657" s="253"/>
      <c r="AE657" s="253"/>
      <c r="AF657" s="253"/>
      <c r="AG657" s="253"/>
      <c r="AH657" s="253"/>
      <c r="AI657" s="253"/>
      <c r="AJ657" s="253"/>
      <c r="AK657" s="253"/>
      <c r="AL657" s="253"/>
      <c r="AM657" s="253"/>
      <c r="AN657" s="253"/>
      <c r="AO657" s="253"/>
      <c r="AP657" s="253"/>
      <c r="AQ657" s="253"/>
      <c r="AR657" s="253"/>
      <c r="AS657" s="253"/>
      <c r="AT657" s="2"/>
      <c r="AU657" s="2"/>
      <c r="AV657" s="2"/>
      <c r="AW657" s="2"/>
      <c r="AX657" s="2"/>
      <c r="AY657" s="253"/>
    </row>
    <row r="658" ht="15.75" customHeight="1">
      <c r="A658" s="2"/>
      <c r="B658" s="288" t="str">
        <f>Controle!B658</f>
        <v/>
      </c>
      <c r="C658" s="233" t="str">
        <f>Controle!C658</f>
        <v/>
      </c>
      <c r="D658" s="289" t="str">
        <f>Controle!D658</f>
        <v/>
      </c>
      <c r="E658" s="290"/>
      <c r="F658" s="291" t="str">
        <f>Controle!F658</f>
        <v/>
      </c>
      <c r="G658" s="289" t="str">
        <f>Controle!G658</f>
        <v/>
      </c>
      <c r="H658" s="290"/>
      <c r="I658" s="291" t="str">
        <f>Controle!I658</f>
        <v/>
      </c>
      <c r="J658" s="233" t="str">
        <f>Controle!J658</f>
        <v/>
      </c>
      <c r="K658" s="292"/>
      <c r="L658" s="233" t="str">
        <f>Controle!L658</f>
        <v/>
      </c>
      <c r="M658" s="233" t="str">
        <f>Controle!M658</f>
        <v/>
      </c>
      <c r="N658" s="235" t="str">
        <f>Controle!N658</f>
        <v/>
      </c>
      <c r="O658" s="235" t="str">
        <f>Controle!O658</f>
        <v/>
      </c>
      <c r="P658" s="235" t="str">
        <f>Controle!P658</f>
        <v/>
      </c>
      <c r="Q658" s="235" t="str">
        <f>Controle!Q658</f>
        <v/>
      </c>
      <c r="R658" s="286" t="str">
        <f>Controle!R658</f>
        <v/>
      </c>
      <c r="S658" s="286"/>
      <c r="T658" s="286"/>
      <c r="U658" s="286"/>
      <c r="V658" s="286"/>
      <c r="W658" s="286"/>
      <c r="X658" s="286"/>
      <c r="Y658" s="286"/>
      <c r="Z658" s="286"/>
      <c r="AA658" s="294"/>
      <c r="AB658" s="253"/>
      <c r="AC658" s="253"/>
      <c r="AD658" s="253"/>
      <c r="AE658" s="253"/>
      <c r="AF658" s="253"/>
      <c r="AG658" s="253"/>
      <c r="AH658" s="253"/>
      <c r="AI658" s="253"/>
      <c r="AJ658" s="253"/>
      <c r="AK658" s="253"/>
      <c r="AL658" s="253"/>
      <c r="AM658" s="253"/>
      <c r="AN658" s="253"/>
      <c r="AO658" s="253"/>
      <c r="AP658" s="253"/>
      <c r="AQ658" s="253"/>
      <c r="AR658" s="253"/>
      <c r="AS658" s="253"/>
      <c r="AT658" s="2"/>
      <c r="AU658" s="2"/>
      <c r="AV658" s="2"/>
      <c r="AW658" s="2"/>
      <c r="AX658" s="2"/>
      <c r="AY658" s="253"/>
    </row>
    <row r="659" ht="15.75" customHeight="1">
      <c r="A659" s="2"/>
      <c r="B659" s="288" t="str">
        <f>Controle!B659</f>
        <v/>
      </c>
      <c r="C659" s="233" t="str">
        <f>Controle!C659</f>
        <v/>
      </c>
      <c r="D659" s="289" t="str">
        <f>Controle!D659</f>
        <v/>
      </c>
      <c r="E659" s="290"/>
      <c r="F659" s="291" t="str">
        <f>Controle!F659</f>
        <v/>
      </c>
      <c r="G659" s="289" t="str">
        <f>Controle!G659</f>
        <v/>
      </c>
      <c r="H659" s="290"/>
      <c r="I659" s="291" t="str">
        <f>Controle!I659</f>
        <v/>
      </c>
      <c r="J659" s="233" t="str">
        <f>Controle!J659</f>
        <v/>
      </c>
      <c r="K659" s="292"/>
      <c r="L659" s="233" t="str">
        <f>Controle!L659</f>
        <v/>
      </c>
      <c r="M659" s="233" t="str">
        <f>Controle!M659</f>
        <v/>
      </c>
      <c r="N659" s="235" t="str">
        <f>Controle!N659</f>
        <v/>
      </c>
      <c r="O659" s="235" t="str">
        <f>Controle!O659</f>
        <v/>
      </c>
      <c r="P659" s="235" t="str">
        <f>Controle!P659</f>
        <v/>
      </c>
      <c r="Q659" s="235" t="str">
        <f>Controle!Q659</f>
        <v/>
      </c>
      <c r="R659" s="286" t="str">
        <f>Controle!R659</f>
        <v/>
      </c>
      <c r="S659" s="286"/>
      <c r="T659" s="286"/>
      <c r="U659" s="286"/>
      <c r="V659" s="286"/>
      <c r="W659" s="286"/>
      <c r="X659" s="286"/>
      <c r="Y659" s="286"/>
      <c r="Z659" s="286"/>
      <c r="AA659" s="294"/>
      <c r="AB659" s="253"/>
      <c r="AC659" s="253"/>
      <c r="AD659" s="253"/>
      <c r="AE659" s="253"/>
      <c r="AF659" s="253"/>
      <c r="AG659" s="253"/>
      <c r="AH659" s="253"/>
      <c r="AI659" s="253"/>
      <c r="AJ659" s="253"/>
      <c r="AK659" s="253"/>
      <c r="AL659" s="253"/>
      <c r="AM659" s="253"/>
      <c r="AN659" s="253"/>
      <c r="AO659" s="253"/>
      <c r="AP659" s="253"/>
      <c r="AQ659" s="253"/>
      <c r="AR659" s="253"/>
      <c r="AS659" s="253"/>
      <c r="AT659" s="2"/>
      <c r="AU659" s="2"/>
      <c r="AV659" s="2"/>
      <c r="AW659" s="2"/>
      <c r="AX659" s="2"/>
      <c r="AY659" s="253"/>
    </row>
    <row r="660" ht="15.75" customHeight="1">
      <c r="A660" s="2"/>
      <c r="B660" s="288" t="str">
        <f>Controle!B660</f>
        <v/>
      </c>
      <c r="C660" s="233" t="str">
        <f>Controle!C660</f>
        <v/>
      </c>
      <c r="D660" s="289" t="str">
        <f>Controle!D660</f>
        <v/>
      </c>
      <c r="E660" s="290"/>
      <c r="F660" s="291" t="str">
        <f>Controle!F660</f>
        <v/>
      </c>
      <c r="G660" s="289" t="str">
        <f>Controle!G660</f>
        <v/>
      </c>
      <c r="H660" s="290"/>
      <c r="I660" s="291" t="str">
        <f>Controle!I660</f>
        <v/>
      </c>
      <c r="J660" s="233" t="str">
        <f>Controle!J660</f>
        <v/>
      </c>
      <c r="K660" s="292"/>
      <c r="L660" s="233" t="str">
        <f>Controle!L660</f>
        <v/>
      </c>
      <c r="M660" s="233" t="str">
        <f>Controle!M660</f>
        <v/>
      </c>
      <c r="N660" s="235" t="str">
        <f>Controle!N660</f>
        <v/>
      </c>
      <c r="O660" s="235" t="str">
        <f>Controle!O660</f>
        <v/>
      </c>
      <c r="P660" s="235" t="str">
        <f>Controle!P660</f>
        <v/>
      </c>
      <c r="Q660" s="235" t="str">
        <f>Controle!Q660</f>
        <v/>
      </c>
      <c r="R660" s="286" t="str">
        <f>Controle!R660</f>
        <v/>
      </c>
      <c r="S660" s="286"/>
      <c r="T660" s="286"/>
      <c r="U660" s="286"/>
      <c r="V660" s="286"/>
      <c r="W660" s="286"/>
      <c r="X660" s="286"/>
      <c r="Y660" s="286"/>
      <c r="Z660" s="286"/>
      <c r="AA660" s="294"/>
      <c r="AB660" s="253"/>
      <c r="AC660" s="253"/>
      <c r="AD660" s="253"/>
      <c r="AE660" s="253"/>
      <c r="AF660" s="253"/>
      <c r="AG660" s="253"/>
      <c r="AH660" s="253"/>
      <c r="AI660" s="253"/>
      <c r="AJ660" s="253"/>
      <c r="AK660" s="253"/>
      <c r="AL660" s="253"/>
      <c r="AM660" s="253"/>
      <c r="AN660" s="253"/>
      <c r="AO660" s="253"/>
      <c r="AP660" s="253"/>
      <c r="AQ660" s="253"/>
      <c r="AR660" s="253"/>
      <c r="AS660" s="253"/>
      <c r="AT660" s="2"/>
      <c r="AU660" s="2"/>
      <c r="AV660" s="2"/>
      <c r="AW660" s="2"/>
      <c r="AX660" s="2"/>
      <c r="AY660" s="253"/>
    </row>
    <row r="661" ht="15.75" customHeight="1">
      <c r="A661" s="2"/>
      <c r="B661" s="288" t="str">
        <f>Controle!B661</f>
        <v/>
      </c>
      <c r="C661" s="233" t="str">
        <f>Controle!C661</f>
        <v/>
      </c>
      <c r="D661" s="289" t="str">
        <f>Controle!D661</f>
        <v/>
      </c>
      <c r="E661" s="290"/>
      <c r="F661" s="291" t="str">
        <f>Controle!F661</f>
        <v/>
      </c>
      <c r="G661" s="289" t="str">
        <f>Controle!G661</f>
        <v/>
      </c>
      <c r="H661" s="290"/>
      <c r="I661" s="291" t="str">
        <f>Controle!I661</f>
        <v/>
      </c>
      <c r="J661" s="233" t="str">
        <f>Controle!J661</f>
        <v/>
      </c>
      <c r="K661" s="292"/>
      <c r="L661" s="233" t="str">
        <f>Controle!L661</f>
        <v/>
      </c>
      <c r="M661" s="233" t="str">
        <f>Controle!M661</f>
        <v/>
      </c>
      <c r="N661" s="235" t="str">
        <f>Controle!N661</f>
        <v/>
      </c>
      <c r="O661" s="235" t="str">
        <f>Controle!O661</f>
        <v/>
      </c>
      <c r="P661" s="235" t="str">
        <f>Controle!P661</f>
        <v/>
      </c>
      <c r="Q661" s="235" t="str">
        <f>Controle!Q661</f>
        <v/>
      </c>
      <c r="R661" s="286" t="str">
        <f>Controle!R661</f>
        <v/>
      </c>
      <c r="S661" s="286"/>
      <c r="T661" s="286"/>
      <c r="U661" s="286"/>
      <c r="V661" s="286"/>
      <c r="W661" s="286"/>
      <c r="X661" s="286"/>
      <c r="Y661" s="286"/>
      <c r="Z661" s="286"/>
      <c r="AA661" s="294"/>
      <c r="AB661" s="253"/>
      <c r="AC661" s="253"/>
      <c r="AD661" s="253"/>
      <c r="AE661" s="253"/>
      <c r="AF661" s="253"/>
      <c r="AG661" s="253"/>
      <c r="AH661" s="253"/>
      <c r="AI661" s="253"/>
      <c r="AJ661" s="253"/>
      <c r="AK661" s="253"/>
      <c r="AL661" s="253"/>
      <c r="AM661" s="253"/>
      <c r="AN661" s="253"/>
      <c r="AO661" s="253"/>
      <c r="AP661" s="253"/>
      <c r="AQ661" s="253"/>
      <c r="AR661" s="253"/>
      <c r="AS661" s="253"/>
      <c r="AT661" s="2"/>
      <c r="AU661" s="2"/>
      <c r="AV661" s="2"/>
      <c r="AW661" s="2"/>
      <c r="AX661" s="2"/>
      <c r="AY661" s="253"/>
    </row>
    <row r="662" ht="15.75" customHeight="1">
      <c r="A662" s="2"/>
      <c r="B662" s="288" t="str">
        <f>Controle!B662</f>
        <v/>
      </c>
      <c r="C662" s="233" t="str">
        <f>Controle!C662</f>
        <v/>
      </c>
      <c r="D662" s="289" t="str">
        <f>Controle!D662</f>
        <v/>
      </c>
      <c r="E662" s="290"/>
      <c r="F662" s="291" t="str">
        <f>Controle!F662</f>
        <v/>
      </c>
      <c r="G662" s="289" t="str">
        <f>Controle!G662</f>
        <v/>
      </c>
      <c r="H662" s="290"/>
      <c r="I662" s="291" t="str">
        <f>Controle!I662</f>
        <v/>
      </c>
      <c r="J662" s="233" t="str">
        <f>Controle!J662</f>
        <v/>
      </c>
      <c r="K662" s="292"/>
      <c r="L662" s="233" t="str">
        <f>Controle!L662</f>
        <v/>
      </c>
      <c r="M662" s="233" t="str">
        <f>Controle!M662</f>
        <v/>
      </c>
      <c r="N662" s="235" t="str">
        <f>Controle!N662</f>
        <v/>
      </c>
      <c r="O662" s="235" t="str">
        <f>Controle!O662</f>
        <v/>
      </c>
      <c r="P662" s="235" t="str">
        <f>Controle!P662</f>
        <v/>
      </c>
      <c r="Q662" s="235" t="str">
        <f>Controle!Q662</f>
        <v/>
      </c>
      <c r="R662" s="286" t="str">
        <f>Controle!R662</f>
        <v/>
      </c>
      <c r="S662" s="286"/>
      <c r="T662" s="286"/>
      <c r="U662" s="286"/>
      <c r="V662" s="286"/>
      <c r="W662" s="286"/>
      <c r="X662" s="286"/>
      <c r="Y662" s="286"/>
      <c r="Z662" s="286"/>
      <c r="AA662" s="294"/>
      <c r="AB662" s="253"/>
      <c r="AC662" s="253"/>
      <c r="AD662" s="253"/>
      <c r="AE662" s="253"/>
      <c r="AF662" s="253"/>
      <c r="AG662" s="253"/>
      <c r="AH662" s="253"/>
      <c r="AI662" s="253"/>
      <c r="AJ662" s="253"/>
      <c r="AK662" s="253"/>
      <c r="AL662" s="253"/>
      <c r="AM662" s="253"/>
      <c r="AN662" s="253"/>
      <c r="AO662" s="253"/>
      <c r="AP662" s="253"/>
      <c r="AQ662" s="253"/>
      <c r="AR662" s="253"/>
      <c r="AS662" s="253"/>
      <c r="AT662" s="2"/>
      <c r="AU662" s="2"/>
      <c r="AV662" s="2"/>
      <c r="AW662" s="2"/>
      <c r="AX662" s="2"/>
      <c r="AY662" s="253"/>
    </row>
    <row r="663" ht="15.75" customHeight="1">
      <c r="A663" s="2"/>
      <c r="B663" s="288" t="str">
        <f>Controle!B663</f>
        <v/>
      </c>
      <c r="C663" s="233" t="str">
        <f>Controle!C663</f>
        <v/>
      </c>
      <c r="D663" s="289" t="str">
        <f>Controle!D663</f>
        <v/>
      </c>
      <c r="E663" s="290"/>
      <c r="F663" s="291" t="str">
        <f>Controle!F663</f>
        <v/>
      </c>
      <c r="G663" s="289" t="str">
        <f>Controle!G663</f>
        <v/>
      </c>
      <c r="H663" s="290"/>
      <c r="I663" s="291" t="str">
        <f>Controle!I663</f>
        <v/>
      </c>
      <c r="J663" s="233" t="str">
        <f>Controle!J663</f>
        <v/>
      </c>
      <c r="K663" s="292"/>
      <c r="L663" s="233" t="str">
        <f>Controle!L663</f>
        <v/>
      </c>
      <c r="M663" s="233" t="str">
        <f>Controle!M663</f>
        <v/>
      </c>
      <c r="N663" s="235" t="str">
        <f>Controle!N663</f>
        <v/>
      </c>
      <c r="O663" s="235" t="str">
        <f>Controle!O663</f>
        <v/>
      </c>
      <c r="P663" s="235" t="str">
        <f>Controle!P663</f>
        <v/>
      </c>
      <c r="Q663" s="235" t="str">
        <f>Controle!Q663</f>
        <v/>
      </c>
      <c r="R663" s="286" t="str">
        <f>Controle!R663</f>
        <v/>
      </c>
      <c r="S663" s="286"/>
      <c r="T663" s="286"/>
      <c r="U663" s="286"/>
      <c r="V663" s="286"/>
      <c r="W663" s="286"/>
      <c r="X663" s="286"/>
      <c r="Y663" s="286"/>
      <c r="Z663" s="286"/>
      <c r="AA663" s="294"/>
      <c r="AB663" s="253"/>
      <c r="AC663" s="253"/>
      <c r="AD663" s="253"/>
      <c r="AE663" s="253"/>
      <c r="AF663" s="253"/>
      <c r="AG663" s="253"/>
      <c r="AH663" s="253"/>
      <c r="AI663" s="253"/>
      <c r="AJ663" s="253"/>
      <c r="AK663" s="253"/>
      <c r="AL663" s="253"/>
      <c r="AM663" s="253"/>
      <c r="AN663" s="253"/>
      <c r="AO663" s="253"/>
      <c r="AP663" s="253"/>
      <c r="AQ663" s="253"/>
      <c r="AR663" s="253"/>
      <c r="AS663" s="253"/>
      <c r="AT663" s="2"/>
      <c r="AU663" s="2"/>
      <c r="AV663" s="2"/>
      <c r="AW663" s="2"/>
      <c r="AX663" s="2"/>
      <c r="AY663" s="253"/>
    </row>
    <row r="664" ht="15.75" customHeight="1">
      <c r="A664" s="2"/>
      <c r="B664" s="288" t="str">
        <f>Controle!B664</f>
        <v/>
      </c>
      <c r="C664" s="233" t="str">
        <f>Controle!C664</f>
        <v/>
      </c>
      <c r="D664" s="289" t="str">
        <f>Controle!D664</f>
        <v/>
      </c>
      <c r="E664" s="290"/>
      <c r="F664" s="291" t="str">
        <f>Controle!F664</f>
        <v/>
      </c>
      <c r="G664" s="289" t="str">
        <f>Controle!G664</f>
        <v/>
      </c>
      <c r="H664" s="290"/>
      <c r="I664" s="291" t="str">
        <f>Controle!I664</f>
        <v/>
      </c>
      <c r="J664" s="233" t="str">
        <f>Controle!J664</f>
        <v/>
      </c>
      <c r="K664" s="292"/>
      <c r="L664" s="233" t="str">
        <f>Controle!L664</f>
        <v/>
      </c>
      <c r="M664" s="233" t="str">
        <f>Controle!M664</f>
        <v/>
      </c>
      <c r="N664" s="235" t="str">
        <f>Controle!N664</f>
        <v/>
      </c>
      <c r="O664" s="235" t="str">
        <f>Controle!O664</f>
        <v/>
      </c>
      <c r="P664" s="235" t="str">
        <f>Controle!P664</f>
        <v/>
      </c>
      <c r="Q664" s="235" t="str">
        <f>Controle!Q664</f>
        <v/>
      </c>
      <c r="R664" s="286" t="str">
        <f>Controle!R664</f>
        <v/>
      </c>
      <c r="S664" s="286"/>
      <c r="T664" s="286"/>
      <c r="U664" s="286"/>
      <c r="V664" s="286"/>
      <c r="W664" s="286"/>
      <c r="X664" s="286"/>
      <c r="Y664" s="286"/>
      <c r="Z664" s="286"/>
      <c r="AA664" s="294"/>
      <c r="AB664" s="253"/>
      <c r="AC664" s="253"/>
      <c r="AD664" s="253"/>
      <c r="AE664" s="253"/>
      <c r="AF664" s="253"/>
      <c r="AG664" s="253"/>
      <c r="AH664" s="253"/>
      <c r="AI664" s="253"/>
      <c r="AJ664" s="253"/>
      <c r="AK664" s="253"/>
      <c r="AL664" s="253"/>
      <c r="AM664" s="253"/>
      <c r="AN664" s="253"/>
      <c r="AO664" s="253"/>
      <c r="AP664" s="253"/>
      <c r="AQ664" s="253"/>
      <c r="AR664" s="253"/>
      <c r="AS664" s="253"/>
      <c r="AT664" s="2"/>
      <c r="AU664" s="2"/>
      <c r="AV664" s="2"/>
      <c r="AW664" s="2"/>
      <c r="AX664" s="2"/>
      <c r="AY664" s="253"/>
    </row>
    <row r="665" ht="15.75" customHeight="1">
      <c r="A665" s="2"/>
      <c r="B665" s="288" t="str">
        <f>Controle!B665</f>
        <v/>
      </c>
      <c r="C665" s="233" t="str">
        <f>Controle!C665</f>
        <v/>
      </c>
      <c r="D665" s="289" t="str">
        <f>Controle!D665</f>
        <v/>
      </c>
      <c r="E665" s="290"/>
      <c r="F665" s="291" t="str">
        <f>Controle!F665</f>
        <v/>
      </c>
      <c r="G665" s="289" t="str">
        <f>Controle!G665</f>
        <v/>
      </c>
      <c r="H665" s="290"/>
      <c r="I665" s="291" t="str">
        <f>Controle!I665</f>
        <v/>
      </c>
      <c r="J665" s="233" t="str">
        <f>Controle!J665</f>
        <v/>
      </c>
      <c r="K665" s="292"/>
      <c r="L665" s="233" t="str">
        <f>Controle!L665</f>
        <v/>
      </c>
      <c r="M665" s="233" t="str">
        <f>Controle!M665</f>
        <v/>
      </c>
      <c r="N665" s="235" t="str">
        <f>Controle!N665</f>
        <v/>
      </c>
      <c r="O665" s="235" t="str">
        <f>Controle!O665</f>
        <v/>
      </c>
      <c r="P665" s="235" t="str">
        <f>Controle!P665</f>
        <v/>
      </c>
      <c r="Q665" s="235" t="str">
        <f>Controle!Q665</f>
        <v/>
      </c>
      <c r="R665" s="286" t="str">
        <f>Controle!R665</f>
        <v/>
      </c>
      <c r="S665" s="286"/>
      <c r="T665" s="286"/>
      <c r="U665" s="286"/>
      <c r="V665" s="286"/>
      <c r="W665" s="286"/>
      <c r="X665" s="286"/>
      <c r="Y665" s="286"/>
      <c r="Z665" s="286"/>
      <c r="AA665" s="294"/>
      <c r="AB665" s="253"/>
      <c r="AC665" s="253"/>
      <c r="AD665" s="253"/>
      <c r="AE665" s="253"/>
      <c r="AF665" s="253"/>
      <c r="AG665" s="253"/>
      <c r="AH665" s="253"/>
      <c r="AI665" s="253"/>
      <c r="AJ665" s="253"/>
      <c r="AK665" s="253"/>
      <c r="AL665" s="253"/>
      <c r="AM665" s="253"/>
      <c r="AN665" s="253"/>
      <c r="AO665" s="253"/>
      <c r="AP665" s="253"/>
      <c r="AQ665" s="253"/>
      <c r="AR665" s="253"/>
      <c r="AS665" s="253"/>
      <c r="AT665" s="2"/>
      <c r="AU665" s="2"/>
      <c r="AV665" s="2"/>
      <c r="AW665" s="2"/>
      <c r="AX665" s="2"/>
      <c r="AY665" s="253"/>
    </row>
    <row r="666" ht="15.75" customHeight="1">
      <c r="A666" s="2"/>
      <c r="B666" s="288" t="str">
        <f>Controle!B666</f>
        <v/>
      </c>
      <c r="C666" s="233" t="str">
        <f>Controle!C666</f>
        <v/>
      </c>
      <c r="D666" s="289" t="str">
        <f>Controle!D666</f>
        <v/>
      </c>
      <c r="E666" s="290"/>
      <c r="F666" s="291" t="str">
        <f>Controle!F666</f>
        <v/>
      </c>
      <c r="G666" s="289" t="str">
        <f>Controle!G666</f>
        <v/>
      </c>
      <c r="H666" s="290"/>
      <c r="I666" s="291" t="str">
        <f>Controle!I666</f>
        <v/>
      </c>
      <c r="J666" s="233" t="str">
        <f>Controle!J666</f>
        <v/>
      </c>
      <c r="K666" s="292"/>
      <c r="L666" s="233" t="str">
        <f>Controle!L666</f>
        <v/>
      </c>
      <c r="M666" s="233" t="str">
        <f>Controle!M666</f>
        <v/>
      </c>
      <c r="N666" s="235" t="str">
        <f>Controle!N666</f>
        <v/>
      </c>
      <c r="O666" s="235" t="str">
        <f>Controle!O666</f>
        <v/>
      </c>
      <c r="P666" s="235" t="str">
        <f>Controle!P666</f>
        <v/>
      </c>
      <c r="Q666" s="235" t="str">
        <f>Controle!Q666</f>
        <v/>
      </c>
      <c r="R666" s="286" t="str">
        <f>Controle!R666</f>
        <v/>
      </c>
      <c r="S666" s="286"/>
      <c r="T666" s="286"/>
      <c r="U666" s="286"/>
      <c r="V666" s="286"/>
      <c r="W666" s="286"/>
      <c r="X666" s="286"/>
      <c r="Y666" s="286"/>
      <c r="Z666" s="286"/>
      <c r="AA666" s="294"/>
      <c r="AB666" s="253"/>
      <c r="AC666" s="253"/>
      <c r="AD666" s="253"/>
      <c r="AE666" s="253"/>
      <c r="AF666" s="253"/>
      <c r="AG666" s="253"/>
      <c r="AH666" s="253"/>
      <c r="AI666" s="253"/>
      <c r="AJ666" s="253"/>
      <c r="AK666" s="253"/>
      <c r="AL666" s="253"/>
      <c r="AM666" s="253"/>
      <c r="AN666" s="253"/>
      <c r="AO666" s="253"/>
      <c r="AP666" s="253"/>
      <c r="AQ666" s="253"/>
      <c r="AR666" s="253"/>
      <c r="AS666" s="253"/>
      <c r="AT666" s="2"/>
      <c r="AU666" s="2"/>
      <c r="AV666" s="2"/>
      <c r="AW666" s="2"/>
      <c r="AX666" s="2"/>
      <c r="AY666" s="253"/>
    </row>
    <row r="667" ht="15.75" customHeight="1">
      <c r="A667" s="2"/>
      <c r="B667" s="288" t="str">
        <f>Controle!B667</f>
        <v/>
      </c>
      <c r="C667" s="233" t="str">
        <f>Controle!C667</f>
        <v/>
      </c>
      <c r="D667" s="289" t="str">
        <f>Controle!D667</f>
        <v/>
      </c>
      <c r="E667" s="290"/>
      <c r="F667" s="291" t="str">
        <f>Controle!F667</f>
        <v/>
      </c>
      <c r="G667" s="289" t="str">
        <f>Controle!G667</f>
        <v/>
      </c>
      <c r="H667" s="290"/>
      <c r="I667" s="291" t="str">
        <f>Controle!I667</f>
        <v/>
      </c>
      <c r="J667" s="233" t="str">
        <f>Controle!J667</f>
        <v/>
      </c>
      <c r="K667" s="292"/>
      <c r="L667" s="233" t="str">
        <f>Controle!L667</f>
        <v/>
      </c>
      <c r="M667" s="233" t="str">
        <f>Controle!M667</f>
        <v/>
      </c>
      <c r="N667" s="235" t="str">
        <f>Controle!N667</f>
        <v/>
      </c>
      <c r="O667" s="235" t="str">
        <f>Controle!O667</f>
        <v/>
      </c>
      <c r="P667" s="235" t="str">
        <f>Controle!P667</f>
        <v/>
      </c>
      <c r="Q667" s="235" t="str">
        <f>Controle!Q667</f>
        <v/>
      </c>
      <c r="R667" s="286" t="str">
        <f>Controle!R667</f>
        <v/>
      </c>
      <c r="S667" s="286"/>
      <c r="T667" s="286"/>
      <c r="U667" s="286"/>
      <c r="V667" s="286"/>
      <c r="W667" s="286"/>
      <c r="X667" s="286"/>
      <c r="Y667" s="286"/>
      <c r="Z667" s="286"/>
      <c r="AA667" s="294"/>
      <c r="AB667" s="253"/>
      <c r="AC667" s="253"/>
      <c r="AD667" s="253"/>
      <c r="AE667" s="253"/>
      <c r="AF667" s="253"/>
      <c r="AG667" s="253"/>
      <c r="AH667" s="253"/>
      <c r="AI667" s="253"/>
      <c r="AJ667" s="253"/>
      <c r="AK667" s="253"/>
      <c r="AL667" s="253"/>
      <c r="AM667" s="253"/>
      <c r="AN667" s="253"/>
      <c r="AO667" s="253"/>
      <c r="AP667" s="253"/>
      <c r="AQ667" s="253"/>
      <c r="AR667" s="253"/>
      <c r="AS667" s="253"/>
      <c r="AT667" s="2"/>
      <c r="AU667" s="2"/>
      <c r="AV667" s="2"/>
      <c r="AW667" s="2"/>
      <c r="AX667" s="2"/>
      <c r="AY667" s="253"/>
    </row>
    <row r="668" ht="15.75" customHeight="1">
      <c r="A668" s="2"/>
      <c r="B668" s="288" t="str">
        <f>Controle!B668</f>
        <v/>
      </c>
      <c r="C668" s="233" t="str">
        <f>Controle!C668</f>
        <v/>
      </c>
      <c r="D668" s="289" t="str">
        <f>Controle!D668</f>
        <v/>
      </c>
      <c r="E668" s="290"/>
      <c r="F668" s="291" t="str">
        <f>Controle!F668</f>
        <v/>
      </c>
      <c r="G668" s="289" t="str">
        <f>Controle!G668</f>
        <v/>
      </c>
      <c r="H668" s="290"/>
      <c r="I668" s="291" t="str">
        <f>Controle!I668</f>
        <v/>
      </c>
      <c r="J668" s="233" t="str">
        <f>Controle!J668</f>
        <v/>
      </c>
      <c r="K668" s="292"/>
      <c r="L668" s="233" t="str">
        <f>Controle!L668</f>
        <v/>
      </c>
      <c r="M668" s="233" t="str">
        <f>Controle!M668</f>
        <v/>
      </c>
      <c r="N668" s="235" t="str">
        <f>Controle!N668</f>
        <v/>
      </c>
      <c r="O668" s="235" t="str">
        <f>Controle!O668</f>
        <v/>
      </c>
      <c r="P668" s="235" t="str">
        <f>Controle!P668</f>
        <v/>
      </c>
      <c r="Q668" s="235" t="str">
        <f>Controle!Q668</f>
        <v/>
      </c>
      <c r="R668" s="286" t="str">
        <f>Controle!R668</f>
        <v/>
      </c>
      <c r="S668" s="286"/>
      <c r="T668" s="286"/>
      <c r="U668" s="286"/>
      <c r="V668" s="286"/>
      <c r="W668" s="286"/>
      <c r="X668" s="286"/>
      <c r="Y668" s="286"/>
      <c r="Z668" s="286"/>
      <c r="AA668" s="294"/>
      <c r="AB668" s="253"/>
      <c r="AC668" s="253"/>
      <c r="AD668" s="253"/>
      <c r="AE668" s="253"/>
      <c r="AF668" s="253"/>
      <c r="AG668" s="253"/>
      <c r="AH668" s="253"/>
      <c r="AI668" s="253"/>
      <c r="AJ668" s="253"/>
      <c r="AK668" s="253"/>
      <c r="AL668" s="253"/>
      <c r="AM668" s="253"/>
      <c r="AN668" s="253"/>
      <c r="AO668" s="253"/>
      <c r="AP668" s="253"/>
      <c r="AQ668" s="253"/>
      <c r="AR668" s="253"/>
      <c r="AS668" s="253"/>
      <c r="AT668" s="2"/>
      <c r="AU668" s="2"/>
      <c r="AV668" s="2"/>
      <c r="AW668" s="2"/>
      <c r="AX668" s="2"/>
      <c r="AY668" s="253"/>
    </row>
    <row r="669" ht="15.75" customHeight="1">
      <c r="A669" s="2"/>
      <c r="B669" s="288" t="str">
        <f>Controle!B669</f>
        <v/>
      </c>
      <c r="C669" s="233" t="str">
        <f>Controle!C669</f>
        <v/>
      </c>
      <c r="D669" s="289" t="str">
        <f>Controle!D669</f>
        <v/>
      </c>
      <c r="E669" s="290"/>
      <c r="F669" s="291" t="str">
        <f>Controle!F669</f>
        <v/>
      </c>
      <c r="G669" s="289" t="str">
        <f>Controle!G669</f>
        <v/>
      </c>
      <c r="H669" s="290"/>
      <c r="I669" s="291" t="str">
        <f>Controle!I669</f>
        <v/>
      </c>
      <c r="J669" s="233" t="str">
        <f>Controle!J669</f>
        <v/>
      </c>
      <c r="K669" s="292"/>
      <c r="L669" s="233" t="str">
        <f>Controle!L669</f>
        <v/>
      </c>
      <c r="M669" s="233" t="str">
        <f>Controle!M669</f>
        <v/>
      </c>
      <c r="N669" s="235" t="str">
        <f>Controle!N669</f>
        <v/>
      </c>
      <c r="O669" s="235" t="str">
        <f>Controle!O669</f>
        <v/>
      </c>
      <c r="P669" s="235" t="str">
        <f>Controle!P669</f>
        <v/>
      </c>
      <c r="Q669" s="235" t="str">
        <f>Controle!Q669</f>
        <v/>
      </c>
      <c r="R669" s="286" t="str">
        <f>Controle!R669</f>
        <v/>
      </c>
      <c r="S669" s="286"/>
      <c r="T669" s="286"/>
      <c r="U669" s="286"/>
      <c r="V669" s="286"/>
      <c r="W669" s="286"/>
      <c r="X669" s="286"/>
      <c r="Y669" s="286"/>
      <c r="Z669" s="286"/>
      <c r="AA669" s="294"/>
      <c r="AB669" s="253"/>
      <c r="AC669" s="253"/>
      <c r="AD669" s="253"/>
      <c r="AE669" s="253"/>
      <c r="AF669" s="253"/>
      <c r="AG669" s="253"/>
      <c r="AH669" s="253"/>
      <c r="AI669" s="253"/>
      <c r="AJ669" s="253"/>
      <c r="AK669" s="253"/>
      <c r="AL669" s="253"/>
      <c r="AM669" s="253"/>
      <c r="AN669" s="253"/>
      <c r="AO669" s="253"/>
      <c r="AP669" s="253"/>
      <c r="AQ669" s="253"/>
      <c r="AR669" s="253"/>
      <c r="AS669" s="253"/>
      <c r="AT669" s="2"/>
      <c r="AU669" s="2"/>
      <c r="AV669" s="2"/>
      <c r="AW669" s="2"/>
      <c r="AX669" s="2"/>
      <c r="AY669" s="253"/>
    </row>
    <row r="670" ht="15.75" customHeight="1">
      <c r="A670" s="2"/>
      <c r="B670" s="288" t="str">
        <f>Controle!B670</f>
        <v/>
      </c>
      <c r="C670" s="233" t="str">
        <f>Controle!C670</f>
        <v/>
      </c>
      <c r="D670" s="289" t="str">
        <f>Controle!D670</f>
        <v/>
      </c>
      <c r="E670" s="290"/>
      <c r="F670" s="291" t="str">
        <f>Controle!F670</f>
        <v/>
      </c>
      <c r="G670" s="289" t="str">
        <f>Controle!G670</f>
        <v/>
      </c>
      <c r="H670" s="290"/>
      <c r="I670" s="291" t="str">
        <f>Controle!I670</f>
        <v/>
      </c>
      <c r="J670" s="233" t="str">
        <f>Controle!J670</f>
        <v/>
      </c>
      <c r="K670" s="292"/>
      <c r="L670" s="233" t="str">
        <f>Controle!L670</f>
        <v/>
      </c>
      <c r="M670" s="233" t="str">
        <f>Controle!M670</f>
        <v/>
      </c>
      <c r="N670" s="235" t="str">
        <f>Controle!N670</f>
        <v/>
      </c>
      <c r="O670" s="235" t="str">
        <f>Controle!O670</f>
        <v/>
      </c>
      <c r="P670" s="235" t="str">
        <f>Controle!P670</f>
        <v/>
      </c>
      <c r="Q670" s="235" t="str">
        <f>Controle!Q670</f>
        <v/>
      </c>
      <c r="R670" s="286" t="str">
        <f>Controle!R670</f>
        <v/>
      </c>
      <c r="S670" s="286"/>
      <c r="T670" s="286"/>
      <c r="U670" s="286"/>
      <c r="V670" s="286"/>
      <c r="W670" s="286"/>
      <c r="X670" s="286"/>
      <c r="Y670" s="286"/>
      <c r="Z670" s="286"/>
      <c r="AA670" s="294"/>
      <c r="AB670" s="253"/>
      <c r="AC670" s="253"/>
      <c r="AD670" s="253"/>
      <c r="AE670" s="253"/>
      <c r="AF670" s="253"/>
      <c r="AG670" s="253"/>
      <c r="AH670" s="253"/>
      <c r="AI670" s="253"/>
      <c r="AJ670" s="253"/>
      <c r="AK670" s="253"/>
      <c r="AL670" s="253"/>
      <c r="AM670" s="253"/>
      <c r="AN670" s="253"/>
      <c r="AO670" s="253"/>
      <c r="AP670" s="253"/>
      <c r="AQ670" s="253"/>
      <c r="AR670" s="253"/>
      <c r="AS670" s="253"/>
      <c r="AT670" s="2"/>
      <c r="AU670" s="2"/>
      <c r="AV670" s="2"/>
      <c r="AW670" s="2"/>
      <c r="AX670" s="2"/>
      <c r="AY670" s="253"/>
    </row>
    <row r="671" ht="15.75" customHeight="1">
      <c r="A671" s="2"/>
      <c r="B671" s="288" t="str">
        <f>Controle!B671</f>
        <v/>
      </c>
      <c r="C671" s="233" t="str">
        <f>Controle!C671</f>
        <v/>
      </c>
      <c r="D671" s="289" t="str">
        <f>Controle!D671</f>
        <v/>
      </c>
      <c r="E671" s="290"/>
      <c r="F671" s="291" t="str">
        <f>Controle!F671</f>
        <v/>
      </c>
      <c r="G671" s="289" t="str">
        <f>Controle!G671</f>
        <v/>
      </c>
      <c r="H671" s="290"/>
      <c r="I671" s="291" t="str">
        <f>Controle!I671</f>
        <v/>
      </c>
      <c r="J671" s="233" t="str">
        <f>Controle!J671</f>
        <v/>
      </c>
      <c r="K671" s="292"/>
      <c r="L671" s="233" t="str">
        <f>Controle!L671</f>
        <v/>
      </c>
      <c r="M671" s="233" t="str">
        <f>Controle!M671</f>
        <v/>
      </c>
      <c r="N671" s="235" t="str">
        <f>Controle!N671</f>
        <v/>
      </c>
      <c r="O671" s="235" t="str">
        <f>Controle!O671</f>
        <v/>
      </c>
      <c r="P671" s="235" t="str">
        <f>Controle!P671</f>
        <v/>
      </c>
      <c r="Q671" s="235" t="str">
        <f>Controle!Q671</f>
        <v/>
      </c>
      <c r="R671" s="286" t="str">
        <f>Controle!R671</f>
        <v/>
      </c>
      <c r="S671" s="286"/>
      <c r="T671" s="286"/>
      <c r="U671" s="286"/>
      <c r="V671" s="286"/>
      <c r="W671" s="286"/>
      <c r="X671" s="286"/>
      <c r="Y671" s="286"/>
      <c r="Z671" s="286"/>
      <c r="AA671" s="294"/>
      <c r="AB671" s="253"/>
      <c r="AC671" s="253"/>
      <c r="AD671" s="253"/>
      <c r="AE671" s="253"/>
      <c r="AF671" s="253"/>
      <c r="AG671" s="253"/>
      <c r="AH671" s="253"/>
      <c r="AI671" s="253"/>
      <c r="AJ671" s="253"/>
      <c r="AK671" s="253"/>
      <c r="AL671" s="253"/>
      <c r="AM671" s="253"/>
      <c r="AN671" s="253"/>
      <c r="AO671" s="253"/>
      <c r="AP671" s="253"/>
      <c r="AQ671" s="253"/>
      <c r="AR671" s="253"/>
      <c r="AS671" s="253"/>
      <c r="AT671" s="2"/>
      <c r="AU671" s="2"/>
      <c r="AV671" s="2"/>
      <c r="AW671" s="2"/>
      <c r="AX671" s="2"/>
      <c r="AY671" s="253"/>
    </row>
    <row r="672" ht="15.75" customHeight="1">
      <c r="A672" s="2"/>
      <c r="B672" s="288" t="str">
        <f>Controle!B672</f>
        <v/>
      </c>
      <c r="C672" s="233" t="str">
        <f>Controle!C672</f>
        <v/>
      </c>
      <c r="D672" s="289" t="str">
        <f>Controle!D672</f>
        <v/>
      </c>
      <c r="E672" s="290"/>
      <c r="F672" s="291" t="str">
        <f>Controle!F672</f>
        <v/>
      </c>
      <c r="G672" s="289" t="str">
        <f>Controle!G672</f>
        <v/>
      </c>
      <c r="H672" s="290"/>
      <c r="I672" s="291" t="str">
        <f>Controle!I672</f>
        <v/>
      </c>
      <c r="J672" s="233" t="str">
        <f>Controle!J672</f>
        <v/>
      </c>
      <c r="K672" s="292"/>
      <c r="L672" s="233" t="str">
        <f>Controle!L672</f>
        <v/>
      </c>
      <c r="M672" s="233" t="str">
        <f>Controle!M672</f>
        <v/>
      </c>
      <c r="N672" s="235" t="str">
        <f>Controle!N672</f>
        <v/>
      </c>
      <c r="O672" s="235" t="str">
        <f>Controle!O672</f>
        <v/>
      </c>
      <c r="P672" s="235" t="str">
        <f>Controle!P672</f>
        <v/>
      </c>
      <c r="Q672" s="235" t="str">
        <f>Controle!Q672</f>
        <v/>
      </c>
      <c r="R672" s="286" t="str">
        <f>Controle!R672</f>
        <v/>
      </c>
      <c r="S672" s="286"/>
      <c r="T672" s="286"/>
      <c r="U672" s="286"/>
      <c r="V672" s="286"/>
      <c r="W672" s="286"/>
      <c r="X672" s="286"/>
      <c r="Y672" s="286"/>
      <c r="Z672" s="286"/>
      <c r="AA672" s="294"/>
      <c r="AB672" s="253"/>
      <c r="AC672" s="253"/>
      <c r="AD672" s="253"/>
      <c r="AE672" s="253"/>
      <c r="AF672" s="253"/>
      <c r="AG672" s="253"/>
      <c r="AH672" s="253"/>
      <c r="AI672" s="253"/>
      <c r="AJ672" s="253"/>
      <c r="AK672" s="253"/>
      <c r="AL672" s="253"/>
      <c r="AM672" s="253"/>
      <c r="AN672" s="253"/>
      <c r="AO672" s="253"/>
      <c r="AP672" s="253"/>
      <c r="AQ672" s="253"/>
      <c r="AR672" s="253"/>
      <c r="AS672" s="253"/>
      <c r="AT672" s="2"/>
      <c r="AU672" s="2"/>
      <c r="AV672" s="2"/>
      <c r="AW672" s="2"/>
      <c r="AX672" s="2"/>
      <c r="AY672" s="253"/>
    </row>
    <row r="673" ht="15.75" customHeight="1">
      <c r="A673" s="2"/>
      <c r="B673" s="288" t="str">
        <f>Controle!B673</f>
        <v/>
      </c>
      <c r="C673" s="233" t="str">
        <f>Controle!C673</f>
        <v/>
      </c>
      <c r="D673" s="289" t="str">
        <f>Controle!D673</f>
        <v/>
      </c>
      <c r="E673" s="290"/>
      <c r="F673" s="291" t="str">
        <f>Controle!F673</f>
        <v/>
      </c>
      <c r="G673" s="289" t="str">
        <f>Controle!G673</f>
        <v/>
      </c>
      <c r="H673" s="290"/>
      <c r="I673" s="291" t="str">
        <f>Controle!I673</f>
        <v/>
      </c>
      <c r="J673" s="233" t="str">
        <f>Controle!J673</f>
        <v/>
      </c>
      <c r="K673" s="292"/>
      <c r="L673" s="233" t="str">
        <f>Controle!L673</f>
        <v/>
      </c>
      <c r="M673" s="233" t="str">
        <f>Controle!M673</f>
        <v/>
      </c>
      <c r="N673" s="235" t="str">
        <f>Controle!N673</f>
        <v/>
      </c>
      <c r="O673" s="235" t="str">
        <f>Controle!O673</f>
        <v/>
      </c>
      <c r="P673" s="235" t="str">
        <f>Controle!P673</f>
        <v/>
      </c>
      <c r="Q673" s="235" t="str">
        <f>Controle!Q673</f>
        <v/>
      </c>
      <c r="R673" s="286" t="str">
        <f>Controle!R673</f>
        <v/>
      </c>
      <c r="S673" s="286"/>
      <c r="T673" s="286"/>
      <c r="U673" s="286"/>
      <c r="V673" s="286"/>
      <c r="W673" s="286"/>
      <c r="X673" s="286"/>
      <c r="Y673" s="286"/>
      <c r="Z673" s="286"/>
      <c r="AA673" s="294"/>
      <c r="AB673" s="253"/>
      <c r="AC673" s="253"/>
      <c r="AD673" s="253"/>
      <c r="AE673" s="253"/>
      <c r="AF673" s="253"/>
      <c r="AG673" s="253"/>
      <c r="AH673" s="253"/>
      <c r="AI673" s="253"/>
      <c r="AJ673" s="253"/>
      <c r="AK673" s="253"/>
      <c r="AL673" s="253"/>
      <c r="AM673" s="253"/>
      <c r="AN673" s="253"/>
      <c r="AO673" s="253"/>
      <c r="AP673" s="253"/>
      <c r="AQ673" s="253"/>
      <c r="AR673" s="253"/>
      <c r="AS673" s="253"/>
      <c r="AT673" s="2"/>
      <c r="AU673" s="2"/>
      <c r="AV673" s="2"/>
      <c r="AW673" s="2"/>
      <c r="AX673" s="2"/>
      <c r="AY673" s="253"/>
    </row>
    <row r="674" ht="15.75" customHeight="1">
      <c r="A674" s="2"/>
      <c r="B674" s="288" t="str">
        <f>Controle!B674</f>
        <v/>
      </c>
      <c r="C674" s="233" t="str">
        <f>Controle!C674</f>
        <v/>
      </c>
      <c r="D674" s="289" t="str">
        <f>Controle!D674</f>
        <v/>
      </c>
      <c r="E674" s="290"/>
      <c r="F674" s="291" t="str">
        <f>Controle!F674</f>
        <v/>
      </c>
      <c r="G674" s="289" t="str">
        <f>Controle!G674</f>
        <v/>
      </c>
      <c r="H674" s="290"/>
      <c r="I674" s="291" t="str">
        <f>Controle!I674</f>
        <v/>
      </c>
      <c r="J674" s="233" t="str">
        <f>Controle!J674</f>
        <v/>
      </c>
      <c r="K674" s="292"/>
      <c r="L674" s="233" t="str">
        <f>Controle!L674</f>
        <v/>
      </c>
      <c r="M674" s="233" t="str">
        <f>Controle!M674</f>
        <v/>
      </c>
      <c r="N674" s="235" t="str">
        <f>Controle!N674</f>
        <v/>
      </c>
      <c r="O674" s="235" t="str">
        <f>Controle!O674</f>
        <v/>
      </c>
      <c r="P674" s="235" t="str">
        <f>Controle!P674</f>
        <v/>
      </c>
      <c r="Q674" s="235" t="str">
        <f>Controle!Q674</f>
        <v/>
      </c>
      <c r="R674" s="286" t="str">
        <f>Controle!R674</f>
        <v/>
      </c>
      <c r="S674" s="286"/>
      <c r="T674" s="286"/>
      <c r="U674" s="286"/>
      <c r="V674" s="286"/>
      <c r="W674" s="286"/>
      <c r="X674" s="286"/>
      <c r="Y674" s="286"/>
      <c r="Z674" s="286"/>
      <c r="AA674" s="294"/>
      <c r="AB674" s="253"/>
      <c r="AC674" s="253"/>
      <c r="AD674" s="253"/>
      <c r="AE674" s="253"/>
      <c r="AF674" s="253"/>
      <c r="AG674" s="253"/>
      <c r="AH674" s="253"/>
      <c r="AI674" s="253"/>
      <c r="AJ674" s="253"/>
      <c r="AK674" s="253"/>
      <c r="AL674" s="253"/>
      <c r="AM674" s="253"/>
      <c r="AN674" s="253"/>
      <c r="AO674" s="253"/>
      <c r="AP674" s="253"/>
      <c r="AQ674" s="253"/>
      <c r="AR674" s="253"/>
      <c r="AS674" s="253"/>
      <c r="AT674" s="2"/>
      <c r="AU674" s="2"/>
      <c r="AV674" s="2"/>
      <c r="AW674" s="2"/>
      <c r="AX674" s="2"/>
      <c r="AY674" s="253"/>
    </row>
    <row r="675" ht="15.75" customHeight="1">
      <c r="A675" s="2"/>
      <c r="B675" s="288" t="str">
        <f>Controle!B675</f>
        <v/>
      </c>
      <c r="C675" s="233" t="str">
        <f>Controle!C675</f>
        <v/>
      </c>
      <c r="D675" s="289" t="str">
        <f>Controle!D675</f>
        <v/>
      </c>
      <c r="E675" s="290"/>
      <c r="F675" s="291" t="str">
        <f>Controle!F675</f>
        <v/>
      </c>
      <c r="G675" s="289" t="str">
        <f>Controle!G675</f>
        <v/>
      </c>
      <c r="H675" s="290"/>
      <c r="I675" s="291" t="str">
        <f>Controle!I675</f>
        <v/>
      </c>
      <c r="J675" s="233" t="str">
        <f>Controle!J675</f>
        <v/>
      </c>
      <c r="K675" s="292"/>
      <c r="L675" s="233" t="str">
        <f>Controle!L675</f>
        <v/>
      </c>
      <c r="M675" s="233" t="str">
        <f>Controle!M675</f>
        <v/>
      </c>
      <c r="N675" s="235" t="str">
        <f>Controle!N675</f>
        <v/>
      </c>
      <c r="O675" s="235" t="str">
        <f>Controle!O675</f>
        <v/>
      </c>
      <c r="P675" s="235" t="str">
        <f>Controle!P675</f>
        <v/>
      </c>
      <c r="Q675" s="235" t="str">
        <f>Controle!Q675</f>
        <v/>
      </c>
      <c r="R675" s="286" t="str">
        <f>Controle!R675</f>
        <v/>
      </c>
      <c r="S675" s="286"/>
      <c r="T675" s="286"/>
      <c r="U675" s="286"/>
      <c r="V675" s="286"/>
      <c r="W675" s="286"/>
      <c r="X675" s="286"/>
      <c r="Y675" s="286"/>
      <c r="Z675" s="286"/>
      <c r="AA675" s="294"/>
      <c r="AB675" s="253"/>
      <c r="AC675" s="253"/>
      <c r="AD675" s="253"/>
      <c r="AE675" s="253"/>
      <c r="AF675" s="253"/>
      <c r="AG675" s="253"/>
      <c r="AH675" s="253"/>
      <c r="AI675" s="253"/>
      <c r="AJ675" s="253"/>
      <c r="AK675" s="253"/>
      <c r="AL675" s="253"/>
      <c r="AM675" s="253"/>
      <c r="AN675" s="253"/>
      <c r="AO675" s="253"/>
      <c r="AP675" s="253"/>
      <c r="AQ675" s="253"/>
      <c r="AR675" s="253"/>
      <c r="AS675" s="253"/>
      <c r="AT675" s="2"/>
      <c r="AU675" s="2"/>
      <c r="AV675" s="2"/>
      <c r="AW675" s="2"/>
      <c r="AX675" s="2"/>
      <c r="AY675" s="253"/>
    </row>
    <row r="676" ht="15.75" customHeight="1">
      <c r="A676" s="2"/>
      <c r="B676" s="288" t="str">
        <f>Controle!B676</f>
        <v/>
      </c>
      <c r="C676" s="233" t="str">
        <f>Controle!C676</f>
        <v/>
      </c>
      <c r="D676" s="289" t="str">
        <f>Controle!D676</f>
        <v/>
      </c>
      <c r="E676" s="290"/>
      <c r="F676" s="291" t="str">
        <f>Controle!F676</f>
        <v/>
      </c>
      <c r="G676" s="289" t="str">
        <f>Controle!G676</f>
        <v/>
      </c>
      <c r="H676" s="290"/>
      <c r="I676" s="291" t="str">
        <f>Controle!I676</f>
        <v/>
      </c>
      <c r="J676" s="233" t="str">
        <f>Controle!J676</f>
        <v/>
      </c>
      <c r="K676" s="292"/>
      <c r="L676" s="233" t="str">
        <f>Controle!L676</f>
        <v/>
      </c>
      <c r="M676" s="233" t="str">
        <f>Controle!M676</f>
        <v/>
      </c>
      <c r="N676" s="235" t="str">
        <f>Controle!N676</f>
        <v/>
      </c>
      <c r="O676" s="235" t="str">
        <f>Controle!O676</f>
        <v/>
      </c>
      <c r="P676" s="235" t="str">
        <f>Controle!P676</f>
        <v/>
      </c>
      <c r="Q676" s="235" t="str">
        <f>Controle!Q676</f>
        <v/>
      </c>
      <c r="R676" s="286" t="str">
        <f>Controle!R676</f>
        <v/>
      </c>
      <c r="S676" s="286"/>
      <c r="T676" s="286"/>
      <c r="U676" s="286"/>
      <c r="V676" s="286"/>
      <c r="W676" s="286"/>
      <c r="X676" s="286"/>
      <c r="Y676" s="286"/>
      <c r="Z676" s="286"/>
      <c r="AA676" s="294"/>
      <c r="AB676" s="253"/>
      <c r="AC676" s="253"/>
      <c r="AD676" s="253"/>
      <c r="AE676" s="253"/>
      <c r="AF676" s="253"/>
      <c r="AG676" s="253"/>
      <c r="AH676" s="253"/>
      <c r="AI676" s="253"/>
      <c r="AJ676" s="253"/>
      <c r="AK676" s="253"/>
      <c r="AL676" s="253"/>
      <c r="AM676" s="253"/>
      <c r="AN676" s="253"/>
      <c r="AO676" s="253"/>
      <c r="AP676" s="253"/>
      <c r="AQ676" s="253"/>
      <c r="AR676" s="253"/>
      <c r="AS676" s="253"/>
      <c r="AT676" s="2"/>
      <c r="AU676" s="2"/>
      <c r="AV676" s="2"/>
      <c r="AW676" s="2"/>
      <c r="AX676" s="2"/>
      <c r="AY676" s="253"/>
    </row>
    <row r="677" ht="15.75" customHeight="1">
      <c r="A677" s="2"/>
      <c r="B677" s="288" t="str">
        <f>Controle!B677</f>
        <v/>
      </c>
      <c r="C677" s="233" t="str">
        <f>Controle!C677</f>
        <v/>
      </c>
      <c r="D677" s="289" t="str">
        <f>Controle!D677</f>
        <v/>
      </c>
      <c r="E677" s="290"/>
      <c r="F677" s="291" t="str">
        <f>Controle!F677</f>
        <v/>
      </c>
      <c r="G677" s="289" t="str">
        <f>Controle!G677</f>
        <v/>
      </c>
      <c r="H677" s="290"/>
      <c r="I677" s="291" t="str">
        <f>Controle!I677</f>
        <v/>
      </c>
      <c r="J677" s="233" t="str">
        <f>Controle!J677</f>
        <v/>
      </c>
      <c r="K677" s="292"/>
      <c r="L677" s="233" t="str">
        <f>Controle!L677</f>
        <v/>
      </c>
      <c r="M677" s="233" t="str">
        <f>Controle!M677</f>
        <v/>
      </c>
      <c r="N677" s="235" t="str">
        <f>Controle!N677</f>
        <v/>
      </c>
      <c r="O677" s="235" t="str">
        <f>Controle!O677</f>
        <v/>
      </c>
      <c r="P677" s="235" t="str">
        <f>Controle!P677</f>
        <v/>
      </c>
      <c r="Q677" s="235" t="str">
        <f>Controle!Q677</f>
        <v/>
      </c>
      <c r="R677" s="286" t="str">
        <f>Controle!R677</f>
        <v/>
      </c>
      <c r="S677" s="286"/>
      <c r="T677" s="286"/>
      <c r="U677" s="286"/>
      <c r="V677" s="286"/>
      <c r="W677" s="286"/>
      <c r="X677" s="286"/>
      <c r="Y677" s="286"/>
      <c r="Z677" s="286"/>
      <c r="AA677" s="294"/>
      <c r="AB677" s="253"/>
      <c r="AC677" s="253"/>
      <c r="AD677" s="253"/>
      <c r="AE677" s="253"/>
      <c r="AF677" s="253"/>
      <c r="AG677" s="253"/>
      <c r="AH677" s="253"/>
      <c r="AI677" s="253"/>
      <c r="AJ677" s="253"/>
      <c r="AK677" s="253"/>
      <c r="AL677" s="253"/>
      <c r="AM677" s="253"/>
      <c r="AN677" s="253"/>
      <c r="AO677" s="253"/>
      <c r="AP677" s="253"/>
      <c r="AQ677" s="253"/>
      <c r="AR677" s="253"/>
      <c r="AS677" s="253"/>
      <c r="AT677" s="2"/>
      <c r="AU677" s="2"/>
      <c r="AV677" s="2"/>
      <c r="AW677" s="2"/>
      <c r="AX677" s="2"/>
      <c r="AY677" s="253"/>
    </row>
    <row r="678" ht="15.75" customHeight="1">
      <c r="A678" s="2"/>
      <c r="B678" s="288" t="str">
        <f>Controle!B678</f>
        <v/>
      </c>
      <c r="C678" s="233" t="str">
        <f>Controle!C678</f>
        <v/>
      </c>
      <c r="D678" s="289" t="str">
        <f>Controle!D678</f>
        <v/>
      </c>
      <c r="E678" s="290"/>
      <c r="F678" s="291" t="str">
        <f>Controle!F678</f>
        <v/>
      </c>
      <c r="G678" s="289" t="str">
        <f>Controle!G678</f>
        <v/>
      </c>
      <c r="H678" s="290"/>
      <c r="I678" s="291" t="str">
        <f>Controle!I678</f>
        <v/>
      </c>
      <c r="J678" s="233" t="str">
        <f>Controle!J678</f>
        <v/>
      </c>
      <c r="K678" s="292"/>
      <c r="L678" s="233" t="str">
        <f>Controle!L678</f>
        <v/>
      </c>
      <c r="M678" s="233" t="str">
        <f>Controle!M678</f>
        <v/>
      </c>
      <c r="N678" s="235" t="str">
        <f>Controle!N678</f>
        <v/>
      </c>
      <c r="O678" s="235" t="str">
        <f>Controle!O678</f>
        <v/>
      </c>
      <c r="P678" s="235" t="str">
        <f>Controle!P678</f>
        <v/>
      </c>
      <c r="Q678" s="235" t="str">
        <f>Controle!Q678</f>
        <v/>
      </c>
      <c r="R678" s="286" t="str">
        <f>Controle!R678</f>
        <v/>
      </c>
      <c r="S678" s="286"/>
      <c r="T678" s="286"/>
      <c r="U678" s="286"/>
      <c r="V678" s="286"/>
      <c r="W678" s="286"/>
      <c r="X678" s="286"/>
      <c r="Y678" s="286"/>
      <c r="Z678" s="286"/>
      <c r="AA678" s="294"/>
      <c r="AB678" s="253"/>
      <c r="AC678" s="253"/>
      <c r="AD678" s="253"/>
      <c r="AE678" s="253"/>
      <c r="AF678" s="253"/>
      <c r="AG678" s="253"/>
      <c r="AH678" s="253"/>
      <c r="AI678" s="253"/>
      <c r="AJ678" s="253"/>
      <c r="AK678" s="253"/>
      <c r="AL678" s="253"/>
      <c r="AM678" s="253"/>
      <c r="AN678" s="253"/>
      <c r="AO678" s="253"/>
      <c r="AP678" s="253"/>
      <c r="AQ678" s="253"/>
      <c r="AR678" s="253"/>
      <c r="AS678" s="253"/>
      <c r="AT678" s="2"/>
      <c r="AU678" s="2"/>
      <c r="AV678" s="2"/>
      <c r="AW678" s="2"/>
      <c r="AX678" s="2"/>
      <c r="AY678" s="253"/>
    </row>
    <row r="679" ht="15.75" customHeight="1">
      <c r="A679" s="2"/>
      <c r="B679" s="288" t="str">
        <f>Controle!B679</f>
        <v/>
      </c>
      <c r="C679" s="233" t="str">
        <f>Controle!C679</f>
        <v/>
      </c>
      <c r="D679" s="289" t="str">
        <f>Controle!D679</f>
        <v/>
      </c>
      <c r="E679" s="290"/>
      <c r="F679" s="291" t="str">
        <f>Controle!F679</f>
        <v/>
      </c>
      <c r="G679" s="289" t="str">
        <f>Controle!G679</f>
        <v/>
      </c>
      <c r="H679" s="290"/>
      <c r="I679" s="291" t="str">
        <f>Controle!I679</f>
        <v/>
      </c>
      <c r="J679" s="233" t="str">
        <f>Controle!J679</f>
        <v/>
      </c>
      <c r="K679" s="292"/>
      <c r="L679" s="233" t="str">
        <f>Controle!L679</f>
        <v/>
      </c>
      <c r="M679" s="233" t="str">
        <f>Controle!M679</f>
        <v/>
      </c>
      <c r="N679" s="235" t="str">
        <f>Controle!N679</f>
        <v/>
      </c>
      <c r="O679" s="235" t="str">
        <f>Controle!O679</f>
        <v/>
      </c>
      <c r="P679" s="235" t="str">
        <f>Controle!P679</f>
        <v/>
      </c>
      <c r="Q679" s="235" t="str">
        <f>Controle!Q679</f>
        <v/>
      </c>
      <c r="R679" s="286" t="str">
        <f>Controle!R679</f>
        <v/>
      </c>
      <c r="S679" s="286"/>
      <c r="T679" s="286"/>
      <c r="U679" s="286"/>
      <c r="V679" s="286"/>
      <c r="W679" s="286"/>
      <c r="X679" s="286"/>
      <c r="Y679" s="286"/>
      <c r="Z679" s="286"/>
      <c r="AA679" s="294"/>
      <c r="AB679" s="253"/>
      <c r="AC679" s="253"/>
      <c r="AD679" s="253"/>
      <c r="AE679" s="253"/>
      <c r="AF679" s="253"/>
      <c r="AG679" s="253"/>
      <c r="AH679" s="253"/>
      <c r="AI679" s="253"/>
      <c r="AJ679" s="253"/>
      <c r="AK679" s="253"/>
      <c r="AL679" s="253"/>
      <c r="AM679" s="253"/>
      <c r="AN679" s="253"/>
      <c r="AO679" s="253"/>
      <c r="AP679" s="253"/>
      <c r="AQ679" s="253"/>
      <c r="AR679" s="253"/>
      <c r="AS679" s="253"/>
      <c r="AT679" s="2"/>
      <c r="AU679" s="2"/>
      <c r="AV679" s="2"/>
      <c r="AW679" s="2"/>
      <c r="AX679" s="2"/>
      <c r="AY679" s="253"/>
    </row>
    <row r="680" ht="15.75" customHeight="1">
      <c r="A680" s="2"/>
      <c r="B680" s="288" t="str">
        <f>Controle!B680</f>
        <v/>
      </c>
      <c r="C680" s="233" t="str">
        <f>Controle!C680</f>
        <v/>
      </c>
      <c r="D680" s="289" t="str">
        <f>Controle!D680</f>
        <v/>
      </c>
      <c r="E680" s="290"/>
      <c r="F680" s="291" t="str">
        <f>Controle!F680</f>
        <v/>
      </c>
      <c r="G680" s="289" t="str">
        <f>Controle!G680</f>
        <v/>
      </c>
      <c r="H680" s="290"/>
      <c r="I680" s="291" t="str">
        <f>Controle!I680</f>
        <v/>
      </c>
      <c r="J680" s="233" t="str">
        <f>Controle!J680</f>
        <v/>
      </c>
      <c r="K680" s="292"/>
      <c r="L680" s="233" t="str">
        <f>Controle!L680</f>
        <v/>
      </c>
      <c r="M680" s="233" t="str">
        <f>Controle!M680</f>
        <v/>
      </c>
      <c r="N680" s="235" t="str">
        <f>Controle!N680</f>
        <v/>
      </c>
      <c r="O680" s="235" t="str">
        <f>Controle!O680</f>
        <v/>
      </c>
      <c r="P680" s="235" t="str">
        <f>Controle!P680</f>
        <v/>
      </c>
      <c r="Q680" s="235" t="str">
        <f>Controle!Q680</f>
        <v/>
      </c>
      <c r="R680" s="286" t="str">
        <f>Controle!R680</f>
        <v/>
      </c>
      <c r="S680" s="286"/>
      <c r="T680" s="286"/>
      <c r="U680" s="286"/>
      <c r="V680" s="286"/>
      <c r="W680" s="286"/>
      <c r="X680" s="286"/>
      <c r="Y680" s="286"/>
      <c r="Z680" s="286"/>
      <c r="AA680" s="294"/>
      <c r="AB680" s="253"/>
      <c r="AC680" s="253"/>
      <c r="AD680" s="253"/>
      <c r="AE680" s="253"/>
      <c r="AF680" s="253"/>
      <c r="AG680" s="253"/>
      <c r="AH680" s="253"/>
      <c r="AI680" s="253"/>
      <c r="AJ680" s="253"/>
      <c r="AK680" s="253"/>
      <c r="AL680" s="253"/>
      <c r="AM680" s="253"/>
      <c r="AN680" s="253"/>
      <c r="AO680" s="253"/>
      <c r="AP680" s="253"/>
      <c r="AQ680" s="253"/>
      <c r="AR680" s="253"/>
      <c r="AS680" s="253"/>
      <c r="AT680" s="2"/>
      <c r="AU680" s="2"/>
      <c r="AV680" s="2"/>
      <c r="AW680" s="2"/>
      <c r="AX680" s="2"/>
      <c r="AY680" s="253"/>
    </row>
    <row r="681" ht="15.75" customHeight="1">
      <c r="A681" s="2"/>
      <c r="B681" s="288" t="str">
        <f>Controle!B681</f>
        <v/>
      </c>
      <c r="C681" s="233" t="str">
        <f>Controle!C681</f>
        <v/>
      </c>
      <c r="D681" s="289" t="str">
        <f>Controle!D681</f>
        <v/>
      </c>
      <c r="E681" s="290"/>
      <c r="F681" s="291" t="str">
        <f>Controle!F681</f>
        <v/>
      </c>
      <c r="G681" s="289" t="str">
        <f>Controle!G681</f>
        <v/>
      </c>
      <c r="H681" s="290"/>
      <c r="I681" s="291" t="str">
        <f>Controle!I681</f>
        <v/>
      </c>
      <c r="J681" s="233" t="str">
        <f>Controle!J681</f>
        <v/>
      </c>
      <c r="K681" s="292"/>
      <c r="L681" s="233" t="str">
        <f>Controle!L681</f>
        <v/>
      </c>
      <c r="M681" s="233" t="str">
        <f>Controle!M681</f>
        <v/>
      </c>
      <c r="N681" s="235" t="str">
        <f>Controle!N681</f>
        <v/>
      </c>
      <c r="O681" s="235" t="str">
        <f>Controle!O681</f>
        <v/>
      </c>
      <c r="P681" s="235" t="str">
        <f>Controle!P681</f>
        <v/>
      </c>
      <c r="Q681" s="235" t="str">
        <f>Controle!Q681</f>
        <v/>
      </c>
      <c r="R681" s="286" t="str">
        <f>Controle!R681</f>
        <v/>
      </c>
      <c r="S681" s="286"/>
      <c r="T681" s="286"/>
      <c r="U681" s="286"/>
      <c r="V681" s="286"/>
      <c r="W681" s="286"/>
      <c r="X681" s="286"/>
      <c r="Y681" s="286"/>
      <c r="Z681" s="286"/>
      <c r="AA681" s="294"/>
      <c r="AB681" s="253"/>
      <c r="AC681" s="253"/>
      <c r="AD681" s="253"/>
      <c r="AE681" s="253"/>
      <c r="AF681" s="253"/>
      <c r="AG681" s="253"/>
      <c r="AH681" s="253"/>
      <c r="AI681" s="253"/>
      <c r="AJ681" s="253"/>
      <c r="AK681" s="253"/>
      <c r="AL681" s="253"/>
      <c r="AM681" s="253"/>
      <c r="AN681" s="253"/>
      <c r="AO681" s="253"/>
      <c r="AP681" s="253"/>
      <c r="AQ681" s="253"/>
      <c r="AR681" s="253"/>
      <c r="AS681" s="253"/>
      <c r="AT681" s="2"/>
      <c r="AU681" s="2"/>
      <c r="AV681" s="2"/>
      <c r="AW681" s="2"/>
      <c r="AX681" s="2"/>
      <c r="AY681" s="253"/>
    </row>
    <row r="682" ht="15.75" customHeight="1">
      <c r="A682" s="2"/>
      <c r="B682" s="288" t="str">
        <f>Controle!B682</f>
        <v/>
      </c>
      <c r="C682" s="233" t="str">
        <f>Controle!C682</f>
        <v/>
      </c>
      <c r="D682" s="289" t="str">
        <f>Controle!D682</f>
        <v/>
      </c>
      <c r="E682" s="290"/>
      <c r="F682" s="291" t="str">
        <f>Controle!F682</f>
        <v/>
      </c>
      <c r="G682" s="289" t="str">
        <f>Controle!G682</f>
        <v/>
      </c>
      <c r="H682" s="290"/>
      <c r="I682" s="291" t="str">
        <f>Controle!I682</f>
        <v/>
      </c>
      <c r="J682" s="233" t="str">
        <f>Controle!J682</f>
        <v/>
      </c>
      <c r="K682" s="292"/>
      <c r="L682" s="233" t="str">
        <f>Controle!L682</f>
        <v/>
      </c>
      <c r="M682" s="233" t="str">
        <f>Controle!M682</f>
        <v/>
      </c>
      <c r="N682" s="235" t="str">
        <f>Controle!N682</f>
        <v/>
      </c>
      <c r="O682" s="235" t="str">
        <f>Controle!O682</f>
        <v/>
      </c>
      <c r="P682" s="235" t="str">
        <f>Controle!P682</f>
        <v/>
      </c>
      <c r="Q682" s="235" t="str">
        <f>Controle!Q682</f>
        <v/>
      </c>
      <c r="R682" s="286" t="str">
        <f>Controle!R682</f>
        <v/>
      </c>
      <c r="S682" s="286"/>
      <c r="T682" s="286"/>
      <c r="U682" s="286"/>
      <c r="V682" s="286"/>
      <c r="W682" s="286"/>
      <c r="X682" s="286"/>
      <c r="Y682" s="286"/>
      <c r="Z682" s="286"/>
      <c r="AA682" s="294"/>
      <c r="AB682" s="253"/>
      <c r="AC682" s="253"/>
      <c r="AD682" s="253"/>
      <c r="AE682" s="253"/>
      <c r="AF682" s="253"/>
      <c r="AG682" s="253"/>
      <c r="AH682" s="253"/>
      <c r="AI682" s="253"/>
      <c r="AJ682" s="253"/>
      <c r="AK682" s="253"/>
      <c r="AL682" s="253"/>
      <c r="AM682" s="253"/>
      <c r="AN682" s="253"/>
      <c r="AO682" s="253"/>
      <c r="AP682" s="253"/>
      <c r="AQ682" s="253"/>
      <c r="AR682" s="253"/>
      <c r="AS682" s="253"/>
      <c r="AT682" s="2"/>
      <c r="AU682" s="2"/>
      <c r="AV682" s="2"/>
      <c r="AW682" s="2"/>
      <c r="AX682" s="2"/>
      <c r="AY682" s="253"/>
    </row>
    <row r="683" ht="15.75" customHeight="1">
      <c r="A683" s="2"/>
      <c r="B683" s="288" t="str">
        <f>Controle!B683</f>
        <v/>
      </c>
      <c r="C683" s="233" t="str">
        <f>Controle!C683</f>
        <v/>
      </c>
      <c r="D683" s="289" t="str">
        <f>Controle!D683</f>
        <v/>
      </c>
      <c r="E683" s="290"/>
      <c r="F683" s="291" t="str">
        <f>Controle!F683</f>
        <v/>
      </c>
      <c r="G683" s="289" t="str">
        <f>Controle!G683</f>
        <v/>
      </c>
      <c r="H683" s="290"/>
      <c r="I683" s="291" t="str">
        <f>Controle!I683</f>
        <v/>
      </c>
      <c r="J683" s="233" t="str">
        <f>Controle!J683</f>
        <v/>
      </c>
      <c r="K683" s="292"/>
      <c r="L683" s="233" t="str">
        <f>Controle!L683</f>
        <v/>
      </c>
      <c r="M683" s="233" t="str">
        <f>Controle!M683</f>
        <v/>
      </c>
      <c r="N683" s="235" t="str">
        <f>Controle!N683</f>
        <v/>
      </c>
      <c r="O683" s="235" t="str">
        <f>Controle!O683</f>
        <v/>
      </c>
      <c r="P683" s="235" t="str">
        <f>Controle!P683</f>
        <v/>
      </c>
      <c r="Q683" s="235" t="str">
        <f>Controle!Q683</f>
        <v/>
      </c>
      <c r="R683" s="286" t="str">
        <f>Controle!R683</f>
        <v/>
      </c>
      <c r="S683" s="286"/>
      <c r="T683" s="286"/>
      <c r="U683" s="286"/>
      <c r="V683" s="286"/>
      <c r="W683" s="286"/>
      <c r="X683" s="286"/>
      <c r="Y683" s="286"/>
      <c r="Z683" s="286"/>
      <c r="AA683" s="294"/>
      <c r="AB683" s="253"/>
      <c r="AC683" s="253"/>
      <c r="AD683" s="253"/>
      <c r="AE683" s="253"/>
      <c r="AF683" s="253"/>
      <c r="AG683" s="253"/>
      <c r="AH683" s="253"/>
      <c r="AI683" s="253"/>
      <c r="AJ683" s="253"/>
      <c r="AK683" s="253"/>
      <c r="AL683" s="253"/>
      <c r="AM683" s="253"/>
      <c r="AN683" s="253"/>
      <c r="AO683" s="253"/>
      <c r="AP683" s="253"/>
      <c r="AQ683" s="253"/>
      <c r="AR683" s="253"/>
      <c r="AS683" s="253"/>
      <c r="AT683" s="2"/>
      <c r="AU683" s="2"/>
      <c r="AV683" s="2"/>
      <c r="AW683" s="2"/>
      <c r="AX683" s="2"/>
      <c r="AY683" s="253"/>
    </row>
    <row r="684" ht="15.75" customHeight="1">
      <c r="A684" s="2"/>
      <c r="B684" s="288" t="str">
        <f>Controle!B684</f>
        <v/>
      </c>
      <c r="C684" s="233" t="str">
        <f>Controle!C684</f>
        <v/>
      </c>
      <c r="D684" s="289" t="str">
        <f>Controle!D684</f>
        <v/>
      </c>
      <c r="E684" s="290"/>
      <c r="F684" s="291" t="str">
        <f>Controle!F684</f>
        <v/>
      </c>
      <c r="G684" s="289" t="str">
        <f>Controle!G684</f>
        <v/>
      </c>
      <c r="H684" s="290"/>
      <c r="I684" s="291" t="str">
        <f>Controle!I684</f>
        <v/>
      </c>
      <c r="J684" s="233" t="str">
        <f>Controle!J684</f>
        <v/>
      </c>
      <c r="K684" s="292"/>
      <c r="L684" s="233" t="str">
        <f>Controle!L684</f>
        <v/>
      </c>
      <c r="M684" s="233" t="str">
        <f>Controle!M684</f>
        <v/>
      </c>
      <c r="N684" s="235" t="str">
        <f>Controle!N684</f>
        <v/>
      </c>
      <c r="O684" s="235" t="str">
        <f>Controle!O684</f>
        <v/>
      </c>
      <c r="P684" s="235" t="str">
        <f>Controle!P684</f>
        <v/>
      </c>
      <c r="Q684" s="235" t="str">
        <f>Controle!Q684</f>
        <v/>
      </c>
      <c r="R684" s="286" t="str">
        <f>Controle!R684</f>
        <v/>
      </c>
      <c r="S684" s="286"/>
      <c r="T684" s="286"/>
      <c r="U684" s="286"/>
      <c r="V684" s="286"/>
      <c r="W684" s="286"/>
      <c r="X684" s="286"/>
      <c r="Y684" s="286"/>
      <c r="Z684" s="286"/>
      <c r="AA684" s="294"/>
      <c r="AB684" s="253"/>
      <c r="AC684" s="253"/>
      <c r="AD684" s="253"/>
      <c r="AE684" s="253"/>
      <c r="AF684" s="253"/>
      <c r="AG684" s="253"/>
      <c r="AH684" s="253"/>
      <c r="AI684" s="253"/>
      <c r="AJ684" s="253"/>
      <c r="AK684" s="253"/>
      <c r="AL684" s="253"/>
      <c r="AM684" s="253"/>
      <c r="AN684" s="253"/>
      <c r="AO684" s="253"/>
      <c r="AP684" s="253"/>
      <c r="AQ684" s="253"/>
      <c r="AR684" s="253"/>
      <c r="AS684" s="253"/>
      <c r="AT684" s="2"/>
      <c r="AU684" s="2"/>
      <c r="AV684" s="2"/>
      <c r="AW684" s="2"/>
      <c r="AX684" s="2"/>
      <c r="AY684" s="253"/>
    </row>
    <row r="685" ht="15.75" customHeight="1">
      <c r="A685" s="2"/>
      <c r="B685" s="288" t="str">
        <f>Controle!B685</f>
        <v/>
      </c>
      <c r="C685" s="233" t="str">
        <f>Controle!C685</f>
        <v/>
      </c>
      <c r="D685" s="289" t="str">
        <f>Controle!D685</f>
        <v/>
      </c>
      <c r="E685" s="290"/>
      <c r="F685" s="291" t="str">
        <f>Controle!F685</f>
        <v/>
      </c>
      <c r="G685" s="289" t="str">
        <f>Controle!G685</f>
        <v/>
      </c>
      <c r="H685" s="290"/>
      <c r="I685" s="291" t="str">
        <f>Controle!I685</f>
        <v/>
      </c>
      <c r="J685" s="233" t="str">
        <f>Controle!J685</f>
        <v/>
      </c>
      <c r="K685" s="292"/>
      <c r="L685" s="233" t="str">
        <f>Controle!L685</f>
        <v/>
      </c>
      <c r="M685" s="233" t="str">
        <f>Controle!M685</f>
        <v/>
      </c>
      <c r="N685" s="235" t="str">
        <f>Controle!N685</f>
        <v/>
      </c>
      <c r="O685" s="235" t="str">
        <f>Controle!O685</f>
        <v/>
      </c>
      <c r="P685" s="235" t="str">
        <f>Controle!P685</f>
        <v/>
      </c>
      <c r="Q685" s="235" t="str">
        <f>Controle!Q685</f>
        <v/>
      </c>
      <c r="R685" s="286" t="str">
        <f>Controle!R685</f>
        <v/>
      </c>
      <c r="S685" s="286"/>
      <c r="T685" s="286"/>
      <c r="U685" s="286"/>
      <c r="V685" s="286"/>
      <c r="W685" s="286"/>
      <c r="X685" s="286"/>
      <c r="Y685" s="286"/>
      <c r="Z685" s="286"/>
      <c r="AA685" s="294"/>
      <c r="AB685" s="253"/>
      <c r="AC685" s="253"/>
      <c r="AD685" s="253"/>
      <c r="AE685" s="253"/>
      <c r="AF685" s="253"/>
      <c r="AG685" s="253"/>
      <c r="AH685" s="253"/>
      <c r="AI685" s="253"/>
      <c r="AJ685" s="253"/>
      <c r="AK685" s="253"/>
      <c r="AL685" s="253"/>
      <c r="AM685" s="253"/>
      <c r="AN685" s="253"/>
      <c r="AO685" s="253"/>
      <c r="AP685" s="253"/>
      <c r="AQ685" s="253"/>
      <c r="AR685" s="253"/>
      <c r="AS685" s="253"/>
      <c r="AT685" s="2"/>
      <c r="AU685" s="2"/>
      <c r="AV685" s="2"/>
      <c r="AW685" s="2"/>
      <c r="AX685" s="2"/>
      <c r="AY685" s="253"/>
    </row>
    <row r="686" ht="15.75" customHeight="1">
      <c r="A686" s="2"/>
      <c r="B686" s="288" t="str">
        <f>Controle!B686</f>
        <v/>
      </c>
      <c r="C686" s="233" t="str">
        <f>Controle!C686</f>
        <v/>
      </c>
      <c r="D686" s="289" t="str">
        <f>Controle!D686</f>
        <v/>
      </c>
      <c r="E686" s="290"/>
      <c r="F686" s="291" t="str">
        <f>Controle!F686</f>
        <v/>
      </c>
      <c r="G686" s="289" t="str">
        <f>Controle!G686</f>
        <v/>
      </c>
      <c r="H686" s="290"/>
      <c r="I686" s="291" t="str">
        <f>Controle!I686</f>
        <v/>
      </c>
      <c r="J686" s="233" t="str">
        <f>Controle!J686</f>
        <v/>
      </c>
      <c r="K686" s="292"/>
      <c r="L686" s="233" t="str">
        <f>Controle!L686</f>
        <v/>
      </c>
      <c r="M686" s="233" t="str">
        <f>Controle!M686</f>
        <v/>
      </c>
      <c r="N686" s="235" t="str">
        <f>Controle!N686</f>
        <v/>
      </c>
      <c r="O686" s="235" t="str">
        <f>Controle!O686</f>
        <v/>
      </c>
      <c r="P686" s="235" t="str">
        <f>Controle!P686</f>
        <v/>
      </c>
      <c r="Q686" s="235" t="str">
        <f>Controle!Q686</f>
        <v/>
      </c>
      <c r="R686" s="286" t="str">
        <f>Controle!R686</f>
        <v/>
      </c>
      <c r="S686" s="286"/>
      <c r="T686" s="286"/>
      <c r="U686" s="286"/>
      <c r="V686" s="286"/>
      <c r="W686" s="286"/>
      <c r="X686" s="286"/>
      <c r="Y686" s="286"/>
      <c r="Z686" s="286"/>
      <c r="AA686" s="294"/>
      <c r="AB686" s="253"/>
      <c r="AC686" s="253"/>
      <c r="AD686" s="253"/>
      <c r="AE686" s="253"/>
      <c r="AF686" s="253"/>
      <c r="AG686" s="253"/>
      <c r="AH686" s="253"/>
      <c r="AI686" s="253"/>
      <c r="AJ686" s="253"/>
      <c r="AK686" s="253"/>
      <c r="AL686" s="253"/>
      <c r="AM686" s="253"/>
      <c r="AN686" s="253"/>
      <c r="AO686" s="253"/>
      <c r="AP686" s="253"/>
      <c r="AQ686" s="253"/>
      <c r="AR686" s="253"/>
      <c r="AS686" s="253"/>
      <c r="AT686" s="2"/>
      <c r="AU686" s="2"/>
      <c r="AV686" s="2"/>
      <c r="AW686" s="2"/>
      <c r="AX686" s="2"/>
      <c r="AY686" s="253"/>
    </row>
    <row r="687" ht="15.75" customHeight="1">
      <c r="A687" s="2"/>
      <c r="B687" s="288" t="str">
        <f>Controle!B687</f>
        <v/>
      </c>
      <c r="C687" s="233" t="str">
        <f>Controle!C687</f>
        <v/>
      </c>
      <c r="D687" s="289" t="str">
        <f>Controle!D687</f>
        <v/>
      </c>
      <c r="E687" s="290"/>
      <c r="F687" s="291" t="str">
        <f>Controle!F687</f>
        <v/>
      </c>
      <c r="G687" s="289" t="str">
        <f>Controle!G687</f>
        <v/>
      </c>
      <c r="H687" s="290"/>
      <c r="I687" s="291" t="str">
        <f>Controle!I687</f>
        <v/>
      </c>
      <c r="J687" s="233" t="str">
        <f>Controle!J687</f>
        <v/>
      </c>
      <c r="K687" s="292"/>
      <c r="L687" s="233" t="str">
        <f>Controle!L687</f>
        <v/>
      </c>
      <c r="M687" s="233" t="str">
        <f>Controle!M687</f>
        <v/>
      </c>
      <c r="N687" s="235" t="str">
        <f>Controle!N687</f>
        <v/>
      </c>
      <c r="O687" s="235" t="str">
        <f>Controle!O687</f>
        <v/>
      </c>
      <c r="P687" s="235" t="str">
        <f>Controle!P687</f>
        <v/>
      </c>
      <c r="Q687" s="235" t="str">
        <f>Controle!Q687</f>
        <v/>
      </c>
      <c r="R687" s="286" t="str">
        <f>Controle!R687</f>
        <v/>
      </c>
      <c r="S687" s="286"/>
      <c r="T687" s="286"/>
      <c r="U687" s="286"/>
      <c r="V687" s="286"/>
      <c r="W687" s="286"/>
      <c r="X687" s="286"/>
      <c r="Y687" s="286"/>
      <c r="Z687" s="286"/>
      <c r="AA687" s="294"/>
      <c r="AB687" s="253"/>
      <c r="AC687" s="253"/>
      <c r="AD687" s="253"/>
      <c r="AE687" s="253"/>
      <c r="AF687" s="253"/>
      <c r="AG687" s="253"/>
      <c r="AH687" s="253"/>
      <c r="AI687" s="253"/>
      <c r="AJ687" s="253"/>
      <c r="AK687" s="253"/>
      <c r="AL687" s="253"/>
      <c r="AM687" s="253"/>
      <c r="AN687" s="253"/>
      <c r="AO687" s="253"/>
      <c r="AP687" s="253"/>
      <c r="AQ687" s="253"/>
      <c r="AR687" s="253"/>
      <c r="AS687" s="253"/>
      <c r="AT687" s="2"/>
      <c r="AU687" s="2"/>
      <c r="AV687" s="2"/>
      <c r="AW687" s="2"/>
      <c r="AX687" s="2"/>
      <c r="AY687" s="253"/>
    </row>
    <row r="688" ht="15.75" customHeight="1">
      <c r="A688" s="2"/>
      <c r="B688" s="288" t="str">
        <f>Controle!B688</f>
        <v/>
      </c>
      <c r="C688" s="233" t="str">
        <f>Controle!C688</f>
        <v/>
      </c>
      <c r="D688" s="289" t="str">
        <f>Controle!D688</f>
        <v/>
      </c>
      <c r="E688" s="290"/>
      <c r="F688" s="291" t="str">
        <f>Controle!F688</f>
        <v/>
      </c>
      <c r="G688" s="289" t="str">
        <f>Controle!G688</f>
        <v/>
      </c>
      <c r="H688" s="290"/>
      <c r="I688" s="291" t="str">
        <f>Controle!I688</f>
        <v/>
      </c>
      <c r="J688" s="233" t="str">
        <f>Controle!J688</f>
        <v/>
      </c>
      <c r="K688" s="292"/>
      <c r="L688" s="233" t="str">
        <f>Controle!L688</f>
        <v/>
      </c>
      <c r="M688" s="233" t="str">
        <f>Controle!M688</f>
        <v/>
      </c>
      <c r="N688" s="235" t="str">
        <f>Controle!N688</f>
        <v/>
      </c>
      <c r="O688" s="235" t="str">
        <f>Controle!O688</f>
        <v/>
      </c>
      <c r="P688" s="235" t="str">
        <f>Controle!P688</f>
        <v/>
      </c>
      <c r="Q688" s="235" t="str">
        <f>Controle!Q688</f>
        <v/>
      </c>
      <c r="R688" s="286" t="str">
        <f>Controle!R688</f>
        <v/>
      </c>
      <c r="S688" s="286"/>
      <c r="T688" s="286"/>
      <c r="U688" s="286"/>
      <c r="V688" s="286"/>
      <c r="W688" s="286"/>
      <c r="X688" s="286"/>
      <c r="Y688" s="286"/>
      <c r="Z688" s="286"/>
      <c r="AA688" s="294"/>
      <c r="AB688" s="253"/>
      <c r="AC688" s="253"/>
      <c r="AD688" s="253"/>
      <c r="AE688" s="253"/>
      <c r="AF688" s="253"/>
      <c r="AG688" s="253"/>
      <c r="AH688" s="253"/>
      <c r="AI688" s="253"/>
      <c r="AJ688" s="253"/>
      <c r="AK688" s="253"/>
      <c r="AL688" s="253"/>
      <c r="AM688" s="253"/>
      <c r="AN688" s="253"/>
      <c r="AO688" s="253"/>
      <c r="AP688" s="253"/>
      <c r="AQ688" s="253"/>
      <c r="AR688" s="253"/>
      <c r="AS688" s="253"/>
      <c r="AT688" s="2"/>
      <c r="AU688" s="2"/>
      <c r="AV688" s="2"/>
      <c r="AW688" s="2"/>
      <c r="AX688" s="2"/>
      <c r="AY688" s="253"/>
    </row>
    <row r="689" ht="15.75" customHeight="1">
      <c r="A689" s="2"/>
      <c r="B689" s="288" t="str">
        <f>Controle!B689</f>
        <v/>
      </c>
      <c r="C689" s="233" t="str">
        <f>Controle!C689</f>
        <v/>
      </c>
      <c r="D689" s="289" t="str">
        <f>Controle!D689</f>
        <v/>
      </c>
      <c r="E689" s="290"/>
      <c r="F689" s="291" t="str">
        <f>Controle!F689</f>
        <v/>
      </c>
      <c r="G689" s="289" t="str">
        <f>Controle!G689</f>
        <v/>
      </c>
      <c r="H689" s="290"/>
      <c r="I689" s="291" t="str">
        <f>Controle!I689</f>
        <v/>
      </c>
      <c r="J689" s="233" t="str">
        <f>Controle!J689</f>
        <v/>
      </c>
      <c r="K689" s="292"/>
      <c r="L689" s="233" t="str">
        <f>Controle!L689</f>
        <v/>
      </c>
      <c r="M689" s="233" t="str">
        <f>Controle!M689</f>
        <v/>
      </c>
      <c r="N689" s="235" t="str">
        <f>Controle!N689</f>
        <v/>
      </c>
      <c r="O689" s="235" t="str">
        <f>Controle!O689</f>
        <v/>
      </c>
      <c r="P689" s="235" t="str">
        <f>Controle!P689</f>
        <v/>
      </c>
      <c r="Q689" s="235" t="str">
        <f>Controle!Q689</f>
        <v/>
      </c>
      <c r="R689" s="286" t="str">
        <f>Controle!R689</f>
        <v/>
      </c>
      <c r="S689" s="286"/>
      <c r="T689" s="286"/>
      <c r="U689" s="286"/>
      <c r="V689" s="286"/>
      <c r="W689" s="286"/>
      <c r="X689" s="286"/>
      <c r="Y689" s="286"/>
      <c r="Z689" s="286"/>
      <c r="AA689" s="294"/>
      <c r="AB689" s="253"/>
      <c r="AC689" s="253"/>
      <c r="AD689" s="253"/>
      <c r="AE689" s="253"/>
      <c r="AF689" s="253"/>
      <c r="AG689" s="253"/>
      <c r="AH689" s="253"/>
      <c r="AI689" s="253"/>
      <c r="AJ689" s="253"/>
      <c r="AK689" s="253"/>
      <c r="AL689" s="253"/>
      <c r="AM689" s="253"/>
      <c r="AN689" s="253"/>
      <c r="AO689" s="253"/>
      <c r="AP689" s="253"/>
      <c r="AQ689" s="253"/>
      <c r="AR689" s="253"/>
      <c r="AS689" s="253"/>
      <c r="AT689" s="2"/>
      <c r="AU689" s="2"/>
      <c r="AV689" s="2"/>
      <c r="AW689" s="2"/>
      <c r="AX689" s="2"/>
      <c r="AY689" s="253"/>
    </row>
    <row r="690" ht="15.75" customHeight="1">
      <c r="A690" s="2"/>
      <c r="B690" s="288" t="str">
        <f>Controle!B690</f>
        <v/>
      </c>
      <c r="C690" s="233" t="str">
        <f>Controle!C690</f>
        <v/>
      </c>
      <c r="D690" s="289" t="str">
        <f>Controle!D690</f>
        <v/>
      </c>
      <c r="E690" s="290"/>
      <c r="F690" s="291" t="str">
        <f>Controle!F690</f>
        <v/>
      </c>
      <c r="G690" s="289" t="str">
        <f>Controle!G690</f>
        <v/>
      </c>
      <c r="H690" s="290"/>
      <c r="I690" s="291" t="str">
        <f>Controle!I690</f>
        <v/>
      </c>
      <c r="J690" s="233" t="str">
        <f>Controle!J690</f>
        <v/>
      </c>
      <c r="K690" s="292"/>
      <c r="L690" s="233" t="str">
        <f>Controle!L690</f>
        <v/>
      </c>
      <c r="M690" s="233" t="str">
        <f>Controle!M690</f>
        <v/>
      </c>
      <c r="N690" s="235" t="str">
        <f>Controle!N690</f>
        <v/>
      </c>
      <c r="O690" s="235" t="str">
        <f>Controle!O690</f>
        <v/>
      </c>
      <c r="P690" s="235" t="str">
        <f>Controle!P690</f>
        <v/>
      </c>
      <c r="Q690" s="235" t="str">
        <f>Controle!Q690</f>
        <v/>
      </c>
      <c r="R690" s="286" t="str">
        <f>Controle!R690</f>
        <v/>
      </c>
      <c r="S690" s="286"/>
      <c r="T690" s="286"/>
      <c r="U690" s="286"/>
      <c r="V690" s="286"/>
      <c r="W690" s="286"/>
      <c r="X690" s="286"/>
      <c r="Y690" s="286"/>
      <c r="Z690" s="286"/>
      <c r="AA690" s="294"/>
      <c r="AB690" s="253"/>
      <c r="AC690" s="253"/>
      <c r="AD690" s="253"/>
      <c r="AE690" s="253"/>
      <c r="AF690" s="253"/>
      <c r="AG690" s="253"/>
      <c r="AH690" s="253"/>
      <c r="AI690" s="253"/>
      <c r="AJ690" s="253"/>
      <c r="AK690" s="253"/>
      <c r="AL690" s="253"/>
      <c r="AM690" s="253"/>
      <c r="AN690" s="253"/>
      <c r="AO690" s="253"/>
      <c r="AP690" s="253"/>
      <c r="AQ690" s="253"/>
      <c r="AR690" s="253"/>
      <c r="AS690" s="253"/>
      <c r="AT690" s="2"/>
      <c r="AU690" s="2"/>
      <c r="AV690" s="2"/>
      <c r="AW690" s="2"/>
      <c r="AX690" s="2"/>
      <c r="AY690" s="253"/>
    </row>
    <row r="691" ht="15.75" customHeight="1">
      <c r="A691" s="2"/>
      <c r="B691" s="288" t="str">
        <f>Controle!B691</f>
        <v/>
      </c>
      <c r="C691" s="233" t="str">
        <f>Controle!C691</f>
        <v/>
      </c>
      <c r="D691" s="289" t="str">
        <f>Controle!D691</f>
        <v/>
      </c>
      <c r="E691" s="290"/>
      <c r="F691" s="291" t="str">
        <f>Controle!F691</f>
        <v/>
      </c>
      <c r="G691" s="289" t="str">
        <f>Controle!G691</f>
        <v/>
      </c>
      <c r="H691" s="290"/>
      <c r="I691" s="291" t="str">
        <f>Controle!I691</f>
        <v/>
      </c>
      <c r="J691" s="233" t="str">
        <f>Controle!J691</f>
        <v/>
      </c>
      <c r="K691" s="292"/>
      <c r="L691" s="233" t="str">
        <f>Controle!L691</f>
        <v/>
      </c>
      <c r="M691" s="233" t="str">
        <f>Controle!M691</f>
        <v/>
      </c>
      <c r="N691" s="235" t="str">
        <f>Controle!N691</f>
        <v/>
      </c>
      <c r="O691" s="235" t="str">
        <f>Controle!O691</f>
        <v/>
      </c>
      <c r="P691" s="235" t="str">
        <f>Controle!P691</f>
        <v/>
      </c>
      <c r="Q691" s="235" t="str">
        <f>Controle!Q691</f>
        <v/>
      </c>
      <c r="R691" s="286" t="str">
        <f>Controle!R691</f>
        <v/>
      </c>
      <c r="S691" s="286"/>
      <c r="T691" s="286"/>
      <c r="U691" s="286"/>
      <c r="V691" s="286"/>
      <c r="W691" s="286"/>
      <c r="X691" s="286"/>
      <c r="Y691" s="286"/>
      <c r="Z691" s="286"/>
      <c r="AA691" s="294"/>
      <c r="AB691" s="253"/>
      <c r="AC691" s="253"/>
      <c r="AD691" s="253"/>
      <c r="AE691" s="253"/>
      <c r="AF691" s="253"/>
      <c r="AG691" s="253"/>
      <c r="AH691" s="253"/>
      <c r="AI691" s="253"/>
      <c r="AJ691" s="253"/>
      <c r="AK691" s="253"/>
      <c r="AL691" s="253"/>
      <c r="AM691" s="253"/>
      <c r="AN691" s="253"/>
      <c r="AO691" s="253"/>
      <c r="AP691" s="253"/>
      <c r="AQ691" s="253"/>
      <c r="AR691" s="253"/>
      <c r="AS691" s="253"/>
      <c r="AT691" s="2"/>
      <c r="AU691" s="2"/>
      <c r="AV691" s="2"/>
      <c r="AW691" s="2"/>
      <c r="AX691" s="2"/>
      <c r="AY691" s="253"/>
    </row>
    <row r="692" ht="15.75" customHeight="1">
      <c r="A692" s="2"/>
      <c r="B692" s="288" t="str">
        <f>Controle!B692</f>
        <v/>
      </c>
      <c r="C692" s="233" t="str">
        <f>Controle!C692</f>
        <v/>
      </c>
      <c r="D692" s="289" t="str">
        <f>Controle!D692</f>
        <v/>
      </c>
      <c r="E692" s="290"/>
      <c r="F692" s="291" t="str">
        <f>Controle!F692</f>
        <v/>
      </c>
      <c r="G692" s="289" t="str">
        <f>Controle!G692</f>
        <v/>
      </c>
      <c r="H692" s="290"/>
      <c r="I692" s="291" t="str">
        <f>Controle!I692</f>
        <v/>
      </c>
      <c r="J692" s="233" t="str">
        <f>Controle!J692</f>
        <v/>
      </c>
      <c r="K692" s="292"/>
      <c r="L692" s="233" t="str">
        <f>Controle!L692</f>
        <v/>
      </c>
      <c r="M692" s="233" t="str">
        <f>Controle!M692</f>
        <v/>
      </c>
      <c r="N692" s="235" t="str">
        <f>Controle!N692</f>
        <v/>
      </c>
      <c r="O692" s="235" t="str">
        <f>Controle!O692</f>
        <v/>
      </c>
      <c r="P692" s="235" t="str">
        <f>Controle!P692</f>
        <v/>
      </c>
      <c r="Q692" s="235" t="str">
        <f>Controle!Q692</f>
        <v/>
      </c>
      <c r="R692" s="286" t="str">
        <f>Controle!R692</f>
        <v/>
      </c>
      <c r="S692" s="286"/>
      <c r="T692" s="286"/>
      <c r="U692" s="286"/>
      <c r="V692" s="286"/>
      <c r="W692" s="286"/>
      <c r="X692" s="286"/>
      <c r="Y692" s="286"/>
      <c r="Z692" s="286"/>
      <c r="AA692" s="294"/>
      <c r="AB692" s="253"/>
      <c r="AC692" s="253"/>
      <c r="AD692" s="253"/>
      <c r="AE692" s="253"/>
      <c r="AF692" s="253"/>
      <c r="AG692" s="253"/>
      <c r="AH692" s="253"/>
      <c r="AI692" s="253"/>
      <c r="AJ692" s="253"/>
      <c r="AK692" s="253"/>
      <c r="AL692" s="253"/>
      <c r="AM692" s="253"/>
      <c r="AN692" s="253"/>
      <c r="AO692" s="253"/>
      <c r="AP692" s="253"/>
      <c r="AQ692" s="253"/>
      <c r="AR692" s="253"/>
      <c r="AS692" s="253"/>
      <c r="AT692" s="2"/>
      <c r="AU692" s="2"/>
      <c r="AV692" s="2"/>
      <c r="AW692" s="2"/>
      <c r="AX692" s="2"/>
      <c r="AY692" s="253"/>
    </row>
    <row r="693" ht="15.75" customHeight="1">
      <c r="A693" s="2"/>
      <c r="B693" s="288" t="str">
        <f>Controle!B693</f>
        <v/>
      </c>
      <c r="C693" s="233" t="str">
        <f>Controle!C693</f>
        <v/>
      </c>
      <c r="D693" s="289" t="str">
        <f>Controle!D693</f>
        <v/>
      </c>
      <c r="E693" s="290"/>
      <c r="F693" s="291" t="str">
        <f>Controle!F693</f>
        <v/>
      </c>
      <c r="G693" s="289" t="str">
        <f>Controle!G693</f>
        <v/>
      </c>
      <c r="H693" s="290"/>
      <c r="I693" s="291" t="str">
        <f>Controle!I693</f>
        <v/>
      </c>
      <c r="J693" s="233" t="str">
        <f>Controle!J693</f>
        <v/>
      </c>
      <c r="K693" s="292"/>
      <c r="L693" s="233" t="str">
        <f>Controle!L693</f>
        <v/>
      </c>
      <c r="M693" s="233" t="str">
        <f>Controle!M693</f>
        <v/>
      </c>
      <c r="N693" s="235" t="str">
        <f>Controle!N693</f>
        <v/>
      </c>
      <c r="O693" s="235" t="str">
        <f>Controle!O693</f>
        <v/>
      </c>
      <c r="P693" s="235" t="str">
        <f>Controle!P693</f>
        <v/>
      </c>
      <c r="Q693" s="235" t="str">
        <f>Controle!Q693</f>
        <v/>
      </c>
      <c r="R693" s="286" t="str">
        <f>Controle!R693</f>
        <v/>
      </c>
      <c r="S693" s="286"/>
      <c r="T693" s="286"/>
      <c r="U693" s="286"/>
      <c r="V693" s="286"/>
      <c r="W693" s="286"/>
      <c r="X693" s="286"/>
      <c r="Y693" s="286"/>
      <c r="Z693" s="286"/>
      <c r="AA693" s="294"/>
      <c r="AB693" s="253"/>
      <c r="AC693" s="253"/>
      <c r="AD693" s="253"/>
      <c r="AE693" s="253"/>
      <c r="AF693" s="253"/>
      <c r="AG693" s="253"/>
      <c r="AH693" s="253"/>
      <c r="AI693" s="253"/>
      <c r="AJ693" s="253"/>
      <c r="AK693" s="253"/>
      <c r="AL693" s="253"/>
      <c r="AM693" s="253"/>
      <c r="AN693" s="253"/>
      <c r="AO693" s="253"/>
      <c r="AP693" s="253"/>
      <c r="AQ693" s="253"/>
      <c r="AR693" s="253"/>
      <c r="AS693" s="253"/>
      <c r="AT693" s="2"/>
      <c r="AU693" s="2"/>
      <c r="AV693" s="2"/>
      <c r="AW693" s="2"/>
      <c r="AX693" s="2"/>
      <c r="AY693" s="253"/>
    </row>
    <row r="694" ht="15.75" customHeight="1">
      <c r="A694" s="2"/>
      <c r="B694" s="288" t="str">
        <f>Controle!B694</f>
        <v/>
      </c>
      <c r="C694" s="233" t="str">
        <f>Controle!C694</f>
        <v/>
      </c>
      <c r="D694" s="289" t="str">
        <f>Controle!D694</f>
        <v/>
      </c>
      <c r="E694" s="290"/>
      <c r="F694" s="291" t="str">
        <f>Controle!F694</f>
        <v/>
      </c>
      <c r="G694" s="289" t="str">
        <f>Controle!G694</f>
        <v/>
      </c>
      <c r="H694" s="290"/>
      <c r="I694" s="291" t="str">
        <f>Controle!I694</f>
        <v/>
      </c>
      <c r="J694" s="233" t="str">
        <f>Controle!J694</f>
        <v/>
      </c>
      <c r="K694" s="292"/>
      <c r="L694" s="233" t="str">
        <f>Controle!L694</f>
        <v/>
      </c>
      <c r="M694" s="233" t="str">
        <f>Controle!M694</f>
        <v/>
      </c>
      <c r="N694" s="235" t="str">
        <f>Controle!N694</f>
        <v/>
      </c>
      <c r="O694" s="235" t="str">
        <f>Controle!O694</f>
        <v/>
      </c>
      <c r="P694" s="235" t="str">
        <f>Controle!P694</f>
        <v/>
      </c>
      <c r="Q694" s="235" t="str">
        <f>Controle!Q694</f>
        <v/>
      </c>
      <c r="R694" s="286" t="str">
        <f>Controle!R694</f>
        <v/>
      </c>
      <c r="S694" s="286"/>
      <c r="T694" s="286"/>
      <c r="U694" s="286"/>
      <c r="V694" s="286"/>
      <c r="W694" s="286"/>
      <c r="X694" s="286"/>
      <c r="Y694" s="286"/>
      <c r="Z694" s="286"/>
      <c r="AA694" s="294"/>
      <c r="AB694" s="253"/>
      <c r="AC694" s="253"/>
      <c r="AD694" s="253"/>
      <c r="AE694" s="253"/>
      <c r="AF694" s="253"/>
      <c r="AG694" s="253"/>
      <c r="AH694" s="253"/>
      <c r="AI694" s="253"/>
      <c r="AJ694" s="253"/>
      <c r="AK694" s="253"/>
      <c r="AL694" s="253"/>
      <c r="AM694" s="253"/>
      <c r="AN694" s="253"/>
      <c r="AO694" s="253"/>
      <c r="AP694" s="253"/>
      <c r="AQ694" s="253"/>
      <c r="AR694" s="253"/>
      <c r="AS694" s="253"/>
      <c r="AT694" s="2"/>
      <c r="AU694" s="2"/>
      <c r="AV694" s="2"/>
      <c r="AW694" s="2"/>
      <c r="AX694" s="2"/>
      <c r="AY694" s="253"/>
    </row>
    <row r="695" ht="15.75" customHeight="1">
      <c r="A695" s="2"/>
      <c r="B695" s="288" t="str">
        <f>Controle!B695</f>
        <v/>
      </c>
      <c r="C695" s="233" t="str">
        <f>Controle!C695</f>
        <v/>
      </c>
      <c r="D695" s="289" t="str">
        <f>Controle!D695</f>
        <v/>
      </c>
      <c r="E695" s="290"/>
      <c r="F695" s="291" t="str">
        <f>Controle!F695</f>
        <v/>
      </c>
      <c r="G695" s="289" t="str">
        <f>Controle!G695</f>
        <v/>
      </c>
      <c r="H695" s="290"/>
      <c r="I695" s="291" t="str">
        <f>Controle!I695</f>
        <v/>
      </c>
      <c r="J695" s="233" t="str">
        <f>Controle!J695</f>
        <v/>
      </c>
      <c r="K695" s="292"/>
      <c r="L695" s="233" t="str">
        <f>Controle!L695</f>
        <v/>
      </c>
      <c r="M695" s="233" t="str">
        <f>Controle!M695</f>
        <v/>
      </c>
      <c r="N695" s="235" t="str">
        <f>Controle!N695</f>
        <v/>
      </c>
      <c r="O695" s="235" t="str">
        <f>Controle!O695</f>
        <v/>
      </c>
      <c r="P695" s="235" t="str">
        <f>Controle!P695</f>
        <v/>
      </c>
      <c r="Q695" s="235" t="str">
        <f>Controle!Q695</f>
        <v/>
      </c>
      <c r="R695" s="286" t="str">
        <f>Controle!R695</f>
        <v/>
      </c>
      <c r="S695" s="286"/>
      <c r="T695" s="286"/>
      <c r="U695" s="286"/>
      <c r="V695" s="286"/>
      <c r="W695" s="286"/>
      <c r="X695" s="286"/>
      <c r="Y695" s="286"/>
      <c r="Z695" s="286"/>
      <c r="AA695" s="294"/>
      <c r="AB695" s="253"/>
      <c r="AC695" s="253"/>
      <c r="AD695" s="253"/>
      <c r="AE695" s="253"/>
      <c r="AF695" s="253"/>
      <c r="AG695" s="253"/>
      <c r="AH695" s="253"/>
      <c r="AI695" s="253"/>
      <c r="AJ695" s="253"/>
      <c r="AK695" s="253"/>
      <c r="AL695" s="253"/>
      <c r="AM695" s="253"/>
      <c r="AN695" s="253"/>
      <c r="AO695" s="253"/>
      <c r="AP695" s="253"/>
      <c r="AQ695" s="253"/>
      <c r="AR695" s="253"/>
      <c r="AS695" s="253"/>
      <c r="AT695" s="2"/>
      <c r="AU695" s="2"/>
      <c r="AV695" s="2"/>
      <c r="AW695" s="2"/>
      <c r="AX695" s="2"/>
      <c r="AY695" s="253"/>
    </row>
    <row r="696" ht="15.75" customHeight="1">
      <c r="A696" s="2"/>
      <c r="B696" s="288" t="str">
        <f>Controle!B696</f>
        <v/>
      </c>
      <c r="C696" s="233" t="str">
        <f>Controle!C696</f>
        <v/>
      </c>
      <c r="D696" s="289" t="str">
        <f>Controle!D696</f>
        <v/>
      </c>
      <c r="E696" s="290"/>
      <c r="F696" s="291" t="str">
        <f>Controle!F696</f>
        <v/>
      </c>
      <c r="G696" s="289" t="str">
        <f>Controle!G696</f>
        <v/>
      </c>
      <c r="H696" s="290"/>
      <c r="I696" s="291" t="str">
        <f>Controle!I696</f>
        <v/>
      </c>
      <c r="J696" s="233" t="str">
        <f>Controle!J696</f>
        <v/>
      </c>
      <c r="K696" s="292"/>
      <c r="L696" s="233" t="str">
        <f>Controle!L696</f>
        <v/>
      </c>
      <c r="M696" s="233" t="str">
        <f>Controle!M696</f>
        <v/>
      </c>
      <c r="N696" s="235" t="str">
        <f>Controle!N696</f>
        <v/>
      </c>
      <c r="O696" s="235" t="str">
        <f>Controle!O696</f>
        <v/>
      </c>
      <c r="P696" s="235" t="str">
        <f>Controle!P696</f>
        <v/>
      </c>
      <c r="Q696" s="235" t="str">
        <f>Controle!Q696</f>
        <v/>
      </c>
      <c r="R696" s="286" t="str">
        <f>Controle!R696</f>
        <v/>
      </c>
      <c r="S696" s="286"/>
      <c r="T696" s="286"/>
      <c r="U696" s="286"/>
      <c r="V696" s="286"/>
      <c r="W696" s="286"/>
      <c r="X696" s="286"/>
      <c r="Y696" s="286"/>
      <c r="Z696" s="286"/>
      <c r="AA696" s="294"/>
      <c r="AB696" s="253"/>
      <c r="AC696" s="253"/>
      <c r="AD696" s="253"/>
      <c r="AE696" s="253"/>
      <c r="AF696" s="253"/>
      <c r="AG696" s="253"/>
      <c r="AH696" s="253"/>
      <c r="AI696" s="253"/>
      <c r="AJ696" s="253"/>
      <c r="AK696" s="253"/>
      <c r="AL696" s="253"/>
      <c r="AM696" s="253"/>
      <c r="AN696" s="253"/>
      <c r="AO696" s="253"/>
      <c r="AP696" s="253"/>
      <c r="AQ696" s="253"/>
      <c r="AR696" s="253"/>
      <c r="AS696" s="253"/>
      <c r="AT696" s="2"/>
      <c r="AU696" s="2"/>
      <c r="AV696" s="2"/>
      <c r="AW696" s="2"/>
      <c r="AX696" s="2"/>
      <c r="AY696" s="253"/>
    </row>
    <row r="697" ht="15.75" customHeight="1">
      <c r="A697" s="2"/>
      <c r="B697" s="288" t="str">
        <f>Controle!B697</f>
        <v/>
      </c>
      <c r="C697" s="233" t="str">
        <f>Controle!C697</f>
        <v/>
      </c>
      <c r="D697" s="289" t="str">
        <f>Controle!D697</f>
        <v/>
      </c>
      <c r="E697" s="290"/>
      <c r="F697" s="291" t="str">
        <f>Controle!F697</f>
        <v/>
      </c>
      <c r="G697" s="289" t="str">
        <f>Controle!G697</f>
        <v/>
      </c>
      <c r="H697" s="290"/>
      <c r="I697" s="291" t="str">
        <f>Controle!I697</f>
        <v/>
      </c>
      <c r="J697" s="233" t="str">
        <f>Controle!J697</f>
        <v/>
      </c>
      <c r="K697" s="292"/>
      <c r="L697" s="233" t="str">
        <f>Controle!L697</f>
        <v/>
      </c>
      <c r="M697" s="233" t="str">
        <f>Controle!M697</f>
        <v/>
      </c>
      <c r="N697" s="235" t="str">
        <f>Controle!N697</f>
        <v/>
      </c>
      <c r="O697" s="235" t="str">
        <f>Controle!O697</f>
        <v/>
      </c>
      <c r="P697" s="235" t="str">
        <f>Controle!P697</f>
        <v/>
      </c>
      <c r="Q697" s="235" t="str">
        <f>Controle!Q697</f>
        <v/>
      </c>
      <c r="R697" s="286" t="str">
        <f>Controle!R697</f>
        <v/>
      </c>
      <c r="S697" s="286"/>
      <c r="T697" s="286"/>
      <c r="U697" s="286"/>
      <c r="V697" s="286"/>
      <c r="W697" s="286"/>
      <c r="X697" s="286"/>
      <c r="Y697" s="286"/>
      <c r="Z697" s="286"/>
      <c r="AA697" s="294"/>
      <c r="AB697" s="253"/>
      <c r="AC697" s="253"/>
      <c r="AD697" s="253"/>
      <c r="AE697" s="253"/>
      <c r="AF697" s="253"/>
      <c r="AG697" s="253"/>
      <c r="AH697" s="253"/>
      <c r="AI697" s="253"/>
      <c r="AJ697" s="253"/>
      <c r="AK697" s="253"/>
      <c r="AL697" s="253"/>
      <c r="AM697" s="253"/>
      <c r="AN697" s="253"/>
      <c r="AO697" s="253"/>
      <c r="AP697" s="253"/>
      <c r="AQ697" s="253"/>
      <c r="AR697" s="253"/>
      <c r="AS697" s="253"/>
      <c r="AT697" s="2"/>
      <c r="AU697" s="2"/>
      <c r="AV697" s="2"/>
      <c r="AW697" s="2"/>
      <c r="AX697" s="2"/>
      <c r="AY697" s="253"/>
    </row>
    <row r="698" ht="15.75" customHeight="1">
      <c r="A698" s="2"/>
      <c r="B698" s="288" t="str">
        <f>Controle!B698</f>
        <v/>
      </c>
      <c r="C698" s="233" t="str">
        <f>Controle!C698</f>
        <v/>
      </c>
      <c r="D698" s="289" t="str">
        <f>Controle!D698</f>
        <v/>
      </c>
      <c r="E698" s="290"/>
      <c r="F698" s="291" t="str">
        <f>Controle!F698</f>
        <v/>
      </c>
      <c r="G698" s="289" t="str">
        <f>Controle!G698</f>
        <v/>
      </c>
      <c r="H698" s="290"/>
      <c r="I698" s="291" t="str">
        <f>Controle!I698</f>
        <v/>
      </c>
      <c r="J698" s="233" t="str">
        <f>Controle!J698</f>
        <v/>
      </c>
      <c r="K698" s="292"/>
      <c r="L698" s="233" t="str">
        <f>Controle!L698</f>
        <v/>
      </c>
      <c r="M698" s="233" t="str">
        <f>Controle!M698</f>
        <v/>
      </c>
      <c r="N698" s="235" t="str">
        <f>Controle!N698</f>
        <v/>
      </c>
      <c r="O698" s="235" t="str">
        <f>Controle!O698</f>
        <v/>
      </c>
      <c r="P698" s="235" t="str">
        <f>Controle!P698</f>
        <v/>
      </c>
      <c r="Q698" s="235" t="str">
        <f>Controle!Q698</f>
        <v/>
      </c>
      <c r="R698" s="286" t="str">
        <f>Controle!R698</f>
        <v/>
      </c>
      <c r="S698" s="286"/>
      <c r="T698" s="286"/>
      <c r="U698" s="286"/>
      <c r="V698" s="286"/>
      <c r="W698" s="286"/>
      <c r="X698" s="286"/>
      <c r="Y698" s="286"/>
      <c r="Z698" s="286"/>
      <c r="AA698" s="294"/>
      <c r="AB698" s="253"/>
      <c r="AC698" s="253"/>
      <c r="AD698" s="253"/>
      <c r="AE698" s="253"/>
      <c r="AF698" s="253"/>
      <c r="AG698" s="253"/>
      <c r="AH698" s="253"/>
      <c r="AI698" s="253"/>
      <c r="AJ698" s="253"/>
      <c r="AK698" s="253"/>
      <c r="AL698" s="253"/>
      <c r="AM698" s="253"/>
      <c r="AN698" s="253"/>
      <c r="AO698" s="253"/>
      <c r="AP698" s="253"/>
      <c r="AQ698" s="253"/>
      <c r="AR698" s="253"/>
      <c r="AS698" s="253"/>
      <c r="AT698" s="2"/>
      <c r="AU698" s="2"/>
      <c r="AV698" s="2"/>
      <c r="AW698" s="2"/>
      <c r="AX698" s="2"/>
      <c r="AY698" s="253"/>
    </row>
    <row r="699" ht="15.75" customHeight="1">
      <c r="A699" s="2"/>
      <c r="B699" s="288" t="str">
        <f>Controle!B699</f>
        <v/>
      </c>
      <c r="C699" s="233" t="str">
        <f>Controle!C699</f>
        <v/>
      </c>
      <c r="D699" s="289" t="str">
        <f>Controle!D699</f>
        <v/>
      </c>
      <c r="E699" s="290"/>
      <c r="F699" s="291" t="str">
        <f>Controle!F699</f>
        <v/>
      </c>
      <c r="G699" s="289" t="str">
        <f>Controle!G699</f>
        <v/>
      </c>
      <c r="H699" s="290"/>
      <c r="I699" s="291" t="str">
        <f>Controle!I699</f>
        <v/>
      </c>
      <c r="J699" s="233" t="str">
        <f>Controle!J699</f>
        <v/>
      </c>
      <c r="K699" s="292"/>
      <c r="L699" s="233" t="str">
        <f>Controle!L699</f>
        <v/>
      </c>
      <c r="M699" s="233" t="str">
        <f>Controle!M699</f>
        <v/>
      </c>
      <c r="N699" s="235" t="str">
        <f>Controle!N699</f>
        <v/>
      </c>
      <c r="O699" s="235" t="str">
        <f>Controle!O699</f>
        <v/>
      </c>
      <c r="P699" s="235" t="str">
        <f>Controle!P699</f>
        <v/>
      </c>
      <c r="Q699" s="235" t="str">
        <f>Controle!Q699</f>
        <v/>
      </c>
      <c r="R699" s="286" t="str">
        <f>Controle!R699</f>
        <v/>
      </c>
      <c r="S699" s="286"/>
      <c r="T699" s="286"/>
      <c r="U699" s="286"/>
      <c r="V699" s="286"/>
      <c r="W699" s="286"/>
      <c r="X699" s="286"/>
      <c r="Y699" s="286"/>
      <c r="Z699" s="286"/>
      <c r="AA699" s="294"/>
      <c r="AB699" s="253"/>
      <c r="AC699" s="253"/>
      <c r="AD699" s="253"/>
      <c r="AE699" s="253"/>
      <c r="AF699" s="253"/>
      <c r="AG699" s="253"/>
      <c r="AH699" s="253"/>
      <c r="AI699" s="253"/>
      <c r="AJ699" s="253"/>
      <c r="AK699" s="253"/>
      <c r="AL699" s="253"/>
      <c r="AM699" s="253"/>
      <c r="AN699" s="253"/>
      <c r="AO699" s="253"/>
      <c r="AP699" s="253"/>
      <c r="AQ699" s="253"/>
      <c r="AR699" s="253"/>
      <c r="AS699" s="253"/>
      <c r="AT699" s="2"/>
      <c r="AU699" s="2"/>
      <c r="AV699" s="2"/>
      <c r="AW699" s="2"/>
      <c r="AX699" s="2"/>
      <c r="AY699" s="253"/>
    </row>
    <row r="700" ht="15.75" customHeight="1">
      <c r="A700" s="2"/>
      <c r="B700" s="288" t="str">
        <f>Controle!B700</f>
        <v/>
      </c>
      <c r="C700" s="233" t="str">
        <f>Controle!C700</f>
        <v/>
      </c>
      <c r="D700" s="289" t="str">
        <f>Controle!D700</f>
        <v/>
      </c>
      <c r="E700" s="290"/>
      <c r="F700" s="291" t="str">
        <f>Controle!F700</f>
        <v/>
      </c>
      <c r="G700" s="289" t="str">
        <f>Controle!G700</f>
        <v/>
      </c>
      <c r="H700" s="290"/>
      <c r="I700" s="291" t="str">
        <f>Controle!I700</f>
        <v/>
      </c>
      <c r="J700" s="233" t="str">
        <f>Controle!J700</f>
        <v/>
      </c>
      <c r="K700" s="292"/>
      <c r="L700" s="233" t="str">
        <f>Controle!L700</f>
        <v/>
      </c>
      <c r="M700" s="233" t="str">
        <f>Controle!M700</f>
        <v/>
      </c>
      <c r="N700" s="235" t="str">
        <f>Controle!N700</f>
        <v/>
      </c>
      <c r="O700" s="235" t="str">
        <f>Controle!O700</f>
        <v/>
      </c>
      <c r="P700" s="235" t="str">
        <f>Controle!P700</f>
        <v/>
      </c>
      <c r="Q700" s="235" t="str">
        <f>Controle!Q700</f>
        <v/>
      </c>
      <c r="R700" s="286" t="str">
        <f>Controle!R700</f>
        <v/>
      </c>
      <c r="S700" s="286"/>
      <c r="T700" s="286"/>
      <c r="U700" s="286"/>
      <c r="V700" s="286"/>
      <c r="W700" s="286"/>
      <c r="X700" s="286"/>
      <c r="Y700" s="286"/>
      <c r="Z700" s="286"/>
      <c r="AA700" s="294"/>
      <c r="AB700" s="253"/>
      <c r="AC700" s="253"/>
      <c r="AD700" s="253"/>
      <c r="AE700" s="253"/>
      <c r="AF700" s="253"/>
      <c r="AG700" s="253"/>
      <c r="AH700" s="253"/>
      <c r="AI700" s="253"/>
      <c r="AJ700" s="253"/>
      <c r="AK700" s="253"/>
      <c r="AL700" s="253"/>
      <c r="AM700" s="253"/>
      <c r="AN700" s="253"/>
      <c r="AO700" s="253"/>
      <c r="AP700" s="253"/>
      <c r="AQ700" s="253"/>
      <c r="AR700" s="253"/>
      <c r="AS700" s="253"/>
      <c r="AT700" s="2"/>
      <c r="AU700" s="2"/>
      <c r="AV700" s="2"/>
      <c r="AW700" s="2"/>
      <c r="AX700" s="2"/>
      <c r="AY700" s="253"/>
    </row>
    <row r="701" ht="15.75" customHeight="1">
      <c r="A701" s="2"/>
      <c r="B701" s="288" t="str">
        <f>Controle!B701</f>
        <v/>
      </c>
      <c r="C701" s="233" t="str">
        <f>Controle!C701</f>
        <v/>
      </c>
      <c r="D701" s="289" t="str">
        <f>Controle!D701</f>
        <v/>
      </c>
      <c r="E701" s="290"/>
      <c r="F701" s="291" t="str">
        <f>Controle!F701</f>
        <v/>
      </c>
      <c r="G701" s="289" t="str">
        <f>Controle!G701</f>
        <v/>
      </c>
      <c r="H701" s="290"/>
      <c r="I701" s="291" t="str">
        <f>Controle!I701</f>
        <v/>
      </c>
      <c r="J701" s="233" t="str">
        <f>Controle!J701</f>
        <v/>
      </c>
      <c r="K701" s="292"/>
      <c r="L701" s="233" t="str">
        <f>Controle!L701</f>
        <v/>
      </c>
      <c r="M701" s="233" t="str">
        <f>Controle!M701</f>
        <v/>
      </c>
      <c r="N701" s="235" t="str">
        <f>Controle!N701</f>
        <v/>
      </c>
      <c r="O701" s="235" t="str">
        <f>Controle!O701</f>
        <v/>
      </c>
      <c r="P701" s="235" t="str">
        <f>Controle!P701</f>
        <v/>
      </c>
      <c r="Q701" s="235" t="str">
        <f>Controle!Q701</f>
        <v/>
      </c>
      <c r="R701" s="286" t="str">
        <f>Controle!R701</f>
        <v/>
      </c>
      <c r="S701" s="286"/>
      <c r="T701" s="286"/>
      <c r="U701" s="286"/>
      <c r="V701" s="286"/>
      <c r="W701" s="286"/>
      <c r="X701" s="286"/>
      <c r="Y701" s="286"/>
      <c r="Z701" s="286"/>
      <c r="AA701" s="294"/>
      <c r="AB701" s="253"/>
      <c r="AC701" s="253"/>
      <c r="AD701" s="253"/>
      <c r="AE701" s="253"/>
      <c r="AF701" s="253"/>
      <c r="AG701" s="253"/>
      <c r="AH701" s="253"/>
      <c r="AI701" s="253"/>
      <c r="AJ701" s="253"/>
      <c r="AK701" s="253"/>
      <c r="AL701" s="253"/>
      <c r="AM701" s="253"/>
      <c r="AN701" s="253"/>
      <c r="AO701" s="253"/>
      <c r="AP701" s="253"/>
      <c r="AQ701" s="253"/>
      <c r="AR701" s="253"/>
      <c r="AS701" s="253"/>
      <c r="AT701" s="2"/>
      <c r="AU701" s="2"/>
      <c r="AV701" s="2"/>
      <c r="AW701" s="2"/>
      <c r="AX701" s="2"/>
      <c r="AY701" s="253"/>
    </row>
    <row r="702" ht="15.75" customHeight="1">
      <c r="A702" s="2"/>
      <c r="B702" s="288" t="str">
        <f>Controle!B702</f>
        <v/>
      </c>
      <c r="C702" s="233" t="str">
        <f>Controle!C702</f>
        <v/>
      </c>
      <c r="D702" s="289" t="str">
        <f>Controle!D702</f>
        <v/>
      </c>
      <c r="E702" s="290"/>
      <c r="F702" s="291" t="str">
        <f>Controle!F702</f>
        <v/>
      </c>
      <c r="G702" s="289" t="str">
        <f>Controle!G702</f>
        <v/>
      </c>
      <c r="H702" s="290"/>
      <c r="I702" s="291" t="str">
        <f>Controle!I702</f>
        <v/>
      </c>
      <c r="J702" s="233" t="str">
        <f>Controle!J702</f>
        <v/>
      </c>
      <c r="K702" s="292"/>
      <c r="L702" s="233" t="str">
        <f>Controle!L702</f>
        <v/>
      </c>
      <c r="M702" s="233" t="str">
        <f>Controle!M702</f>
        <v/>
      </c>
      <c r="N702" s="235" t="str">
        <f>Controle!N702</f>
        <v/>
      </c>
      <c r="O702" s="235" t="str">
        <f>Controle!O702</f>
        <v/>
      </c>
      <c r="P702" s="235" t="str">
        <f>Controle!P702</f>
        <v/>
      </c>
      <c r="Q702" s="235" t="str">
        <f>Controle!Q702</f>
        <v/>
      </c>
      <c r="R702" s="286" t="str">
        <f>Controle!R702</f>
        <v/>
      </c>
      <c r="S702" s="286"/>
      <c r="T702" s="286"/>
      <c r="U702" s="286"/>
      <c r="V702" s="286"/>
      <c r="W702" s="286"/>
      <c r="X702" s="286"/>
      <c r="Y702" s="286"/>
      <c r="Z702" s="286"/>
      <c r="AA702" s="294"/>
      <c r="AB702" s="253"/>
      <c r="AC702" s="253"/>
      <c r="AD702" s="253"/>
      <c r="AE702" s="253"/>
      <c r="AF702" s="253"/>
      <c r="AG702" s="253"/>
      <c r="AH702" s="253"/>
      <c r="AI702" s="253"/>
      <c r="AJ702" s="253"/>
      <c r="AK702" s="253"/>
      <c r="AL702" s="253"/>
      <c r="AM702" s="253"/>
      <c r="AN702" s="253"/>
      <c r="AO702" s="253"/>
      <c r="AP702" s="253"/>
      <c r="AQ702" s="253"/>
      <c r="AR702" s="253"/>
      <c r="AS702" s="253"/>
      <c r="AT702" s="2"/>
      <c r="AU702" s="2"/>
      <c r="AV702" s="2"/>
      <c r="AW702" s="2"/>
      <c r="AX702" s="2"/>
      <c r="AY702" s="253"/>
    </row>
    <row r="703" ht="15.75" customHeight="1">
      <c r="A703" s="2"/>
      <c r="B703" s="288" t="str">
        <f>Controle!B703</f>
        <v/>
      </c>
      <c r="C703" s="233" t="str">
        <f>Controle!C703</f>
        <v/>
      </c>
      <c r="D703" s="289" t="str">
        <f>Controle!D703</f>
        <v/>
      </c>
      <c r="E703" s="290"/>
      <c r="F703" s="291" t="str">
        <f>Controle!F703</f>
        <v/>
      </c>
      <c r="G703" s="289" t="str">
        <f>Controle!G703</f>
        <v/>
      </c>
      <c r="H703" s="290"/>
      <c r="I703" s="291" t="str">
        <f>Controle!I703</f>
        <v/>
      </c>
      <c r="J703" s="233" t="str">
        <f>Controle!J703</f>
        <v/>
      </c>
      <c r="K703" s="292"/>
      <c r="L703" s="233" t="str">
        <f>Controle!L703</f>
        <v/>
      </c>
      <c r="M703" s="233" t="str">
        <f>Controle!M703</f>
        <v/>
      </c>
      <c r="N703" s="235" t="str">
        <f>Controle!N703</f>
        <v/>
      </c>
      <c r="O703" s="235" t="str">
        <f>Controle!O703</f>
        <v/>
      </c>
      <c r="P703" s="235" t="str">
        <f>Controle!P703</f>
        <v/>
      </c>
      <c r="Q703" s="235" t="str">
        <f>Controle!Q703</f>
        <v/>
      </c>
      <c r="R703" s="286" t="str">
        <f>Controle!R703</f>
        <v/>
      </c>
      <c r="S703" s="286"/>
      <c r="T703" s="286"/>
      <c r="U703" s="286"/>
      <c r="V703" s="286"/>
      <c r="W703" s="286"/>
      <c r="X703" s="286"/>
      <c r="Y703" s="286"/>
      <c r="Z703" s="286"/>
      <c r="AA703" s="294"/>
      <c r="AB703" s="253"/>
      <c r="AC703" s="253"/>
      <c r="AD703" s="253"/>
      <c r="AE703" s="253"/>
      <c r="AF703" s="253"/>
      <c r="AG703" s="253"/>
      <c r="AH703" s="253"/>
      <c r="AI703" s="253"/>
      <c r="AJ703" s="253"/>
      <c r="AK703" s="253"/>
      <c r="AL703" s="253"/>
      <c r="AM703" s="253"/>
      <c r="AN703" s="253"/>
      <c r="AO703" s="253"/>
      <c r="AP703" s="253"/>
      <c r="AQ703" s="253"/>
      <c r="AR703" s="253"/>
      <c r="AS703" s="253"/>
      <c r="AT703" s="2"/>
      <c r="AU703" s="2"/>
      <c r="AV703" s="2"/>
      <c r="AW703" s="2"/>
      <c r="AX703" s="2"/>
      <c r="AY703" s="253"/>
    </row>
    <row r="704" ht="15.75" customHeight="1">
      <c r="A704" s="2"/>
      <c r="B704" s="288" t="str">
        <f>Controle!B704</f>
        <v/>
      </c>
      <c r="C704" s="233" t="str">
        <f>Controle!C704</f>
        <v/>
      </c>
      <c r="D704" s="289" t="str">
        <f>Controle!D704</f>
        <v/>
      </c>
      <c r="E704" s="290"/>
      <c r="F704" s="291" t="str">
        <f>Controle!F704</f>
        <v/>
      </c>
      <c r="G704" s="289" t="str">
        <f>Controle!G704</f>
        <v/>
      </c>
      <c r="H704" s="290"/>
      <c r="I704" s="291" t="str">
        <f>Controle!I704</f>
        <v/>
      </c>
      <c r="J704" s="233" t="str">
        <f>Controle!J704</f>
        <v/>
      </c>
      <c r="K704" s="292"/>
      <c r="L704" s="233" t="str">
        <f>Controle!L704</f>
        <v/>
      </c>
      <c r="M704" s="233" t="str">
        <f>Controle!M704</f>
        <v/>
      </c>
      <c r="N704" s="235" t="str">
        <f>Controle!N704</f>
        <v/>
      </c>
      <c r="O704" s="235" t="str">
        <f>Controle!O704</f>
        <v/>
      </c>
      <c r="P704" s="235" t="str">
        <f>Controle!P704</f>
        <v/>
      </c>
      <c r="Q704" s="235" t="str">
        <f>Controle!Q704</f>
        <v/>
      </c>
      <c r="R704" s="286" t="str">
        <f>Controle!R704</f>
        <v/>
      </c>
      <c r="S704" s="286"/>
      <c r="T704" s="286"/>
      <c r="U704" s="286"/>
      <c r="V704" s="286"/>
      <c r="W704" s="286"/>
      <c r="X704" s="286"/>
      <c r="Y704" s="286"/>
      <c r="Z704" s="286"/>
      <c r="AA704" s="294"/>
      <c r="AB704" s="253"/>
      <c r="AC704" s="253"/>
      <c r="AD704" s="253"/>
      <c r="AE704" s="253"/>
      <c r="AF704" s="253"/>
      <c r="AG704" s="253"/>
      <c r="AH704" s="253"/>
      <c r="AI704" s="253"/>
      <c r="AJ704" s="253"/>
      <c r="AK704" s="253"/>
      <c r="AL704" s="253"/>
      <c r="AM704" s="253"/>
      <c r="AN704" s="253"/>
      <c r="AO704" s="253"/>
      <c r="AP704" s="253"/>
      <c r="AQ704" s="253"/>
      <c r="AR704" s="253"/>
      <c r="AS704" s="253"/>
      <c r="AT704" s="2"/>
      <c r="AU704" s="2"/>
      <c r="AV704" s="2"/>
      <c r="AW704" s="2"/>
      <c r="AX704" s="2"/>
      <c r="AY704" s="253"/>
    </row>
    <row r="705" ht="15.75" customHeight="1">
      <c r="A705" s="2"/>
      <c r="B705" s="288" t="str">
        <f>Controle!B705</f>
        <v/>
      </c>
      <c r="C705" s="233" t="str">
        <f>Controle!C705</f>
        <v/>
      </c>
      <c r="D705" s="289" t="str">
        <f>Controle!D705</f>
        <v/>
      </c>
      <c r="E705" s="290"/>
      <c r="F705" s="291" t="str">
        <f>Controle!F705</f>
        <v/>
      </c>
      <c r="G705" s="289" t="str">
        <f>Controle!G705</f>
        <v/>
      </c>
      <c r="H705" s="290"/>
      <c r="I705" s="291" t="str">
        <f>Controle!I705</f>
        <v/>
      </c>
      <c r="J705" s="233" t="str">
        <f>Controle!J705</f>
        <v/>
      </c>
      <c r="K705" s="292"/>
      <c r="L705" s="233" t="str">
        <f>Controle!L705</f>
        <v/>
      </c>
      <c r="M705" s="233" t="str">
        <f>Controle!M705</f>
        <v/>
      </c>
      <c r="N705" s="235" t="str">
        <f>Controle!N705</f>
        <v/>
      </c>
      <c r="O705" s="235" t="str">
        <f>Controle!O705</f>
        <v/>
      </c>
      <c r="P705" s="235" t="str">
        <f>Controle!P705</f>
        <v/>
      </c>
      <c r="Q705" s="235" t="str">
        <f>Controle!Q705</f>
        <v/>
      </c>
      <c r="R705" s="286" t="str">
        <f>Controle!R705</f>
        <v/>
      </c>
      <c r="S705" s="286"/>
      <c r="T705" s="286"/>
      <c r="U705" s="286"/>
      <c r="V705" s="286"/>
      <c r="W705" s="286"/>
      <c r="X705" s="286"/>
      <c r="Y705" s="286"/>
      <c r="Z705" s="286"/>
      <c r="AA705" s="294"/>
      <c r="AB705" s="253"/>
      <c r="AC705" s="253"/>
      <c r="AD705" s="253"/>
      <c r="AE705" s="253"/>
      <c r="AF705" s="253"/>
      <c r="AG705" s="253"/>
      <c r="AH705" s="253"/>
      <c r="AI705" s="253"/>
      <c r="AJ705" s="253"/>
      <c r="AK705" s="253"/>
      <c r="AL705" s="253"/>
      <c r="AM705" s="253"/>
      <c r="AN705" s="253"/>
      <c r="AO705" s="253"/>
      <c r="AP705" s="253"/>
      <c r="AQ705" s="253"/>
      <c r="AR705" s="253"/>
      <c r="AS705" s="253"/>
      <c r="AT705" s="2"/>
      <c r="AU705" s="2"/>
      <c r="AV705" s="2"/>
      <c r="AW705" s="2"/>
      <c r="AX705" s="2"/>
      <c r="AY705" s="253"/>
    </row>
    <row r="706" ht="15.75" customHeight="1">
      <c r="A706" s="2"/>
      <c r="B706" s="288" t="str">
        <f>Controle!B706</f>
        <v/>
      </c>
      <c r="C706" s="233" t="str">
        <f>Controle!C706</f>
        <v/>
      </c>
      <c r="D706" s="289" t="str">
        <f>Controle!D706</f>
        <v/>
      </c>
      <c r="E706" s="290"/>
      <c r="F706" s="291" t="str">
        <f>Controle!F706</f>
        <v/>
      </c>
      <c r="G706" s="289" t="str">
        <f>Controle!G706</f>
        <v/>
      </c>
      <c r="H706" s="290"/>
      <c r="I706" s="291" t="str">
        <f>Controle!I706</f>
        <v/>
      </c>
      <c r="J706" s="233" t="str">
        <f>Controle!J706</f>
        <v/>
      </c>
      <c r="K706" s="292"/>
      <c r="L706" s="233" t="str">
        <f>Controle!L706</f>
        <v/>
      </c>
      <c r="M706" s="233" t="str">
        <f>Controle!M706</f>
        <v/>
      </c>
      <c r="N706" s="235" t="str">
        <f>Controle!N706</f>
        <v/>
      </c>
      <c r="O706" s="235" t="str">
        <f>Controle!O706</f>
        <v/>
      </c>
      <c r="P706" s="235" t="str">
        <f>Controle!P706</f>
        <v/>
      </c>
      <c r="Q706" s="235" t="str">
        <f>Controle!Q706</f>
        <v/>
      </c>
      <c r="R706" s="286" t="str">
        <f>Controle!R706</f>
        <v/>
      </c>
      <c r="S706" s="286"/>
      <c r="T706" s="286"/>
      <c r="U706" s="286"/>
      <c r="V706" s="286"/>
      <c r="W706" s="286"/>
      <c r="X706" s="286"/>
      <c r="Y706" s="286"/>
      <c r="Z706" s="286"/>
      <c r="AA706" s="294"/>
      <c r="AB706" s="253"/>
      <c r="AC706" s="253"/>
      <c r="AD706" s="253"/>
      <c r="AE706" s="253"/>
      <c r="AF706" s="253"/>
      <c r="AG706" s="253"/>
      <c r="AH706" s="253"/>
      <c r="AI706" s="253"/>
      <c r="AJ706" s="253"/>
      <c r="AK706" s="253"/>
      <c r="AL706" s="253"/>
      <c r="AM706" s="253"/>
      <c r="AN706" s="253"/>
      <c r="AO706" s="253"/>
      <c r="AP706" s="253"/>
      <c r="AQ706" s="253"/>
      <c r="AR706" s="253"/>
      <c r="AS706" s="253"/>
      <c r="AT706" s="2"/>
      <c r="AU706" s="2"/>
      <c r="AV706" s="2"/>
      <c r="AW706" s="2"/>
      <c r="AX706" s="2"/>
      <c r="AY706" s="253"/>
    </row>
    <row r="707" ht="15.75" customHeight="1">
      <c r="A707" s="2"/>
      <c r="B707" s="288" t="str">
        <f>Controle!B707</f>
        <v/>
      </c>
      <c r="C707" s="233" t="str">
        <f>Controle!C707</f>
        <v/>
      </c>
      <c r="D707" s="289" t="str">
        <f>Controle!D707</f>
        <v/>
      </c>
      <c r="E707" s="290"/>
      <c r="F707" s="291" t="str">
        <f>Controle!F707</f>
        <v/>
      </c>
      <c r="G707" s="289" t="str">
        <f>Controle!G707</f>
        <v/>
      </c>
      <c r="H707" s="290"/>
      <c r="I707" s="291" t="str">
        <f>Controle!I707</f>
        <v/>
      </c>
      <c r="J707" s="233" t="str">
        <f>Controle!J707</f>
        <v/>
      </c>
      <c r="K707" s="292"/>
      <c r="L707" s="233" t="str">
        <f>Controle!L707</f>
        <v/>
      </c>
      <c r="M707" s="233" t="str">
        <f>Controle!M707</f>
        <v/>
      </c>
      <c r="N707" s="235" t="str">
        <f>Controle!N707</f>
        <v/>
      </c>
      <c r="O707" s="235" t="str">
        <f>Controle!O707</f>
        <v/>
      </c>
      <c r="P707" s="235" t="str">
        <f>Controle!P707</f>
        <v/>
      </c>
      <c r="Q707" s="235" t="str">
        <f>Controle!Q707</f>
        <v/>
      </c>
      <c r="R707" s="286" t="str">
        <f>Controle!R707</f>
        <v/>
      </c>
      <c r="S707" s="286"/>
      <c r="T707" s="286"/>
      <c r="U707" s="286"/>
      <c r="V707" s="286"/>
      <c r="W707" s="286"/>
      <c r="X707" s="286"/>
      <c r="Y707" s="286"/>
      <c r="Z707" s="286"/>
      <c r="AA707" s="294"/>
      <c r="AB707" s="253"/>
      <c r="AC707" s="253"/>
      <c r="AD707" s="253"/>
      <c r="AE707" s="253"/>
      <c r="AF707" s="253"/>
      <c r="AG707" s="253"/>
      <c r="AH707" s="253"/>
      <c r="AI707" s="253"/>
      <c r="AJ707" s="253"/>
      <c r="AK707" s="253"/>
      <c r="AL707" s="253"/>
      <c r="AM707" s="253"/>
      <c r="AN707" s="253"/>
      <c r="AO707" s="253"/>
      <c r="AP707" s="253"/>
      <c r="AQ707" s="253"/>
      <c r="AR707" s="253"/>
      <c r="AS707" s="253"/>
      <c r="AT707" s="2"/>
      <c r="AU707" s="2"/>
      <c r="AV707" s="2"/>
      <c r="AW707" s="2"/>
      <c r="AX707" s="2"/>
      <c r="AY707" s="253"/>
    </row>
    <row r="708" ht="15.75" customHeight="1">
      <c r="A708" s="2"/>
      <c r="B708" s="288" t="str">
        <f>Controle!B708</f>
        <v/>
      </c>
      <c r="C708" s="233" t="str">
        <f>Controle!C708</f>
        <v/>
      </c>
      <c r="D708" s="289" t="str">
        <f>Controle!D708</f>
        <v/>
      </c>
      <c r="E708" s="290"/>
      <c r="F708" s="291" t="str">
        <f>Controle!F708</f>
        <v/>
      </c>
      <c r="G708" s="289" t="str">
        <f>Controle!G708</f>
        <v/>
      </c>
      <c r="H708" s="290"/>
      <c r="I708" s="291" t="str">
        <f>Controle!I708</f>
        <v/>
      </c>
      <c r="J708" s="233" t="str">
        <f>Controle!J708</f>
        <v/>
      </c>
      <c r="K708" s="292"/>
      <c r="L708" s="233" t="str">
        <f>Controle!L708</f>
        <v/>
      </c>
      <c r="M708" s="233" t="str">
        <f>Controle!M708</f>
        <v/>
      </c>
      <c r="N708" s="235" t="str">
        <f>Controle!N708</f>
        <v/>
      </c>
      <c r="O708" s="235" t="str">
        <f>Controle!O708</f>
        <v/>
      </c>
      <c r="P708" s="235" t="str">
        <f>Controle!P708</f>
        <v/>
      </c>
      <c r="Q708" s="235" t="str">
        <f>Controle!Q708</f>
        <v/>
      </c>
      <c r="R708" s="286" t="str">
        <f>Controle!R708</f>
        <v/>
      </c>
      <c r="S708" s="286"/>
      <c r="T708" s="286"/>
      <c r="U708" s="286"/>
      <c r="V708" s="286"/>
      <c r="W708" s="286"/>
      <c r="X708" s="286"/>
      <c r="Y708" s="286"/>
      <c r="Z708" s="286"/>
      <c r="AA708" s="294"/>
      <c r="AB708" s="253"/>
      <c r="AC708" s="253"/>
      <c r="AD708" s="253"/>
      <c r="AE708" s="253"/>
      <c r="AF708" s="253"/>
      <c r="AG708" s="253"/>
      <c r="AH708" s="253"/>
      <c r="AI708" s="253"/>
      <c r="AJ708" s="253"/>
      <c r="AK708" s="253"/>
      <c r="AL708" s="253"/>
      <c r="AM708" s="253"/>
      <c r="AN708" s="253"/>
      <c r="AO708" s="253"/>
      <c r="AP708" s="253"/>
      <c r="AQ708" s="253"/>
      <c r="AR708" s="253"/>
      <c r="AS708" s="253"/>
      <c r="AT708" s="2"/>
      <c r="AU708" s="2"/>
      <c r="AV708" s="2"/>
      <c r="AW708" s="2"/>
      <c r="AX708" s="2"/>
      <c r="AY708" s="253"/>
    </row>
    <row r="709" ht="15.75" customHeight="1">
      <c r="A709" s="2"/>
      <c r="B709" s="288" t="str">
        <f>Controle!B709</f>
        <v/>
      </c>
      <c r="C709" s="233" t="str">
        <f>Controle!C709</f>
        <v/>
      </c>
      <c r="D709" s="289" t="str">
        <f>Controle!D709</f>
        <v/>
      </c>
      <c r="E709" s="290"/>
      <c r="F709" s="291" t="str">
        <f>Controle!F709</f>
        <v/>
      </c>
      <c r="G709" s="289" t="str">
        <f>Controle!G709</f>
        <v/>
      </c>
      <c r="H709" s="290"/>
      <c r="I709" s="291" t="str">
        <f>Controle!I709</f>
        <v/>
      </c>
      <c r="J709" s="233" t="str">
        <f>Controle!J709</f>
        <v/>
      </c>
      <c r="K709" s="292"/>
      <c r="L709" s="233" t="str">
        <f>Controle!L709</f>
        <v/>
      </c>
      <c r="M709" s="233" t="str">
        <f>Controle!M709</f>
        <v/>
      </c>
      <c r="N709" s="235" t="str">
        <f>Controle!N709</f>
        <v/>
      </c>
      <c r="O709" s="235" t="str">
        <f>Controle!O709</f>
        <v/>
      </c>
      <c r="P709" s="235" t="str">
        <f>Controle!P709</f>
        <v/>
      </c>
      <c r="Q709" s="235" t="str">
        <f>Controle!Q709</f>
        <v/>
      </c>
      <c r="R709" s="286" t="str">
        <f>Controle!R709</f>
        <v/>
      </c>
      <c r="S709" s="286"/>
      <c r="T709" s="286"/>
      <c r="U709" s="286"/>
      <c r="V709" s="286"/>
      <c r="W709" s="286"/>
      <c r="X709" s="286"/>
      <c r="Y709" s="286"/>
      <c r="Z709" s="286"/>
      <c r="AA709" s="294"/>
      <c r="AB709" s="253"/>
      <c r="AC709" s="253"/>
      <c r="AD709" s="253"/>
      <c r="AE709" s="253"/>
      <c r="AF709" s="253"/>
      <c r="AG709" s="253"/>
      <c r="AH709" s="253"/>
      <c r="AI709" s="253"/>
      <c r="AJ709" s="253"/>
      <c r="AK709" s="253"/>
      <c r="AL709" s="253"/>
      <c r="AM709" s="253"/>
      <c r="AN709" s="253"/>
      <c r="AO709" s="253"/>
      <c r="AP709" s="253"/>
      <c r="AQ709" s="253"/>
      <c r="AR709" s="253"/>
      <c r="AS709" s="253"/>
      <c r="AT709" s="2"/>
      <c r="AU709" s="2"/>
      <c r="AV709" s="2"/>
      <c r="AW709" s="2"/>
      <c r="AX709" s="2"/>
      <c r="AY709" s="253"/>
    </row>
    <row r="710" ht="15.75" customHeight="1">
      <c r="A710" s="2"/>
      <c r="B710" s="288" t="str">
        <f>Controle!B710</f>
        <v/>
      </c>
      <c r="C710" s="233" t="str">
        <f>Controle!C710</f>
        <v/>
      </c>
      <c r="D710" s="289" t="str">
        <f>Controle!D710</f>
        <v/>
      </c>
      <c r="E710" s="290"/>
      <c r="F710" s="291" t="str">
        <f>Controle!F710</f>
        <v/>
      </c>
      <c r="G710" s="289" t="str">
        <f>Controle!G710</f>
        <v/>
      </c>
      <c r="H710" s="290"/>
      <c r="I710" s="291" t="str">
        <f>Controle!I710</f>
        <v/>
      </c>
      <c r="J710" s="233" t="str">
        <f>Controle!J710</f>
        <v/>
      </c>
      <c r="K710" s="292"/>
      <c r="L710" s="233" t="str">
        <f>Controle!L710</f>
        <v/>
      </c>
      <c r="M710" s="233" t="str">
        <f>Controle!M710</f>
        <v/>
      </c>
      <c r="N710" s="235" t="str">
        <f>Controle!N710</f>
        <v/>
      </c>
      <c r="O710" s="235" t="str">
        <f>Controle!O710</f>
        <v/>
      </c>
      <c r="P710" s="235" t="str">
        <f>Controle!P710</f>
        <v/>
      </c>
      <c r="Q710" s="235" t="str">
        <f>Controle!Q710</f>
        <v/>
      </c>
      <c r="R710" s="286" t="str">
        <f>Controle!R710</f>
        <v/>
      </c>
      <c r="S710" s="286"/>
      <c r="T710" s="286"/>
      <c r="U710" s="286"/>
      <c r="V710" s="286"/>
      <c r="W710" s="286"/>
      <c r="X710" s="286"/>
      <c r="Y710" s="286"/>
      <c r="Z710" s="286"/>
      <c r="AA710" s="294"/>
      <c r="AB710" s="253"/>
      <c r="AC710" s="253"/>
      <c r="AD710" s="253"/>
      <c r="AE710" s="253"/>
      <c r="AF710" s="253"/>
      <c r="AG710" s="253"/>
      <c r="AH710" s="253"/>
      <c r="AI710" s="253"/>
      <c r="AJ710" s="253"/>
      <c r="AK710" s="253"/>
      <c r="AL710" s="253"/>
      <c r="AM710" s="253"/>
      <c r="AN710" s="253"/>
      <c r="AO710" s="253"/>
      <c r="AP710" s="253"/>
      <c r="AQ710" s="253"/>
      <c r="AR710" s="253"/>
      <c r="AS710" s="253"/>
      <c r="AT710" s="2"/>
      <c r="AU710" s="2"/>
      <c r="AV710" s="2"/>
      <c r="AW710" s="2"/>
      <c r="AX710" s="2"/>
      <c r="AY710" s="253"/>
    </row>
    <row r="711" ht="15.75" customHeight="1">
      <c r="A711" s="2"/>
      <c r="B711" s="288" t="str">
        <f>Controle!B711</f>
        <v/>
      </c>
      <c r="C711" s="233" t="str">
        <f>Controle!C711</f>
        <v/>
      </c>
      <c r="D711" s="289" t="str">
        <f>Controle!D711</f>
        <v/>
      </c>
      <c r="E711" s="290"/>
      <c r="F711" s="291" t="str">
        <f>Controle!F711</f>
        <v/>
      </c>
      <c r="G711" s="289" t="str">
        <f>Controle!G711</f>
        <v/>
      </c>
      <c r="H711" s="290"/>
      <c r="I711" s="291" t="str">
        <f>Controle!I711</f>
        <v/>
      </c>
      <c r="J711" s="233" t="str">
        <f>Controle!J711</f>
        <v/>
      </c>
      <c r="K711" s="292"/>
      <c r="L711" s="233" t="str">
        <f>Controle!L711</f>
        <v/>
      </c>
      <c r="M711" s="233" t="str">
        <f>Controle!M711</f>
        <v/>
      </c>
      <c r="N711" s="235" t="str">
        <f>Controle!N711</f>
        <v/>
      </c>
      <c r="O711" s="235" t="str">
        <f>Controle!O711</f>
        <v/>
      </c>
      <c r="P711" s="235" t="str">
        <f>Controle!P711</f>
        <v/>
      </c>
      <c r="Q711" s="235" t="str">
        <f>Controle!Q711</f>
        <v/>
      </c>
      <c r="R711" s="286" t="str">
        <f>Controle!R711</f>
        <v/>
      </c>
      <c r="S711" s="286"/>
      <c r="T711" s="286"/>
      <c r="U711" s="286"/>
      <c r="V711" s="286"/>
      <c r="W711" s="286"/>
      <c r="X711" s="286"/>
      <c r="Y711" s="286"/>
      <c r="Z711" s="286"/>
      <c r="AA711" s="294"/>
      <c r="AB711" s="253"/>
      <c r="AC711" s="253"/>
      <c r="AD711" s="253"/>
      <c r="AE711" s="253"/>
      <c r="AF711" s="253"/>
      <c r="AG711" s="253"/>
      <c r="AH711" s="253"/>
      <c r="AI711" s="253"/>
      <c r="AJ711" s="253"/>
      <c r="AK711" s="253"/>
      <c r="AL711" s="253"/>
      <c r="AM711" s="253"/>
      <c r="AN711" s="253"/>
      <c r="AO711" s="253"/>
      <c r="AP711" s="253"/>
      <c r="AQ711" s="253"/>
      <c r="AR711" s="253"/>
      <c r="AS711" s="253"/>
      <c r="AT711" s="2"/>
      <c r="AU711" s="2"/>
      <c r="AV711" s="2"/>
      <c r="AW711" s="2"/>
      <c r="AX711" s="2"/>
      <c r="AY711" s="253"/>
    </row>
    <row r="712" ht="15.75" customHeight="1">
      <c r="A712" s="2"/>
      <c r="B712" s="288" t="str">
        <f>Controle!B712</f>
        <v/>
      </c>
      <c r="C712" s="233" t="str">
        <f>Controle!C712</f>
        <v/>
      </c>
      <c r="D712" s="289" t="str">
        <f>Controle!D712</f>
        <v/>
      </c>
      <c r="E712" s="290"/>
      <c r="F712" s="291" t="str">
        <f>Controle!F712</f>
        <v/>
      </c>
      <c r="G712" s="289" t="str">
        <f>Controle!G712</f>
        <v/>
      </c>
      <c r="H712" s="290"/>
      <c r="I712" s="291" t="str">
        <f>Controle!I712</f>
        <v/>
      </c>
      <c r="J712" s="233" t="str">
        <f>Controle!J712</f>
        <v/>
      </c>
      <c r="K712" s="292"/>
      <c r="L712" s="233" t="str">
        <f>Controle!L712</f>
        <v/>
      </c>
      <c r="M712" s="233" t="str">
        <f>Controle!M712</f>
        <v/>
      </c>
      <c r="N712" s="235" t="str">
        <f>Controle!N712</f>
        <v/>
      </c>
      <c r="O712" s="235" t="str">
        <f>Controle!O712</f>
        <v/>
      </c>
      <c r="P712" s="235" t="str">
        <f>Controle!P712</f>
        <v/>
      </c>
      <c r="Q712" s="235" t="str">
        <f>Controle!Q712</f>
        <v/>
      </c>
      <c r="R712" s="286" t="str">
        <f>Controle!R712</f>
        <v/>
      </c>
      <c r="S712" s="286"/>
      <c r="T712" s="286"/>
      <c r="U712" s="286"/>
      <c r="V712" s="286"/>
      <c r="W712" s="286"/>
      <c r="X712" s="286"/>
      <c r="Y712" s="286"/>
      <c r="Z712" s="286"/>
      <c r="AA712" s="294"/>
      <c r="AB712" s="253"/>
      <c r="AC712" s="253"/>
      <c r="AD712" s="253"/>
      <c r="AE712" s="253"/>
      <c r="AF712" s="253"/>
      <c r="AG712" s="253"/>
      <c r="AH712" s="253"/>
      <c r="AI712" s="253"/>
      <c r="AJ712" s="253"/>
      <c r="AK712" s="253"/>
      <c r="AL712" s="253"/>
      <c r="AM712" s="253"/>
      <c r="AN712" s="253"/>
      <c r="AO712" s="253"/>
      <c r="AP712" s="253"/>
      <c r="AQ712" s="253"/>
      <c r="AR712" s="253"/>
      <c r="AS712" s="253"/>
      <c r="AT712" s="2"/>
      <c r="AU712" s="2"/>
      <c r="AV712" s="2"/>
      <c r="AW712" s="2"/>
      <c r="AX712" s="2"/>
      <c r="AY712" s="253"/>
    </row>
    <row r="713" ht="15.75" customHeight="1">
      <c r="A713" s="2"/>
      <c r="B713" s="288" t="str">
        <f>Controle!B713</f>
        <v/>
      </c>
      <c r="C713" s="233" t="str">
        <f>Controle!C713</f>
        <v/>
      </c>
      <c r="D713" s="289" t="str">
        <f>Controle!D713</f>
        <v/>
      </c>
      <c r="E713" s="290"/>
      <c r="F713" s="291" t="str">
        <f>Controle!F713</f>
        <v/>
      </c>
      <c r="G713" s="289" t="str">
        <f>Controle!G713</f>
        <v/>
      </c>
      <c r="H713" s="290"/>
      <c r="I713" s="291" t="str">
        <f>Controle!I713</f>
        <v/>
      </c>
      <c r="J713" s="233" t="str">
        <f>Controle!J713</f>
        <v/>
      </c>
      <c r="K713" s="292"/>
      <c r="L713" s="233" t="str">
        <f>Controle!L713</f>
        <v/>
      </c>
      <c r="M713" s="233" t="str">
        <f>Controle!M713</f>
        <v/>
      </c>
      <c r="N713" s="235" t="str">
        <f>Controle!N713</f>
        <v/>
      </c>
      <c r="O713" s="235" t="str">
        <f>Controle!O713</f>
        <v/>
      </c>
      <c r="P713" s="235" t="str">
        <f>Controle!P713</f>
        <v/>
      </c>
      <c r="Q713" s="235" t="str">
        <f>Controle!Q713</f>
        <v/>
      </c>
      <c r="R713" s="286" t="str">
        <f>Controle!R713</f>
        <v/>
      </c>
      <c r="S713" s="286"/>
      <c r="T713" s="286"/>
      <c r="U713" s="286"/>
      <c r="V713" s="286"/>
      <c r="W713" s="286"/>
      <c r="X713" s="286"/>
      <c r="Y713" s="286"/>
      <c r="Z713" s="286"/>
      <c r="AA713" s="294"/>
      <c r="AB713" s="253"/>
      <c r="AC713" s="253"/>
      <c r="AD713" s="253"/>
      <c r="AE713" s="253"/>
      <c r="AF713" s="253"/>
      <c r="AG713" s="253"/>
      <c r="AH713" s="253"/>
      <c r="AI713" s="253"/>
      <c r="AJ713" s="253"/>
      <c r="AK713" s="253"/>
      <c r="AL713" s="253"/>
      <c r="AM713" s="253"/>
      <c r="AN713" s="253"/>
      <c r="AO713" s="253"/>
      <c r="AP713" s="253"/>
      <c r="AQ713" s="253"/>
      <c r="AR713" s="253"/>
      <c r="AS713" s="253"/>
      <c r="AT713" s="2"/>
      <c r="AU713" s="2"/>
      <c r="AV713" s="2"/>
      <c r="AW713" s="2"/>
      <c r="AX713" s="2"/>
      <c r="AY713" s="253"/>
    </row>
    <row r="714" ht="15.75" customHeight="1">
      <c r="A714" s="2"/>
      <c r="B714" s="288" t="str">
        <f>Controle!B714</f>
        <v/>
      </c>
      <c r="C714" s="233" t="str">
        <f>Controle!C714</f>
        <v/>
      </c>
      <c r="D714" s="289" t="str">
        <f>Controle!D714</f>
        <v/>
      </c>
      <c r="E714" s="290"/>
      <c r="F714" s="291" t="str">
        <f>Controle!F714</f>
        <v/>
      </c>
      <c r="G714" s="289" t="str">
        <f>Controle!G714</f>
        <v/>
      </c>
      <c r="H714" s="290"/>
      <c r="I714" s="291" t="str">
        <f>Controle!I714</f>
        <v/>
      </c>
      <c r="J714" s="233" t="str">
        <f>Controle!J714</f>
        <v/>
      </c>
      <c r="K714" s="292"/>
      <c r="L714" s="233" t="str">
        <f>Controle!L714</f>
        <v/>
      </c>
      <c r="M714" s="233" t="str">
        <f>Controle!M714</f>
        <v/>
      </c>
      <c r="N714" s="235" t="str">
        <f>Controle!N714</f>
        <v/>
      </c>
      <c r="O714" s="235" t="str">
        <f>Controle!O714</f>
        <v/>
      </c>
      <c r="P714" s="235" t="str">
        <f>Controle!P714</f>
        <v/>
      </c>
      <c r="Q714" s="235" t="str">
        <f>Controle!Q714</f>
        <v/>
      </c>
      <c r="R714" s="286" t="str">
        <f>Controle!R714</f>
        <v/>
      </c>
      <c r="S714" s="286"/>
      <c r="T714" s="286"/>
      <c r="U714" s="286"/>
      <c r="V714" s="286"/>
      <c r="W714" s="286"/>
      <c r="X714" s="286"/>
      <c r="Y714" s="286"/>
      <c r="Z714" s="286"/>
      <c r="AA714" s="294"/>
      <c r="AB714" s="253"/>
      <c r="AC714" s="253"/>
      <c r="AD714" s="253"/>
      <c r="AE714" s="253"/>
      <c r="AF714" s="253"/>
      <c r="AG714" s="253"/>
      <c r="AH714" s="253"/>
      <c r="AI714" s="253"/>
      <c r="AJ714" s="253"/>
      <c r="AK714" s="253"/>
      <c r="AL714" s="253"/>
      <c r="AM714" s="253"/>
      <c r="AN714" s="253"/>
      <c r="AO714" s="253"/>
      <c r="AP714" s="253"/>
      <c r="AQ714" s="253"/>
      <c r="AR714" s="253"/>
      <c r="AS714" s="253"/>
      <c r="AT714" s="2"/>
      <c r="AU714" s="2"/>
      <c r="AV714" s="2"/>
      <c r="AW714" s="2"/>
      <c r="AX714" s="2"/>
      <c r="AY714" s="253"/>
    </row>
    <row r="715" ht="15.75" customHeight="1">
      <c r="A715" s="2"/>
      <c r="B715" s="288" t="str">
        <f>Controle!B715</f>
        <v/>
      </c>
      <c r="C715" s="233" t="str">
        <f>Controle!C715</f>
        <v/>
      </c>
      <c r="D715" s="289" t="str">
        <f>Controle!D715</f>
        <v/>
      </c>
      <c r="E715" s="290"/>
      <c r="F715" s="291" t="str">
        <f>Controle!F715</f>
        <v/>
      </c>
      <c r="G715" s="289" t="str">
        <f>Controle!G715</f>
        <v/>
      </c>
      <c r="H715" s="290"/>
      <c r="I715" s="291" t="str">
        <f>Controle!I715</f>
        <v/>
      </c>
      <c r="J715" s="233" t="str">
        <f>Controle!J715</f>
        <v/>
      </c>
      <c r="K715" s="292"/>
      <c r="L715" s="233" t="str">
        <f>Controle!L715</f>
        <v/>
      </c>
      <c r="M715" s="233" t="str">
        <f>Controle!M715</f>
        <v/>
      </c>
      <c r="N715" s="235" t="str">
        <f>Controle!N715</f>
        <v/>
      </c>
      <c r="O715" s="235" t="str">
        <f>Controle!O715</f>
        <v/>
      </c>
      <c r="P715" s="235" t="str">
        <f>Controle!P715</f>
        <v/>
      </c>
      <c r="Q715" s="235" t="str">
        <f>Controle!Q715</f>
        <v/>
      </c>
      <c r="R715" s="286" t="str">
        <f>Controle!R715</f>
        <v/>
      </c>
      <c r="S715" s="286"/>
      <c r="T715" s="286"/>
      <c r="U715" s="286"/>
      <c r="V715" s="286"/>
      <c r="W715" s="286"/>
      <c r="X715" s="286"/>
      <c r="Y715" s="286"/>
      <c r="Z715" s="286"/>
      <c r="AA715" s="294"/>
      <c r="AB715" s="253"/>
      <c r="AC715" s="253"/>
      <c r="AD715" s="253"/>
      <c r="AE715" s="253"/>
      <c r="AF715" s="253"/>
      <c r="AG715" s="253"/>
      <c r="AH715" s="253"/>
      <c r="AI715" s="253"/>
      <c r="AJ715" s="253"/>
      <c r="AK715" s="253"/>
      <c r="AL715" s="253"/>
      <c r="AM715" s="253"/>
      <c r="AN715" s="253"/>
      <c r="AO715" s="253"/>
      <c r="AP715" s="253"/>
      <c r="AQ715" s="253"/>
      <c r="AR715" s="253"/>
      <c r="AS715" s="253"/>
      <c r="AT715" s="2"/>
      <c r="AU715" s="2"/>
      <c r="AV715" s="2"/>
      <c r="AW715" s="2"/>
      <c r="AX715" s="2"/>
      <c r="AY715" s="253"/>
    </row>
    <row r="716" ht="15.75" customHeight="1">
      <c r="A716" s="2"/>
      <c r="B716" s="288" t="str">
        <f>Controle!B716</f>
        <v/>
      </c>
      <c r="C716" s="233" t="str">
        <f>Controle!C716</f>
        <v/>
      </c>
      <c r="D716" s="289" t="str">
        <f>Controle!D716</f>
        <v/>
      </c>
      <c r="E716" s="290"/>
      <c r="F716" s="291" t="str">
        <f>Controle!F716</f>
        <v/>
      </c>
      <c r="G716" s="289" t="str">
        <f>Controle!G716</f>
        <v/>
      </c>
      <c r="H716" s="290"/>
      <c r="I716" s="291" t="str">
        <f>Controle!I716</f>
        <v/>
      </c>
      <c r="J716" s="233" t="str">
        <f>Controle!J716</f>
        <v/>
      </c>
      <c r="K716" s="292"/>
      <c r="L716" s="233" t="str">
        <f>Controle!L716</f>
        <v/>
      </c>
      <c r="M716" s="233" t="str">
        <f>Controle!M716</f>
        <v/>
      </c>
      <c r="N716" s="235" t="str">
        <f>Controle!N716</f>
        <v/>
      </c>
      <c r="O716" s="235" t="str">
        <f>Controle!O716</f>
        <v/>
      </c>
      <c r="P716" s="235" t="str">
        <f>Controle!P716</f>
        <v/>
      </c>
      <c r="Q716" s="235" t="str">
        <f>Controle!Q716</f>
        <v/>
      </c>
      <c r="R716" s="286" t="str">
        <f>Controle!R716</f>
        <v/>
      </c>
      <c r="S716" s="286"/>
      <c r="T716" s="286"/>
      <c r="U716" s="286"/>
      <c r="V716" s="286"/>
      <c r="W716" s="286"/>
      <c r="X716" s="286"/>
      <c r="Y716" s="286"/>
      <c r="Z716" s="286"/>
      <c r="AA716" s="294"/>
      <c r="AB716" s="253"/>
      <c r="AC716" s="253"/>
      <c r="AD716" s="253"/>
      <c r="AE716" s="253"/>
      <c r="AF716" s="253"/>
      <c r="AG716" s="253"/>
      <c r="AH716" s="253"/>
      <c r="AI716" s="253"/>
      <c r="AJ716" s="253"/>
      <c r="AK716" s="253"/>
      <c r="AL716" s="253"/>
      <c r="AM716" s="253"/>
      <c r="AN716" s="253"/>
      <c r="AO716" s="253"/>
      <c r="AP716" s="253"/>
      <c r="AQ716" s="253"/>
      <c r="AR716" s="253"/>
      <c r="AS716" s="253"/>
      <c r="AT716" s="2"/>
      <c r="AU716" s="2"/>
      <c r="AV716" s="2"/>
      <c r="AW716" s="2"/>
      <c r="AX716" s="2"/>
      <c r="AY716" s="253"/>
    </row>
    <row r="717" ht="15.75" customHeight="1">
      <c r="A717" s="2"/>
      <c r="B717" s="288" t="str">
        <f>Controle!B717</f>
        <v/>
      </c>
      <c r="C717" s="233" t="str">
        <f>Controle!C717</f>
        <v/>
      </c>
      <c r="D717" s="289" t="str">
        <f>Controle!D717</f>
        <v/>
      </c>
      <c r="E717" s="290"/>
      <c r="F717" s="291" t="str">
        <f>Controle!F717</f>
        <v/>
      </c>
      <c r="G717" s="289" t="str">
        <f>Controle!G717</f>
        <v/>
      </c>
      <c r="H717" s="290"/>
      <c r="I717" s="291" t="str">
        <f>Controle!I717</f>
        <v/>
      </c>
      <c r="J717" s="233" t="str">
        <f>Controle!J717</f>
        <v/>
      </c>
      <c r="K717" s="292"/>
      <c r="L717" s="233" t="str">
        <f>Controle!L717</f>
        <v/>
      </c>
      <c r="M717" s="233" t="str">
        <f>Controle!M717</f>
        <v/>
      </c>
      <c r="N717" s="235" t="str">
        <f>Controle!N717</f>
        <v/>
      </c>
      <c r="O717" s="235" t="str">
        <f>Controle!O717</f>
        <v/>
      </c>
      <c r="P717" s="235" t="str">
        <f>Controle!P717</f>
        <v/>
      </c>
      <c r="Q717" s="235" t="str">
        <f>Controle!Q717</f>
        <v/>
      </c>
      <c r="R717" s="286" t="str">
        <f>Controle!R717</f>
        <v/>
      </c>
      <c r="S717" s="286"/>
      <c r="T717" s="286"/>
      <c r="U717" s="286"/>
      <c r="V717" s="286"/>
      <c r="W717" s="286"/>
      <c r="X717" s="286"/>
      <c r="Y717" s="286"/>
      <c r="Z717" s="286"/>
      <c r="AA717" s="294"/>
      <c r="AB717" s="253"/>
      <c r="AC717" s="253"/>
      <c r="AD717" s="253"/>
      <c r="AE717" s="253"/>
      <c r="AF717" s="253"/>
      <c r="AG717" s="253"/>
      <c r="AH717" s="253"/>
      <c r="AI717" s="253"/>
      <c r="AJ717" s="253"/>
      <c r="AK717" s="253"/>
      <c r="AL717" s="253"/>
      <c r="AM717" s="253"/>
      <c r="AN717" s="253"/>
      <c r="AO717" s="253"/>
      <c r="AP717" s="253"/>
      <c r="AQ717" s="253"/>
      <c r="AR717" s="253"/>
      <c r="AS717" s="253"/>
      <c r="AT717" s="2"/>
      <c r="AU717" s="2"/>
      <c r="AV717" s="2"/>
      <c r="AW717" s="2"/>
      <c r="AX717" s="2"/>
      <c r="AY717" s="253"/>
    </row>
    <row r="718" ht="15.75" customHeight="1">
      <c r="A718" s="2"/>
      <c r="B718" s="288" t="str">
        <f>Controle!B718</f>
        <v/>
      </c>
      <c r="C718" s="233" t="str">
        <f>Controle!C718</f>
        <v/>
      </c>
      <c r="D718" s="289" t="str">
        <f>Controle!D718</f>
        <v/>
      </c>
      <c r="E718" s="290"/>
      <c r="F718" s="291" t="str">
        <f>Controle!F718</f>
        <v/>
      </c>
      <c r="G718" s="289" t="str">
        <f>Controle!G718</f>
        <v/>
      </c>
      <c r="H718" s="290"/>
      <c r="I718" s="291" t="str">
        <f>Controle!I718</f>
        <v/>
      </c>
      <c r="J718" s="233" t="str">
        <f>Controle!J718</f>
        <v/>
      </c>
      <c r="K718" s="292"/>
      <c r="L718" s="233" t="str">
        <f>Controle!L718</f>
        <v/>
      </c>
      <c r="M718" s="233" t="str">
        <f>Controle!M718</f>
        <v/>
      </c>
      <c r="N718" s="235" t="str">
        <f>Controle!N718</f>
        <v/>
      </c>
      <c r="O718" s="235" t="str">
        <f>Controle!O718</f>
        <v/>
      </c>
      <c r="P718" s="235" t="str">
        <f>Controle!P718</f>
        <v/>
      </c>
      <c r="Q718" s="235" t="str">
        <f>Controle!Q718</f>
        <v/>
      </c>
      <c r="R718" s="286" t="str">
        <f>Controle!R718</f>
        <v/>
      </c>
      <c r="S718" s="286"/>
      <c r="T718" s="286"/>
      <c r="U718" s="286"/>
      <c r="V718" s="286"/>
      <c r="W718" s="286"/>
      <c r="X718" s="286"/>
      <c r="Y718" s="286"/>
      <c r="Z718" s="286"/>
      <c r="AA718" s="294"/>
      <c r="AB718" s="253"/>
      <c r="AC718" s="253"/>
      <c r="AD718" s="253"/>
      <c r="AE718" s="253"/>
      <c r="AF718" s="253"/>
      <c r="AG718" s="253"/>
      <c r="AH718" s="253"/>
      <c r="AI718" s="253"/>
      <c r="AJ718" s="253"/>
      <c r="AK718" s="253"/>
      <c r="AL718" s="253"/>
      <c r="AM718" s="253"/>
      <c r="AN718" s="253"/>
      <c r="AO718" s="253"/>
      <c r="AP718" s="253"/>
      <c r="AQ718" s="253"/>
      <c r="AR718" s="253"/>
      <c r="AS718" s="253"/>
      <c r="AT718" s="2"/>
      <c r="AU718" s="2"/>
      <c r="AV718" s="2"/>
      <c r="AW718" s="2"/>
      <c r="AX718" s="2"/>
      <c r="AY718" s="253"/>
    </row>
    <row r="719" ht="15.75" customHeight="1">
      <c r="A719" s="2"/>
      <c r="B719" s="288" t="str">
        <f>Controle!B719</f>
        <v/>
      </c>
      <c r="C719" s="233" t="str">
        <f>Controle!C719</f>
        <v/>
      </c>
      <c r="D719" s="289" t="str">
        <f>Controle!D719</f>
        <v/>
      </c>
      <c r="E719" s="290"/>
      <c r="F719" s="291" t="str">
        <f>Controle!F719</f>
        <v/>
      </c>
      <c r="G719" s="289" t="str">
        <f>Controle!G719</f>
        <v/>
      </c>
      <c r="H719" s="290"/>
      <c r="I719" s="291" t="str">
        <f>Controle!I719</f>
        <v/>
      </c>
      <c r="J719" s="233" t="str">
        <f>Controle!J719</f>
        <v/>
      </c>
      <c r="K719" s="292"/>
      <c r="L719" s="233" t="str">
        <f>Controle!L719</f>
        <v/>
      </c>
      <c r="M719" s="233" t="str">
        <f>Controle!M719</f>
        <v/>
      </c>
      <c r="N719" s="235" t="str">
        <f>Controle!N719</f>
        <v/>
      </c>
      <c r="O719" s="235" t="str">
        <f>Controle!O719</f>
        <v/>
      </c>
      <c r="P719" s="235" t="str">
        <f>Controle!P719</f>
        <v/>
      </c>
      <c r="Q719" s="235" t="str">
        <f>Controle!Q719</f>
        <v/>
      </c>
      <c r="R719" s="286" t="str">
        <f>Controle!R719</f>
        <v/>
      </c>
      <c r="S719" s="286"/>
      <c r="T719" s="286"/>
      <c r="U719" s="286"/>
      <c r="V719" s="286"/>
      <c r="W719" s="286"/>
      <c r="X719" s="286"/>
      <c r="Y719" s="286"/>
      <c r="Z719" s="286"/>
      <c r="AA719" s="294"/>
      <c r="AB719" s="253"/>
      <c r="AC719" s="253"/>
      <c r="AD719" s="253"/>
      <c r="AE719" s="253"/>
      <c r="AF719" s="253"/>
      <c r="AG719" s="253"/>
      <c r="AH719" s="253"/>
      <c r="AI719" s="253"/>
      <c r="AJ719" s="253"/>
      <c r="AK719" s="253"/>
      <c r="AL719" s="253"/>
      <c r="AM719" s="253"/>
      <c r="AN719" s="253"/>
      <c r="AO719" s="253"/>
      <c r="AP719" s="253"/>
      <c r="AQ719" s="253"/>
      <c r="AR719" s="253"/>
      <c r="AS719" s="253"/>
      <c r="AT719" s="2"/>
      <c r="AU719" s="2"/>
      <c r="AV719" s="2"/>
      <c r="AW719" s="2"/>
      <c r="AX719" s="2"/>
      <c r="AY719" s="253"/>
    </row>
    <row r="720" ht="15.75" customHeight="1">
      <c r="A720" s="2"/>
      <c r="B720" s="288" t="str">
        <f>Controle!B720</f>
        <v/>
      </c>
      <c r="C720" s="233" t="str">
        <f>Controle!C720</f>
        <v/>
      </c>
      <c r="D720" s="289" t="str">
        <f>Controle!D720</f>
        <v/>
      </c>
      <c r="E720" s="290"/>
      <c r="F720" s="291" t="str">
        <f>Controle!F720</f>
        <v/>
      </c>
      <c r="G720" s="289" t="str">
        <f>Controle!G720</f>
        <v/>
      </c>
      <c r="H720" s="290"/>
      <c r="I720" s="291" t="str">
        <f>Controle!I720</f>
        <v/>
      </c>
      <c r="J720" s="233" t="str">
        <f>Controle!J720</f>
        <v/>
      </c>
      <c r="K720" s="292"/>
      <c r="L720" s="233" t="str">
        <f>Controle!L720</f>
        <v/>
      </c>
      <c r="M720" s="233" t="str">
        <f>Controle!M720</f>
        <v/>
      </c>
      <c r="N720" s="235" t="str">
        <f>Controle!N720</f>
        <v/>
      </c>
      <c r="O720" s="235" t="str">
        <f>Controle!O720</f>
        <v/>
      </c>
      <c r="P720" s="235" t="str">
        <f>Controle!P720</f>
        <v/>
      </c>
      <c r="Q720" s="235" t="str">
        <f>Controle!Q720</f>
        <v/>
      </c>
      <c r="R720" s="286" t="str">
        <f>Controle!R720</f>
        <v/>
      </c>
      <c r="S720" s="286"/>
      <c r="T720" s="286"/>
      <c r="U720" s="286"/>
      <c r="V720" s="286"/>
      <c r="W720" s="286"/>
      <c r="X720" s="286"/>
      <c r="Y720" s="286"/>
      <c r="Z720" s="286"/>
      <c r="AA720" s="294"/>
      <c r="AB720" s="253"/>
      <c r="AC720" s="253"/>
      <c r="AD720" s="253"/>
      <c r="AE720" s="253"/>
      <c r="AF720" s="253"/>
      <c r="AG720" s="253"/>
      <c r="AH720" s="253"/>
      <c r="AI720" s="253"/>
      <c r="AJ720" s="253"/>
      <c r="AK720" s="253"/>
      <c r="AL720" s="253"/>
      <c r="AM720" s="253"/>
      <c r="AN720" s="253"/>
      <c r="AO720" s="253"/>
      <c r="AP720" s="253"/>
      <c r="AQ720" s="253"/>
      <c r="AR720" s="253"/>
      <c r="AS720" s="253"/>
      <c r="AT720" s="2"/>
      <c r="AU720" s="2"/>
      <c r="AV720" s="2"/>
      <c r="AW720" s="2"/>
      <c r="AX720" s="2"/>
      <c r="AY720" s="253"/>
    </row>
    <row r="721" ht="15.75" customHeight="1">
      <c r="A721" s="2"/>
      <c r="B721" s="288" t="str">
        <f>Controle!B721</f>
        <v/>
      </c>
      <c r="C721" s="233" t="str">
        <f>Controle!C721</f>
        <v/>
      </c>
      <c r="D721" s="289" t="str">
        <f>Controle!D721</f>
        <v/>
      </c>
      <c r="E721" s="290"/>
      <c r="F721" s="291" t="str">
        <f>Controle!F721</f>
        <v/>
      </c>
      <c r="G721" s="289" t="str">
        <f>Controle!G721</f>
        <v/>
      </c>
      <c r="H721" s="290"/>
      <c r="I721" s="291" t="str">
        <f>Controle!I721</f>
        <v/>
      </c>
      <c r="J721" s="233" t="str">
        <f>Controle!J721</f>
        <v/>
      </c>
      <c r="K721" s="292"/>
      <c r="L721" s="233" t="str">
        <f>Controle!L721</f>
        <v/>
      </c>
      <c r="M721" s="233" t="str">
        <f>Controle!M721</f>
        <v/>
      </c>
      <c r="N721" s="235" t="str">
        <f>Controle!N721</f>
        <v/>
      </c>
      <c r="O721" s="235" t="str">
        <f>Controle!O721</f>
        <v/>
      </c>
      <c r="P721" s="235" t="str">
        <f>Controle!P721</f>
        <v/>
      </c>
      <c r="Q721" s="235" t="str">
        <f>Controle!Q721</f>
        <v/>
      </c>
      <c r="R721" s="286" t="str">
        <f>Controle!R721</f>
        <v/>
      </c>
      <c r="S721" s="286"/>
      <c r="T721" s="286"/>
      <c r="U721" s="286"/>
      <c r="V721" s="286"/>
      <c r="W721" s="286"/>
      <c r="X721" s="286"/>
      <c r="Y721" s="286"/>
      <c r="Z721" s="286"/>
      <c r="AA721" s="294"/>
      <c r="AB721" s="253"/>
      <c r="AC721" s="253"/>
      <c r="AD721" s="253"/>
      <c r="AE721" s="253"/>
      <c r="AF721" s="253"/>
      <c r="AG721" s="253"/>
      <c r="AH721" s="253"/>
      <c r="AI721" s="253"/>
      <c r="AJ721" s="253"/>
      <c r="AK721" s="253"/>
      <c r="AL721" s="253"/>
      <c r="AM721" s="253"/>
      <c r="AN721" s="253"/>
      <c r="AO721" s="253"/>
      <c r="AP721" s="253"/>
      <c r="AQ721" s="253"/>
      <c r="AR721" s="253"/>
      <c r="AS721" s="253"/>
      <c r="AT721" s="2"/>
      <c r="AU721" s="2"/>
      <c r="AV721" s="2"/>
      <c r="AW721" s="2"/>
      <c r="AX721" s="2"/>
      <c r="AY721" s="253"/>
    </row>
    <row r="722" ht="15.75" customHeight="1">
      <c r="A722" s="2"/>
      <c r="B722" s="288" t="str">
        <f>Controle!B722</f>
        <v/>
      </c>
      <c r="C722" s="233" t="str">
        <f>Controle!C722</f>
        <v/>
      </c>
      <c r="D722" s="289" t="str">
        <f>Controle!D722</f>
        <v/>
      </c>
      <c r="E722" s="290"/>
      <c r="F722" s="291" t="str">
        <f>Controle!F722</f>
        <v/>
      </c>
      <c r="G722" s="289" t="str">
        <f>Controle!G722</f>
        <v/>
      </c>
      <c r="H722" s="290"/>
      <c r="I722" s="291" t="str">
        <f>Controle!I722</f>
        <v/>
      </c>
      <c r="J722" s="233" t="str">
        <f>Controle!J722</f>
        <v/>
      </c>
      <c r="K722" s="292"/>
      <c r="L722" s="233" t="str">
        <f>Controle!L722</f>
        <v/>
      </c>
      <c r="M722" s="233" t="str">
        <f>Controle!M722</f>
        <v/>
      </c>
      <c r="N722" s="235" t="str">
        <f>Controle!N722</f>
        <v/>
      </c>
      <c r="O722" s="235" t="str">
        <f>Controle!O722</f>
        <v/>
      </c>
      <c r="P722" s="235" t="str">
        <f>Controle!P722</f>
        <v/>
      </c>
      <c r="Q722" s="235" t="str">
        <f>Controle!Q722</f>
        <v/>
      </c>
      <c r="R722" s="286" t="str">
        <f>Controle!R722</f>
        <v/>
      </c>
      <c r="S722" s="286"/>
      <c r="T722" s="286"/>
      <c r="U722" s="286"/>
      <c r="V722" s="286"/>
      <c r="W722" s="286"/>
      <c r="X722" s="286"/>
      <c r="Y722" s="286"/>
      <c r="Z722" s="286"/>
      <c r="AA722" s="294"/>
      <c r="AB722" s="253"/>
      <c r="AC722" s="253"/>
      <c r="AD722" s="253"/>
      <c r="AE722" s="253"/>
      <c r="AF722" s="253"/>
      <c r="AG722" s="253"/>
      <c r="AH722" s="253"/>
      <c r="AI722" s="253"/>
      <c r="AJ722" s="253"/>
      <c r="AK722" s="253"/>
      <c r="AL722" s="253"/>
      <c r="AM722" s="253"/>
      <c r="AN722" s="253"/>
      <c r="AO722" s="253"/>
      <c r="AP722" s="253"/>
      <c r="AQ722" s="253"/>
      <c r="AR722" s="253"/>
      <c r="AS722" s="253"/>
      <c r="AT722" s="2"/>
      <c r="AU722" s="2"/>
      <c r="AV722" s="2"/>
      <c r="AW722" s="2"/>
      <c r="AX722" s="2"/>
      <c r="AY722" s="253"/>
    </row>
    <row r="723" ht="15.75" customHeight="1">
      <c r="A723" s="2"/>
      <c r="B723" s="288" t="str">
        <f>Controle!B723</f>
        <v/>
      </c>
      <c r="C723" s="233" t="str">
        <f>Controle!C723</f>
        <v/>
      </c>
      <c r="D723" s="289" t="str">
        <f>Controle!D723</f>
        <v/>
      </c>
      <c r="E723" s="290"/>
      <c r="F723" s="291" t="str">
        <f>Controle!F723</f>
        <v/>
      </c>
      <c r="G723" s="289" t="str">
        <f>Controle!G723</f>
        <v/>
      </c>
      <c r="H723" s="290"/>
      <c r="I723" s="291" t="str">
        <f>Controle!I723</f>
        <v/>
      </c>
      <c r="J723" s="233" t="str">
        <f>Controle!J723</f>
        <v/>
      </c>
      <c r="K723" s="292"/>
      <c r="L723" s="233" t="str">
        <f>Controle!L723</f>
        <v/>
      </c>
      <c r="M723" s="233" t="str">
        <f>Controle!M723</f>
        <v/>
      </c>
      <c r="N723" s="235" t="str">
        <f>Controle!N723</f>
        <v/>
      </c>
      <c r="O723" s="235" t="str">
        <f>Controle!O723</f>
        <v/>
      </c>
      <c r="P723" s="235" t="str">
        <f>Controle!P723</f>
        <v/>
      </c>
      <c r="Q723" s="235" t="str">
        <f>Controle!Q723</f>
        <v/>
      </c>
      <c r="R723" s="286" t="str">
        <f>Controle!R723</f>
        <v/>
      </c>
      <c r="S723" s="286"/>
      <c r="T723" s="286"/>
      <c r="U723" s="286"/>
      <c r="V723" s="286"/>
      <c r="W723" s="286"/>
      <c r="X723" s="286"/>
      <c r="Y723" s="286"/>
      <c r="Z723" s="286"/>
      <c r="AA723" s="294"/>
      <c r="AB723" s="253"/>
      <c r="AC723" s="253"/>
      <c r="AD723" s="253"/>
      <c r="AE723" s="253"/>
      <c r="AF723" s="253"/>
      <c r="AG723" s="253"/>
      <c r="AH723" s="253"/>
      <c r="AI723" s="253"/>
      <c r="AJ723" s="253"/>
      <c r="AK723" s="253"/>
      <c r="AL723" s="253"/>
      <c r="AM723" s="253"/>
      <c r="AN723" s="253"/>
      <c r="AO723" s="253"/>
      <c r="AP723" s="253"/>
      <c r="AQ723" s="253"/>
      <c r="AR723" s="253"/>
      <c r="AS723" s="253"/>
      <c r="AT723" s="2"/>
      <c r="AU723" s="2"/>
      <c r="AV723" s="2"/>
      <c r="AW723" s="2"/>
      <c r="AX723" s="2"/>
      <c r="AY723" s="253"/>
    </row>
    <row r="724" ht="15.75" customHeight="1">
      <c r="A724" s="2"/>
      <c r="B724" s="288" t="str">
        <f>Controle!B724</f>
        <v/>
      </c>
      <c r="C724" s="233" t="str">
        <f>Controle!C724</f>
        <v/>
      </c>
      <c r="D724" s="289" t="str">
        <f>Controle!D724</f>
        <v/>
      </c>
      <c r="E724" s="290"/>
      <c r="F724" s="291" t="str">
        <f>Controle!F724</f>
        <v/>
      </c>
      <c r="G724" s="289" t="str">
        <f>Controle!G724</f>
        <v/>
      </c>
      <c r="H724" s="290"/>
      <c r="I724" s="291" t="str">
        <f>Controle!I724</f>
        <v/>
      </c>
      <c r="J724" s="233" t="str">
        <f>Controle!J724</f>
        <v/>
      </c>
      <c r="K724" s="292"/>
      <c r="L724" s="233" t="str">
        <f>Controle!L724</f>
        <v/>
      </c>
      <c r="M724" s="233" t="str">
        <f>Controle!M724</f>
        <v/>
      </c>
      <c r="N724" s="235" t="str">
        <f>Controle!N724</f>
        <v/>
      </c>
      <c r="O724" s="235" t="str">
        <f>Controle!O724</f>
        <v/>
      </c>
      <c r="P724" s="235" t="str">
        <f>Controle!P724</f>
        <v/>
      </c>
      <c r="Q724" s="235" t="str">
        <f>Controle!Q724</f>
        <v/>
      </c>
      <c r="R724" s="286" t="str">
        <f>Controle!R724</f>
        <v/>
      </c>
      <c r="S724" s="286"/>
      <c r="T724" s="286"/>
      <c r="U724" s="286"/>
      <c r="V724" s="286"/>
      <c r="W724" s="286"/>
      <c r="X724" s="286"/>
      <c r="Y724" s="286"/>
      <c r="Z724" s="286"/>
      <c r="AA724" s="294"/>
      <c r="AB724" s="253"/>
      <c r="AC724" s="253"/>
      <c r="AD724" s="253"/>
      <c r="AE724" s="253"/>
      <c r="AF724" s="253"/>
      <c r="AG724" s="253"/>
      <c r="AH724" s="253"/>
      <c r="AI724" s="253"/>
      <c r="AJ724" s="253"/>
      <c r="AK724" s="253"/>
      <c r="AL724" s="253"/>
      <c r="AM724" s="253"/>
      <c r="AN724" s="253"/>
      <c r="AO724" s="253"/>
      <c r="AP724" s="253"/>
      <c r="AQ724" s="253"/>
      <c r="AR724" s="253"/>
      <c r="AS724" s="253"/>
      <c r="AT724" s="2"/>
      <c r="AU724" s="2"/>
      <c r="AV724" s="2"/>
      <c r="AW724" s="2"/>
      <c r="AX724" s="2"/>
      <c r="AY724" s="253"/>
    </row>
    <row r="725" ht="15.75" customHeight="1">
      <c r="A725" s="2"/>
      <c r="B725" s="288" t="str">
        <f>Controle!B725</f>
        <v/>
      </c>
      <c r="C725" s="233" t="str">
        <f>Controle!C725</f>
        <v/>
      </c>
      <c r="D725" s="289" t="str">
        <f>Controle!D725</f>
        <v/>
      </c>
      <c r="E725" s="290"/>
      <c r="F725" s="291" t="str">
        <f>Controle!F725</f>
        <v/>
      </c>
      <c r="G725" s="289" t="str">
        <f>Controle!G725</f>
        <v/>
      </c>
      <c r="H725" s="290"/>
      <c r="I725" s="291" t="str">
        <f>Controle!I725</f>
        <v/>
      </c>
      <c r="J725" s="233" t="str">
        <f>Controle!J725</f>
        <v/>
      </c>
      <c r="K725" s="292"/>
      <c r="L725" s="233" t="str">
        <f>Controle!L725</f>
        <v/>
      </c>
      <c r="M725" s="233" t="str">
        <f>Controle!M725</f>
        <v/>
      </c>
      <c r="N725" s="235" t="str">
        <f>Controle!N725</f>
        <v/>
      </c>
      <c r="O725" s="235" t="str">
        <f>Controle!O725</f>
        <v/>
      </c>
      <c r="P725" s="235" t="str">
        <f>Controle!P725</f>
        <v/>
      </c>
      <c r="Q725" s="235" t="str">
        <f>Controle!Q725</f>
        <v/>
      </c>
      <c r="R725" s="286" t="str">
        <f>Controle!R725</f>
        <v/>
      </c>
      <c r="S725" s="286"/>
      <c r="T725" s="286"/>
      <c r="U725" s="286"/>
      <c r="V725" s="286"/>
      <c r="W725" s="286"/>
      <c r="X725" s="286"/>
      <c r="Y725" s="286"/>
      <c r="Z725" s="286"/>
      <c r="AA725" s="294"/>
      <c r="AB725" s="253"/>
      <c r="AC725" s="253"/>
      <c r="AD725" s="253"/>
      <c r="AE725" s="253"/>
      <c r="AF725" s="253"/>
      <c r="AG725" s="253"/>
      <c r="AH725" s="253"/>
      <c r="AI725" s="253"/>
      <c r="AJ725" s="253"/>
      <c r="AK725" s="253"/>
      <c r="AL725" s="253"/>
      <c r="AM725" s="253"/>
      <c r="AN725" s="253"/>
      <c r="AO725" s="253"/>
      <c r="AP725" s="253"/>
      <c r="AQ725" s="253"/>
      <c r="AR725" s="253"/>
      <c r="AS725" s="253"/>
      <c r="AT725" s="2"/>
      <c r="AU725" s="2"/>
      <c r="AV725" s="2"/>
      <c r="AW725" s="2"/>
      <c r="AX725" s="2"/>
      <c r="AY725" s="253"/>
    </row>
    <row r="726" ht="15.75" customHeight="1">
      <c r="A726" s="2"/>
      <c r="B726" s="288" t="str">
        <f>Controle!B726</f>
        <v/>
      </c>
      <c r="C726" s="233" t="str">
        <f>Controle!C726</f>
        <v/>
      </c>
      <c r="D726" s="289" t="str">
        <f>Controle!D726</f>
        <v/>
      </c>
      <c r="E726" s="290"/>
      <c r="F726" s="291" t="str">
        <f>Controle!F726</f>
        <v/>
      </c>
      <c r="G726" s="289" t="str">
        <f>Controle!G726</f>
        <v/>
      </c>
      <c r="H726" s="290"/>
      <c r="I726" s="291" t="str">
        <f>Controle!I726</f>
        <v/>
      </c>
      <c r="J726" s="233" t="str">
        <f>Controle!J726</f>
        <v/>
      </c>
      <c r="K726" s="292"/>
      <c r="L726" s="233" t="str">
        <f>Controle!L726</f>
        <v/>
      </c>
      <c r="M726" s="233" t="str">
        <f>Controle!M726</f>
        <v/>
      </c>
      <c r="N726" s="235" t="str">
        <f>Controle!N726</f>
        <v/>
      </c>
      <c r="O726" s="235" t="str">
        <f>Controle!O726</f>
        <v/>
      </c>
      <c r="P726" s="235" t="str">
        <f>Controle!P726</f>
        <v/>
      </c>
      <c r="Q726" s="235" t="str">
        <f>Controle!Q726</f>
        <v/>
      </c>
      <c r="R726" s="286" t="str">
        <f>Controle!R726</f>
        <v/>
      </c>
      <c r="S726" s="286"/>
      <c r="T726" s="286"/>
      <c r="U726" s="286"/>
      <c r="V726" s="286"/>
      <c r="W726" s="286"/>
      <c r="X726" s="286"/>
      <c r="Y726" s="286"/>
      <c r="Z726" s="286"/>
      <c r="AA726" s="294"/>
      <c r="AB726" s="253"/>
      <c r="AC726" s="253"/>
      <c r="AD726" s="253"/>
      <c r="AE726" s="253"/>
      <c r="AF726" s="253"/>
      <c r="AG726" s="253"/>
      <c r="AH726" s="253"/>
      <c r="AI726" s="253"/>
      <c r="AJ726" s="253"/>
      <c r="AK726" s="253"/>
      <c r="AL726" s="253"/>
      <c r="AM726" s="253"/>
      <c r="AN726" s="253"/>
      <c r="AO726" s="253"/>
      <c r="AP726" s="253"/>
      <c r="AQ726" s="253"/>
      <c r="AR726" s="253"/>
      <c r="AS726" s="253"/>
      <c r="AT726" s="2"/>
      <c r="AU726" s="2"/>
      <c r="AV726" s="2"/>
      <c r="AW726" s="2"/>
      <c r="AX726" s="2"/>
      <c r="AY726" s="253"/>
    </row>
    <row r="727" ht="15.75" customHeight="1">
      <c r="A727" s="2"/>
      <c r="B727" s="288" t="str">
        <f>Controle!B727</f>
        <v/>
      </c>
      <c r="C727" s="233" t="str">
        <f>Controle!C727</f>
        <v/>
      </c>
      <c r="D727" s="289" t="str">
        <f>Controle!D727</f>
        <v/>
      </c>
      <c r="E727" s="290"/>
      <c r="F727" s="291" t="str">
        <f>Controle!F727</f>
        <v/>
      </c>
      <c r="G727" s="289" t="str">
        <f>Controle!G727</f>
        <v/>
      </c>
      <c r="H727" s="290"/>
      <c r="I727" s="291" t="str">
        <f>Controle!I727</f>
        <v/>
      </c>
      <c r="J727" s="233" t="str">
        <f>Controle!J727</f>
        <v/>
      </c>
      <c r="K727" s="292"/>
      <c r="L727" s="233" t="str">
        <f>Controle!L727</f>
        <v/>
      </c>
      <c r="M727" s="233" t="str">
        <f>Controle!M727</f>
        <v/>
      </c>
      <c r="N727" s="235" t="str">
        <f>Controle!N727</f>
        <v/>
      </c>
      <c r="O727" s="235" t="str">
        <f>Controle!O727</f>
        <v/>
      </c>
      <c r="P727" s="235" t="str">
        <f>Controle!P727</f>
        <v/>
      </c>
      <c r="Q727" s="235" t="str">
        <f>Controle!Q727</f>
        <v/>
      </c>
      <c r="R727" s="286" t="str">
        <f>Controle!R727</f>
        <v/>
      </c>
      <c r="S727" s="286"/>
      <c r="T727" s="286"/>
      <c r="U727" s="286"/>
      <c r="V727" s="286"/>
      <c r="W727" s="286"/>
      <c r="X727" s="286"/>
      <c r="Y727" s="286"/>
      <c r="Z727" s="286"/>
      <c r="AA727" s="294"/>
      <c r="AB727" s="253"/>
      <c r="AC727" s="253"/>
      <c r="AD727" s="253"/>
      <c r="AE727" s="253"/>
      <c r="AF727" s="253"/>
      <c r="AG727" s="253"/>
      <c r="AH727" s="253"/>
      <c r="AI727" s="253"/>
      <c r="AJ727" s="253"/>
      <c r="AK727" s="253"/>
      <c r="AL727" s="253"/>
      <c r="AM727" s="253"/>
      <c r="AN727" s="253"/>
      <c r="AO727" s="253"/>
      <c r="AP727" s="253"/>
      <c r="AQ727" s="253"/>
      <c r="AR727" s="253"/>
      <c r="AS727" s="253"/>
      <c r="AT727" s="2"/>
      <c r="AU727" s="2"/>
      <c r="AV727" s="2"/>
      <c r="AW727" s="2"/>
      <c r="AX727" s="2"/>
      <c r="AY727" s="253"/>
    </row>
    <row r="728" ht="15.75" customHeight="1">
      <c r="A728" s="2"/>
      <c r="B728" s="288" t="str">
        <f>Controle!B728</f>
        <v/>
      </c>
      <c r="C728" s="233" t="str">
        <f>Controle!C728</f>
        <v/>
      </c>
      <c r="D728" s="289" t="str">
        <f>Controle!D728</f>
        <v/>
      </c>
      <c r="E728" s="290"/>
      <c r="F728" s="291" t="str">
        <f>Controle!F728</f>
        <v/>
      </c>
      <c r="G728" s="289" t="str">
        <f>Controle!G728</f>
        <v/>
      </c>
      <c r="H728" s="290"/>
      <c r="I728" s="291" t="str">
        <f>Controle!I728</f>
        <v/>
      </c>
      <c r="J728" s="233" t="str">
        <f>Controle!J728</f>
        <v/>
      </c>
      <c r="K728" s="292"/>
      <c r="L728" s="233" t="str">
        <f>Controle!L728</f>
        <v/>
      </c>
      <c r="M728" s="233" t="str">
        <f>Controle!M728</f>
        <v/>
      </c>
      <c r="N728" s="235" t="str">
        <f>Controle!N728</f>
        <v/>
      </c>
      <c r="O728" s="235" t="str">
        <f>Controle!O728</f>
        <v/>
      </c>
      <c r="P728" s="235" t="str">
        <f>Controle!P728</f>
        <v/>
      </c>
      <c r="Q728" s="235" t="str">
        <f>Controle!Q728</f>
        <v/>
      </c>
      <c r="R728" s="286" t="str">
        <f>Controle!R728</f>
        <v/>
      </c>
      <c r="S728" s="286"/>
      <c r="T728" s="286"/>
      <c r="U728" s="286"/>
      <c r="V728" s="286"/>
      <c r="W728" s="286"/>
      <c r="X728" s="286"/>
      <c r="Y728" s="286"/>
      <c r="Z728" s="286"/>
      <c r="AA728" s="294"/>
      <c r="AB728" s="253"/>
      <c r="AC728" s="253"/>
      <c r="AD728" s="253"/>
      <c r="AE728" s="253"/>
      <c r="AF728" s="253"/>
      <c r="AG728" s="253"/>
      <c r="AH728" s="253"/>
      <c r="AI728" s="253"/>
      <c r="AJ728" s="253"/>
      <c r="AK728" s="253"/>
      <c r="AL728" s="253"/>
      <c r="AM728" s="253"/>
      <c r="AN728" s="253"/>
      <c r="AO728" s="253"/>
      <c r="AP728" s="253"/>
      <c r="AQ728" s="253"/>
      <c r="AR728" s="253"/>
      <c r="AS728" s="253"/>
      <c r="AT728" s="2"/>
      <c r="AU728" s="2"/>
      <c r="AV728" s="2"/>
      <c r="AW728" s="2"/>
      <c r="AX728" s="2"/>
      <c r="AY728" s="253"/>
    </row>
    <row r="729" ht="15.75" customHeight="1">
      <c r="A729" s="2"/>
      <c r="B729" s="288" t="str">
        <f>Controle!B729</f>
        <v/>
      </c>
      <c r="C729" s="233" t="str">
        <f>Controle!C729</f>
        <v/>
      </c>
      <c r="D729" s="289" t="str">
        <f>Controle!D729</f>
        <v/>
      </c>
      <c r="E729" s="290"/>
      <c r="F729" s="291" t="str">
        <f>Controle!F729</f>
        <v/>
      </c>
      <c r="G729" s="289" t="str">
        <f>Controle!G729</f>
        <v/>
      </c>
      <c r="H729" s="290"/>
      <c r="I729" s="291" t="str">
        <f>Controle!I729</f>
        <v/>
      </c>
      <c r="J729" s="233" t="str">
        <f>Controle!J729</f>
        <v/>
      </c>
      <c r="K729" s="292"/>
      <c r="L729" s="233" t="str">
        <f>Controle!L729</f>
        <v/>
      </c>
      <c r="M729" s="233" t="str">
        <f>Controle!M729</f>
        <v/>
      </c>
      <c r="N729" s="235" t="str">
        <f>Controle!N729</f>
        <v/>
      </c>
      <c r="O729" s="235" t="str">
        <f>Controle!O729</f>
        <v/>
      </c>
      <c r="P729" s="235" t="str">
        <f>Controle!P729</f>
        <v/>
      </c>
      <c r="Q729" s="235" t="str">
        <f>Controle!Q729</f>
        <v/>
      </c>
      <c r="R729" s="286" t="str">
        <f>Controle!R729</f>
        <v/>
      </c>
      <c r="S729" s="286"/>
      <c r="T729" s="286"/>
      <c r="U729" s="286"/>
      <c r="V729" s="286"/>
      <c r="W729" s="286"/>
      <c r="X729" s="286"/>
      <c r="Y729" s="286"/>
      <c r="Z729" s="286"/>
      <c r="AA729" s="294"/>
      <c r="AB729" s="253"/>
      <c r="AC729" s="253"/>
      <c r="AD729" s="253"/>
      <c r="AE729" s="253"/>
      <c r="AF729" s="253"/>
      <c r="AG729" s="253"/>
      <c r="AH729" s="253"/>
      <c r="AI729" s="253"/>
      <c r="AJ729" s="253"/>
      <c r="AK729" s="253"/>
      <c r="AL729" s="253"/>
      <c r="AM729" s="253"/>
      <c r="AN729" s="253"/>
      <c r="AO729" s="253"/>
      <c r="AP729" s="253"/>
      <c r="AQ729" s="253"/>
      <c r="AR729" s="253"/>
      <c r="AS729" s="253"/>
      <c r="AT729" s="2"/>
      <c r="AU729" s="2"/>
      <c r="AV729" s="2"/>
      <c r="AW729" s="2"/>
      <c r="AX729" s="2"/>
      <c r="AY729" s="253"/>
    </row>
    <row r="730" ht="15.75" customHeight="1">
      <c r="A730" s="2"/>
      <c r="B730" s="288" t="str">
        <f>Controle!B730</f>
        <v/>
      </c>
      <c r="C730" s="233" t="str">
        <f>Controle!C730</f>
        <v/>
      </c>
      <c r="D730" s="289" t="str">
        <f>Controle!D730</f>
        <v/>
      </c>
      <c r="E730" s="290"/>
      <c r="F730" s="291" t="str">
        <f>Controle!F730</f>
        <v/>
      </c>
      <c r="G730" s="289" t="str">
        <f>Controle!G730</f>
        <v/>
      </c>
      <c r="H730" s="290"/>
      <c r="I730" s="291" t="str">
        <f>Controle!I730</f>
        <v/>
      </c>
      <c r="J730" s="233" t="str">
        <f>Controle!J730</f>
        <v/>
      </c>
      <c r="K730" s="292"/>
      <c r="L730" s="233" t="str">
        <f>Controle!L730</f>
        <v/>
      </c>
      <c r="M730" s="233" t="str">
        <f>Controle!M730</f>
        <v/>
      </c>
      <c r="N730" s="235" t="str">
        <f>Controle!N730</f>
        <v/>
      </c>
      <c r="O730" s="235" t="str">
        <f>Controle!O730</f>
        <v/>
      </c>
      <c r="P730" s="235" t="str">
        <f>Controle!P730</f>
        <v/>
      </c>
      <c r="Q730" s="235" t="str">
        <f>Controle!Q730</f>
        <v/>
      </c>
      <c r="R730" s="286" t="str">
        <f>Controle!R730</f>
        <v/>
      </c>
      <c r="S730" s="286"/>
      <c r="T730" s="286"/>
      <c r="U730" s="286"/>
      <c r="V730" s="286"/>
      <c r="W730" s="286"/>
      <c r="X730" s="286"/>
      <c r="Y730" s="286"/>
      <c r="Z730" s="286"/>
      <c r="AA730" s="294"/>
      <c r="AB730" s="253"/>
      <c r="AC730" s="253"/>
      <c r="AD730" s="253"/>
      <c r="AE730" s="253"/>
      <c r="AF730" s="253"/>
      <c r="AG730" s="253"/>
      <c r="AH730" s="253"/>
      <c r="AI730" s="253"/>
      <c r="AJ730" s="253"/>
      <c r="AK730" s="253"/>
      <c r="AL730" s="253"/>
      <c r="AM730" s="253"/>
      <c r="AN730" s="253"/>
      <c r="AO730" s="253"/>
      <c r="AP730" s="253"/>
      <c r="AQ730" s="253"/>
      <c r="AR730" s="253"/>
      <c r="AS730" s="253"/>
      <c r="AT730" s="2"/>
      <c r="AU730" s="2"/>
      <c r="AV730" s="2"/>
      <c r="AW730" s="2"/>
      <c r="AX730" s="2"/>
      <c r="AY730" s="253"/>
    </row>
    <row r="731" ht="15.75" customHeight="1">
      <c r="A731" s="2"/>
      <c r="B731" s="288" t="str">
        <f>Controle!B731</f>
        <v/>
      </c>
      <c r="C731" s="233" t="str">
        <f>Controle!C731</f>
        <v/>
      </c>
      <c r="D731" s="289" t="str">
        <f>Controle!D731</f>
        <v/>
      </c>
      <c r="E731" s="290"/>
      <c r="F731" s="291" t="str">
        <f>Controle!F731</f>
        <v/>
      </c>
      <c r="G731" s="289" t="str">
        <f>Controle!G731</f>
        <v/>
      </c>
      <c r="H731" s="290"/>
      <c r="I731" s="291" t="str">
        <f>Controle!I731</f>
        <v/>
      </c>
      <c r="J731" s="233" t="str">
        <f>Controle!J731</f>
        <v/>
      </c>
      <c r="K731" s="292"/>
      <c r="L731" s="233" t="str">
        <f>Controle!L731</f>
        <v/>
      </c>
      <c r="M731" s="233" t="str">
        <f>Controle!M731</f>
        <v/>
      </c>
      <c r="N731" s="235" t="str">
        <f>Controle!N731</f>
        <v/>
      </c>
      <c r="O731" s="235" t="str">
        <f>Controle!O731</f>
        <v/>
      </c>
      <c r="P731" s="235" t="str">
        <f>Controle!P731</f>
        <v/>
      </c>
      <c r="Q731" s="235" t="str">
        <f>Controle!Q731</f>
        <v/>
      </c>
      <c r="R731" s="286" t="str">
        <f>Controle!R731</f>
        <v/>
      </c>
      <c r="S731" s="286"/>
      <c r="T731" s="286"/>
      <c r="U731" s="286"/>
      <c r="V731" s="286"/>
      <c r="W731" s="286"/>
      <c r="X731" s="286"/>
      <c r="Y731" s="286"/>
      <c r="Z731" s="286"/>
      <c r="AA731" s="294"/>
      <c r="AB731" s="253"/>
      <c r="AC731" s="253"/>
      <c r="AD731" s="253"/>
      <c r="AE731" s="253"/>
      <c r="AF731" s="253"/>
      <c r="AG731" s="253"/>
      <c r="AH731" s="253"/>
      <c r="AI731" s="253"/>
      <c r="AJ731" s="253"/>
      <c r="AK731" s="253"/>
      <c r="AL731" s="253"/>
      <c r="AM731" s="253"/>
      <c r="AN731" s="253"/>
      <c r="AO731" s="253"/>
      <c r="AP731" s="253"/>
      <c r="AQ731" s="253"/>
      <c r="AR731" s="253"/>
      <c r="AS731" s="253"/>
      <c r="AT731" s="2"/>
      <c r="AU731" s="2"/>
      <c r="AV731" s="2"/>
      <c r="AW731" s="2"/>
      <c r="AX731" s="2"/>
      <c r="AY731" s="253"/>
    </row>
    <row r="732" ht="15.75" customHeight="1">
      <c r="A732" s="2"/>
      <c r="B732" s="288" t="str">
        <f>Controle!B732</f>
        <v/>
      </c>
      <c r="C732" s="233" t="str">
        <f>Controle!C732</f>
        <v/>
      </c>
      <c r="D732" s="289" t="str">
        <f>Controle!D732</f>
        <v/>
      </c>
      <c r="E732" s="290"/>
      <c r="F732" s="291" t="str">
        <f>Controle!F732</f>
        <v/>
      </c>
      <c r="G732" s="289" t="str">
        <f>Controle!G732</f>
        <v/>
      </c>
      <c r="H732" s="290"/>
      <c r="I732" s="291" t="str">
        <f>Controle!I732</f>
        <v/>
      </c>
      <c r="J732" s="233" t="str">
        <f>Controle!J732</f>
        <v/>
      </c>
      <c r="K732" s="292"/>
      <c r="L732" s="233" t="str">
        <f>Controle!L732</f>
        <v/>
      </c>
      <c r="M732" s="233" t="str">
        <f>Controle!M732</f>
        <v/>
      </c>
      <c r="N732" s="235" t="str">
        <f>Controle!N732</f>
        <v/>
      </c>
      <c r="O732" s="235" t="str">
        <f>Controle!O732</f>
        <v/>
      </c>
      <c r="P732" s="235" t="str">
        <f>Controle!P732</f>
        <v/>
      </c>
      <c r="Q732" s="235" t="str">
        <f>Controle!Q732</f>
        <v/>
      </c>
      <c r="R732" s="286" t="str">
        <f>Controle!R732</f>
        <v/>
      </c>
      <c r="S732" s="286"/>
      <c r="T732" s="286"/>
      <c r="U732" s="286"/>
      <c r="V732" s="286"/>
      <c r="W732" s="286"/>
      <c r="X732" s="286"/>
      <c r="Y732" s="286"/>
      <c r="Z732" s="286"/>
      <c r="AA732" s="294"/>
      <c r="AB732" s="253"/>
      <c r="AC732" s="253"/>
      <c r="AD732" s="253"/>
      <c r="AE732" s="253"/>
      <c r="AF732" s="253"/>
      <c r="AG732" s="253"/>
      <c r="AH732" s="253"/>
      <c r="AI732" s="253"/>
      <c r="AJ732" s="253"/>
      <c r="AK732" s="253"/>
      <c r="AL732" s="253"/>
      <c r="AM732" s="253"/>
      <c r="AN732" s="253"/>
      <c r="AO732" s="253"/>
      <c r="AP732" s="253"/>
      <c r="AQ732" s="253"/>
      <c r="AR732" s="253"/>
      <c r="AS732" s="253"/>
      <c r="AT732" s="2"/>
      <c r="AU732" s="2"/>
      <c r="AV732" s="2"/>
      <c r="AW732" s="2"/>
      <c r="AX732" s="2"/>
      <c r="AY732" s="253"/>
    </row>
    <row r="733" ht="15.75" customHeight="1">
      <c r="A733" s="2"/>
      <c r="B733" s="288" t="str">
        <f>Controle!B733</f>
        <v/>
      </c>
      <c r="C733" s="233" t="str">
        <f>Controle!C733</f>
        <v/>
      </c>
      <c r="D733" s="289" t="str">
        <f>Controle!D733</f>
        <v/>
      </c>
      <c r="E733" s="290"/>
      <c r="F733" s="291" t="str">
        <f>Controle!F733</f>
        <v/>
      </c>
      <c r="G733" s="289" t="str">
        <f>Controle!G733</f>
        <v/>
      </c>
      <c r="H733" s="290"/>
      <c r="I733" s="291" t="str">
        <f>Controle!I733</f>
        <v/>
      </c>
      <c r="J733" s="233" t="str">
        <f>Controle!J733</f>
        <v/>
      </c>
      <c r="K733" s="292"/>
      <c r="L733" s="233" t="str">
        <f>Controle!L733</f>
        <v/>
      </c>
      <c r="M733" s="233" t="str">
        <f>Controle!M733</f>
        <v/>
      </c>
      <c r="N733" s="235" t="str">
        <f>Controle!N733</f>
        <v/>
      </c>
      <c r="O733" s="235" t="str">
        <f>Controle!O733</f>
        <v/>
      </c>
      <c r="P733" s="235" t="str">
        <f>Controle!P733</f>
        <v/>
      </c>
      <c r="Q733" s="235" t="str">
        <f>Controle!Q733</f>
        <v/>
      </c>
      <c r="R733" s="286" t="str">
        <f>Controle!R733</f>
        <v/>
      </c>
      <c r="S733" s="286"/>
      <c r="T733" s="286"/>
      <c r="U733" s="286"/>
      <c r="V733" s="286"/>
      <c r="W733" s="286"/>
      <c r="X733" s="286"/>
      <c r="Y733" s="286"/>
      <c r="Z733" s="286"/>
      <c r="AA733" s="294"/>
      <c r="AB733" s="253"/>
      <c r="AC733" s="253"/>
      <c r="AD733" s="253"/>
      <c r="AE733" s="253"/>
      <c r="AF733" s="253"/>
      <c r="AG733" s="253"/>
      <c r="AH733" s="253"/>
      <c r="AI733" s="253"/>
      <c r="AJ733" s="253"/>
      <c r="AK733" s="253"/>
      <c r="AL733" s="253"/>
      <c r="AM733" s="253"/>
      <c r="AN733" s="253"/>
      <c r="AO733" s="253"/>
      <c r="AP733" s="253"/>
      <c r="AQ733" s="253"/>
      <c r="AR733" s="253"/>
      <c r="AS733" s="253"/>
      <c r="AT733" s="2"/>
      <c r="AU733" s="2"/>
      <c r="AV733" s="2"/>
      <c r="AW733" s="2"/>
      <c r="AX733" s="2"/>
      <c r="AY733" s="253"/>
    </row>
    <row r="734" ht="15.75" customHeight="1">
      <c r="A734" s="2"/>
      <c r="B734" s="288" t="str">
        <f>Controle!B734</f>
        <v/>
      </c>
      <c r="C734" s="233" t="str">
        <f>Controle!C734</f>
        <v/>
      </c>
      <c r="D734" s="289" t="str">
        <f>Controle!D734</f>
        <v/>
      </c>
      <c r="E734" s="290"/>
      <c r="F734" s="291" t="str">
        <f>Controle!F734</f>
        <v/>
      </c>
      <c r="G734" s="289" t="str">
        <f>Controle!G734</f>
        <v/>
      </c>
      <c r="H734" s="290"/>
      <c r="I734" s="291" t="str">
        <f>Controle!I734</f>
        <v/>
      </c>
      <c r="J734" s="233" t="str">
        <f>Controle!J734</f>
        <v/>
      </c>
      <c r="K734" s="292"/>
      <c r="L734" s="233" t="str">
        <f>Controle!L734</f>
        <v/>
      </c>
      <c r="M734" s="233" t="str">
        <f>Controle!M734</f>
        <v/>
      </c>
      <c r="N734" s="235" t="str">
        <f>Controle!N734</f>
        <v/>
      </c>
      <c r="O734" s="235" t="str">
        <f>Controle!O734</f>
        <v/>
      </c>
      <c r="P734" s="235" t="str">
        <f>Controle!P734</f>
        <v/>
      </c>
      <c r="Q734" s="235" t="str">
        <f>Controle!Q734</f>
        <v/>
      </c>
      <c r="R734" s="286" t="str">
        <f>Controle!R734</f>
        <v/>
      </c>
      <c r="S734" s="286"/>
      <c r="T734" s="286"/>
      <c r="U734" s="286"/>
      <c r="V734" s="286"/>
      <c r="W734" s="286"/>
      <c r="X734" s="286"/>
      <c r="Y734" s="286"/>
      <c r="Z734" s="286"/>
      <c r="AA734" s="294"/>
      <c r="AB734" s="253"/>
      <c r="AC734" s="253"/>
      <c r="AD734" s="253"/>
      <c r="AE734" s="253"/>
      <c r="AF734" s="253"/>
      <c r="AG734" s="253"/>
      <c r="AH734" s="253"/>
      <c r="AI734" s="253"/>
      <c r="AJ734" s="253"/>
      <c r="AK734" s="253"/>
      <c r="AL734" s="253"/>
      <c r="AM734" s="253"/>
      <c r="AN734" s="253"/>
      <c r="AO734" s="253"/>
      <c r="AP734" s="253"/>
      <c r="AQ734" s="253"/>
      <c r="AR734" s="253"/>
      <c r="AS734" s="253"/>
      <c r="AT734" s="2"/>
      <c r="AU734" s="2"/>
      <c r="AV734" s="2"/>
      <c r="AW734" s="2"/>
      <c r="AX734" s="2"/>
      <c r="AY734" s="253"/>
    </row>
    <row r="735" ht="15.75" customHeight="1">
      <c r="A735" s="2"/>
      <c r="B735" s="288" t="str">
        <f>Controle!B735</f>
        <v/>
      </c>
      <c r="C735" s="233" t="str">
        <f>Controle!C735</f>
        <v/>
      </c>
      <c r="D735" s="289" t="str">
        <f>Controle!D735</f>
        <v/>
      </c>
      <c r="E735" s="290"/>
      <c r="F735" s="291" t="str">
        <f>Controle!F735</f>
        <v/>
      </c>
      <c r="G735" s="289" t="str">
        <f>Controle!G735</f>
        <v/>
      </c>
      <c r="H735" s="290"/>
      <c r="I735" s="291" t="str">
        <f>Controle!I735</f>
        <v/>
      </c>
      <c r="J735" s="233" t="str">
        <f>Controle!J735</f>
        <v/>
      </c>
      <c r="K735" s="292"/>
      <c r="L735" s="233" t="str">
        <f>Controle!L735</f>
        <v/>
      </c>
      <c r="M735" s="233" t="str">
        <f>Controle!M735</f>
        <v/>
      </c>
      <c r="N735" s="235" t="str">
        <f>Controle!N735</f>
        <v/>
      </c>
      <c r="O735" s="235" t="str">
        <f>Controle!O735</f>
        <v/>
      </c>
      <c r="P735" s="235" t="str">
        <f>Controle!P735</f>
        <v/>
      </c>
      <c r="Q735" s="235" t="str">
        <f>Controle!Q735</f>
        <v/>
      </c>
      <c r="R735" s="286" t="str">
        <f>Controle!R735</f>
        <v/>
      </c>
      <c r="S735" s="286"/>
      <c r="T735" s="286"/>
      <c r="U735" s="286"/>
      <c r="V735" s="286"/>
      <c r="W735" s="286"/>
      <c r="X735" s="286"/>
      <c r="Y735" s="286"/>
      <c r="Z735" s="286"/>
      <c r="AA735" s="294"/>
      <c r="AB735" s="253"/>
      <c r="AC735" s="253"/>
      <c r="AD735" s="253"/>
      <c r="AE735" s="253"/>
      <c r="AF735" s="253"/>
      <c r="AG735" s="253"/>
      <c r="AH735" s="253"/>
      <c r="AI735" s="253"/>
      <c r="AJ735" s="253"/>
      <c r="AK735" s="253"/>
      <c r="AL735" s="253"/>
      <c r="AM735" s="253"/>
      <c r="AN735" s="253"/>
      <c r="AO735" s="253"/>
      <c r="AP735" s="253"/>
      <c r="AQ735" s="253"/>
      <c r="AR735" s="253"/>
      <c r="AS735" s="253"/>
      <c r="AT735" s="2"/>
      <c r="AU735" s="2"/>
      <c r="AV735" s="2"/>
      <c r="AW735" s="2"/>
      <c r="AX735" s="2"/>
      <c r="AY735" s="253"/>
    </row>
    <row r="736" ht="15.75" customHeight="1">
      <c r="A736" s="2"/>
      <c r="B736" s="288" t="str">
        <f>Controle!B736</f>
        <v/>
      </c>
      <c r="C736" s="233" t="str">
        <f>Controle!C736</f>
        <v/>
      </c>
      <c r="D736" s="289" t="str">
        <f>Controle!D736</f>
        <v/>
      </c>
      <c r="E736" s="290"/>
      <c r="F736" s="291" t="str">
        <f>Controle!F736</f>
        <v/>
      </c>
      <c r="G736" s="289" t="str">
        <f>Controle!G736</f>
        <v/>
      </c>
      <c r="H736" s="290"/>
      <c r="I736" s="291" t="str">
        <f>Controle!I736</f>
        <v/>
      </c>
      <c r="J736" s="233" t="str">
        <f>Controle!J736</f>
        <v/>
      </c>
      <c r="K736" s="292"/>
      <c r="L736" s="233" t="str">
        <f>Controle!L736</f>
        <v/>
      </c>
      <c r="M736" s="233" t="str">
        <f>Controle!M736</f>
        <v/>
      </c>
      <c r="N736" s="235" t="str">
        <f>Controle!N736</f>
        <v/>
      </c>
      <c r="O736" s="235" t="str">
        <f>Controle!O736</f>
        <v/>
      </c>
      <c r="P736" s="235" t="str">
        <f>Controle!P736</f>
        <v/>
      </c>
      <c r="Q736" s="235" t="str">
        <f>Controle!Q736</f>
        <v/>
      </c>
      <c r="R736" s="286" t="str">
        <f>Controle!R736</f>
        <v/>
      </c>
      <c r="S736" s="286"/>
      <c r="T736" s="286"/>
      <c r="U736" s="286"/>
      <c r="V736" s="286"/>
      <c r="W736" s="286"/>
      <c r="X736" s="286"/>
      <c r="Y736" s="286"/>
      <c r="Z736" s="286"/>
      <c r="AA736" s="294"/>
      <c r="AB736" s="253"/>
      <c r="AC736" s="253"/>
      <c r="AD736" s="253"/>
      <c r="AE736" s="253"/>
      <c r="AF736" s="253"/>
      <c r="AG736" s="253"/>
      <c r="AH736" s="253"/>
      <c r="AI736" s="253"/>
      <c r="AJ736" s="253"/>
      <c r="AK736" s="253"/>
      <c r="AL736" s="253"/>
      <c r="AM736" s="253"/>
      <c r="AN736" s="253"/>
      <c r="AO736" s="253"/>
      <c r="AP736" s="253"/>
      <c r="AQ736" s="253"/>
      <c r="AR736" s="253"/>
      <c r="AS736" s="253"/>
      <c r="AT736" s="2"/>
      <c r="AU736" s="2"/>
      <c r="AV736" s="2"/>
      <c r="AW736" s="2"/>
      <c r="AX736" s="2"/>
      <c r="AY736" s="253"/>
    </row>
    <row r="737" ht="15.75" customHeight="1">
      <c r="A737" s="2"/>
      <c r="B737" s="288" t="str">
        <f>Controle!B737</f>
        <v/>
      </c>
      <c r="C737" s="233" t="str">
        <f>Controle!C737</f>
        <v/>
      </c>
      <c r="D737" s="289" t="str">
        <f>Controle!D737</f>
        <v/>
      </c>
      <c r="E737" s="290"/>
      <c r="F737" s="291" t="str">
        <f>Controle!F737</f>
        <v/>
      </c>
      <c r="G737" s="289" t="str">
        <f>Controle!G737</f>
        <v/>
      </c>
      <c r="H737" s="290"/>
      <c r="I737" s="291" t="str">
        <f>Controle!I737</f>
        <v/>
      </c>
      <c r="J737" s="233" t="str">
        <f>Controle!J737</f>
        <v/>
      </c>
      <c r="K737" s="292"/>
      <c r="L737" s="233" t="str">
        <f>Controle!L737</f>
        <v/>
      </c>
      <c r="M737" s="233" t="str">
        <f>Controle!M737</f>
        <v/>
      </c>
      <c r="N737" s="235" t="str">
        <f>Controle!N737</f>
        <v/>
      </c>
      <c r="O737" s="235" t="str">
        <f>Controle!O737</f>
        <v/>
      </c>
      <c r="P737" s="235" t="str">
        <f>Controle!P737</f>
        <v/>
      </c>
      <c r="Q737" s="235" t="str">
        <f>Controle!Q737</f>
        <v/>
      </c>
      <c r="R737" s="286" t="str">
        <f>Controle!R737</f>
        <v/>
      </c>
      <c r="S737" s="286"/>
      <c r="T737" s="286"/>
      <c r="U737" s="286"/>
      <c r="V737" s="286"/>
      <c r="W737" s="286"/>
      <c r="X737" s="286"/>
      <c r="Y737" s="286"/>
      <c r="Z737" s="286"/>
      <c r="AA737" s="294"/>
      <c r="AB737" s="253"/>
      <c r="AC737" s="253"/>
      <c r="AD737" s="253"/>
      <c r="AE737" s="253"/>
      <c r="AF737" s="253"/>
      <c r="AG737" s="253"/>
      <c r="AH737" s="253"/>
      <c r="AI737" s="253"/>
      <c r="AJ737" s="253"/>
      <c r="AK737" s="253"/>
      <c r="AL737" s="253"/>
      <c r="AM737" s="253"/>
      <c r="AN737" s="253"/>
      <c r="AO737" s="253"/>
      <c r="AP737" s="253"/>
      <c r="AQ737" s="253"/>
      <c r="AR737" s="253"/>
      <c r="AS737" s="253"/>
      <c r="AT737" s="2"/>
      <c r="AU737" s="2"/>
      <c r="AV737" s="2"/>
      <c r="AW737" s="2"/>
      <c r="AX737" s="2"/>
      <c r="AY737" s="253"/>
    </row>
    <row r="738" ht="15.75" customHeight="1">
      <c r="A738" s="2"/>
      <c r="B738" s="288" t="str">
        <f>Controle!B738</f>
        <v/>
      </c>
      <c r="C738" s="233" t="str">
        <f>Controle!C738</f>
        <v/>
      </c>
      <c r="D738" s="289" t="str">
        <f>Controle!D738</f>
        <v/>
      </c>
      <c r="E738" s="290"/>
      <c r="F738" s="291" t="str">
        <f>Controle!F738</f>
        <v/>
      </c>
      <c r="G738" s="289" t="str">
        <f>Controle!G738</f>
        <v/>
      </c>
      <c r="H738" s="290"/>
      <c r="I738" s="291" t="str">
        <f>Controle!I738</f>
        <v/>
      </c>
      <c r="J738" s="233" t="str">
        <f>Controle!J738</f>
        <v/>
      </c>
      <c r="K738" s="292"/>
      <c r="L738" s="233" t="str">
        <f>Controle!L738</f>
        <v/>
      </c>
      <c r="M738" s="233" t="str">
        <f>Controle!M738</f>
        <v/>
      </c>
      <c r="N738" s="235" t="str">
        <f>Controle!N738</f>
        <v/>
      </c>
      <c r="O738" s="235" t="str">
        <f>Controle!O738</f>
        <v/>
      </c>
      <c r="P738" s="235" t="str">
        <f>Controle!P738</f>
        <v/>
      </c>
      <c r="Q738" s="235" t="str">
        <f>Controle!Q738</f>
        <v/>
      </c>
      <c r="R738" s="286" t="str">
        <f>Controle!R738</f>
        <v/>
      </c>
      <c r="S738" s="286"/>
      <c r="T738" s="286"/>
      <c r="U738" s="286"/>
      <c r="V738" s="286"/>
      <c r="W738" s="286"/>
      <c r="X738" s="286"/>
      <c r="Y738" s="286"/>
      <c r="Z738" s="286"/>
      <c r="AA738" s="294"/>
      <c r="AB738" s="253"/>
      <c r="AC738" s="253"/>
      <c r="AD738" s="253"/>
      <c r="AE738" s="253"/>
      <c r="AF738" s="253"/>
      <c r="AG738" s="253"/>
      <c r="AH738" s="253"/>
      <c r="AI738" s="253"/>
      <c r="AJ738" s="253"/>
      <c r="AK738" s="253"/>
      <c r="AL738" s="253"/>
      <c r="AM738" s="253"/>
      <c r="AN738" s="253"/>
      <c r="AO738" s="253"/>
      <c r="AP738" s="253"/>
      <c r="AQ738" s="253"/>
      <c r="AR738" s="253"/>
      <c r="AS738" s="253"/>
      <c r="AT738" s="2"/>
      <c r="AU738" s="2"/>
      <c r="AV738" s="2"/>
      <c r="AW738" s="2"/>
      <c r="AX738" s="2"/>
      <c r="AY738" s="253"/>
    </row>
    <row r="739" ht="15.75" customHeight="1">
      <c r="A739" s="2"/>
      <c r="B739" s="288" t="str">
        <f>Controle!B739</f>
        <v/>
      </c>
      <c r="C739" s="233" t="str">
        <f>Controle!C739</f>
        <v/>
      </c>
      <c r="D739" s="289" t="str">
        <f>Controle!D739</f>
        <v/>
      </c>
      <c r="E739" s="290"/>
      <c r="F739" s="291" t="str">
        <f>Controle!F739</f>
        <v/>
      </c>
      <c r="G739" s="289" t="str">
        <f>Controle!G739</f>
        <v/>
      </c>
      <c r="H739" s="290"/>
      <c r="I739" s="291" t="str">
        <f>Controle!I739</f>
        <v/>
      </c>
      <c r="J739" s="233" t="str">
        <f>Controle!J739</f>
        <v/>
      </c>
      <c r="K739" s="292"/>
      <c r="L739" s="233" t="str">
        <f>Controle!L739</f>
        <v/>
      </c>
      <c r="M739" s="233" t="str">
        <f>Controle!M739</f>
        <v/>
      </c>
      <c r="N739" s="235" t="str">
        <f>Controle!N739</f>
        <v/>
      </c>
      <c r="O739" s="235" t="str">
        <f>Controle!O739</f>
        <v/>
      </c>
      <c r="P739" s="235" t="str">
        <f>Controle!P739</f>
        <v/>
      </c>
      <c r="Q739" s="235" t="str">
        <f>Controle!Q739</f>
        <v/>
      </c>
      <c r="R739" s="286" t="str">
        <f>Controle!R739</f>
        <v/>
      </c>
      <c r="S739" s="286"/>
      <c r="T739" s="286"/>
      <c r="U739" s="286"/>
      <c r="V739" s="286"/>
      <c r="W739" s="286"/>
      <c r="X739" s="286"/>
      <c r="Y739" s="286"/>
      <c r="Z739" s="286"/>
      <c r="AA739" s="294"/>
      <c r="AB739" s="253"/>
      <c r="AC739" s="253"/>
      <c r="AD739" s="253"/>
      <c r="AE739" s="253"/>
      <c r="AF739" s="253"/>
      <c r="AG739" s="253"/>
      <c r="AH739" s="253"/>
      <c r="AI739" s="253"/>
      <c r="AJ739" s="253"/>
      <c r="AK739" s="253"/>
      <c r="AL739" s="253"/>
      <c r="AM739" s="253"/>
      <c r="AN739" s="253"/>
      <c r="AO739" s="253"/>
      <c r="AP739" s="253"/>
      <c r="AQ739" s="253"/>
      <c r="AR739" s="253"/>
      <c r="AS739" s="253"/>
      <c r="AT739" s="2"/>
      <c r="AU739" s="2"/>
      <c r="AV739" s="2"/>
      <c r="AW739" s="2"/>
      <c r="AX739" s="2"/>
      <c r="AY739" s="253"/>
    </row>
    <row r="740" ht="15.75" customHeight="1">
      <c r="A740" s="2"/>
      <c r="B740" s="288" t="str">
        <f>Controle!B740</f>
        <v/>
      </c>
      <c r="C740" s="233" t="str">
        <f>Controle!C740</f>
        <v/>
      </c>
      <c r="D740" s="289" t="str">
        <f>Controle!D740</f>
        <v/>
      </c>
      <c r="E740" s="290"/>
      <c r="F740" s="291" t="str">
        <f>Controle!F740</f>
        <v/>
      </c>
      <c r="G740" s="289" t="str">
        <f>Controle!G740</f>
        <v/>
      </c>
      <c r="H740" s="290"/>
      <c r="I740" s="291" t="str">
        <f>Controle!I740</f>
        <v/>
      </c>
      <c r="J740" s="233" t="str">
        <f>Controle!J740</f>
        <v/>
      </c>
      <c r="K740" s="292"/>
      <c r="L740" s="233" t="str">
        <f>Controle!L740</f>
        <v/>
      </c>
      <c r="M740" s="233" t="str">
        <f>Controle!M740</f>
        <v/>
      </c>
      <c r="N740" s="235" t="str">
        <f>Controle!N740</f>
        <v/>
      </c>
      <c r="O740" s="235" t="str">
        <f>Controle!O740</f>
        <v/>
      </c>
      <c r="P740" s="235" t="str">
        <f>Controle!P740</f>
        <v/>
      </c>
      <c r="Q740" s="235" t="str">
        <f>Controle!Q740</f>
        <v/>
      </c>
      <c r="R740" s="286" t="str">
        <f>Controle!R740</f>
        <v/>
      </c>
      <c r="S740" s="286"/>
      <c r="T740" s="286"/>
      <c r="U740" s="286"/>
      <c r="V740" s="286"/>
      <c r="W740" s="286"/>
      <c r="X740" s="286"/>
      <c r="Y740" s="286"/>
      <c r="Z740" s="286"/>
      <c r="AA740" s="294"/>
      <c r="AB740" s="253"/>
      <c r="AC740" s="253"/>
      <c r="AD740" s="253"/>
      <c r="AE740" s="253"/>
      <c r="AF740" s="253"/>
      <c r="AG740" s="253"/>
      <c r="AH740" s="253"/>
      <c r="AI740" s="253"/>
      <c r="AJ740" s="253"/>
      <c r="AK740" s="253"/>
      <c r="AL740" s="253"/>
      <c r="AM740" s="253"/>
      <c r="AN740" s="253"/>
      <c r="AO740" s="253"/>
      <c r="AP740" s="253"/>
      <c r="AQ740" s="253"/>
      <c r="AR740" s="253"/>
      <c r="AS740" s="253"/>
      <c r="AT740" s="2"/>
      <c r="AU740" s="2"/>
      <c r="AV740" s="2"/>
      <c r="AW740" s="2"/>
      <c r="AX740" s="2"/>
      <c r="AY740" s="253"/>
    </row>
    <row r="741" ht="15.75" customHeight="1">
      <c r="A741" s="2"/>
      <c r="B741" s="288" t="str">
        <f>Controle!B741</f>
        <v/>
      </c>
      <c r="C741" s="233" t="str">
        <f>Controle!C741</f>
        <v/>
      </c>
      <c r="D741" s="289" t="str">
        <f>Controle!D741</f>
        <v/>
      </c>
      <c r="E741" s="290"/>
      <c r="F741" s="291" t="str">
        <f>Controle!F741</f>
        <v/>
      </c>
      <c r="G741" s="289" t="str">
        <f>Controle!G741</f>
        <v/>
      </c>
      <c r="H741" s="290"/>
      <c r="I741" s="291" t="str">
        <f>Controle!I741</f>
        <v/>
      </c>
      <c r="J741" s="233" t="str">
        <f>Controle!J741</f>
        <v/>
      </c>
      <c r="K741" s="292"/>
      <c r="L741" s="233" t="str">
        <f>Controle!L741</f>
        <v/>
      </c>
      <c r="M741" s="233" t="str">
        <f>Controle!M741</f>
        <v/>
      </c>
      <c r="N741" s="235" t="str">
        <f>Controle!N741</f>
        <v/>
      </c>
      <c r="O741" s="235" t="str">
        <f>Controle!O741</f>
        <v/>
      </c>
      <c r="P741" s="235" t="str">
        <f>Controle!P741</f>
        <v/>
      </c>
      <c r="Q741" s="235" t="str">
        <f>Controle!Q741</f>
        <v/>
      </c>
      <c r="R741" s="286" t="str">
        <f>Controle!R741</f>
        <v/>
      </c>
      <c r="S741" s="286"/>
      <c r="T741" s="286"/>
      <c r="U741" s="286"/>
      <c r="V741" s="286"/>
      <c r="W741" s="286"/>
      <c r="X741" s="286"/>
      <c r="Y741" s="286"/>
      <c r="Z741" s="286"/>
      <c r="AA741" s="294"/>
      <c r="AB741" s="253"/>
      <c r="AC741" s="253"/>
      <c r="AD741" s="253"/>
      <c r="AE741" s="253"/>
      <c r="AF741" s="253"/>
      <c r="AG741" s="253"/>
      <c r="AH741" s="253"/>
      <c r="AI741" s="253"/>
      <c r="AJ741" s="253"/>
      <c r="AK741" s="253"/>
      <c r="AL741" s="253"/>
      <c r="AM741" s="253"/>
      <c r="AN741" s="253"/>
      <c r="AO741" s="253"/>
      <c r="AP741" s="253"/>
      <c r="AQ741" s="253"/>
      <c r="AR741" s="253"/>
      <c r="AS741" s="253"/>
      <c r="AT741" s="2"/>
      <c r="AU741" s="2"/>
      <c r="AV741" s="2"/>
      <c r="AW741" s="2"/>
      <c r="AX741" s="2"/>
      <c r="AY741" s="253"/>
    </row>
    <row r="742" ht="15.75" customHeight="1">
      <c r="A742" s="2"/>
      <c r="B742" s="288" t="str">
        <f>Controle!B742</f>
        <v/>
      </c>
      <c r="C742" s="233" t="str">
        <f>Controle!C742</f>
        <v/>
      </c>
      <c r="D742" s="289" t="str">
        <f>Controle!D742</f>
        <v/>
      </c>
      <c r="E742" s="290"/>
      <c r="F742" s="291" t="str">
        <f>Controle!F742</f>
        <v/>
      </c>
      <c r="G742" s="289" t="str">
        <f>Controle!G742</f>
        <v/>
      </c>
      <c r="H742" s="290"/>
      <c r="I742" s="291" t="str">
        <f>Controle!I742</f>
        <v/>
      </c>
      <c r="J742" s="233" t="str">
        <f>Controle!J742</f>
        <v/>
      </c>
      <c r="K742" s="292"/>
      <c r="L742" s="233" t="str">
        <f>Controle!L742</f>
        <v/>
      </c>
      <c r="M742" s="233" t="str">
        <f>Controle!M742</f>
        <v/>
      </c>
      <c r="N742" s="235" t="str">
        <f>Controle!N742</f>
        <v/>
      </c>
      <c r="O742" s="235" t="str">
        <f>Controle!O742</f>
        <v/>
      </c>
      <c r="P742" s="235" t="str">
        <f>Controle!P742</f>
        <v/>
      </c>
      <c r="Q742" s="235" t="str">
        <f>Controle!Q742</f>
        <v/>
      </c>
      <c r="R742" s="286" t="str">
        <f>Controle!R742</f>
        <v/>
      </c>
      <c r="S742" s="286"/>
      <c r="T742" s="286"/>
      <c r="U742" s="286"/>
      <c r="V742" s="286"/>
      <c r="W742" s="286"/>
      <c r="X742" s="286"/>
      <c r="Y742" s="286"/>
      <c r="Z742" s="286"/>
      <c r="AA742" s="294"/>
      <c r="AB742" s="253"/>
      <c r="AC742" s="253"/>
      <c r="AD742" s="253"/>
      <c r="AE742" s="253"/>
      <c r="AF742" s="253"/>
      <c r="AG742" s="253"/>
      <c r="AH742" s="253"/>
      <c r="AI742" s="253"/>
      <c r="AJ742" s="253"/>
      <c r="AK742" s="253"/>
      <c r="AL742" s="253"/>
      <c r="AM742" s="253"/>
      <c r="AN742" s="253"/>
      <c r="AO742" s="253"/>
      <c r="AP742" s="253"/>
      <c r="AQ742" s="253"/>
      <c r="AR742" s="253"/>
      <c r="AS742" s="253"/>
      <c r="AT742" s="2"/>
      <c r="AU742" s="2"/>
      <c r="AV742" s="2"/>
      <c r="AW742" s="2"/>
      <c r="AX742" s="2"/>
      <c r="AY742" s="253"/>
    </row>
    <row r="743" ht="15.75" customHeight="1">
      <c r="A743" s="2"/>
      <c r="B743" s="288" t="str">
        <f>Controle!B743</f>
        <v/>
      </c>
      <c r="C743" s="233" t="str">
        <f>Controle!C743</f>
        <v/>
      </c>
      <c r="D743" s="289" t="str">
        <f>Controle!D743</f>
        <v/>
      </c>
      <c r="E743" s="290"/>
      <c r="F743" s="291" t="str">
        <f>Controle!F743</f>
        <v/>
      </c>
      <c r="G743" s="289" t="str">
        <f>Controle!G743</f>
        <v/>
      </c>
      <c r="H743" s="290"/>
      <c r="I743" s="291" t="str">
        <f>Controle!I743</f>
        <v/>
      </c>
      <c r="J743" s="233" t="str">
        <f>Controle!J743</f>
        <v/>
      </c>
      <c r="K743" s="292"/>
      <c r="L743" s="233" t="str">
        <f>Controle!L743</f>
        <v/>
      </c>
      <c r="M743" s="233" t="str">
        <f>Controle!M743</f>
        <v/>
      </c>
      <c r="N743" s="235" t="str">
        <f>Controle!N743</f>
        <v/>
      </c>
      <c r="O743" s="235" t="str">
        <f>Controle!O743</f>
        <v/>
      </c>
      <c r="P743" s="235" t="str">
        <f>Controle!P743</f>
        <v/>
      </c>
      <c r="Q743" s="235" t="str">
        <f>Controle!Q743</f>
        <v/>
      </c>
      <c r="R743" s="286" t="str">
        <f>Controle!R743</f>
        <v/>
      </c>
      <c r="S743" s="286"/>
      <c r="T743" s="286"/>
      <c r="U743" s="286"/>
      <c r="V743" s="286"/>
      <c r="W743" s="286"/>
      <c r="X743" s="286"/>
      <c r="Y743" s="286"/>
      <c r="Z743" s="286"/>
      <c r="AA743" s="294"/>
      <c r="AB743" s="253"/>
      <c r="AC743" s="253"/>
      <c r="AD743" s="253"/>
      <c r="AE743" s="253"/>
      <c r="AF743" s="253"/>
      <c r="AG743" s="253"/>
      <c r="AH743" s="253"/>
      <c r="AI743" s="253"/>
      <c r="AJ743" s="253"/>
      <c r="AK743" s="253"/>
      <c r="AL743" s="253"/>
      <c r="AM743" s="253"/>
      <c r="AN743" s="253"/>
      <c r="AO743" s="253"/>
      <c r="AP743" s="253"/>
      <c r="AQ743" s="253"/>
      <c r="AR743" s="253"/>
      <c r="AS743" s="253"/>
      <c r="AT743" s="2"/>
      <c r="AU743" s="2"/>
      <c r="AV743" s="2"/>
      <c r="AW743" s="2"/>
      <c r="AX743" s="2"/>
      <c r="AY743" s="253"/>
    </row>
    <row r="744" ht="15.75" customHeight="1">
      <c r="A744" s="2"/>
      <c r="B744" s="288" t="str">
        <f>Controle!B744</f>
        <v/>
      </c>
      <c r="C744" s="233" t="str">
        <f>Controle!C744</f>
        <v/>
      </c>
      <c r="D744" s="289" t="str">
        <f>Controle!D744</f>
        <v/>
      </c>
      <c r="E744" s="290"/>
      <c r="F744" s="291" t="str">
        <f>Controle!F744</f>
        <v/>
      </c>
      <c r="G744" s="289" t="str">
        <f>Controle!G744</f>
        <v/>
      </c>
      <c r="H744" s="290"/>
      <c r="I744" s="291" t="str">
        <f>Controle!I744</f>
        <v/>
      </c>
      <c r="J744" s="233" t="str">
        <f>Controle!J744</f>
        <v/>
      </c>
      <c r="K744" s="292"/>
      <c r="L744" s="233" t="str">
        <f>Controle!L744</f>
        <v/>
      </c>
      <c r="M744" s="233" t="str">
        <f>Controle!M744</f>
        <v/>
      </c>
      <c r="N744" s="235" t="str">
        <f>Controle!N744</f>
        <v/>
      </c>
      <c r="O744" s="235" t="str">
        <f>Controle!O744</f>
        <v/>
      </c>
      <c r="P744" s="235" t="str">
        <f>Controle!P744</f>
        <v/>
      </c>
      <c r="Q744" s="235" t="str">
        <f>Controle!Q744</f>
        <v/>
      </c>
      <c r="R744" s="286" t="str">
        <f>Controle!R744</f>
        <v/>
      </c>
      <c r="S744" s="286"/>
      <c r="T744" s="286"/>
      <c r="U744" s="286"/>
      <c r="V744" s="286"/>
      <c r="W744" s="286"/>
      <c r="X744" s="286"/>
      <c r="Y744" s="286"/>
      <c r="Z744" s="286"/>
      <c r="AA744" s="294"/>
      <c r="AB744" s="253"/>
      <c r="AC744" s="253"/>
      <c r="AD744" s="253"/>
      <c r="AE744" s="253"/>
      <c r="AF744" s="253"/>
      <c r="AG744" s="253"/>
      <c r="AH744" s="253"/>
      <c r="AI744" s="253"/>
      <c r="AJ744" s="253"/>
      <c r="AK744" s="253"/>
      <c r="AL744" s="253"/>
      <c r="AM744" s="253"/>
      <c r="AN744" s="253"/>
      <c r="AO744" s="253"/>
      <c r="AP744" s="253"/>
      <c r="AQ744" s="253"/>
      <c r="AR744" s="253"/>
      <c r="AS744" s="253"/>
      <c r="AT744" s="2"/>
      <c r="AU744" s="2"/>
      <c r="AV744" s="2"/>
      <c r="AW744" s="2"/>
      <c r="AX744" s="2"/>
      <c r="AY744" s="253"/>
    </row>
    <row r="745" ht="15.75" customHeight="1">
      <c r="A745" s="2"/>
      <c r="B745" s="288" t="str">
        <f>Controle!B745</f>
        <v/>
      </c>
      <c r="C745" s="233" t="str">
        <f>Controle!C745</f>
        <v/>
      </c>
      <c r="D745" s="289" t="str">
        <f>Controle!D745</f>
        <v/>
      </c>
      <c r="E745" s="290"/>
      <c r="F745" s="291" t="str">
        <f>Controle!F745</f>
        <v/>
      </c>
      <c r="G745" s="289" t="str">
        <f>Controle!G745</f>
        <v/>
      </c>
      <c r="H745" s="290"/>
      <c r="I745" s="291" t="str">
        <f>Controle!I745</f>
        <v/>
      </c>
      <c r="J745" s="233" t="str">
        <f>Controle!J745</f>
        <v/>
      </c>
      <c r="K745" s="292"/>
      <c r="L745" s="233" t="str">
        <f>Controle!L745</f>
        <v/>
      </c>
      <c r="M745" s="233" t="str">
        <f>Controle!M745</f>
        <v/>
      </c>
      <c r="N745" s="235" t="str">
        <f>Controle!N745</f>
        <v/>
      </c>
      <c r="O745" s="235" t="str">
        <f>Controle!O745</f>
        <v/>
      </c>
      <c r="P745" s="235" t="str">
        <f>Controle!P745</f>
        <v/>
      </c>
      <c r="Q745" s="235" t="str">
        <f>Controle!Q745</f>
        <v/>
      </c>
      <c r="R745" s="286" t="str">
        <f>Controle!R745</f>
        <v/>
      </c>
      <c r="S745" s="286"/>
      <c r="T745" s="286"/>
      <c r="U745" s="286"/>
      <c r="V745" s="286"/>
      <c r="W745" s="286"/>
      <c r="X745" s="286"/>
      <c r="Y745" s="286"/>
      <c r="Z745" s="286"/>
      <c r="AA745" s="294"/>
      <c r="AB745" s="253"/>
      <c r="AC745" s="253"/>
      <c r="AD745" s="253"/>
      <c r="AE745" s="253"/>
      <c r="AF745" s="253"/>
      <c r="AG745" s="253"/>
      <c r="AH745" s="253"/>
      <c r="AI745" s="253"/>
      <c r="AJ745" s="253"/>
      <c r="AK745" s="253"/>
      <c r="AL745" s="253"/>
      <c r="AM745" s="253"/>
      <c r="AN745" s="253"/>
      <c r="AO745" s="253"/>
      <c r="AP745" s="253"/>
      <c r="AQ745" s="253"/>
      <c r="AR745" s="253"/>
      <c r="AS745" s="253"/>
      <c r="AT745" s="2"/>
      <c r="AU745" s="2"/>
      <c r="AV745" s="2"/>
      <c r="AW745" s="2"/>
      <c r="AX745" s="2"/>
      <c r="AY745" s="253"/>
    </row>
    <row r="746" ht="15.75" customHeight="1">
      <c r="A746" s="2"/>
      <c r="B746" s="288" t="str">
        <f>Controle!B746</f>
        <v/>
      </c>
      <c r="C746" s="233" t="str">
        <f>Controle!C746</f>
        <v/>
      </c>
      <c r="D746" s="289" t="str">
        <f>Controle!D746</f>
        <v/>
      </c>
      <c r="E746" s="290"/>
      <c r="F746" s="291" t="str">
        <f>Controle!F746</f>
        <v/>
      </c>
      <c r="G746" s="289" t="str">
        <f>Controle!G746</f>
        <v/>
      </c>
      <c r="H746" s="290"/>
      <c r="I746" s="291" t="str">
        <f>Controle!I746</f>
        <v/>
      </c>
      <c r="J746" s="233" t="str">
        <f>Controle!J746</f>
        <v/>
      </c>
      <c r="K746" s="292"/>
      <c r="L746" s="233" t="str">
        <f>Controle!L746</f>
        <v/>
      </c>
      <c r="M746" s="233" t="str">
        <f>Controle!M746</f>
        <v/>
      </c>
      <c r="N746" s="235" t="str">
        <f>Controle!N746</f>
        <v/>
      </c>
      <c r="O746" s="235" t="str">
        <f>Controle!O746</f>
        <v/>
      </c>
      <c r="P746" s="235" t="str">
        <f>Controle!P746</f>
        <v/>
      </c>
      <c r="Q746" s="235" t="str">
        <f>Controle!Q746</f>
        <v/>
      </c>
      <c r="R746" s="286" t="str">
        <f>Controle!R746</f>
        <v/>
      </c>
      <c r="S746" s="286"/>
      <c r="T746" s="286"/>
      <c r="U746" s="286"/>
      <c r="V746" s="286"/>
      <c r="W746" s="286"/>
      <c r="X746" s="286"/>
      <c r="Y746" s="286"/>
      <c r="Z746" s="286"/>
      <c r="AA746" s="294"/>
      <c r="AB746" s="253"/>
      <c r="AC746" s="253"/>
      <c r="AD746" s="253"/>
      <c r="AE746" s="253"/>
      <c r="AF746" s="253"/>
      <c r="AG746" s="253"/>
      <c r="AH746" s="253"/>
      <c r="AI746" s="253"/>
      <c r="AJ746" s="253"/>
      <c r="AK746" s="253"/>
      <c r="AL746" s="253"/>
      <c r="AM746" s="253"/>
      <c r="AN746" s="253"/>
      <c r="AO746" s="253"/>
      <c r="AP746" s="253"/>
      <c r="AQ746" s="253"/>
      <c r="AR746" s="253"/>
      <c r="AS746" s="253"/>
      <c r="AT746" s="2"/>
      <c r="AU746" s="2"/>
      <c r="AV746" s="2"/>
      <c r="AW746" s="2"/>
      <c r="AX746" s="2"/>
      <c r="AY746" s="253"/>
    </row>
    <row r="747" ht="15.75" customHeight="1">
      <c r="A747" s="2"/>
      <c r="B747" s="288" t="str">
        <f>Controle!B747</f>
        <v/>
      </c>
      <c r="C747" s="233" t="str">
        <f>Controle!C747</f>
        <v/>
      </c>
      <c r="D747" s="289" t="str">
        <f>Controle!D747</f>
        <v/>
      </c>
      <c r="E747" s="290"/>
      <c r="F747" s="291" t="str">
        <f>Controle!F747</f>
        <v/>
      </c>
      <c r="G747" s="289" t="str">
        <f>Controle!G747</f>
        <v/>
      </c>
      <c r="H747" s="290"/>
      <c r="I747" s="291" t="str">
        <f>Controle!I747</f>
        <v/>
      </c>
      <c r="J747" s="233" t="str">
        <f>Controle!J747</f>
        <v/>
      </c>
      <c r="K747" s="292"/>
      <c r="L747" s="233" t="str">
        <f>Controle!L747</f>
        <v/>
      </c>
      <c r="M747" s="233" t="str">
        <f>Controle!M747</f>
        <v/>
      </c>
      <c r="N747" s="235" t="str">
        <f>Controle!N747</f>
        <v/>
      </c>
      <c r="O747" s="235" t="str">
        <f>Controle!O747</f>
        <v/>
      </c>
      <c r="P747" s="235" t="str">
        <f>Controle!P747</f>
        <v/>
      </c>
      <c r="Q747" s="235" t="str">
        <f>Controle!Q747</f>
        <v/>
      </c>
      <c r="R747" s="286" t="str">
        <f>Controle!R747</f>
        <v/>
      </c>
      <c r="S747" s="286"/>
      <c r="T747" s="286"/>
      <c r="U747" s="286"/>
      <c r="V747" s="286"/>
      <c r="W747" s="286"/>
      <c r="X747" s="286"/>
      <c r="Y747" s="286"/>
      <c r="Z747" s="286"/>
      <c r="AA747" s="294"/>
      <c r="AB747" s="253"/>
      <c r="AC747" s="253"/>
      <c r="AD747" s="253"/>
      <c r="AE747" s="253"/>
      <c r="AF747" s="253"/>
      <c r="AG747" s="253"/>
      <c r="AH747" s="253"/>
      <c r="AI747" s="253"/>
      <c r="AJ747" s="253"/>
      <c r="AK747" s="253"/>
      <c r="AL747" s="253"/>
      <c r="AM747" s="253"/>
      <c r="AN747" s="253"/>
      <c r="AO747" s="253"/>
      <c r="AP747" s="253"/>
      <c r="AQ747" s="253"/>
      <c r="AR747" s="253"/>
      <c r="AS747" s="253"/>
      <c r="AT747" s="2"/>
      <c r="AU747" s="2"/>
      <c r="AV747" s="2"/>
      <c r="AW747" s="2"/>
      <c r="AX747" s="2"/>
      <c r="AY747" s="253"/>
    </row>
    <row r="748" ht="15.75" customHeight="1">
      <c r="A748" s="2"/>
      <c r="B748" s="288" t="str">
        <f>Controle!B748</f>
        <v/>
      </c>
      <c r="C748" s="233" t="str">
        <f>Controle!C748</f>
        <v/>
      </c>
      <c r="D748" s="289" t="str">
        <f>Controle!D748</f>
        <v/>
      </c>
      <c r="E748" s="290"/>
      <c r="F748" s="291" t="str">
        <f>Controle!F748</f>
        <v/>
      </c>
      <c r="G748" s="289" t="str">
        <f>Controle!G748</f>
        <v/>
      </c>
      <c r="H748" s="290"/>
      <c r="I748" s="291" t="str">
        <f>Controle!I748</f>
        <v/>
      </c>
      <c r="J748" s="233" t="str">
        <f>Controle!J748</f>
        <v/>
      </c>
      <c r="K748" s="292"/>
      <c r="L748" s="233" t="str">
        <f>Controle!L748</f>
        <v/>
      </c>
      <c r="M748" s="233" t="str">
        <f>Controle!M748</f>
        <v/>
      </c>
      <c r="N748" s="235" t="str">
        <f>Controle!N748</f>
        <v/>
      </c>
      <c r="O748" s="235" t="str">
        <f>Controle!O748</f>
        <v/>
      </c>
      <c r="P748" s="235" t="str">
        <f>Controle!P748</f>
        <v/>
      </c>
      <c r="Q748" s="235" t="str">
        <f>Controle!Q748</f>
        <v/>
      </c>
      <c r="R748" s="286" t="str">
        <f>Controle!R748</f>
        <v/>
      </c>
      <c r="S748" s="286"/>
      <c r="T748" s="286"/>
      <c r="U748" s="286"/>
      <c r="V748" s="286"/>
      <c r="W748" s="286"/>
      <c r="X748" s="286"/>
      <c r="Y748" s="286"/>
      <c r="Z748" s="286"/>
      <c r="AA748" s="294"/>
      <c r="AB748" s="253"/>
      <c r="AC748" s="253"/>
      <c r="AD748" s="253"/>
      <c r="AE748" s="253"/>
      <c r="AF748" s="253"/>
      <c r="AG748" s="253"/>
      <c r="AH748" s="253"/>
      <c r="AI748" s="253"/>
      <c r="AJ748" s="253"/>
      <c r="AK748" s="253"/>
      <c r="AL748" s="253"/>
      <c r="AM748" s="253"/>
      <c r="AN748" s="253"/>
      <c r="AO748" s="253"/>
      <c r="AP748" s="253"/>
      <c r="AQ748" s="253"/>
      <c r="AR748" s="253"/>
      <c r="AS748" s="253"/>
      <c r="AT748" s="2"/>
      <c r="AU748" s="2"/>
      <c r="AV748" s="2"/>
      <c r="AW748" s="2"/>
      <c r="AX748" s="2"/>
      <c r="AY748" s="253"/>
    </row>
    <row r="749" ht="15.75" customHeight="1">
      <c r="A749" s="2"/>
      <c r="B749" s="288" t="str">
        <f>Controle!B749</f>
        <v/>
      </c>
      <c r="C749" s="233" t="str">
        <f>Controle!C749</f>
        <v/>
      </c>
      <c r="D749" s="289" t="str">
        <f>Controle!D749</f>
        <v/>
      </c>
      <c r="E749" s="290"/>
      <c r="F749" s="291" t="str">
        <f>Controle!F749</f>
        <v/>
      </c>
      <c r="G749" s="289" t="str">
        <f>Controle!G749</f>
        <v/>
      </c>
      <c r="H749" s="290"/>
      <c r="I749" s="291" t="str">
        <f>Controle!I749</f>
        <v/>
      </c>
      <c r="J749" s="233" t="str">
        <f>Controle!J749</f>
        <v/>
      </c>
      <c r="K749" s="292"/>
      <c r="L749" s="233" t="str">
        <f>Controle!L749</f>
        <v/>
      </c>
      <c r="M749" s="233" t="str">
        <f>Controle!M749</f>
        <v/>
      </c>
      <c r="N749" s="235" t="str">
        <f>Controle!N749</f>
        <v/>
      </c>
      <c r="O749" s="235" t="str">
        <f>Controle!O749</f>
        <v/>
      </c>
      <c r="P749" s="235" t="str">
        <f>Controle!P749</f>
        <v/>
      </c>
      <c r="Q749" s="235" t="str">
        <f>Controle!Q749</f>
        <v/>
      </c>
      <c r="R749" s="286" t="str">
        <f>Controle!R749</f>
        <v/>
      </c>
      <c r="S749" s="286"/>
      <c r="T749" s="286"/>
      <c r="U749" s="286"/>
      <c r="V749" s="286"/>
      <c r="W749" s="286"/>
      <c r="X749" s="286"/>
      <c r="Y749" s="286"/>
      <c r="Z749" s="286"/>
      <c r="AA749" s="294"/>
      <c r="AB749" s="253"/>
      <c r="AC749" s="253"/>
      <c r="AD749" s="253"/>
      <c r="AE749" s="253"/>
      <c r="AF749" s="253"/>
      <c r="AG749" s="253"/>
      <c r="AH749" s="253"/>
      <c r="AI749" s="253"/>
      <c r="AJ749" s="253"/>
      <c r="AK749" s="253"/>
      <c r="AL749" s="253"/>
      <c r="AM749" s="253"/>
      <c r="AN749" s="253"/>
      <c r="AO749" s="253"/>
      <c r="AP749" s="253"/>
      <c r="AQ749" s="253"/>
      <c r="AR749" s="253"/>
      <c r="AS749" s="253"/>
      <c r="AT749" s="2"/>
      <c r="AU749" s="2"/>
      <c r="AV749" s="2"/>
      <c r="AW749" s="2"/>
      <c r="AX749" s="2"/>
      <c r="AY749" s="253"/>
    </row>
    <row r="750" ht="15.75" customHeight="1">
      <c r="A750" s="2"/>
      <c r="B750" s="288" t="str">
        <f>Controle!B750</f>
        <v/>
      </c>
      <c r="C750" s="233" t="str">
        <f>Controle!C750</f>
        <v/>
      </c>
      <c r="D750" s="289" t="str">
        <f>Controle!D750</f>
        <v/>
      </c>
      <c r="E750" s="290"/>
      <c r="F750" s="291" t="str">
        <f>Controle!F750</f>
        <v/>
      </c>
      <c r="G750" s="289" t="str">
        <f>Controle!G750</f>
        <v/>
      </c>
      <c r="H750" s="290"/>
      <c r="I750" s="291" t="str">
        <f>Controle!I750</f>
        <v/>
      </c>
      <c r="J750" s="233" t="str">
        <f>Controle!J750</f>
        <v/>
      </c>
      <c r="K750" s="292"/>
      <c r="L750" s="233" t="str">
        <f>Controle!L750</f>
        <v/>
      </c>
      <c r="M750" s="233" t="str">
        <f>Controle!M750</f>
        <v/>
      </c>
      <c r="N750" s="235" t="str">
        <f>Controle!N750</f>
        <v/>
      </c>
      <c r="O750" s="235" t="str">
        <f>Controle!O750</f>
        <v/>
      </c>
      <c r="P750" s="235" t="str">
        <f>Controle!P750</f>
        <v/>
      </c>
      <c r="Q750" s="235" t="str">
        <f>Controle!Q750</f>
        <v/>
      </c>
      <c r="R750" s="286" t="str">
        <f>Controle!R750</f>
        <v/>
      </c>
      <c r="S750" s="286"/>
      <c r="T750" s="286"/>
      <c r="U750" s="286"/>
      <c r="V750" s="286"/>
      <c r="W750" s="286"/>
      <c r="X750" s="286"/>
      <c r="Y750" s="286"/>
      <c r="Z750" s="286"/>
      <c r="AA750" s="294"/>
      <c r="AB750" s="253"/>
      <c r="AC750" s="253"/>
      <c r="AD750" s="253"/>
      <c r="AE750" s="253"/>
      <c r="AF750" s="253"/>
      <c r="AG750" s="253"/>
      <c r="AH750" s="253"/>
      <c r="AI750" s="253"/>
      <c r="AJ750" s="253"/>
      <c r="AK750" s="253"/>
      <c r="AL750" s="253"/>
      <c r="AM750" s="253"/>
      <c r="AN750" s="253"/>
      <c r="AO750" s="253"/>
      <c r="AP750" s="253"/>
      <c r="AQ750" s="253"/>
      <c r="AR750" s="253"/>
      <c r="AS750" s="253"/>
      <c r="AT750" s="2"/>
      <c r="AU750" s="2"/>
      <c r="AV750" s="2"/>
      <c r="AW750" s="2"/>
      <c r="AX750" s="2"/>
      <c r="AY750" s="253"/>
    </row>
    <row r="751" ht="15.75" customHeight="1">
      <c r="A751" s="2"/>
      <c r="B751" s="288" t="str">
        <f>Controle!B751</f>
        <v/>
      </c>
      <c r="C751" s="233" t="str">
        <f>Controle!C751</f>
        <v/>
      </c>
      <c r="D751" s="289" t="str">
        <f>Controle!D751</f>
        <v/>
      </c>
      <c r="E751" s="290"/>
      <c r="F751" s="291" t="str">
        <f>Controle!F751</f>
        <v/>
      </c>
      <c r="G751" s="289" t="str">
        <f>Controle!G751</f>
        <v/>
      </c>
      <c r="H751" s="290"/>
      <c r="I751" s="291" t="str">
        <f>Controle!I751</f>
        <v/>
      </c>
      <c r="J751" s="233" t="str">
        <f>Controle!J751</f>
        <v/>
      </c>
      <c r="K751" s="292"/>
      <c r="L751" s="233" t="str">
        <f>Controle!L751</f>
        <v/>
      </c>
      <c r="M751" s="233" t="str">
        <f>Controle!M751</f>
        <v/>
      </c>
      <c r="N751" s="235" t="str">
        <f>Controle!N751</f>
        <v/>
      </c>
      <c r="O751" s="235" t="str">
        <f>Controle!O751</f>
        <v/>
      </c>
      <c r="P751" s="235" t="str">
        <f>Controle!P751</f>
        <v/>
      </c>
      <c r="Q751" s="235" t="str">
        <f>Controle!Q751</f>
        <v/>
      </c>
      <c r="R751" s="286" t="str">
        <f>Controle!R751</f>
        <v/>
      </c>
      <c r="S751" s="286"/>
      <c r="T751" s="286"/>
      <c r="U751" s="286"/>
      <c r="V751" s="286"/>
      <c r="W751" s="286"/>
      <c r="X751" s="286"/>
      <c r="Y751" s="286"/>
      <c r="Z751" s="286"/>
      <c r="AA751" s="294"/>
      <c r="AB751" s="253"/>
      <c r="AC751" s="253"/>
      <c r="AD751" s="253"/>
      <c r="AE751" s="253"/>
      <c r="AF751" s="253"/>
      <c r="AG751" s="253"/>
      <c r="AH751" s="253"/>
      <c r="AI751" s="253"/>
      <c r="AJ751" s="253"/>
      <c r="AK751" s="253"/>
      <c r="AL751" s="253"/>
      <c r="AM751" s="253"/>
      <c r="AN751" s="253"/>
      <c r="AO751" s="253"/>
      <c r="AP751" s="253"/>
      <c r="AQ751" s="253"/>
      <c r="AR751" s="253"/>
      <c r="AS751" s="253"/>
      <c r="AT751" s="2"/>
      <c r="AU751" s="2"/>
      <c r="AV751" s="2"/>
      <c r="AW751" s="2"/>
      <c r="AX751" s="2"/>
      <c r="AY751" s="253"/>
    </row>
    <row r="752" ht="15.75" customHeight="1">
      <c r="A752" s="2"/>
      <c r="B752" s="288" t="str">
        <f>Controle!B752</f>
        <v/>
      </c>
      <c r="C752" s="233" t="str">
        <f>Controle!C752</f>
        <v/>
      </c>
      <c r="D752" s="289" t="str">
        <f>Controle!D752</f>
        <v/>
      </c>
      <c r="E752" s="290"/>
      <c r="F752" s="291" t="str">
        <f>Controle!F752</f>
        <v/>
      </c>
      <c r="G752" s="289" t="str">
        <f>Controle!G752</f>
        <v/>
      </c>
      <c r="H752" s="290"/>
      <c r="I752" s="291" t="str">
        <f>Controle!I752</f>
        <v/>
      </c>
      <c r="J752" s="233" t="str">
        <f>Controle!J752</f>
        <v/>
      </c>
      <c r="K752" s="292"/>
      <c r="L752" s="233" t="str">
        <f>Controle!L752</f>
        <v/>
      </c>
      <c r="M752" s="233" t="str">
        <f>Controle!M752</f>
        <v/>
      </c>
      <c r="N752" s="235" t="str">
        <f>Controle!N752</f>
        <v/>
      </c>
      <c r="O752" s="235" t="str">
        <f>Controle!O752</f>
        <v/>
      </c>
      <c r="P752" s="235" t="str">
        <f>Controle!P752</f>
        <v/>
      </c>
      <c r="Q752" s="235" t="str">
        <f>Controle!Q752</f>
        <v/>
      </c>
      <c r="R752" s="286" t="str">
        <f>Controle!R752</f>
        <v/>
      </c>
      <c r="S752" s="286"/>
      <c r="T752" s="286"/>
      <c r="U752" s="286"/>
      <c r="V752" s="286"/>
      <c r="W752" s="286"/>
      <c r="X752" s="286"/>
      <c r="Y752" s="286"/>
      <c r="Z752" s="286"/>
      <c r="AA752" s="294"/>
      <c r="AB752" s="253"/>
      <c r="AC752" s="253"/>
      <c r="AD752" s="253"/>
      <c r="AE752" s="253"/>
      <c r="AF752" s="253"/>
      <c r="AG752" s="253"/>
      <c r="AH752" s="253"/>
      <c r="AI752" s="253"/>
      <c r="AJ752" s="253"/>
      <c r="AK752" s="253"/>
      <c r="AL752" s="253"/>
      <c r="AM752" s="253"/>
      <c r="AN752" s="253"/>
      <c r="AO752" s="253"/>
      <c r="AP752" s="253"/>
      <c r="AQ752" s="253"/>
      <c r="AR752" s="253"/>
      <c r="AS752" s="253"/>
      <c r="AT752" s="2"/>
      <c r="AU752" s="2"/>
      <c r="AV752" s="2"/>
      <c r="AW752" s="2"/>
      <c r="AX752" s="2"/>
      <c r="AY752" s="253"/>
    </row>
    <row r="753" ht="15.75" customHeight="1">
      <c r="A753" s="2"/>
      <c r="B753" s="288" t="str">
        <f>Controle!B753</f>
        <v/>
      </c>
      <c r="C753" s="233" t="str">
        <f>Controle!C753</f>
        <v/>
      </c>
      <c r="D753" s="289" t="str">
        <f>Controle!D753</f>
        <v/>
      </c>
      <c r="E753" s="290"/>
      <c r="F753" s="291" t="str">
        <f>Controle!F753</f>
        <v/>
      </c>
      <c r="G753" s="289" t="str">
        <f>Controle!G753</f>
        <v/>
      </c>
      <c r="H753" s="290"/>
      <c r="I753" s="291" t="str">
        <f>Controle!I753</f>
        <v/>
      </c>
      <c r="J753" s="233" t="str">
        <f>Controle!J753</f>
        <v/>
      </c>
      <c r="K753" s="292"/>
      <c r="L753" s="233" t="str">
        <f>Controle!L753</f>
        <v/>
      </c>
      <c r="M753" s="233" t="str">
        <f>Controle!M753</f>
        <v/>
      </c>
      <c r="N753" s="235" t="str">
        <f>Controle!N753</f>
        <v/>
      </c>
      <c r="O753" s="235" t="str">
        <f>Controle!O753</f>
        <v/>
      </c>
      <c r="P753" s="235" t="str">
        <f>Controle!P753</f>
        <v/>
      </c>
      <c r="Q753" s="235" t="str">
        <f>Controle!Q753</f>
        <v/>
      </c>
      <c r="R753" s="286" t="str">
        <f>Controle!R753</f>
        <v/>
      </c>
      <c r="S753" s="286"/>
      <c r="T753" s="286"/>
      <c r="U753" s="286"/>
      <c r="V753" s="286"/>
      <c r="W753" s="286"/>
      <c r="X753" s="286"/>
      <c r="Y753" s="286"/>
      <c r="Z753" s="286"/>
      <c r="AA753" s="294"/>
      <c r="AB753" s="253"/>
      <c r="AC753" s="253"/>
      <c r="AD753" s="253"/>
      <c r="AE753" s="253"/>
      <c r="AF753" s="253"/>
      <c r="AG753" s="253"/>
      <c r="AH753" s="253"/>
      <c r="AI753" s="253"/>
      <c r="AJ753" s="253"/>
      <c r="AK753" s="253"/>
      <c r="AL753" s="253"/>
      <c r="AM753" s="253"/>
      <c r="AN753" s="253"/>
      <c r="AO753" s="253"/>
      <c r="AP753" s="253"/>
      <c r="AQ753" s="253"/>
      <c r="AR753" s="253"/>
      <c r="AS753" s="253"/>
      <c r="AT753" s="2"/>
      <c r="AU753" s="2"/>
      <c r="AV753" s="2"/>
      <c r="AW753" s="2"/>
      <c r="AX753" s="2"/>
      <c r="AY753" s="253"/>
    </row>
    <row r="754" ht="15.75" customHeight="1">
      <c r="A754" s="2"/>
      <c r="B754" s="288" t="str">
        <f>Controle!B754</f>
        <v/>
      </c>
      <c r="C754" s="233" t="str">
        <f>Controle!C754</f>
        <v/>
      </c>
      <c r="D754" s="289" t="str">
        <f>Controle!D754</f>
        <v/>
      </c>
      <c r="E754" s="290"/>
      <c r="F754" s="291" t="str">
        <f>Controle!F754</f>
        <v/>
      </c>
      <c r="G754" s="289" t="str">
        <f>Controle!G754</f>
        <v/>
      </c>
      <c r="H754" s="290"/>
      <c r="I754" s="291" t="str">
        <f>Controle!I754</f>
        <v/>
      </c>
      <c r="J754" s="233" t="str">
        <f>Controle!J754</f>
        <v/>
      </c>
      <c r="K754" s="292"/>
      <c r="L754" s="233" t="str">
        <f>Controle!L754</f>
        <v/>
      </c>
      <c r="M754" s="233" t="str">
        <f>Controle!M754</f>
        <v/>
      </c>
      <c r="N754" s="235" t="str">
        <f>Controle!N754</f>
        <v/>
      </c>
      <c r="O754" s="235" t="str">
        <f>Controle!O754</f>
        <v/>
      </c>
      <c r="P754" s="235" t="str">
        <f>Controle!P754</f>
        <v/>
      </c>
      <c r="Q754" s="235" t="str">
        <f>Controle!Q754</f>
        <v/>
      </c>
      <c r="R754" s="286" t="str">
        <f>Controle!R754</f>
        <v/>
      </c>
      <c r="S754" s="286"/>
      <c r="T754" s="286"/>
      <c r="U754" s="286"/>
      <c r="V754" s="286"/>
      <c r="W754" s="286"/>
      <c r="X754" s="286"/>
      <c r="Y754" s="286"/>
      <c r="Z754" s="286"/>
      <c r="AA754" s="294"/>
      <c r="AB754" s="253"/>
      <c r="AC754" s="253"/>
      <c r="AD754" s="253"/>
      <c r="AE754" s="253"/>
      <c r="AF754" s="253"/>
      <c r="AG754" s="253"/>
      <c r="AH754" s="253"/>
      <c r="AI754" s="253"/>
      <c r="AJ754" s="253"/>
      <c r="AK754" s="253"/>
      <c r="AL754" s="253"/>
      <c r="AM754" s="253"/>
      <c r="AN754" s="253"/>
      <c r="AO754" s="253"/>
      <c r="AP754" s="253"/>
      <c r="AQ754" s="253"/>
      <c r="AR754" s="253"/>
      <c r="AS754" s="253"/>
      <c r="AT754" s="2"/>
      <c r="AU754" s="2"/>
      <c r="AV754" s="2"/>
      <c r="AW754" s="2"/>
      <c r="AX754" s="2"/>
      <c r="AY754" s="253"/>
    </row>
    <row r="755" ht="15.75" customHeight="1">
      <c r="A755" s="2"/>
      <c r="B755" s="288" t="str">
        <f>Controle!B755</f>
        <v/>
      </c>
      <c r="C755" s="233" t="str">
        <f>Controle!C755</f>
        <v/>
      </c>
      <c r="D755" s="289" t="str">
        <f>Controle!D755</f>
        <v/>
      </c>
      <c r="E755" s="290"/>
      <c r="F755" s="291" t="str">
        <f>Controle!F755</f>
        <v/>
      </c>
      <c r="G755" s="289" t="str">
        <f>Controle!G755</f>
        <v/>
      </c>
      <c r="H755" s="290"/>
      <c r="I755" s="291" t="str">
        <f>Controle!I755</f>
        <v/>
      </c>
      <c r="J755" s="233" t="str">
        <f>Controle!J755</f>
        <v/>
      </c>
      <c r="K755" s="292"/>
      <c r="L755" s="233" t="str">
        <f>Controle!L755</f>
        <v/>
      </c>
      <c r="M755" s="233" t="str">
        <f>Controle!M755</f>
        <v/>
      </c>
      <c r="N755" s="235" t="str">
        <f>Controle!N755</f>
        <v/>
      </c>
      <c r="O755" s="235" t="str">
        <f>Controle!O755</f>
        <v/>
      </c>
      <c r="P755" s="235" t="str">
        <f>Controle!P755</f>
        <v/>
      </c>
      <c r="Q755" s="235" t="str">
        <f>Controle!Q755</f>
        <v/>
      </c>
      <c r="R755" s="286" t="str">
        <f>Controle!R755</f>
        <v/>
      </c>
      <c r="S755" s="286"/>
      <c r="T755" s="286"/>
      <c r="U755" s="286"/>
      <c r="V755" s="286"/>
      <c r="W755" s="286"/>
      <c r="X755" s="286"/>
      <c r="Y755" s="286"/>
      <c r="Z755" s="286"/>
      <c r="AA755" s="294"/>
      <c r="AB755" s="253"/>
      <c r="AC755" s="253"/>
      <c r="AD755" s="253"/>
      <c r="AE755" s="253"/>
      <c r="AF755" s="253"/>
      <c r="AG755" s="253"/>
      <c r="AH755" s="253"/>
      <c r="AI755" s="253"/>
      <c r="AJ755" s="253"/>
      <c r="AK755" s="253"/>
      <c r="AL755" s="253"/>
      <c r="AM755" s="253"/>
      <c r="AN755" s="253"/>
      <c r="AO755" s="253"/>
      <c r="AP755" s="253"/>
      <c r="AQ755" s="253"/>
      <c r="AR755" s="253"/>
      <c r="AS755" s="253"/>
      <c r="AT755" s="2"/>
      <c r="AU755" s="2"/>
      <c r="AV755" s="2"/>
      <c r="AW755" s="2"/>
      <c r="AX755" s="2"/>
      <c r="AY755" s="253"/>
    </row>
    <row r="756" ht="15.75" customHeight="1">
      <c r="A756" s="2"/>
      <c r="B756" s="288" t="str">
        <f>Controle!B756</f>
        <v/>
      </c>
      <c r="C756" s="233" t="str">
        <f>Controle!C756</f>
        <v/>
      </c>
      <c r="D756" s="289" t="str">
        <f>Controle!D756</f>
        <v/>
      </c>
      <c r="E756" s="290"/>
      <c r="F756" s="291" t="str">
        <f>Controle!F756</f>
        <v/>
      </c>
      <c r="G756" s="289" t="str">
        <f>Controle!G756</f>
        <v/>
      </c>
      <c r="H756" s="290"/>
      <c r="I756" s="291" t="str">
        <f>Controle!I756</f>
        <v/>
      </c>
      <c r="J756" s="233" t="str">
        <f>Controle!J756</f>
        <v/>
      </c>
      <c r="K756" s="292"/>
      <c r="L756" s="233" t="str">
        <f>Controle!L756</f>
        <v/>
      </c>
      <c r="M756" s="233" t="str">
        <f>Controle!M756</f>
        <v/>
      </c>
      <c r="N756" s="235" t="str">
        <f>Controle!N756</f>
        <v/>
      </c>
      <c r="O756" s="235" t="str">
        <f>Controle!O756</f>
        <v/>
      </c>
      <c r="P756" s="235" t="str">
        <f>Controle!P756</f>
        <v/>
      </c>
      <c r="Q756" s="235" t="str">
        <f>Controle!Q756</f>
        <v/>
      </c>
      <c r="R756" s="286" t="str">
        <f>Controle!R756</f>
        <v/>
      </c>
      <c r="S756" s="286"/>
      <c r="T756" s="286"/>
      <c r="U756" s="286"/>
      <c r="V756" s="286"/>
      <c r="W756" s="286"/>
      <c r="X756" s="286"/>
      <c r="Y756" s="286"/>
      <c r="Z756" s="286"/>
      <c r="AA756" s="294"/>
      <c r="AB756" s="253"/>
      <c r="AC756" s="253"/>
      <c r="AD756" s="253"/>
      <c r="AE756" s="253"/>
      <c r="AF756" s="253"/>
      <c r="AG756" s="253"/>
      <c r="AH756" s="253"/>
      <c r="AI756" s="253"/>
      <c r="AJ756" s="253"/>
      <c r="AK756" s="253"/>
      <c r="AL756" s="253"/>
      <c r="AM756" s="253"/>
      <c r="AN756" s="253"/>
      <c r="AO756" s="253"/>
      <c r="AP756" s="253"/>
      <c r="AQ756" s="253"/>
      <c r="AR756" s="253"/>
      <c r="AS756" s="253"/>
      <c r="AT756" s="2"/>
      <c r="AU756" s="2"/>
      <c r="AV756" s="2"/>
      <c r="AW756" s="2"/>
      <c r="AX756" s="2"/>
      <c r="AY756" s="253"/>
    </row>
    <row r="757" ht="15.75" customHeight="1">
      <c r="A757" s="2"/>
      <c r="B757" s="288" t="str">
        <f>Controle!B757</f>
        <v/>
      </c>
      <c r="C757" s="233" t="str">
        <f>Controle!C757</f>
        <v/>
      </c>
      <c r="D757" s="289" t="str">
        <f>Controle!D757</f>
        <v/>
      </c>
      <c r="E757" s="290"/>
      <c r="F757" s="291" t="str">
        <f>Controle!F757</f>
        <v/>
      </c>
      <c r="G757" s="289" t="str">
        <f>Controle!G757</f>
        <v/>
      </c>
      <c r="H757" s="290"/>
      <c r="I757" s="291" t="str">
        <f>Controle!I757</f>
        <v/>
      </c>
      <c r="J757" s="233" t="str">
        <f>Controle!J757</f>
        <v/>
      </c>
      <c r="K757" s="292"/>
      <c r="L757" s="233" t="str">
        <f>Controle!L757</f>
        <v/>
      </c>
      <c r="M757" s="233" t="str">
        <f>Controle!M757</f>
        <v/>
      </c>
      <c r="N757" s="235" t="str">
        <f>Controle!N757</f>
        <v/>
      </c>
      <c r="O757" s="235" t="str">
        <f>Controle!O757</f>
        <v/>
      </c>
      <c r="P757" s="235" t="str">
        <f>Controle!P757</f>
        <v/>
      </c>
      <c r="Q757" s="235" t="str">
        <f>Controle!Q757</f>
        <v/>
      </c>
      <c r="R757" s="286" t="str">
        <f>Controle!R757</f>
        <v/>
      </c>
      <c r="S757" s="286"/>
      <c r="T757" s="286"/>
      <c r="U757" s="286"/>
      <c r="V757" s="286"/>
      <c r="W757" s="286"/>
      <c r="X757" s="286"/>
      <c r="Y757" s="286"/>
      <c r="Z757" s="286"/>
      <c r="AA757" s="294"/>
      <c r="AB757" s="253"/>
      <c r="AC757" s="253"/>
      <c r="AD757" s="253"/>
      <c r="AE757" s="253"/>
      <c r="AF757" s="253"/>
      <c r="AG757" s="253"/>
      <c r="AH757" s="253"/>
      <c r="AI757" s="253"/>
      <c r="AJ757" s="253"/>
      <c r="AK757" s="253"/>
      <c r="AL757" s="253"/>
      <c r="AM757" s="253"/>
      <c r="AN757" s="253"/>
      <c r="AO757" s="253"/>
      <c r="AP757" s="253"/>
      <c r="AQ757" s="253"/>
      <c r="AR757" s="253"/>
      <c r="AS757" s="253"/>
      <c r="AT757" s="2"/>
      <c r="AU757" s="2"/>
      <c r="AV757" s="2"/>
      <c r="AW757" s="2"/>
      <c r="AX757" s="2"/>
      <c r="AY757" s="253"/>
    </row>
    <row r="758" ht="15.75" customHeight="1">
      <c r="A758" s="2"/>
      <c r="B758" s="288" t="str">
        <f>Controle!B758</f>
        <v/>
      </c>
      <c r="C758" s="233" t="str">
        <f>Controle!C758</f>
        <v/>
      </c>
      <c r="D758" s="289" t="str">
        <f>Controle!D758</f>
        <v/>
      </c>
      <c r="E758" s="290"/>
      <c r="F758" s="291" t="str">
        <f>Controle!F758</f>
        <v/>
      </c>
      <c r="G758" s="289" t="str">
        <f>Controle!G758</f>
        <v/>
      </c>
      <c r="H758" s="290"/>
      <c r="I758" s="291" t="str">
        <f>Controle!I758</f>
        <v/>
      </c>
      <c r="J758" s="233" t="str">
        <f>Controle!J758</f>
        <v/>
      </c>
      <c r="K758" s="292"/>
      <c r="L758" s="233" t="str">
        <f>Controle!L758</f>
        <v/>
      </c>
      <c r="M758" s="233" t="str">
        <f>Controle!M758</f>
        <v/>
      </c>
      <c r="N758" s="235" t="str">
        <f>Controle!N758</f>
        <v/>
      </c>
      <c r="O758" s="235" t="str">
        <f>Controle!O758</f>
        <v/>
      </c>
      <c r="P758" s="235" t="str">
        <f>Controle!P758</f>
        <v/>
      </c>
      <c r="Q758" s="235" t="str">
        <f>Controle!Q758</f>
        <v/>
      </c>
      <c r="R758" s="286" t="str">
        <f>Controle!R758</f>
        <v/>
      </c>
      <c r="S758" s="286"/>
      <c r="T758" s="286"/>
      <c r="U758" s="286"/>
      <c r="V758" s="286"/>
      <c r="W758" s="286"/>
      <c r="X758" s="286"/>
      <c r="Y758" s="286"/>
      <c r="Z758" s="286"/>
      <c r="AA758" s="294"/>
      <c r="AB758" s="253"/>
      <c r="AC758" s="253"/>
      <c r="AD758" s="253"/>
      <c r="AE758" s="253"/>
      <c r="AF758" s="253"/>
      <c r="AG758" s="253"/>
      <c r="AH758" s="253"/>
      <c r="AI758" s="253"/>
      <c r="AJ758" s="253"/>
      <c r="AK758" s="253"/>
      <c r="AL758" s="253"/>
      <c r="AM758" s="253"/>
      <c r="AN758" s="253"/>
      <c r="AO758" s="253"/>
      <c r="AP758" s="253"/>
      <c r="AQ758" s="253"/>
      <c r="AR758" s="253"/>
      <c r="AS758" s="253"/>
      <c r="AT758" s="2"/>
      <c r="AU758" s="2"/>
      <c r="AV758" s="2"/>
      <c r="AW758" s="2"/>
      <c r="AX758" s="2"/>
      <c r="AY758" s="253"/>
    </row>
    <row r="759" ht="15.75" customHeight="1">
      <c r="A759" s="2"/>
      <c r="B759" s="288" t="str">
        <f>Controle!B759</f>
        <v/>
      </c>
      <c r="C759" s="233" t="str">
        <f>Controle!C759</f>
        <v/>
      </c>
      <c r="D759" s="289" t="str">
        <f>Controle!D759</f>
        <v/>
      </c>
      <c r="E759" s="290"/>
      <c r="F759" s="291" t="str">
        <f>Controle!F759</f>
        <v/>
      </c>
      <c r="G759" s="289" t="str">
        <f>Controle!G759</f>
        <v/>
      </c>
      <c r="H759" s="290"/>
      <c r="I759" s="291" t="str">
        <f>Controle!I759</f>
        <v/>
      </c>
      <c r="J759" s="233" t="str">
        <f>Controle!J759</f>
        <v/>
      </c>
      <c r="K759" s="292"/>
      <c r="L759" s="233" t="str">
        <f>Controle!L759</f>
        <v/>
      </c>
      <c r="M759" s="233" t="str">
        <f>Controle!M759</f>
        <v/>
      </c>
      <c r="N759" s="235" t="str">
        <f>Controle!N759</f>
        <v/>
      </c>
      <c r="O759" s="235" t="str">
        <f>Controle!O759</f>
        <v/>
      </c>
      <c r="P759" s="235" t="str">
        <f>Controle!P759</f>
        <v/>
      </c>
      <c r="Q759" s="235" t="str">
        <f>Controle!Q759</f>
        <v/>
      </c>
      <c r="R759" s="286" t="str">
        <f>Controle!R759</f>
        <v/>
      </c>
      <c r="S759" s="286"/>
      <c r="T759" s="286"/>
      <c r="U759" s="286"/>
      <c r="V759" s="286"/>
      <c r="W759" s="286"/>
      <c r="X759" s="286"/>
      <c r="Y759" s="286"/>
      <c r="Z759" s="286"/>
      <c r="AA759" s="294"/>
      <c r="AB759" s="253"/>
      <c r="AC759" s="253"/>
      <c r="AD759" s="253"/>
      <c r="AE759" s="253"/>
      <c r="AF759" s="253"/>
      <c r="AG759" s="253"/>
      <c r="AH759" s="253"/>
      <c r="AI759" s="253"/>
      <c r="AJ759" s="253"/>
      <c r="AK759" s="253"/>
      <c r="AL759" s="253"/>
      <c r="AM759" s="253"/>
      <c r="AN759" s="253"/>
      <c r="AO759" s="253"/>
      <c r="AP759" s="253"/>
      <c r="AQ759" s="253"/>
      <c r="AR759" s="253"/>
      <c r="AS759" s="253"/>
      <c r="AT759" s="2"/>
      <c r="AU759" s="2"/>
      <c r="AV759" s="2"/>
      <c r="AW759" s="2"/>
      <c r="AX759" s="2"/>
      <c r="AY759" s="253"/>
    </row>
    <row r="760" ht="15.75" customHeight="1">
      <c r="A760" s="2"/>
      <c r="B760" s="288" t="str">
        <f>Controle!B760</f>
        <v/>
      </c>
      <c r="C760" s="233" t="str">
        <f>Controle!C760</f>
        <v/>
      </c>
      <c r="D760" s="289" t="str">
        <f>Controle!D760</f>
        <v/>
      </c>
      <c r="E760" s="290"/>
      <c r="F760" s="291" t="str">
        <f>Controle!F760</f>
        <v/>
      </c>
      <c r="G760" s="289" t="str">
        <f>Controle!G760</f>
        <v/>
      </c>
      <c r="H760" s="290"/>
      <c r="I760" s="291" t="str">
        <f>Controle!I760</f>
        <v/>
      </c>
      <c r="J760" s="233" t="str">
        <f>Controle!J760</f>
        <v/>
      </c>
      <c r="K760" s="292"/>
      <c r="L760" s="233" t="str">
        <f>Controle!L760</f>
        <v/>
      </c>
      <c r="M760" s="233" t="str">
        <f>Controle!M760</f>
        <v/>
      </c>
      <c r="N760" s="235" t="str">
        <f>Controle!N760</f>
        <v/>
      </c>
      <c r="O760" s="235" t="str">
        <f>Controle!O760</f>
        <v/>
      </c>
      <c r="P760" s="235" t="str">
        <f>Controle!P760</f>
        <v/>
      </c>
      <c r="Q760" s="235" t="str">
        <f>Controle!Q760</f>
        <v/>
      </c>
      <c r="R760" s="286" t="str">
        <f>Controle!R760</f>
        <v/>
      </c>
      <c r="S760" s="286"/>
      <c r="T760" s="286"/>
      <c r="U760" s="286"/>
      <c r="V760" s="286"/>
      <c r="W760" s="286"/>
      <c r="X760" s="286"/>
      <c r="Y760" s="286"/>
      <c r="Z760" s="286"/>
      <c r="AA760" s="294"/>
      <c r="AB760" s="253"/>
      <c r="AC760" s="253"/>
      <c r="AD760" s="253"/>
      <c r="AE760" s="253"/>
      <c r="AF760" s="253"/>
      <c r="AG760" s="253"/>
      <c r="AH760" s="253"/>
      <c r="AI760" s="253"/>
      <c r="AJ760" s="253"/>
      <c r="AK760" s="253"/>
      <c r="AL760" s="253"/>
      <c r="AM760" s="253"/>
      <c r="AN760" s="253"/>
      <c r="AO760" s="253"/>
      <c r="AP760" s="253"/>
      <c r="AQ760" s="253"/>
      <c r="AR760" s="253"/>
      <c r="AS760" s="253"/>
      <c r="AT760" s="2"/>
      <c r="AU760" s="2"/>
      <c r="AV760" s="2"/>
      <c r="AW760" s="2"/>
      <c r="AX760" s="2"/>
      <c r="AY760" s="253"/>
    </row>
    <row r="761" ht="15.75" customHeight="1">
      <c r="A761" s="2"/>
      <c r="B761" s="288" t="str">
        <f>Controle!B761</f>
        <v/>
      </c>
      <c r="C761" s="233" t="str">
        <f>Controle!C761</f>
        <v/>
      </c>
      <c r="D761" s="289" t="str">
        <f>Controle!D761</f>
        <v/>
      </c>
      <c r="E761" s="290"/>
      <c r="F761" s="291" t="str">
        <f>Controle!F761</f>
        <v/>
      </c>
      <c r="G761" s="289" t="str">
        <f>Controle!G761</f>
        <v/>
      </c>
      <c r="H761" s="290"/>
      <c r="I761" s="291" t="str">
        <f>Controle!I761</f>
        <v/>
      </c>
      <c r="J761" s="233" t="str">
        <f>Controle!J761</f>
        <v/>
      </c>
      <c r="K761" s="292"/>
      <c r="L761" s="233" t="str">
        <f>Controle!L761</f>
        <v/>
      </c>
      <c r="M761" s="233" t="str">
        <f>Controle!M761</f>
        <v/>
      </c>
      <c r="N761" s="235" t="str">
        <f>Controle!N761</f>
        <v/>
      </c>
      <c r="O761" s="235" t="str">
        <f>Controle!O761</f>
        <v/>
      </c>
      <c r="P761" s="235" t="str">
        <f>Controle!P761</f>
        <v/>
      </c>
      <c r="Q761" s="235" t="str">
        <f>Controle!Q761</f>
        <v/>
      </c>
      <c r="R761" s="286" t="str">
        <f>Controle!R761</f>
        <v/>
      </c>
      <c r="S761" s="286"/>
      <c r="T761" s="286"/>
      <c r="U761" s="286"/>
      <c r="V761" s="286"/>
      <c r="W761" s="286"/>
      <c r="X761" s="286"/>
      <c r="Y761" s="286"/>
      <c r="Z761" s="286"/>
      <c r="AA761" s="294"/>
      <c r="AB761" s="253"/>
      <c r="AC761" s="253"/>
      <c r="AD761" s="253"/>
      <c r="AE761" s="253"/>
      <c r="AF761" s="253"/>
      <c r="AG761" s="253"/>
      <c r="AH761" s="253"/>
      <c r="AI761" s="253"/>
      <c r="AJ761" s="253"/>
      <c r="AK761" s="253"/>
      <c r="AL761" s="253"/>
      <c r="AM761" s="253"/>
      <c r="AN761" s="253"/>
      <c r="AO761" s="253"/>
      <c r="AP761" s="253"/>
      <c r="AQ761" s="253"/>
      <c r="AR761" s="253"/>
      <c r="AS761" s="253"/>
      <c r="AT761" s="2"/>
      <c r="AU761" s="2"/>
      <c r="AV761" s="2"/>
      <c r="AW761" s="2"/>
      <c r="AX761" s="2"/>
      <c r="AY761" s="253"/>
    </row>
    <row r="762" ht="15.75" customHeight="1">
      <c r="A762" s="2"/>
      <c r="B762" s="288" t="str">
        <f>Controle!B762</f>
        <v/>
      </c>
      <c r="C762" s="233" t="str">
        <f>Controle!C762</f>
        <v/>
      </c>
      <c r="D762" s="289" t="str">
        <f>Controle!D762</f>
        <v/>
      </c>
      <c r="E762" s="290"/>
      <c r="F762" s="291" t="str">
        <f>Controle!F762</f>
        <v/>
      </c>
      <c r="G762" s="289" t="str">
        <f>Controle!G762</f>
        <v/>
      </c>
      <c r="H762" s="290"/>
      <c r="I762" s="291" t="str">
        <f>Controle!I762</f>
        <v/>
      </c>
      <c r="J762" s="233" t="str">
        <f>Controle!J762</f>
        <v/>
      </c>
      <c r="K762" s="292"/>
      <c r="L762" s="233" t="str">
        <f>Controle!L762</f>
        <v/>
      </c>
      <c r="M762" s="233" t="str">
        <f>Controle!M762</f>
        <v/>
      </c>
      <c r="N762" s="235" t="str">
        <f>Controle!N762</f>
        <v/>
      </c>
      <c r="O762" s="235" t="str">
        <f>Controle!O762</f>
        <v/>
      </c>
      <c r="P762" s="235" t="str">
        <f>Controle!P762</f>
        <v/>
      </c>
      <c r="Q762" s="235" t="str">
        <f>Controle!Q762</f>
        <v/>
      </c>
      <c r="R762" s="286" t="str">
        <f>Controle!R762</f>
        <v/>
      </c>
      <c r="S762" s="286"/>
      <c r="T762" s="286"/>
      <c r="U762" s="286"/>
      <c r="V762" s="286"/>
      <c r="W762" s="286"/>
      <c r="X762" s="286"/>
      <c r="Y762" s="286"/>
      <c r="Z762" s="286"/>
      <c r="AA762" s="294"/>
      <c r="AB762" s="253"/>
      <c r="AC762" s="253"/>
      <c r="AD762" s="253"/>
      <c r="AE762" s="253"/>
      <c r="AF762" s="253"/>
      <c r="AG762" s="253"/>
      <c r="AH762" s="253"/>
      <c r="AI762" s="253"/>
      <c r="AJ762" s="253"/>
      <c r="AK762" s="253"/>
      <c r="AL762" s="253"/>
      <c r="AM762" s="253"/>
      <c r="AN762" s="253"/>
      <c r="AO762" s="253"/>
      <c r="AP762" s="253"/>
      <c r="AQ762" s="253"/>
      <c r="AR762" s="253"/>
      <c r="AS762" s="253"/>
      <c r="AT762" s="2"/>
      <c r="AU762" s="2"/>
      <c r="AV762" s="2"/>
      <c r="AW762" s="2"/>
      <c r="AX762" s="2"/>
      <c r="AY762" s="253"/>
    </row>
    <row r="763" ht="15.75" customHeight="1">
      <c r="A763" s="2"/>
      <c r="B763" s="288" t="str">
        <f>Controle!B763</f>
        <v/>
      </c>
      <c r="C763" s="233" t="str">
        <f>Controle!C763</f>
        <v/>
      </c>
      <c r="D763" s="289" t="str">
        <f>Controle!D763</f>
        <v/>
      </c>
      <c r="E763" s="290"/>
      <c r="F763" s="291" t="str">
        <f>Controle!F763</f>
        <v/>
      </c>
      <c r="G763" s="289" t="str">
        <f>Controle!G763</f>
        <v/>
      </c>
      <c r="H763" s="290"/>
      <c r="I763" s="291" t="str">
        <f>Controle!I763</f>
        <v/>
      </c>
      <c r="J763" s="233" t="str">
        <f>Controle!J763</f>
        <v/>
      </c>
      <c r="K763" s="292"/>
      <c r="L763" s="233" t="str">
        <f>Controle!L763</f>
        <v/>
      </c>
      <c r="M763" s="233" t="str">
        <f>Controle!M763</f>
        <v/>
      </c>
      <c r="N763" s="235" t="str">
        <f>Controle!N763</f>
        <v/>
      </c>
      <c r="O763" s="235" t="str">
        <f>Controle!O763</f>
        <v/>
      </c>
      <c r="P763" s="235" t="str">
        <f>Controle!P763</f>
        <v/>
      </c>
      <c r="Q763" s="235" t="str">
        <f>Controle!Q763</f>
        <v/>
      </c>
      <c r="R763" s="286" t="str">
        <f>Controle!R763</f>
        <v/>
      </c>
      <c r="S763" s="286"/>
      <c r="T763" s="286"/>
      <c r="U763" s="286"/>
      <c r="V763" s="286"/>
      <c r="W763" s="286"/>
      <c r="X763" s="286"/>
      <c r="Y763" s="286"/>
      <c r="Z763" s="286"/>
      <c r="AA763" s="294"/>
      <c r="AB763" s="253"/>
      <c r="AC763" s="253"/>
      <c r="AD763" s="253"/>
      <c r="AE763" s="253"/>
      <c r="AF763" s="253"/>
      <c r="AG763" s="253"/>
      <c r="AH763" s="253"/>
      <c r="AI763" s="253"/>
      <c r="AJ763" s="253"/>
      <c r="AK763" s="253"/>
      <c r="AL763" s="253"/>
      <c r="AM763" s="253"/>
      <c r="AN763" s="253"/>
      <c r="AO763" s="253"/>
      <c r="AP763" s="253"/>
      <c r="AQ763" s="253"/>
      <c r="AR763" s="253"/>
      <c r="AS763" s="253"/>
      <c r="AT763" s="2"/>
      <c r="AU763" s="2"/>
      <c r="AV763" s="2"/>
      <c r="AW763" s="2"/>
      <c r="AX763" s="2"/>
      <c r="AY763" s="253"/>
    </row>
    <row r="764" ht="15.75" customHeight="1">
      <c r="A764" s="2"/>
      <c r="B764" s="288" t="str">
        <f>Controle!B764</f>
        <v/>
      </c>
      <c r="C764" s="233" t="str">
        <f>Controle!C764</f>
        <v/>
      </c>
      <c r="D764" s="289" t="str">
        <f>Controle!D764</f>
        <v/>
      </c>
      <c r="E764" s="290"/>
      <c r="F764" s="291" t="str">
        <f>Controle!F764</f>
        <v/>
      </c>
      <c r="G764" s="289" t="str">
        <f>Controle!G764</f>
        <v/>
      </c>
      <c r="H764" s="290"/>
      <c r="I764" s="291" t="str">
        <f>Controle!I764</f>
        <v/>
      </c>
      <c r="J764" s="233" t="str">
        <f>Controle!J764</f>
        <v/>
      </c>
      <c r="K764" s="292"/>
      <c r="L764" s="233" t="str">
        <f>Controle!L764</f>
        <v/>
      </c>
      <c r="M764" s="233" t="str">
        <f>Controle!M764</f>
        <v/>
      </c>
      <c r="N764" s="235" t="str">
        <f>Controle!N764</f>
        <v/>
      </c>
      <c r="O764" s="235" t="str">
        <f>Controle!O764</f>
        <v/>
      </c>
      <c r="P764" s="235" t="str">
        <f>Controle!P764</f>
        <v/>
      </c>
      <c r="Q764" s="235" t="str">
        <f>Controle!Q764</f>
        <v/>
      </c>
      <c r="R764" s="286" t="str">
        <f>Controle!R764</f>
        <v/>
      </c>
      <c r="S764" s="286"/>
      <c r="T764" s="286"/>
      <c r="U764" s="286"/>
      <c r="V764" s="286"/>
      <c r="W764" s="286"/>
      <c r="X764" s="286"/>
      <c r="Y764" s="286"/>
      <c r="Z764" s="286"/>
      <c r="AA764" s="294"/>
      <c r="AB764" s="253"/>
      <c r="AC764" s="253"/>
      <c r="AD764" s="253"/>
      <c r="AE764" s="253"/>
      <c r="AF764" s="253"/>
      <c r="AG764" s="253"/>
      <c r="AH764" s="253"/>
      <c r="AI764" s="253"/>
      <c r="AJ764" s="253"/>
      <c r="AK764" s="253"/>
      <c r="AL764" s="253"/>
      <c r="AM764" s="253"/>
      <c r="AN764" s="253"/>
      <c r="AO764" s="253"/>
      <c r="AP764" s="253"/>
      <c r="AQ764" s="253"/>
      <c r="AR764" s="253"/>
      <c r="AS764" s="253"/>
      <c r="AT764" s="2"/>
      <c r="AU764" s="2"/>
      <c r="AV764" s="2"/>
      <c r="AW764" s="2"/>
      <c r="AX764" s="2"/>
      <c r="AY764" s="253"/>
    </row>
    <row r="765" ht="15.75" customHeight="1">
      <c r="A765" s="2"/>
      <c r="B765" s="288" t="str">
        <f>Controle!B765</f>
        <v/>
      </c>
      <c r="C765" s="233" t="str">
        <f>Controle!C765</f>
        <v/>
      </c>
      <c r="D765" s="289" t="str">
        <f>Controle!D765</f>
        <v/>
      </c>
      <c r="E765" s="290"/>
      <c r="F765" s="291" t="str">
        <f>Controle!F765</f>
        <v/>
      </c>
      <c r="G765" s="289" t="str">
        <f>Controle!G765</f>
        <v/>
      </c>
      <c r="H765" s="290"/>
      <c r="I765" s="291" t="str">
        <f>Controle!I765</f>
        <v/>
      </c>
      <c r="J765" s="233" t="str">
        <f>Controle!J765</f>
        <v/>
      </c>
      <c r="K765" s="292"/>
      <c r="L765" s="233" t="str">
        <f>Controle!L765</f>
        <v/>
      </c>
      <c r="M765" s="233" t="str">
        <f>Controle!M765</f>
        <v/>
      </c>
      <c r="N765" s="235" t="str">
        <f>Controle!N765</f>
        <v/>
      </c>
      <c r="O765" s="235" t="str">
        <f>Controle!O765</f>
        <v/>
      </c>
      <c r="P765" s="235" t="str">
        <f>Controle!P765</f>
        <v/>
      </c>
      <c r="Q765" s="235" t="str">
        <f>Controle!Q765</f>
        <v/>
      </c>
      <c r="R765" s="286" t="str">
        <f>Controle!R765</f>
        <v/>
      </c>
      <c r="S765" s="286"/>
      <c r="T765" s="286"/>
      <c r="U765" s="286"/>
      <c r="V765" s="286"/>
      <c r="W765" s="286"/>
      <c r="X765" s="286"/>
      <c r="Y765" s="286"/>
      <c r="Z765" s="286"/>
      <c r="AA765" s="294"/>
      <c r="AB765" s="253"/>
      <c r="AC765" s="253"/>
      <c r="AD765" s="253"/>
      <c r="AE765" s="253"/>
      <c r="AF765" s="253"/>
      <c r="AG765" s="253"/>
      <c r="AH765" s="253"/>
      <c r="AI765" s="253"/>
      <c r="AJ765" s="253"/>
      <c r="AK765" s="253"/>
      <c r="AL765" s="253"/>
      <c r="AM765" s="253"/>
      <c r="AN765" s="253"/>
      <c r="AO765" s="253"/>
      <c r="AP765" s="253"/>
      <c r="AQ765" s="253"/>
      <c r="AR765" s="253"/>
      <c r="AS765" s="253"/>
      <c r="AT765" s="2"/>
      <c r="AU765" s="2"/>
      <c r="AV765" s="2"/>
      <c r="AW765" s="2"/>
      <c r="AX765" s="2"/>
      <c r="AY765" s="253"/>
    </row>
    <row r="766" ht="15.75" customHeight="1">
      <c r="A766" s="2"/>
      <c r="B766" s="288" t="str">
        <f>Controle!B766</f>
        <v/>
      </c>
      <c r="C766" s="233" t="str">
        <f>Controle!C766</f>
        <v/>
      </c>
      <c r="D766" s="289" t="str">
        <f>Controle!D766</f>
        <v/>
      </c>
      <c r="E766" s="290"/>
      <c r="F766" s="291" t="str">
        <f>Controle!F766</f>
        <v/>
      </c>
      <c r="G766" s="289" t="str">
        <f>Controle!G766</f>
        <v/>
      </c>
      <c r="H766" s="290"/>
      <c r="I766" s="291" t="str">
        <f>Controle!I766</f>
        <v/>
      </c>
      <c r="J766" s="233" t="str">
        <f>Controle!J766</f>
        <v/>
      </c>
      <c r="K766" s="292"/>
      <c r="L766" s="233" t="str">
        <f>Controle!L766</f>
        <v/>
      </c>
      <c r="M766" s="233" t="str">
        <f>Controle!M766</f>
        <v/>
      </c>
      <c r="N766" s="235" t="str">
        <f>Controle!N766</f>
        <v/>
      </c>
      <c r="O766" s="235" t="str">
        <f>Controle!O766</f>
        <v/>
      </c>
      <c r="P766" s="235" t="str">
        <f>Controle!P766</f>
        <v/>
      </c>
      <c r="Q766" s="235" t="str">
        <f>Controle!Q766</f>
        <v/>
      </c>
      <c r="R766" s="286" t="str">
        <f>Controle!R766</f>
        <v/>
      </c>
      <c r="S766" s="286"/>
      <c r="T766" s="286"/>
      <c r="U766" s="286"/>
      <c r="V766" s="286"/>
      <c r="W766" s="286"/>
      <c r="X766" s="286"/>
      <c r="Y766" s="286"/>
      <c r="Z766" s="286"/>
      <c r="AA766" s="294"/>
      <c r="AB766" s="253"/>
      <c r="AC766" s="253"/>
      <c r="AD766" s="253"/>
      <c r="AE766" s="253"/>
      <c r="AF766" s="253"/>
      <c r="AG766" s="253"/>
      <c r="AH766" s="253"/>
      <c r="AI766" s="253"/>
      <c r="AJ766" s="253"/>
      <c r="AK766" s="253"/>
      <c r="AL766" s="253"/>
      <c r="AM766" s="253"/>
      <c r="AN766" s="253"/>
      <c r="AO766" s="253"/>
      <c r="AP766" s="253"/>
      <c r="AQ766" s="253"/>
      <c r="AR766" s="253"/>
      <c r="AS766" s="253"/>
      <c r="AT766" s="2"/>
      <c r="AU766" s="2"/>
      <c r="AV766" s="2"/>
      <c r="AW766" s="2"/>
      <c r="AX766" s="2"/>
      <c r="AY766" s="253"/>
    </row>
    <row r="767" ht="15.75" customHeight="1">
      <c r="A767" s="2"/>
      <c r="B767" s="288" t="str">
        <f>Controle!B767</f>
        <v/>
      </c>
      <c r="C767" s="233" t="str">
        <f>Controle!C767</f>
        <v/>
      </c>
      <c r="D767" s="289" t="str">
        <f>Controle!D767</f>
        <v/>
      </c>
      <c r="E767" s="290"/>
      <c r="F767" s="291" t="str">
        <f>Controle!F767</f>
        <v/>
      </c>
      <c r="G767" s="289" t="str">
        <f>Controle!G767</f>
        <v/>
      </c>
      <c r="H767" s="290"/>
      <c r="I767" s="291" t="str">
        <f>Controle!I767</f>
        <v/>
      </c>
      <c r="J767" s="233" t="str">
        <f>Controle!J767</f>
        <v/>
      </c>
      <c r="K767" s="292"/>
      <c r="L767" s="233" t="str">
        <f>Controle!L767</f>
        <v/>
      </c>
      <c r="M767" s="233" t="str">
        <f>Controle!M767</f>
        <v/>
      </c>
      <c r="N767" s="235" t="str">
        <f>Controle!N767</f>
        <v/>
      </c>
      <c r="O767" s="235" t="str">
        <f>Controle!O767</f>
        <v/>
      </c>
      <c r="P767" s="235" t="str">
        <f>Controle!P767</f>
        <v/>
      </c>
      <c r="Q767" s="235" t="str">
        <f>Controle!Q767</f>
        <v/>
      </c>
      <c r="R767" s="286" t="str">
        <f>Controle!R767</f>
        <v/>
      </c>
      <c r="S767" s="286"/>
      <c r="T767" s="286"/>
      <c r="U767" s="286"/>
      <c r="V767" s="286"/>
      <c r="W767" s="286"/>
      <c r="X767" s="286"/>
      <c r="Y767" s="286"/>
      <c r="Z767" s="286"/>
      <c r="AA767" s="294"/>
      <c r="AB767" s="253"/>
      <c r="AC767" s="253"/>
      <c r="AD767" s="253"/>
      <c r="AE767" s="253"/>
      <c r="AF767" s="253"/>
      <c r="AG767" s="253"/>
      <c r="AH767" s="253"/>
      <c r="AI767" s="253"/>
      <c r="AJ767" s="253"/>
      <c r="AK767" s="253"/>
      <c r="AL767" s="253"/>
      <c r="AM767" s="253"/>
      <c r="AN767" s="253"/>
      <c r="AO767" s="253"/>
      <c r="AP767" s="253"/>
      <c r="AQ767" s="253"/>
      <c r="AR767" s="253"/>
      <c r="AS767" s="253"/>
      <c r="AT767" s="2"/>
      <c r="AU767" s="2"/>
      <c r="AV767" s="2"/>
      <c r="AW767" s="2"/>
      <c r="AX767" s="2"/>
      <c r="AY767" s="253"/>
    </row>
    <row r="768" ht="15.75" customHeight="1">
      <c r="A768" s="2"/>
      <c r="B768" s="288" t="str">
        <f>Controle!B768</f>
        <v/>
      </c>
      <c r="C768" s="233" t="str">
        <f>Controle!C768</f>
        <v/>
      </c>
      <c r="D768" s="289" t="str">
        <f>Controle!D768</f>
        <v/>
      </c>
      <c r="E768" s="290"/>
      <c r="F768" s="291" t="str">
        <f>Controle!F768</f>
        <v/>
      </c>
      <c r="G768" s="289" t="str">
        <f>Controle!G768</f>
        <v/>
      </c>
      <c r="H768" s="290"/>
      <c r="I768" s="291" t="str">
        <f>Controle!I768</f>
        <v/>
      </c>
      <c r="J768" s="233" t="str">
        <f>Controle!J768</f>
        <v/>
      </c>
      <c r="K768" s="292"/>
      <c r="L768" s="233" t="str">
        <f>Controle!L768</f>
        <v/>
      </c>
      <c r="M768" s="233" t="str">
        <f>Controle!M768</f>
        <v/>
      </c>
      <c r="N768" s="235" t="str">
        <f>Controle!N768</f>
        <v/>
      </c>
      <c r="O768" s="235" t="str">
        <f>Controle!O768</f>
        <v/>
      </c>
      <c r="P768" s="235" t="str">
        <f>Controle!P768</f>
        <v/>
      </c>
      <c r="Q768" s="235" t="str">
        <f>Controle!Q768</f>
        <v/>
      </c>
      <c r="R768" s="286" t="str">
        <f>Controle!R768</f>
        <v/>
      </c>
      <c r="S768" s="286"/>
      <c r="T768" s="286"/>
      <c r="U768" s="286"/>
      <c r="V768" s="286"/>
      <c r="W768" s="286"/>
      <c r="X768" s="286"/>
      <c r="Y768" s="286"/>
      <c r="Z768" s="286"/>
      <c r="AA768" s="294"/>
      <c r="AB768" s="253"/>
      <c r="AC768" s="253"/>
      <c r="AD768" s="253"/>
      <c r="AE768" s="253"/>
      <c r="AF768" s="253"/>
      <c r="AG768" s="253"/>
      <c r="AH768" s="253"/>
      <c r="AI768" s="253"/>
      <c r="AJ768" s="253"/>
      <c r="AK768" s="253"/>
      <c r="AL768" s="253"/>
      <c r="AM768" s="253"/>
      <c r="AN768" s="253"/>
      <c r="AO768" s="253"/>
      <c r="AP768" s="253"/>
      <c r="AQ768" s="253"/>
      <c r="AR768" s="253"/>
      <c r="AS768" s="253"/>
      <c r="AT768" s="2"/>
      <c r="AU768" s="2"/>
      <c r="AV768" s="2"/>
      <c r="AW768" s="2"/>
      <c r="AX768" s="2"/>
      <c r="AY768" s="253"/>
    </row>
    <row r="769" ht="15.75" customHeight="1">
      <c r="A769" s="2"/>
      <c r="B769" s="288" t="str">
        <f>Controle!B769</f>
        <v/>
      </c>
      <c r="C769" s="233" t="str">
        <f>Controle!C769</f>
        <v/>
      </c>
      <c r="D769" s="289" t="str">
        <f>Controle!D769</f>
        <v/>
      </c>
      <c r="E769" s="290"/>
      <c r="F769" s="291" t="str">
        <f>Controle!F769</f>
        <v/>
      </c>
      <c r="G769" s="289" t="str">
        <f>Controle!G769</f>
        <v/>
      </c>
      <c r="H769" s="290"/>
      <c r="I769" s="291" t="str">
        <f>Controle!I769</f>
        <v/>
      </c>
      <c r="J769" s="233" t="str">
        <f>Controle!J769</f>
        <v/>
      </c>
      <c r="K769" s="292"/>
      <c r="L769" s="233" t="str">
        <f>Controle!L769</f>
        <v/>
      </c>
      <c r="M769" s="233" t="str">
        <f>Controle!M769</f>
        <v/>
      </c>
      <c r="N769" s="235" t="str">
        <f>Controle!N769</f>
        <v/>
      </c>
      <c r="O769" s="235" t="str">
        <f>Controle!O769</f>
        <v/>
      </c>
      <c r="P769" s="235" t="str">
        <f>Controle!P769</f>
        <v/>
      </c>
      <c r="Q769" s="235" t="str">
        <f>Controle!Q769</f>
        <v/>
      </c>
      <c r="R769" s="286" t="str">
        <f>Controle!R769</f>
        <v/>
      </c>
      <c r="S769" s="286"/>
      <c r="T769" s="286"/>
      <c r="U769" s="286"/>
      <c r="V769" s="286"/>
      <c r="W769" s="286"/>
      <c r="X769" s="286"/>
      <c r="Y769" s="286"/>
      <c r="Z769" s="286"/>
      <c r="AA769" s="294"/>
      <c r="AB769" s="253"/>
      <c r="AC769" s="253"/>
      <c r="AD769" s="253"/>
      <c r="AE769" s="253"/>
      <c r="AF769" s="253"/>
      <c r="AG769" s="253"/>
      <c r="AH769" s="253"/>
      <c r="AI769" s="253"/>
      <c r="AJ769" s="253"/>
      <c r="AK769" s="253"/>
      <c r="AL769" s="253"/>
      <c r="AM769" s="253"/>
      <c r="AN769" s="253"/>
      <c r="AO769" s="253"/>
      <c r="AP769" s="253"/>
      <c r="AQ769" s="253"/>
      <c r="AR769" s="253"/>
      <c r="AS769" s="253"/>
      <c r="AT769" s="2"/>
      <c r="AU769" s="2"/>
      <c r="AV769" s="2"/>
      <c r="AW769" s="2"/>
      <c r="AX769" s="2"/>
      <c r="AY769" s="253"/>
    </row>
    <row r="770" ht="15.75" customHeight="1">
      <c r="A770" s="2"/>
      <c r="B770" s="288" t="str">
        <f>Controle!B770</f>
        <v/>
      </c>
      <c r="C770" s="233" t="str">
        <f>Controle!C770</f>
        <v/>
      </c>
      <c r="D770" s="289" t="str">
        <f>Controle!D770</f>
        <v/>
      </c>
      <c r="E770" s="290"/>
      <c r="F770" s="291" t="str">
        <f>Controle!F770</f>
        <v/>
      </c>
      <c r="G770" s="289" t="str">
        <f>Controle!G770</f>
        <v/>
      </c>
      <c r="H770" s="290"/>
      <c r="I770" s="291" t="str">
        <f>Controle!I770</f>
        <v/>
      </c>
      <c r="J770" s="233" t="str">
        <f>Controle!J770</f>
        <v/>
      </c>
      <c r="K770" s="292"/>
      <c r="L770" s="233" t="str">
        <f>Controle!L770</f>
        <v/>
      </c>
      <c r="M770" s="233" t="str">
        <f>Controle!M770</f>
        <v/>
      </c>
      <c r="N770" s="235" t="str">
        <f>Controle!N770</f>
        <v/>
      </c>
      <c r="O770" s="235" t="str">
        <f>Controle!O770</f>
        <v/>
      </c>
      <c r="P770" s="235" t="str">
        <f>Controle!P770</f>
        <v/>
      </c>
      <c r="Q770" s="235" t="str">
        <f>Controle!Q770</f>
        <v/>
      </c>
      <c r="R770" s="286" t="str">
        <f>Controle!R770</f>
        <v/>
      </c>
      <c r="S770" s="286"/>
      <c r="T770" s="286"/>
      <c r="U770" s="286"/>
      <c r="V770" s="286"/>
      <c r="W770" s="286"/>
      <c r="X770" s="286"/>
      <c r="Y770" s="286"/>
      <c r="Z770" s="286"/>
      <c r="AA770" s="294"/>
      <c r="AB770" s="253"/>
      <c r="AC770" s="253"/>
      <c r="AD770" s="253"/>
      <c r="AE770" s="253"/>
      <c r="AF770" s="253"/>
      <c r="AG770" s="253"/>
      <c r="AH770" s="253"/>
      <c r="AI770" s="253"/>
      <c r="AJ770" s="253"/>
      <c r="AK770" s="253"/>
      <c r="AL770" s="253"/>
      <c r="AM770" s="253"/>
      <c r="AN770" s="253"/>
      <c r="AO770" s="253"/>
      <c r="AP770" s="253"/>
      <c r="AQ770" s="253"/>
      <c r="AR770" s="253"/>
      <c r="AS770" s="253"/>
      <c r="AT770" s="2"/>
      <c r="AU770" s="2"/>
      <c r="AV770" s="2"/>
      <c r="AW770" s="2"/>
      <c r="AX770" s="2"/>
      <c r="AY770" s="253"/>
    </row>
    <row r="771" ht="15.75" customHeight="1">
      <c r="A771" s="2"/>
      <c r="B771" s="288" t="str">
        <f>Controle!B771</f>
        <v/>
      </c>
      <c r="C771" s="233" t="str">
        <f>Controle!C771</f>
        <v/>
      </c>
      <c r="D771" s="289" t="str">
        <f>Controle!D771</f>
        <v/>
      </c>
      <c r="E771" s="290"/>
      <c r="F771" s="291" t="str">
        <f>Controle!F771</f>
        <v/>
      </c>
      <c r="G771" s="289" t="str">
        <f>Controle!G771</f>
        <v/>
      </c>
      <c r="H771" s="290"/>
      <c r="I771" s="291" t="str">
        <f>Controle!I771</f>
        <v/>
      </c>
      <c r="J771" s="233" t="str">
        <f>Controle!J771</f>
        <v/>
      </c>
      <c r="K771" s="292"/>
      <c r="L771" s="233" t="str">
        <f>Controle!L771</f>
        <v/>
      </c>
      <c r="M771" s="233" t="str">
        <f>Controle!M771</f>
        <v/>
      </c>
      <c r="N771" s="235" t="str">
        <f>Controle!N771</f>
        <v/>
      </c>
      <c r="O771" s="235" t="str">
        <f>Controle!O771</f>
        <v/>
      </c>
      <c r="P771" s="235" t="str">
        <f>Controle!P771</f>
        <v/>
      </c>
      <c r="Q771" s="235" t="str">
        <f>Controle!Q771</f>
        <v/>
      </c>
      <c r="R771" s="286" t="str">
        <f>Controle!R771</f>
        <v/>
      </c>
      <c r="S771" s="286"/>
      <c r="T771" s="286"/>
      <c r="U771" s="286"/>
      <c r="V771" s="286"/>
      <c r="W771" s="286"/>
      <c r="X771" s="286"/>
      <c r="Y771" s="286"/>
      <c r="Z771" s="286"/>
      <c r="AA771" s="294"/>
      <c r="AB771" s="253"/>
      <c r="AC771" s="253"/>
      <c r="AD771" s="253"/>
      <c r="AE771" s="253"/>
      <c r="AF771" s="253"/>
      <c r="AG771" s="253"/>
      <c r="AH771" s="253"/>
      <c r="AI771" s="253"/>
      <c r="AJ771" s="253"/>
      <c r="AK771" s="253"/>
      <c r="AL771" s="253"/>
      <c r="AM771" s="253"/>
      <c r="AN771" s="253"/>
      <c r="AO771" s="253"/>
      <c r="AP771" s="253"/>
      <c r="AQ771" s="253"/>
      <c r="AR771" s="253"/>
      <c r="AS771" s="253"/>
      <c r="AT771" s="2"/>
      <c r="AU771" s="2"/>
      <c r="AV771" s="2"/>
      <c r="AW771" s="2"/>
      <c r="AX771" s="2"/>
      <c r="AY771" s="253"/>
    </row>
    <row r="772" ht="15.75" customHeight="1">
      <c r="A772" s="2"/>
      <c r="B772" s="288" t="str">
        <f>Controle!B772</f>
        <v/>
      </c>
      <c r="C772" s="233" t="str">
        <f>Controle!C772</f>
        <v/>
      </c>
      <c r="D772" s="289" t="str">
        <f>Controle!D772</f>
        <v/>
      </c>
      <c r="E772" s="290"/>
      <c r="F772" s="291" t="str">
        <f>Controle!F772</f>
        <v/>
      </c>
      <c r="G772" s="289" t="str">
        <f>Controle!G772</f>
        <v/>
      </c>
      <c r="H772" s="290"/>
      <c r="I772" s="291" t="str">
        <f>Controle!I772</f>
        <v/>
      </c>
      <c r="J772" s="233" t="str">
        <f>Controle!J772</f>
        <v/>
      </c>
      <c r="K772" s="292"/>
      <c r="L772" s="233" t="str">
        <f>Controle!L772</f>
        <v/>
      </c>
      <c r="M772" s="233" t="str">
        <f>Controle!M772</f>
        <v/>
      </c>
      <c r="N772" s="235" t="str">
        <f>Controle!N772</f>
        <v/>
      </c>
      <c r="O772" s="235" t="str">
        <f>Controle!O772</f>
        <v/>
      </c>
      <c r="P772" s="235" t="str">
        <f>Controle!P772</f>
        <v/>
      </c>
      <c r="Q772" s="235" t="str">
        <f>Controle!Q772</f>
        <v/>
      </c>
      <c r="R772" s="286" t="str">
        <f>Controle!R772</f>
        <v/>
      </c>
      <c r="S772" s="286"/>
      <c r="T772" s="286"/>
      <c r="U772" s="286"/>
      <c r="V772" s="286"/>
      <c r="W772" s="286"/>
      <c r="X772" s="286"/>
      <c r="Y772" s="286"/>
      <c r="Z772" s="286"/>
      <c r="AA772" s="294"/>
      <c r="AB772" s="253"/>
      <c r="AC772" s="253"/>
      <c r="AD772" s="253"/>
      <c r="AE772" s="253"/>
      <c r="AF772" s="253"/>
      <c r="AG772" s="253"/>
      <c r="AH772" s="253"/>
      <c r="AI772" s="253"/>
      <c r="AJ772" s="253"/>
      <c r="AK772" s="253"/>
      <c r="AL772" s="253"/>
      <c r="AM772" s="253"/>
      <c r="AN772" s="253"/>
      <c r="AO772" s="253"/>
      <c r="AP772" s="253"/>
      <c r="AQ772" s="253"/>
      <c r="AR772" s="253"/>
      <c r="AS772" s="253"/>
      <c r="AT772" s="2"/>
      <c r="AU772" s="2"/>
      <c r="AV772" s="2"/>
      <c r="AW772" s="2"/>
      <c r="AX772" s="2"/>
      <c r="AY772" s="253"/>
    </row>
    <row r="773" ht="15.75" customHeight="1">
      <c r="A773" s="2"/>
      <c r="B773" s="288" t="str">
        <f>Controle!B773</f>
        <v/>
      </c>
      <c r="C773" s="233" t="str">
        <f>Controle!C773</f>
        <v/>
      </c>
      <c r="D773" s="289" t="str">
        <f>Controle!D773</f>
        <v/>
      </c>
      <c r="E773" s="290"/>
      <c r="F773" s="291" t="str">
        <f>Controle!F773</f>
        <v/>
      </c>
      <c r="G773" s="289" t="str">
        <f>Controle!G773</f>
        <v/>
      </c>
      <c r="H773" s="290"/>
      <c r="I773" s="291" t="str">
        <f>Controle!I773</f>
        <v/>
      </c>
      <c r="J773" s="233" t="str">
        <f>Controle!J773</f>
        <v/>
      </c>
      <c r="K773" s="292"/>
      <c r="L773" s="233" t="str">
        <f>Controle!L773</f>
        <v/>
      </c>
      <c r="M773" s="233" t="str">
        <f>Controle!M773</f>
        <v/>
      </c>
      <c r="N773" s="235" t="str">
        <f>Controle!N773</f>
        <v/>
      </c>
      <c r="O773" s="235" t="str">
        <f>Controle!O773</f>
        <v/>
      </c>
      <c r="P773" s="235" t="str">
        <f>Controle!P773</f>
        <v/>
      </c>
      <c r="Q773" s="235" t="str">
        <f>Controle!Q773</f>
        <v/>
      </c>
      <c r="R773" s="286" t="str">
        <f>Controle!R773</f>
        <v/>
      </c>
      <c r="S773" s="286"/>
      <c r="T773" s="286"/>
      <c r="U773" s="286"/>
      <c r="V773" s="286"/>
      <c r="W773" s="286"/>
      <c r="X773" s="286"/>
      <c r="Y773" s="286"/>
      <c r="Z773" s="286"/>
      <c r="AA773" s="294"/>
      <c r="AB773" s="253"/>
      <c r="AC773" s="253"/>
      <c r="AD773" s="253"/>
      <c r="AE773" s="253"/>
      <c r="AF773" s="253"/>
      <c r="AG773" s="253"/>
      <c r="AH773" s="253"/>
      <c r="AI773" s="253"/>
      <c r="AJ773" s="253"/>
      <c r="AK773" s="253"/>
      <c r="AL773" s="253"/>
      <c r="AM773" s="253"/>
      <c r="AN773" s="253"/>
      <c r="AO773" s="253"/>
      <c r="AP773" s="253"/>
      <c r="AQ773" s="253"/>
      <c r="AR773" s="253"/>
      <c r="AS773" s="253"/>
      <c r="AT773" s="2"/>
      <c r="AU773" s="2"/>
      <c r="AV773" s="2"/>
      <c r="AW773" s="2"/>
      <c r="AX773" s="2"/>
      <c r="AY773" s="253"/>
    </row>
    <row r="774" ht="15.75" customHeight="1">
      <c r="A774" s="2"/>
      <c r="B774" s="288" t="str">
        <f>Controle!B774</f>
        <v/>
      </c>
      <c r="C774" s="233" t="str">
        <f>Controle!C774</f>
        <v/>
      </c>
      <c r="D774" s="289" t="str">
        <f>Controle!D774</f>
        <v/>
      </c>
      <c r="E774" s="290"/>
      <c r="F774" s="291" t="str">
        <f>Controle!F774</f>
        <v/>
      </c>
      <c r="G774" s="289" t="str">
        <f>Controle!G774</f>
        <v/>
      </c>
      <c r="H774" s="290"/>
      <c r="I774" s="291" t="str">
        <f>Controle!I774</f>
        <v/>
      </c>
      <c r="J774" s="233" t="str">
        <f>Controle!J774</f>
        <v/>
      </c>
      <c r="K774" s="292"/>
      <c r="L774" s="233" t="str">
        <f>Controle!L774</f>
        <v/>
      </c>
      <c r="M774" s="233" t="str">
        <f>Controle!M774</f>
        <v/>
      </c>
      <c r="N774" s="235" t="str">
        <f>Controle!N774</f>
        <v/>
      </c>
      <c r="O774" s="235" t="str">
        <f>Controle!O774</f>
        <v/>
      </c>
      <c r="P774" s="235" t="str">
        <f>Controle!P774</f>
        <v/>
      </c>
      <c r="Q774" s="235" t="str">
        <f>Controle!Q774</f>
        <v/>
      </c>
      <c r="R774" s="286" t="str">
        <f>Controle!R774</f>
        <v/>
      </c>
      <c r="S774" s="286"/>
      <c r="T774" s="286"/>
      <c r="U774" s="286"/>
      <c r="V774" s="286"/>
      <c r="W774" s="286"/>
      <c r="X774" s="286"/>
      <c r="Y774" s="286"/>
      <c r="Z774" s="286"/>
      <c r="AA774" s="294"/>
      <c r="AB774" s="253"/>
      <c r="AC774" s="253"/>
      <c r="AD774" s="253"/>
      <c r="AE774" s="253"/>
      <c r="AF774" s="253"/>
      <c r="AG774" s="253"/>
      <c r="AH774" s="253"/>
      <c r="AI774" s="253"/>
      <c r="AJ774" s="253"/>
      <c r="AK774" s="253"/>
      <c r="AL774" s="253"/>
      <c r="AM774" s="253"/>
      <c r="AN774" s="253"/>
      <c r="AO774" s="253"/>
      <c r="AP774" s="253"/>
      <c r="AQ774" s="253"/>
      <c r="AR774" s="253"/>
      <c r="AS774" s="253"/>
      <c r="AT774" s="2"/>
      <c r="AU774" s="2"/>
      <c r="AV774" s="2"/>
      <c r="AW774" s="2"/>
      <c r="AX774" s="2"/>
      <c r="AY774" s="253"/>
    </row>
    <row r="775" ht="15.75" customHeight="1">
      <c r="A775" s="2"/>
      <c r="B775" s="288" t="str">
        <f>Controle!B775</f>
        <v/>
      </c>
      <c r="C775" s="233" t="str">
        <f>Controle!C775</f>
        <v/>
      </c>
      <c r="D775" s="289" t="str">
        <f>Controle!D775</f>
        <v/>
      </c>
      <c r="E775" s="290"/>
      <c r="F775" s="291" t="str">
        <f>Controle!F775</f>
        <v/>
      </c>
      <c r="G775" s="289" t="str">
        <f>Controle!G775</f>
        <v/>
      </c>
      <c r="H775" s="290"/>
      <c r="I775" s="291" t="str">
        <f>Controle!I775</f>
        <v/>
      </c>
      <c r="J775" s="233" t="str">
        <f>Controle!J775</f>
        <v/>
      </c>
      <c r="K775" s="292"/>
      <c r="L775" s="233" t="str">
        <f>Controle!L775</f>
        <v/>
      </c>
      <c r="M775" s="233" t="str">
        <f>Controle!M775</f>
        <v/>
      </c>
      <c r="N775" s="235" t="str">
        <f>Controle!N775</f>
        <v/>
      </c>
      <c r="O775" s="235" t="str">
        <f>Controle!O775</f>
        <v/>
      </c>
      <c r="P775" s="235" t="str">
        <f>Controle!P775</f>
        <v/>
      </c>
      <c r="Q775" s="235" t="str">
        <f>Controle!Q775</f>
        <v/>
      </c>
      <c r="R775" s="286" t="str">
        <f>Controle!R775</f>
        <v/>
      </c>
      <c r="S775" s="286"/>
      <c r="T775" s="286"/>
      <c r="U775" s="286"/>
      <c r="V775" s="286"/>
      <c r="W775" s="286"/>
      <c r="X775" s="286"/>
      <c r="Y775" s="286"/>
      <c r="Z775" s="286"/>
      <c r="AA775" s="294"/>
      <c r="AB775" s="253"/>
      <c r="AC775" s="253"/>
      <c r="AD775" s="253"/>
      <c r="AE775" s="253"/>
      <c r="AF775" s="253"/>
      <c r="AG775" s="253"/>
      <c r="AH775" s="253"/>
      <c r="AI775" s="253"/>
      <c r="AJ775" s="253"/>
      <c r="AK775" s="253"/>
      <c r="AL775" s="253"/>
      <c r="AM775" s="253"/>
      <c r="AN775" s="253"/>
      <c r="AO775" s="253"/>
      <c r="AP775" s="253"/>
      <c r="AQ775" s="253"/>
      <c r="AR775" s="253"/>
      <c r="AS775" s="253"/>
      <c r="AT775" s="2"/>
      <c r="AU775" s="2"/>
      <c r="AV775" s="2"/>
      <c r="AW775" s="2"/>
      <c r="AX775" s="2"/>
      <c r="AY775" s="253"/>
    </row>
    <row r="776" ht="15.75" customHeight="1">
      <c r="A776" s="2"/>
      <c r="B776" s="288" t="str">
        <f>Controle!B776</f>
        <v/>
      </c>
      <c r="C776" s="233" t="str">
        <f>Controle!C776</f>
        <v/>
      </c>
      <c r="D776" s="289" t="str">
        <f>Controle!D776</f>
        <v/>
      </c>
      <c r="E776" s="290"/>
      <c r="F776" s="291" t="str">
        <f>Controle!F776</f>
        <v/>
      </c>
      <c r="G776" s="289" t="str">
        <f>Controle!G776</f>
        <v/>
      </c>
      <c r="H776" s="290"/>
      <c r="I776" s="291" t="str">
        <f>Controle!I776</f>
        <v/>
      </c>
      <c r="J776" s="233" t="str">
        <f>Controle!J776</f>
        <v/>
      </c>
      <c r="K776" s="292"/>
      <c r="L776" s="233" t="str">
        <f>Controle!L776</f>
        <v/>
      </c>
      <c r="M776" s="233" t="str">
        <f>Controle!M776</f>
        <v/>
      </c>
      <c r="N776" s="235" t="str">
        <f>Controle!N776</f>
        <v/>
      </c>
      <c r="O776" s="235" t="str">
        <f>Controle!O776</f>
        <v/>
      </c>
      <c r="P776" s="235" t="str">
        <f>Controle!P776</f>
        <v/>
      </c>
      <c r="Q776" s="235" t="str">
        <f>Controle!Q776</f>
        <v/>
      </c>
      <c r="R776" s="286" t="str">
        <f>Controle!R776</f>
        <v/>
      </c>
      <c r="S776" s="286"/>
      <c r="T776" s="286"/>
      <c r="U776" s="286"/>
      <c r="V776" s="286"/>
      <c r="W776" s="286"/>
      <c r="X776" s="286"/>
      <c r="Y776" s="286"/>
      <c r="Z776" s="286"/>
      <c r="AA776" s="294"/>
      <c r="AB776" s="253"/>
      <c r="AC776" s="253"/>
      <c r="AD776" s="253"/>
      <c r="AE776" s="253"/>
      <c r="AF776" s="253"/>
      <c r="AG776" s="253"/>
      <c r="AH776" s="253"/>
      <c r="AI776" s="253"/>
      <c r="AJ776" s="253"/>
      <c r="AK776" s="253"/>
      <c r="AL776" s="253"/>
      <c r="AM776" s="253"/>
      <c r="AN776" s="253"/>
      <c r="AO776" s="253"/>
      <c r="AP776" s="253"/>
      <c r="AQ776" s="253"/>
      <c r="AR776" s="253"/>
      <c r="AS776" s="253"/>
      <c r="AT776" s="2"/>
      <c r="AU776" s="2"/>
      <c r="AV776" s="2"/>
      <c r="AW776" s="2"/>
      <c r="AX776" s="2"/>
      <c r="AY776" s="253"/>
    </row>
    <row r="777" ht="15.75" customHeight="1">
      <c r="A777" s="2"/>
      <c r="B777" s="288" t="str">
        <f>Controle!B777</f>
        <v/>
      </c>
      <c r="C777" s="233" t="str">
        <f>Controle!C777</f>
        <v/>
      </c>
      <c r="D777" s="289" t="str">
        <f>Controle!D777</f>
        <v/>
      </c>
      <c r="E777" s="290"/>
      <c r="F777" s="291" t="str">
        <f>Controle!F777</f>
        <v/>
      </c>
      <c r="G777" s="289" t="str">
        <f>Controle!G777</f>
        <v/>
      </c>
      <c r="H777" s="290"/>
      <c r="I777" s="291" t="str">
        <f>Controle!I777</f>
        <v/>
      </c>
      <c r="J777" s="233" t="str">
        <f>Controle!J777</f>
        <v/>
      </c>
      <c r="K777" s="292"/>
      <c r="L777" s="233" t="str">
        <f>Controle!L777</f>
        <v/>
      </c>
      <c r="M777" s="233" t="str">
        <f>Controle!M777</f>
        <v/>
      </c>
      <c r="N777" s="235" t="str">
        <f>Controle!N777</f>
        <v/>
      </c>
      <c r="O777" s="235" t="str">
        <f>Controle!O777</f>
        <v/>
      </c>
      <c r="P777" s="235" t="str">
        <f>Controle!P777</f>
        <v/>
      </c>
      <c r="Q777" s="235" t="str">
        <f>Controle!Q777</f>
        <v/>
      </c>
      <c r="R777" s="286" t="str">
        <f>Controle!R777</f>
        <v/>
      </c>
      <c r="S777" s="286"/>
      <c r="T777" s="286"/>
      <c r="U777" s="286"/>
      <c r="V777" s="286"/>
      <c r="W777" s="286"/>
      <c r="X777" s="286"/>
      <c r="Y777" s="286"/>
      <c r="Z777" s="286"/>
      <c r="AA777" s="294"/>
      <c r="AB777" s="253"/>
      <c r="AC777" s="253"/>
      <c r="AD777" s="253"/>
      <c r="AE777" s="253"/>
      <c r="AF777" s="253"/>
      <c r="AG777" s="253"/>
      <c r="AH777" s="253"/>
      <c r="AI777" s="253"/>
      <c r="AJ777" s="253"/>
      <c r="AK777" s="253"/>
      <c r="AL777" s="253"/>
      <c r="AM777" s="253"/>
      <c r="AN777" s="253"/>
      <c r="AO777" s="253"/>
      <c r="AP777" s="253"/>
      <c r="AQ777" s="253"/>
      <c r="AR777" s="253"/>
      <c r="AS777" s="253"/>
      <c r="AT777" s="2"/>
      <c r="AU777" s="2"/>
      <c r="AV777" s="2"/>
      <c r="AW777" s="2"/>
      <c r="AX777" s="2"/>
      <c r="AY777" s="253"/>
    </row>
    <row r="778" ht="15.75" customHeight="1">
      <c r="A778" s="2"/>
      <c r="B778" s="288" t="str">
        <f>Controle!B778</f>
        <v/>
      </c>
      <c r="C778" s="233" t="str">
        <f>Controle!C778</f>
        <v/>
      </c>
      <c r="D778" s="289" t="str">
        <f>Controle!D778</f>
        <v/>
      </c>
      <c r="E778" s="290"/>
      <c r="F778" s="291" t="str">
        <f>Controle!F778</f>
        <v/>
      </c>
      <c r="G778" s="289" t="str">
        <f>Controle!G778</f>
        <v/>
      </c>
      <c r="H778" s="290"/>
      <c r="I778" s="291" t="str">
        <f>Controle!I778</f>
        <v/>
      </c>
      <c r="J778" s="233" t="str">
        <f>Controle!J778</f>
        <v/>
      </c>
      <c r="K778" s="292"/>
      <c r="L778" s="233" t="str">
        <f>Controle!L778</f>
        <v/>
      </c>
      <c r="M778" s="233" t="str">
        <f>Controle!M778</f>
        <v/>
      </c>
      <c r="N778" s="235" t="str">
        <f>Controle!N778</f>
        <v/>
      </c>
      <c r="O778" s="235" t="str">
        <f>Controle!O778</f>
        <v/>
      </c>
      <c r="P778" s="235" t="str">
        <f>Controle!P778</f>
        <v/>
      </c>
      <c r="Q778" s="235" t="str">
        <f>Controle!Q778</f>
        <v/>
      </c>
      <c r="R778" s="286" t="str">
        <f>Controle!R778</f>
        <v/>
      </c>
      <c r="S778" s="286"/>
      <c r="T778" s="286"/>
      <c r="U778" s="286"/>
      <c r="V778" s="286"/>
      <c r="W778" s="286"/>
      <c r="X778" s="286"/>
      <c r="Y778" s="286"/>
      <c r="Z778" s="286"/>
      <c r="AA778" s="294"/>
      <c r="AB778" s="253"/>
      <c r="AC778" s="253"/>
      <c r="AD778" s="253"/>
      <c r="AE778" s="253"/>
      <c r="AF778" s="253"/>
      <c r="AG778" s="253"/>
      <c r="AH778" s="253"/>
      <c r="AI778" s="253"/>
      <c r="AJ778" s="253"/>
      <c r="AK778" s="253"/>
      <c r="AL778" s="253"/>
      <c r="AM778" s="253"/>
      <c r="AN778" s="253"/>
      <c r="AO778" s="253"/>
      <c r="AP778" s="253"/>
      <c r="AQ778" s="253"/>
      <c r="AR778" s="253"/>
      <c r="AS778" s="253"/>
      <c r="AT778" s="2"/>
      <c r="AU778" s="2"/>
      <c r="AV778" s="2"/>
      <c r="AW778" s="2"/>
      <c r="AX778" s="2"/>
      <c r="AY778" s="253"/>
    </row>
    <row r="779" ht="15.75" customHeight="1">
      <c r="A779" s="2"/>
      <c r="B779" s="288" t="str">
        <f>Controle!B779</f>
        <v/>
      </c>
      <c r="C779" s="233" t="str">
        <f>Controle!C779</f>
        <v/>
      </c>
      <c r="D779" s="289" t="str">
        <f>Controle!D779</f>
        <v/>
      </c>
      <c r="E779" s="290"/>
      <c r="F779" s="291" t="str">
        <f>Controle!F779</f>
        <v/>
      </c>
      <c r="G779" s="289" t="str">
        <f>Controle!G779</f>
        <v/>
      </c>
      <c r="H779" s="290"/>
      <c r="I779" s="291" t="str">
        <f>Controle!I779</f>
        <v/>
      </c>
      <c r="J779" s="233" t="str">
        <f>Controle!J779</f>
        <v/>
      </c>
      <c r="K779" s="292"/>
      <c r="L779" s="233" t="str">
        <f>Controle!L779</f>
        <v/>
      </c>
      <c r="M779" s="233" t="str">
        <f>Controle!M779</f>
        <v/>
      </c>
      <c r="N779" s="235" t="str">
        <f>Controle!N779</f>
        <v/>
      </c>
      <c r="O779" s="235" t="str">
        <f>Controle!O779</f>
        <v/>
      </c>
      <c r="P779" s="235" t="str">
        <f>Controle!P779</f>
        <v/>
      </c>
      <c r="Q779" s="235" t="str">
        <f>Controle!Q779</f>
        <v/>
      </c>
      <c r="R779" s="286" t="str">
        <f>Controle!R779</f>
        <v/>
      </c>
      <c r="S779" s="286"/>
      <c r="T779" s="286"/>
      <c r="U779" s="286"/>
      <c r="V779" s="286"/>
      <c r="W779" s="286"/>
      <c r="X779" s="286"/>
      <c r="Y779" s="286"/>
      <c r="Z779" s="286"/>
      <c r="AA779" s="294"/>
      <c r="AB779" s="253"/>
      <c r="AC779" s="253"/>
      <c r="AD779" s="253"/>
      <c r="AE779" s="253"/>
      <c r="AF779" s="253"/>
      <c r="AG779" s="253"/>
      <c r="AH779" s="253"/>
      <c r="AI779" s="253"/>
      <c r="AJ779" s="253"/>
      <c r="AK779" s="253"/>
      <c r="AL779" s="253"/>
      <c r="AM779" s="253"/>
      <c r="AN779" s="253"/>
      <c r="AO779" s="253"/>
      <c r="AP779" s="253"/>
      <c r="AQ779" s="253"/>
      <c r="AR779" s="253"/>
      <c r="AS779" s="253"/>
      <c r="AT779" s="2"/>
      <c r="AU779" s="2"/>
      <c r="AV779" s="2"/>
      <c r="AW779" s="2"/>
      <c r="AX779" s="2"/>
      <c r="AY779" s="253"/>
    </row>
    <row r="780" ht="15.75" customHeight="1">
      <c r="A780" s="2"/>
      <c r="B780" s="288" t="str">
        <f>Controle!B780</f>
        <v/>
      </c>
      <c r="C780" s="233" t="str">
        <f>Controle!C780</f>
        <v/>
      </c>
      <c r="D780" s="289" t="str">
        <f>Controle!D780</f>
        <v/>
      </c>
      <c r="E780" s="290"/>
      <c r="F780" s="291" t="str">
        <f>Controle!F780</f>
        <v/>
      </c>
      <c r="G780" s="289" t="str">
        <f>Controle!G780</f>
        <v/>
      </c>
      <c r="H780" s="290"/>
      <c r="I780" s="291" t="str">
        <f>Controle!I780</f>
        <v/>
      </c>
      <c r="J780" s="233" t="str">
        <f>Controle!J780</f>
        <v/>
      </c>
      <c r="K780" s="292"/>
      <c r="L780" s="233" t="str">
        <f>Controle!L780</f>
        <v/>
      </c>
      <c r="M780" s="233" t="str">
        <f>Controle!M780</f>
        <v/>
      </c>
      <c r="N780" s="235" t="str">
        <f>Controle!N780</f>
        <v/>
      </c>
      <c r="O780" s="235" t="str">
        <f>Controle!O780</f>
        <v/>
      </c>
      <c r="P780" s="235" t="str">
        <f>Controle!P780</f>
        <v/>
      </c>
      <c r="Q780" s="235" t="str">
        <f>Controle!Q780</f>
        <v/>
      </c>
      <c r="R780" s="286" t="str">
        <f>Controle!R780</f>
        <v/>
      </c>
      <c r="S780" s="286"/>
      <c r="T780" s="286"/>
      <c r="U780" s="286"/>
      <c r="V780" s="286"/>
      <c r="W780" s="286"/>
      <c r="X780" s="286"/>
      <c r="Y780" s="286"/>
      <c r="Z780" s="286"/>
      <c r="AA780" s="294"/>
      <c r="AB780" s="253"/>
      <c r="AC780" s="253"/>
      <c r="AD780" s="253"/>
      <c r="AE780" s="253"/>
      <c r="AF780" s="253"/>
      <c r="AG780" s="253"/>
      <c r="AH780" s="253"/>
      <c r="AI780" s="253"/>
      <c r="AJ780" s="253"/>
      <c r="AK780" s="253"/>
      <c r="AL780" s="253"/>
      <c r="AM780" s="253"/>
      <c r="AN780" s="253"/>
      <c r="AO780" s="253"/>
      <c r="AP780" s="253"/>
      <c r="AQ780" s="253"/>
      <c r="AR780" s="253"/>
      <c r="AS780" s="253"/>
      <c r="AT780" s="2"/>
      <c r="AU780" s="2"/>
      <c r="AV780" s="2"/>
      <c r="AW780" s="2"/>
      <c r="AX780" s="2"/>
      <c r="AY780" s="253"/>
    </row>
    <row r="781" ht="15.75" customHeight="1">
      <c r="A781" s="2"/>
      <c r="B781" s="288" t="str">
        <f>Controle!B781</f>
        <v/>
      </c>
      <c r="C781" s="233" t="str">
        <f>Controle!C781</f>
        <v/>
      </c>
      <c r="D781" s="289" t="str">
        <f>Controle!D781</f>
        <v/>
      </c>
      <c r="E781" s="290"/>
      <c r="F781" s="291" t="str">
        <f>Controle!F781</f>
        <v/>
      </c>
      <c r="G781" s="289" t="str">
        <f>Controle!G781</f>
        <v/>
      </c>
      <c r="H781" s="290"/>
      <c r="I781" s="291" t="str">
        <f>Controle!I781</f>
        <v/>
      </c>
      <c r="J781" s="233" t="str">
        <f>Controle!J781</f>
        <v/>
      </c>
      <c r="K781" s="292"/>
      <c r="L781" s="233" t="str">
        <f>Controle!L781</f>
        <v/>
      </c>
      <c r="M781" s="233" t="str">
        <f>Controle!M781</f>
        <v/>
      </c>
      <c r="N781" s="235" t="str">
        <f>Controle!N781</f>
        <v/>
      </c>
      <c r="O781" s="235" t="str">
        <f>Controle!O781</f>
        <v/>
      </c>
      <c r="P781" s="235" t="str">
        <f>Controle!P781</f>
        <v/>
      </c>
      <c r="Q781" s="235" t="str">
        <f>Controle!Q781</f>
        <v/>
      </c>
      <c r="R781" s="286" t="str">
        <f>Controle!R781</f>
        <v/>
      </c>
      <c r="S781" s="286"/>
      <c r="T781" s="286"/>
      <c r="U781" s="286"/>
      <c r="V781" s="286"/>
      <c r="W781" s="286"/>
      <c r="X781" s="286"/>
      <c r="Y781" s="286"/>
      <c r="Z781" s="286"/>
      <c r="AA781" s="294"/>
      <c r="AB781" s="253"/>
      <c r="AC781" s="253"/>
      <c r="AD781" s="253"/>
      <c r="AE781" s="253"/>
      <c r="AF781" s="253"/>
      <c r="AG781" s="253"/>
      <c r="AH781" s="253"/>
      <c r="AI781" s="253"/>
      <c r="AJ781" s="253"/>
      <c r="AK781" s="253"/>
      <c r="AL781" s="253"/>
      <c r="AM781" s="253"/>
      <c r="AN781" s="253"/>
      <c r="AO781" s="253"/>
      <c r="AP781" s="253"/>
      <c r="AQ781" s="253"/>
      <c r="AR781" s="253"/>
      <c r="AS781" s="253"/>
      <c r="AT781" s="2"/>
      <c r="AU781" s="2"/>
      <c r="AV781" s="2"/>
      <c r="AW781" s="2"/>
      <c r="AX781" s="2"/>
      <c r="AY781" s="253"/>
    </row>
    <row r="782" ht="15.75" customHeight="1">
      <c r="A782" s="2"/>
      <c r="B782" s="288" t="str">
        <f>Controle!B782</f>
        <v/>
      </c>
      <c r="C782" s="233" t="str">
        <f>Controle!C782</f>
        <v/>
      </c>
      <c r="D782" s="289" t="str">
        <f>Controle!D782</f>
        <v/>
      </c>
      <c r="E782" s="290"/>
      <c r="F782" s="291" t="str">
        <f>Controle!F782</f>
        <v/>
      </c>
      <c r="G782" s="289" t="str">
        <f>Controle!G782</f>
        <v/>
      </c>
      <c r="H782" s="290"/>
      <c r="I782" s="291" t="str">
        <f>Controle!I782</f>
        <v/>
      </c>
      <c r="J782" s="233" t="str">
        <f>Controle!J782</f>
        <v/>
      </c>
      <c r="K782" s="292"/>
      <c r="L782" s="233" t="str">
        <f>Controle!L782</f>
        <v/>
      </c>
      <c r="M782" s="233" t="str">
        <f>Controle!M782</f>
        <v/>
      </c>
      <c r="N782" s="235" t="str">
        <f>Controle!N782</f>
        <v/>
      </c>
      <c r="O782" s="235" t="str">
        <f>Controle!O782</f>
        <v/>
      </c>
      <c r="P782" s="235" t="str">
        <f>Controle!P782</f>
        <v/>
      </c>
      <c r="Q782" s="235" t="str">
        <f>Controle!Q782</f>
        <v/>
      </c>
      <c r="R782" s="286" t="str">
        <f>Controle!R782</f>
        <v/>
      </c>
      <c r="S782" s="286"/>
      <c r="T782" s="286"/>
      <c r="U782" s="286"/>
      <c r="V782" s="286"/>
      <c r="W782" s="286"/>
      <c r="X782" s="286"/>
      <c r="Y782" s="286"/>
      <c r="Z782" s="286"/>
      <c r="AA782" s="294"/>
      <c r="AB782" s="253"/>
      <c r="AC782" s="253"/>
      <c r="AD782" s="253"/>
      <c r="AE782" s="253"/>
      <c r="AF782" s="253"/>
      <c r="AG782" s="253"/>
      <c r="AH782" s="253"/>
      <c r="AI782" s="253"/>
      <c r="AJ782" s="253"/>
      <c r="AK782" s="253"/>
      <c r="AL782" s="253"/>
      <c r="AM782" s="253"/>
      <c r="AN782" s="253"/>
      <c r="AO782" s="253"/>
      <c r="AP782" s="253"/>
      <c r="AQ782" s="253"/>
      <c r="AR782" s="253"/>
      <c r="AS782" s="253"/>
      <c r="AT782" s="2"/>
      <c r="AU782" s="2"/>
      <c r="AV782" s="2"/>
      <c r="AW782" s="2"/>
      <c r="AX782" s="2"/>
      <c r="AY782" s="253"/>
    </row>
    <row r="783" ht="15.75" customHeight="1">
      <c r="A783" s="2"/>
      <c r="B783" s="288" t="str">
        <f>Controle!B783</f>
        <v/>
      </c>
      <c r="C783" s="233" t="str">
        <f>Controle!C783</f>
        <v/>
      </c>
      <c r="D783" s="289" t="str">
        <f>Controle!D783</f>
        <v/>
      </c>
      <c r="E783" s="290"/>
      <c r="F783" s="291" t="str">
        <f>Controle!F783</f>
        <v/>
      </c>
      <c r="G783" s="289" t="str">
        <f>Controle!G783</f>
        <v/>
      </c>
      <c r="H783" s="290"/>
      <c r="I783" s="291" t="str">
        <f>Controle!I783</f>
        <v/>
      </c>
      <c r="J783" s="233" t="str">
        <f>Controle!J783</f>
        <v/>
      </c>
      <c r="K783" s="292"/>
      <c r="L783" s="233" t="str">
        <f>Controle!L783</f>
        <v/>
      </c>
      <c r="M783" s="233" t="str">
        <f>Controle!M783</f>
        <v/>
      </c>
      <c r="N783" s="235" t="str">
        <f>Controle!N783</f>
        <v/>
      </c>
      <c r="O783" s="235" t="str">
        <f>Controle!O783</f>
        <v/>
      </c>
      <c r="P783" s="235" t="str">
        <f>Controle!P783</f>
        <v/>
      </c>
      <c r="Q783" s="235" t="str">
        <f>Controle!Q783</f>
        <v/>
      </c>
      <c r="R783" s="286" t="str">
        <f>Controle!R783</f>
        <v/>
      </c>
      <c r="S783" s="286"/>
      <c r="T783" s="286"/>
      <c r="U783" s="286"/>
      <c r="V783" s="286"/>
      <c r="W783" s="286"/>
      <c r="X783" s="286"/>
      <c r="Y783" s="286"/>
      <c r="Z783" s="286"/>
      <c r="AA783" s="294"/>
      <c r="AB783" s="253"/>
      <c r="AC783" s="253"/>
      <c r="AD783" s="253"/>
      <c r="AE783" s="253"/>
      <c r="AF783" s="253"/>
      <c r="AG783" s="253"/>
      <c r="AH783" s="253"/>
      <c r="AI783" s="253"/>
      <c r="AJ783" s="253"/>
      <c r="AK783" s="253"/>
      <c r="AL783" s="253"/>
      <c r="AM783" s="253"/>
      <c r="AN783" s="253"/>
      <c r="AO783" s="253"/>
      <c r="AP783" s="253"/>
      <c r="AQ783" s="253"/>
      <c r="AR783" s="253"/>
      <c r="AS783" s="253"/>
      <c r="AT783" s="2"/>
      <c r="AU783" s="2"/>
      <c r="AV783" s="2"/>
      <c r="AW783" s="2"/>
      <c r="AX783" s="2"/>
      <c r="AY783" s="253"/>
    </row>
    <row r="784" ht="15.75" customHeight="1">
      <c r="A784" s="2"/>
      <c r="B784" s="288" t="str">
        <f>Controle!B784</f>
        <v/>
      </c>
      <c r="C784" s="233" t="str">
        <f>Controle!C784</f>
        <v/>
      </c>
      <c r="D784" s="289" t="str">
        <f>Controle!D784</f>
        <v/>
      </c>
      <c r="E784" s="290"/>
      <c r="F784" s="291" t="str">
        <f>Controle!F784</f>
        <v/>
      </c>
      <c r="G784" s="289" t="str">
        <f>Controle!G784</f>
        <v/>
      </c>
      <c r="H784" s="290"/>
      <c r="I784" s="291" t="str">
        <f>Controle!I784</f>
        <v/>
      </c>
      <c r="J784" s="233" t="str">
        <f>Controle!J784</f>
        <v/>
      </c>
      <c r="K784" s="292"/>
      <c r="L784" s="233" t="str">
        <f>Controle!L784</f>
        <v/>
      </c>
      <c r="M784" s="233" t="str">
        <f>Controle!M784</f>
        <v/>
      </c>
      <c r="N784" s="235" t="str">
        <f>Controle!N784</f>
        <v/>
      </c>
      <c r="O784" s="235" t="str">
        <f>Controle!O784</f>
        <v/>
      </c>
      <c r="P784" s="235" t="str">
        <f>Controle!P784</f>
        <v/>
      </c>
      <c r="Q784" s="235" t="str">
        <f>Controle!Q784</f>
        <v/>
      </c>
      <c r="R784" s="286" t="str">
        <f>Controle!R784</f>
        <v/>
      </c>
      <c r="S784" s="286"/>
      <c r="T784" s="286"/>
      <c r="U784" s="286"/>
      <c r="V784" s="286"/>
      <c r="W784" s="286"/>
      <c r="X784" s="286"/>
      <c r="Y784" s="286"/>
      <c r="Z784" s="286"/>
      <c r="AA784" s="294"/>
      <c r="AB784" s="253"/>
      <c r="AC784" s="253"/>
      <c r="AD784" s="253"/>
      <c r="AE784" s="253"/>
      <c r="AF784" s="253"/>
      <c r="AG784" s="253"/>
      <c r="AH784" s="253"/>
      <c r="AI784" s="253"/>
      <c r="AJ784" s="253"/>
      <c r="AK784" s="253"/>
      <c r="AL784" s="253"/>
      <c r="AM784" s="253"/>
      <c r="AN784" s="253"/>
      <c r="AO784" s="253"/>
      <c r="AP784" s="253"/>
      <c r="AQ784" s="253"/>
      <c r="AR784" s="253"/>
      <c r="AS784" s="253"/>
      <c r="AT784" s="2"/>
      <c r="AU784" s="2"/>
      <c r="AV784" s="2"/>
      <c r="AW784" s="2"/>
      <c r="AX784" s="2"/>
      <c r="AY784" s="253"/>
    </row>
    <row r="785" ht="15.75" customHeight="1">
      <c r="A785" s="2"/>
      <c r="B785" s="288" t="str">
        <f>Controle!B785</f>
        <v/>
      </c>
      <c r="C785" s="233" t="str">
        <f>Controle!C785</f>
        <v/>
      </c>
      <c r="D785" s="289" t="str">
        <f>Controle!D785</f>
        <v/>
      </c>
      <c r="E785" s="290"/>
      <c r="F785" s="291" t="str">
        <f>Controle!F785</f>
        <v/>
      </c>
      <c r="G785" s="289" t="str">
        <f>Controle!G785</f>
        <v/>
      </c>
      <c r="H785" s="290"/>
      <c r="I785" s="291" t="str">
        <f>Controle!I785</f>
        <v/>
      </c>
      <c r="J785" s="233" t="str">
        <f>Controle!J785</f>
        <v/>
      </c>
      <c r="K785" s="292"/>
      <c r="L785" s="233" t="str">
        <f>Controle!L785</f>
        <v/>
      </c>
      <c r="M785" s="233" t="str">
        <f>Controle!M785</f>
        <v/>
      </c>
      <c r="N785" s="235" t="str">
        <f>Controle!N785</f>
        <v/>
      </c>
      <c r="O785" s="235" t="str">
        <f>Controle!O785</f>
        <v/>
      </c>
      <c r="P785" s="235" t="str">
        <f>Controle!P785</f>
        <v/>
      </c>
      <c r="Q785" s="235" t="str">
        <f>Controle!Q785</f>
        <v/>
      </c>
      <c r="R785" s="286" t="str">
        <f>Controle!R785</f>
        <v/>
      </c>
      <c r="S785" s="286"/>
      <c r="T785" s="286"/>
      <c r="U785" s="286"/>
      <c r="V785" s="286"/>
      <c r="W785" s="286"/>
      <c r="X785" s="286"/>
      <c r="Y785" s="286"/>
      <c r="Z785" s="286"/>
      <c r="AA785" s="294"/>
      <c r="AB785" s="253"/>
      <c r="AC785" s="253"/>
      <c r="AD785" s="253"/>
      <c r="AE785" s="253"/>
      <c r="AF785" s="253"/>
      <c r="AG785" s="253"/>
      <c r="AH785" s="253"/>
      <c r="AI785" s="253"/>
      <c r="AJ785" s="253"/>
      <c r="AK785" s="253"/>
      <c r="AL785" s="253"/>
      <c r="AM785" s="253"/>
      <c r="AN785" s="253"/>
      <c r="AO785" s="253"/>
      <c r="AP785" s="253"/>
      <c r="AQ785" s="253"/>
      <c r="AR785" s="253"/>
      <c r="AS785" s="253"/>
      <c r="AT785" s="2"/>
      <c r="AU785" s="2"/>
      <c r="AV785" s="2"/>
      <c r="AW785" s="2"/>
      <c r="AX785" s="2"/>
      <c r="AY785" s="253"/>
    </row>
    <row r="786" ht="15.75" customHeight="1">
      <c r="A786" s="2"/>
      <c r="B786" s="288" t="str">
        <f>Controle!B786</f>
        <v/>
      </c>
      <c r="C786" s="233" t="str">
        <f>Controle!C786</f>
        <v/>
      </c>
      <c r="D786" s="289" t="str">
        <f>Controle!D786</f>
        <v/>
      </c>
      <c r="E786" s="290"/>
      <c r="F786" s="291" t="str">
        <f>Controle!F786</f>
        <v/>
      </c>
      <c r="G786" s="289" t="str">
        <f>Controle!G786</f>
        <v/>
      </c>
      <c r="H786" s="290"/>
      <c r="I786" s="291" t="str">
        <f>Controle!I786</f>
        <v/>
      </c>
      <c r="J786" s="233" t="str">
        <f>Controle!J786</f>
        <v/>
      </c>
      <c r="K786" s="292"/>
      <c r="L786" s="233" t="str">
        <f>Controle!L786</f>
        <v/>
      </c>
      <c r="M786" s="233" t="str">
        <f>Controle!M786</f>
        <v/>
      </c>
      <c r="N786" s="235" t="str">
        <f>Controle!N786</f>
        <v/>
      </c>
      <c r="O786" s="235" t="str">
        <f>Controle!O786</f>
        <v/>
      </c>
      <c r="P786" s="235" t="str">
        <f>Controle!P786</f>
        <v/>
      </c>
      <c r="Q786" s="235" t="str">
        <f>Controle!Q786</f>
        <v/>
      </c>
      <c r="R786" s="286" t="str">
        <f>Controle!R786</f>
        <v/>
      </c>
      <c r="S786" s="286"/>
      <c r="T786" s="286"/>
      <c r="U786" s="286"/>
      <c r="V786" s="286"/>
      <c r="W786" s="286"/>
      <c r="X786" s="286"/>
      <c r="Y786" s="286"/>
      <c r="Z786" s="286"/>
      <c r="AA786" s="294"/>
      <c r="AB786" s="253"/>
      <c r="AC786" s="253"/>
      <c r="AD786" s="253"/>
      <c r="AE786" s="253"/>
      <c r="AF786" s="253"/>
      <c r="AG786" s="253"/>
      <c r="AH786" s="253"/>
      <c r="AI786" s="253"/>
      <c r="AJ786" s="253"/>
      <c r="AK786" s="253"/>
      <c r="AL786" s="253"/>
      <c r="AM786" s="253"/>
      <c r="AN786" s="253"/>
      <c r="AO786" s="253"/>
      <c r="AP786" s="253"/>
      <c r="AQ786" s="253"/>
      <c r="AR786" s="253"/>
      <c r="AS786" s="253"/>
      <c r="AT786" s="2"/>
      <c r="AU786" s="2"/>
      <c r="AV786" s="2"/>
      <c r="AW786" s="2"/>
      <c r="AX786" s="2"/>
      <c r="AY786" s="253"/>
    </row>
    <row r="787" ht="15.75" customHeight="1">
      <c r="A787" s="2"/>
      <c r="B787" s="288" t="str">
        <f>Controle!B787</f>
        <v/>
      </c>
      <c r="C787" s="233" t="str">
        <f>Controle!C787</f>
        <v/>
      </c>
      <c r="D787" s="289" t="str">
        <f>Controle!D787</f>
        <v/>
      </c>
      <c r="E787" s="290"/>
      <c r="F787" s="291" t="str">
        <f>Controle!F787</f>
        <v/>
      </c>
      <c r="G787" s="289" t="str">
        <f>Controle!G787</f>
        <v/>
      </c>
      <c r="H787" s="290"/>
      <c r="I787" s="291" t="str">
        <f>Controle!I787</f>
        <v/>
      </c>
      <c r="J787" s="233" t="str">
        <f>Controle!J787</f>
        <v/>
      </c>
      <c r="K787" s="292"/>
      <c r="L787" s="233" t="str">
        <f>Controle!L787</f>
        <v/>
      </c>
      <c r="M787" s="233" t="str">
        <f>Controle!M787</f>
        <v/>
      </c>
      <c r="N787" s="235" t="str">
        <f>Controle!N787</f>
        <v/>
      </c>
      <c r="O787" s="235" t="str">
        <f>Controle!O787</f>
        <v/>
      </c>
      <c r="P787" s="235" t="str">
        <f>Controle!P787</f>
        <v/>
      </c>
      <c r="Q787" s="235" t="str">
        <f>Controle!Q787</f>
        <v/>
      </c>
      <c r="R787" s="286" t="str">
        <f>Controle!R787</f>
        <v/>
      </c>
      <c r="S787" s="286"/>
      <c r="T787" s="286"/>
      <c r="U787" s="286"/>
      <c r="V787" s="286"/>
      <c r="W787" s="286"/>
      <c r="X787" s="286"/>
      <c r="Y787" s="286"/>
      <c r="Z787" s="286"/>
      <c r="AA787" s="294"/>
      <c r="AB787" s="253"/>
      <c r="AC787" s="253"/>
      <c r="AD787" s="253"/>
      <c r="AE787" s="253"/>
      <c r="AF787" s="253"/>
      <c r="AG787" s="253"/>
      <c r="AH787" s="253"/>
      <c r="AI787" s="253"/>
      <c r="AJ787" s="253"/>
      <c r="AK787" s="253"/>
      <c r="AL787" s="253"/>
      <c r="AM787" s="253"/>
      <c r="AN787" s="253"/>
      <c r="AO787" s="253"/>
      <c r="AP787" s="253"/>
      <c r="AQ787" s="253"/>
      <c r="AR787" s="253"/>
      <c r="AS787" s="253"/>
      <c r="AT787" s="2"/>
      <c r="AU787" s="2"/>
      <c r="AV787" s="2"/>
      <c r="AW787" s="2"/>
      <c r="AX787" s="2"/>
      <c r="AY787" s="253"/>
    </row>
    <row r="788" ht="15.75" customHeight="1">
      <c r="A788" s="2"/>
      <c r="B788" s="288" t="str">
        <f>Controle!B788</f>
        <v/>
      </c>
      <c r="C788" s="233" t="str">
        <f>Controle!C788</f>
        <v/>
      </c>
      <c r="D788" s="289" t="str">
        <f>Controle!D788</f>
        <v/>
      </c>
      <c r="E788" s="290"/>
      <c r="F788" s="291" t="str">
        <f>Controle!F788</f>
        <v/>
      </c>
      <c r="G788" s="289" t="str">
        <f>Controle!G788</f>
        <v/>
      </c>
      <c r="H788" s="290"/>
      <c r="I788" s="291" t="str">
        <f>Controle!I788</f>
        <v/>
      </c>
      <c r="J788" s="233" t="str">
        <f>Controle!J788</f>
        <v/>
      </c>
      <c r="K788" s="292"/>
      <c r="L788" s="233" t="str">
        <f>Controle!L788</f>
        <v/>
      </c>
      <c r="M788" s="233" t="str">
        <f>Controle!M788</f>
        <v/>
      </c>
      <c r="N788" s="235" t="str">
        <f>Controle!N788</f>
        <v/>
      </c>
      <c r="O788" s="235" t="str">
        <f>Controle!O788</f>
        <v/>
      </c>
      <c r="P788" s="235" t="str">
        <f>Controle!P788</f>
        <v/>
      </c>
      <c r="Q788" s="235" t="str">
        <f>Controle!Q788</f>
        <v/>
      </c>
      <c r="R788" s="286" t="str">
        <f>Controle!R788</f>
        <v/>
      </c>
      <c r="S788" s="286"/>
      <c r="T788" s="286"/>
      <c r="U788" s="286"/>
      <c r="V788" s="286"/>
      <c r="W788" s="286"/>
      <c r="X788" s="286"/>
      <c r="Y788" s="286"/>
      <c r="Z788" s="286"/>
      <c r="AA788" s="294"/>
      <c r="AB788" s="253"/>
      <c r="AC788" s="253"/>
      <c r="AD788" s="253"/>
      <c r="AE788" s="253"/>
      <c r="AF788" s="253"/>
      <c r="AG788" s="253"/>
      <c r="AH788" s="253"/>
      <c r="AI788" s="253"/>
      <c r="AJ788" s="253"/>
      <c r="AK788" s="253"/>
      <c r="AL788" s="253"/>
      <c r="AM788" s="253"/>
      <c r="AN788" s="253"/>
      <c r="AO788" s="253"/>
      <c r="AP788" s="253"/>
      <c r="AQ788" s="253"/>
      <c r="AR788" s="253"/>
      <c r="AS788" s="253"/>
      <c r="AT788" s="2"/>
      <c r="AU788" s="2"/>
      <c r="AV788" s="2"/>
      <c r="AW788" s="2"/>
      <c r="AX788" s="2"/>
      <c r="AY788" s="253"/>
    </row>
    <row r="789" ht="15.75" customHeight="1">
      <c r="A789" s="2"/>
      <c r="B789" s="288" t="str">
        <f>Controle!B789</f>
        <v/>
      </c>
      <c r="C789" s="233" t="str">
        <f>Controle!C789</f>
        <v/>
      </c>
      <c r="D789" s="289" t="str">
        <f>Controle!D789</f>
        <v/>
      </c>
      <c r="E789" s="290"/>
      <c r="F789" s="291" t="str">
        <f>Controle!F789</f>
        <v/>
      </c>
      <c r="G789" s="289" t="str">
        <f>Controle!G789</f>
        <v/>
      </c>
      <c r="H789" s="290"/>
      <c r="I789" s="291" t="str">
        <f>Controle!I789</f>
        <v/>
      </c>
      <c r="J789" s="233" t="str">
        <f>Controle!J789</f>
        <v/>
      </c>
      <c r="K789" s="292"/>
      <c r="L789" s="233" t="str">
        <f>Controle!L789</f>
        <v/>
      </c>
      <c r="M789" s="233" t="str">
        <f>Controle!M789</f>
        <v/>
      </c>
      <c r="N789" s="235" t="str">
        <f>Controle!N789</f>
        <v/>
      </c>
      <c r="O789" s="235" t="str">
        <f>Controle!O789</f>
        <v/>
      </c>
      <c r="P789" s="235" t="str">
        <f>Controle!P789</f>
        <v/>
      </c>
      <c r="Q789" s="235" t="str">
        <f>Controle!Q789</f>
        <v/>
      </c>
      <c r="R789" s="286" t="str">
        <f>Controle!R789</f>
        <v/>
      </c>
      <c r="S789" s="286"/>
      <c r="T789" s="286"/>
      <c r="U789" s="286"/>
      <c r="V789" s="286"/>
      <c r="W789" s="286"/>
      <c r="X789" s="286"/>
      <c r="Y789" s="286"/>
      <c r="Z789" s="286"/>
      <c r="AA789" s="294"/>
      <c r="AB789" s="253"/>
      <c r="AC789" s="253"/>
      <c r="AD789" s="253"/>
      <c r="AE789" s="253"/>
      <c r="AF789" s="253"/>
      <c r="AG789" s="253"/>
      <c r="AH789" s="253"/>
      <c r="AI789" s="253"/>
      <c r="AJ789" s="253"/>
      <c r="AK789" s="253"/>
      <c r="AL789" s="253"/>
      <c r="AM789" s="253"/>
      <c r="AN789" s="253"/>
      <c r="AO789" s="253"/>
      <c r="AP789" s="253"/>
      <c r="AQ789" s="253"/>
      <c r="AR789" s="253"/>
      <c r="AS789" s="253"/>
      <c r="AT789" s="2"/>
      <c r="AU789" s="2"/>
      <c r="AV789" s="2"/>
      <c r="AW789" s="2"/>
      <c r="AX789" s="2"/>
      <c r="AY789" s="253"/>
    </row>
    <row r="790" ht="15.75" customHeight="1">
      <c r="A790" s="2"/>
      <c r="B790" s="288" t="str">
        <f>Controle!B790</f>
        <v/>
      </c>
      <c r="C790" s="233" t="str">
        <f>Controle!C790</f>
        <v/>
      </c>
      <c r="D790" s="289" t="str">
        <f>Controle!D790</f>
        <v/>
      </c>
      <c r="E790" s="290"/>
      <c r="F790" s="291" t="str">
        <f>Controle!F790</f>
        <v/>
      </c>
      <c r="G790" s="289" t="str">
        <f>Controle!G790</f>
        <v/>
      </c>
      <c r="H790" s="290"/>
      <c r="I790" s="291" t="str">
        <f>Controle!I790</f>
        <v/>
      </c>
      <c r="J790" s="233" t="str">
        <f>Controle!J790</f>
        <v/>
      </c>
      <c r="K790" s="292"/>
      <c r="L790" s="233" t="str">
        <f>Controle!L790</f>
        <v/>
      </c>
      <c r="M790" s="233" t="str">
        <f>Controle!M790</f>
        <v/>
      </c>
      <c r="N790" s="235" t="str">
        <f>Controle!N790</f>
        <v/>
      </c>
      <c r="O790" s="235" t="str">
        <f>Controle!O790</f>
        <v/>
      </c>
      <c r="P790" s="235" t="str">
        <f>Controle!P790</f>
        <v/>
      </c>
      <c r="Q790" s="235" t="str">
        <f>Controle!Q790</f>
        <v/>
      </c>
      <c r="R790" s="286" t="str">
        <f>Controle!R790</f>
        <v/>
      </c>
      <c r="S790" s="286"/>
      <c r="T790" s="286"/>
      <c r="U790" s="286"/>
      <c r="V790" s="286"/>
      <c r="W790" s="286"/>
      <c r="X790" s="286"/>
      <c r="Y790" s="286"/>
      <c r="Z790" s="286"/>
      <c r="AA790" s="294"/>
      <c r="AB790" s="253"/>
      <c r="AC790" s="253"/>
      <c r="AD790" s="253"/>
      <c r="AE790" s="253"/>
      <c r="AF790" s="253"/>
      <c r="AG790" s="253"/>
      <c r="AH790" s="253"/>
      <c r="AI790" s="253"/>
      <c r="AJ790" s="253"/>
      <c r="AK790" s="253"/>
      <c r="AL790" s="253"/>
      <c r="AM790" s="253"/>
      <c r="AN790" s="253"/>
      <c r="AO790" s="253"/>
      <c r="AP790" s="253"/>
      <c r="AQ790" s="253"/>
      <c r="AR790" s="253"/>
      <c r="AS790" s="253"/>
      <c r="AT790" s="2"/>
      <c r="AU790" s="2"/>
      <c r="AV790" s="2"/>
      <c r="AW790" s="2"/>
      <c r="AX790" s="2"/>
      <c r="AY790" s="253"/>
    </row>
    <row r="791" ht="15.75" customHeight="1">
      <c r="A791" s="2"/>
      <c r="B791" s="288" t="str">
        <f>Controle!B791</f>
        <v/>
      </c>
      <c r="C791" s="233" t="str">
        <f>Controle!C791</f>
        <v/>
      </c>
      <c r="D791" s="289" t="str">
        <f>Controle!D791</f>
        <v/>
      </c>
      <c r="E791" s="290"/>
      <c r="F791" s="291" t="str">
        <f>Controle!F791</f>
        <v/>
      </c>
      <c r="G791" s="289" t="str">
        <f>Controle!G791</f>
        <v/>
      </c>
      <c r="H791" s="290"/>
      <c r="I791" s="291" t="str">
        <f>Controle!I791</f>
        <v/>
      </c>
      <c r="J791" s="233" t="str">
        <f>Controle!J791</f>
        <v/>
      </c>
      <c r="K791" s="292"/>
      <c r="L791" s="233" t="str">
        <f>Controle!L791</f>
        <v/>
      </c>
      <c r="M791" s="233" t="str">
        <f>Controle!M791</f>
        <v/>
      </c>
      <c r="N791" s="235" t="str">
        <f>Controle!N791</f>
        <v/>
      </c>
      <c r="O791" s="235" t="str">
        <f>Controle!O791</f>
        <v/>
      </c>
      <c r="P791" s="235" t="str">
        <f>Controle!P791</f>
        <v/>
      </c>
      <c r="Q791" s="235" t="str">
        <f>Controle!Q791</f>
        <v/>
      </c>
      <c r="R791" s="286" t="str">
        <f>Controle!R791</f>
        <v/>
      </c>
      <c r="S791" s="286"/>
      <c r="T791" s="286"/>
      <c r="U791" s="286"/>
      <c r="V791" s="286"/>
      <c r="W791" s="286"/>
      <c r="X791" s="286"/>
      <c r="Y791" s="286"/>
      <c r="Z791" s="286"/>
      <c r="AA791" s="294"/>
      <c r="AB791" s="253"/>
      <c r="AC791" s="253"/>
      <c r="AD791" s="253"/>
      <c r="AE791" s="253"/>
      <c r="AF791" s="253"/>
      <c r="AG791" s="253"/>
      <c r="AH791" s="253"/>
      <c r="AI791" s="253"/>
      <c r="AJ791" s="253"/>
      <c r="AK791" s="253"/>
      <c r="AL791" s="253"/>
      <c r="AM791" s="253"/>
      <c r="AN791" s="253"/>
      <c r="AO791" s="253"/>
      <c r="AP791" s="253"/>
      <c r="AQ791" s="253"/>
      <c r="AR791" s="253"/>
      <c r="AS791" s="253"/>
      <c r="AT791" s="2"/>
      <c r="AU791" s="2"/>
      <c r="AV791" s="2"/>
      <c r="AW791" s="2"/>
      <c r="AX791" s="2"/>
      <c r="AY791" s="253"/>
    </row>
    <row r="792" ht="15.75" customHeight="1">
      <c r="A792" s="2"/>
      <c r="B792" s="288" t="str">
        <f>Controle!B792</f>
        <v/>
      </c>
      <c r="C792" s="233" t="str">
        <f>Controle!C792</f>
        <v/>
      </c>
      <c r="D792" s="289" t="str">
        <f>Controle!D792</f>
        <v/>
      </c>
      <c r="E792" s="290"/>
      <c r="F792" s="291" t="str">
        <f>Controle!F792</f>
        <v/>
      </c>
      <c r="G792" s="289" t="str">
        <f>Controle!G792</f>
        <v/>
      </c>
      <c r="H792" s="290"/>
      <c r="I792" s="291" t="str">
        <f>Controle!I792</f>
        <v/>
      </c>
      <c r="J792" s="233" t="str">
        <f>Controle!J792</f>
        <v/>
      </c>
      <c r="K792" s="292"/>
      <c r="L792" s="233" t="str">
        <f>Controle!L792</f>
        <v/>
      </c>
      <c r="M792" s="233" t="str">
        <f>Controle!M792</f>
        <v/>
      </c>
      <c r="N792" s="235" t="str">
        <f>Controle!N792</f>
        <v/>
      </c>
      <c r="O792" s="235" t="str">
        <f>Controle!O792</f>
        <v/>
      </c>
      <c r="P792" s="235" t="str">
        <f>Controle!P792</f>
        <v/>
      </c>
      <c r="Q792" s="235" t="str">
        <f>Controle!Q792</f>
        <v/>
      </c>
      <c r="R792" s="286" t="str">
        <f>Controle!R792</f>
        <v/>
      </c>
      <c r="S792" s="286"/>
      <c r="T792" s="286"/>
      <c r="U792" s="286"/>
      <c r="V792" s="286"/>
      <c r="W792" s="286"/>
      <c r="X792" s="286"/>
      <c r="Y792" s="286"/>
      <c r="Z792" s="286"/>
      <c r="AA792" s="294"/>
      <c r="AB792" s="253"/>
      <c r="AC792" s="253"/>
      <c r="AD792" s="253"/>
      <c r="AE792" s="253"/>
      <c r="AF792" s="253"/>
      <c r="AG792" s="253"/>
      <c r="AH792" s="253"/>
      <c r="AI792" s="253"/>
      <c r="AJ792" s="253"/>
      <c r="AK792" s="253"/>
      <c r="AL792" s="253"/>
      <c r="AM792" s="253"/>
      <c r="AN792" s="253"/>
      <c r="AO792" s="253"/>
      <c r="AP792" s="253"/>
      <c r="AQ792" s="253"/>
      <c r="AR792" s="253"/>
      <c r="AS792" s="253"/>
      <c r="AT792" s="2"/>
      <c r="AU792" s="2"/>
      <c r="AV792" s="2"/>
      <c r="AW792" s="2"/>
      <c r="AX792" s="2"/>
      <c r="AY792" s="253"/>
    </row>
    <row r="793" ht="15.75" customHeight="1">
      <c r="A793" s="2"/>
      <c r="B793" s="288" t="str">
        <f>Controle!B793</f>
        <v/>
      </c>
      <c r="C793" s="233" t="str">
        <f>Controle!C793</f>
        <v/>
      </c>
      <c r="D793" s="289" t="str">
        <f>Controle!D793</f>
        <v/>
      </c>
      <c r="E793" s="290"/>
      <c r="F793" s="291" t="str">
        <f>Controle!F793</f>
        <v/>
      </c>
      <c r="G793" s="289" t="str">
        <f>Controle!G793</f>
        <v/>
      </c>
      <c r="H793" s="290"/>
      <c r="I793" s="291" t="str">
        <f>Controle!I793</f>
        <v/>
      </c>
      <c r="J793" s="233" t="str">
        <f>Controle!J793</f>
        <v/>
      </c>
      <c r="K793" s="292"/>
      <c r="L793" s="233" t="str">
        <f>Controle!L793</f>
        <v/>
      </c>
      <c r="M793" s="233" t="str">
        <f>Controle!M793</f>
        <v/>
      </c>
      <c r="N793" s="235" t="str">
        <f>Controle!N793</f>
        <v/>
      </c>
      <c r="O793" s="235" t="str">
        <f>Controle!O793</f>
        <v/>
      </c>
      <c r="P793" s="235" t="str">
        <f>Controle!P793</f>
        <v/>
      </c>
      <c r="Q793" s="235" t="str">
        <f>Controle!Q793</f>
        <v/>
      </c>
      <c r="R793" s="286" t="str">
        <f>Controle!R793</f>
        <v/>
      </c>
      <c r="S793" s="286"/>
      <c r="T793" s="286"/>
      <c r="U793" s="286"/>
      <c r="V793" s="286"/>
      <c r="W793" s="286"/>
      <c r="X793" s="286"/>
      <c r="Y793" s="286"/>
      <c r="Z793" s="286"/>
      <c r="AA793" s="294"/>
      <c r="AB793" s="253"/>
      <c r="AC793" s="253"/>
      <c r="AD793" s="253"/>
      <c r="AE793" s="253"/>
      <c r="AF793" s="253"/>
      <c r="AG793" s="253"/>
      <c r="AH793" s="253"/>
      <c r="AI793" s="253"/>
      <c r="AJ793" s="253"/>
      <c r="AK793" s="253"/>
      <c r="AL793" s="253"/>
      <c r="AM793" s="253"/>
      <c r="AN793" s="253"/>
      <c r="AO793" s="253"/>
      <c r="AP793" s="253"/>
      <c r="AQ793" s="253"/>
      <c r="AR793" s="253"/>
      <c r="AS793" s="253"/>
      <c r="AT793" s="2"/>
      <c r="AU793" s="2"/>
      <c r="AV793" s="2"/>
      <c r="AW793" s="2"/>
      <c r="AX793" s="2"/>
      <c r="AY793" s="253"/>
    </row>
    <row r="794" ht="15.75" customHeight="1">
      <c r="A794" s="2"/>
      <c r="B794" s="288" t="str">
        <f>Controle!B794</f>
        <v/>
      </c>
      <c r="C794" s="233" t="str">
        <f>Controle!C794</f>
        <v/>
      </c>
      <c r="D794" s="289" t="str">
        <f>Controle!D794</f>
        <v/>
      </c>
      <c r="E794" s="290"/>
      <c r="F794" s="291" t="str">
        <f>Controle!F794</f>
        <v/>
      </c>
      <c r="G794" s="289" t="str">
        <f>Controle!G794</f>
        <v/>
      </c>
      <c r="H794" s="290"/>
      <c r="I794" s="291" t="str">
        <f>Controle!I794</f>
        <v/>
      </c>
      <c r="J794" s="233" t="str">
        <f>Controle!J794</f>
        <v/>
      </c>
      <c r="K794" s="292"/>
      <c r="L794" s="233" t="str">
        <f>Controle!L794</f>
        <v/>
      </c>
      <c r="M794" s="233" t="str">
        <f>Controle!M794</f>
        <v/>
      </c>
      <c r="N794" s="235" t="str">
        <f>Controle!N794</f>
        <v/>
      </c>
      <c r="O794" s="235" t="str">
        <f>Controle!O794</f>
        <v/>
      </c>
      <c r="P794" s="235" t="str">
        <f>Controle!P794</f>
        <v/>
      </c>
      <c r="Q794" s="235" t="str">
        <f>Controle!Q794</f>
        <v/>
      </c>
      <c r="R794" s="286" t="str">
        <f>Controle!R794</f>
        <v/>
      </c>
      <c r="S794" s="286"/>
      <c r="T794" s="286"/>
      <c r="U794" s="286"/>
      <c r="V794" s="286"/>
      <c r="W794" s="286"/>
      <c r="X794" s="286"/>
      <c r="Y794" s="286"/>
      <c r="Z794" s="286"/>
      <c r="AA794" s="294"/>
      <c r="AB794" s="253"/>
      <c r="AC794" s="253"/>
      <c r="AD794" s="253"/>
      <c r="AE794" s="253"/>
      <c r="AF794" s="253"/>
      <c r="AG794" s="253"/>
      <c r="AH794" s="253"/>
      <c r="AI794" s="253"/>
      <c r="AJ794" s="253"/>
      <c r="AK794" s="253"/>
      <c r="AL794" s="253"/>
      <c r="AM794" s="253"/>
      <c r="AN794" s="253"/>
      <c r="AO794" s="253"/>
      <c r="AP794" s="253"/>
      <c r="AQ794" s="253"/>
      <c r="AR794" s="253"/>
      <c r="AS794" s="253"/>
      <c r="AT794" s="2"/>
      <c r="AU794" s="2"/>
      <c r="AV794" s="2"/>
      <c r="AW794" s="2"/>
      <c r="AX794" s="2"/>
      <c r="AY794" s="253"/>
    </row>
    <row r="795" ht="15.75" customHeight="1">
      <c r="A795" s="2"/>
      <c r="B795" s="288" t="str">
        <f>Controle!B795</f>
        <v/>
      </c>
      <c r="C795" s="233" t="str">
        <f>Controle!C795</f>
        <v/>
      </c>
      <c r="D795" s="289" t="str">
        <f>Controle!D795</f>
        <v/>
      </c>
      <c r="E795" s="290"/>
      <c r="F795" s="291" t="str">
        <f>Controle!F795</f>
        <v/>
      </c>
      <c r="G795" s="289" t="str">
        <f>Controle!G795</f>
        <v/>
      </c>
      <c r="H795" s="290"/>
      <c r="I795" s="291" t="str">
        <f>Controle!I795</f>
        <v/>
      </c>
      <c r="J795" s="233" t="str">
        <f>Controle!J795</f>
        <v/>
      </c>
      <c r="K795" s="292"/>
      <c r="L795" s="233" t="str">
        <f>Controle!L795</f>
        <v/>
      </c>
      <c r="M795" s="233" t="str">
        <f>Controle!M795</f>
        <v/>
      </c>
      <c r="N795" s="235" t="str">
        <f>Controle!N795</f>
        <v/>
      </c>
      <c r="O795" s="235" t="str">
        <f>Controle!O795</f>
        <v/>
      </c>
      <c r="P795" s="235" t="str">
        <f>Controle!P795</f>
        <v/>
      </c>
      <c r="Q795" s="235" t="str">
        <f>Controle!Q795</f>
        <v/>
      </c>
      <c r="R795" s="286" t="str">
        <f>Controle!R795</f>
        <v/>
      </c>
      <c r="S795" s="286"/>
      <c r="T795" s="286"/>
      <c r="U795" s="286"/>
      <c r="V795" s="286"/>
      <c r="W795" s="286"/>
      <c r="X795" s="286"/>
      <c r="Y795" s="286"/>
      <c r="Z795" s="286"/>
      <c r="AA795" s="294"/>
      <c r="AB795" s="253"/>
      <c r="AC795" s="253"/>
      <c r="AD795" s="253"/>
      <c r="AE795" s="253"/>
      <c r="AF795" s="253"/>
      <c r="AG795" s="253"/>
      <c r="AH795" s="253"/>
      <c r="AI795" s="253"/>
      <c r="AJ795" s="253"/>
      <c r="AK795" s="253"/>
      <c r="AL795" s="253"/>
      <c r="AM795" s="253"/>
      <c r="AN795" s="253"/>
      <c r="AO795" s="253"/>
      <c r="AP795" s="253"/>
      <c r="AQ795" s="253"/>
      <c r="AR795" s="253"/>
      <c r="AS795" s="253"/>
      <c r="AT795" s="2"/>
      <c r="AU795" s="2"/>
      <c r="AV795" s="2"/>
      <c r="AW795" s="2"/>
      <c r="AX795" s="2"/>
      <c r="AY795" s="253"/>
    </row>
    <row r="796" ht="15.75" customHeight="1">
      <c r="A796" s="2"/>
      <c r="B796" s="288" t="str">
        <f>Controle!B796</f>
        <v/>
      </c>
      <c r="C796" s="233" t="str">
        <f>Controle!C796</f>
        <v/>
      </c>
      <c r="D796" s="289" t="str">
        <f>Controle!D796</f>
        <v/>
      </c>
      <c r="E796" s="290"/>
      <c r="F796" s="291" t="str">
        <f>Controle!F796</f>
        <v/>
      </c>
      <c r="G796" s="289" t="str">
        <f>Controle!G796</f>
        <v/>
      </c>
      <c r="H796" s="290"/>
      <c r="I796" s="291" t="str">
        <f>Controle!I796</f>
        <v/>
      </c>
      <c r="J796" s="233" t="str">
        <f>Controle!J796</f>
        <v/>
      </c>
      <c r="K796" s="292"/>
      <c r="L796" s="233" t="str">
        <f>Controle!L796</f>
        <v/>
      </c>
      <c r="M796" s="233" t="str">
        <f>Controle!M796</f>
        <v/>
      </c>
      <c r="N796" s="235" t="str">
        <f>Controle!N796</f>
        <v/>
      </c>
      <c r="O796" s="235" t="str">
        <f>Controle!O796</f>
        <v/>
      </c>
      <c r="P796" s="235" t="str">
        <f>Controle!P796</f>
        <v/>
      </c>
      <c r="Q796" s="235" t="str">
        <f>Controle!Q796</f>
        <v/>
      </c>
      <c r="R796" s="286" t="str">
        <f>Controle!R796</f>
        <v/>
      </c>
      <c r="S796" s="286"/>
      <c r="T796" s="286"/>
      <c r="U796" s="286"/>
      <c r="V796" s="286"/>
      <c r="W796" s="286"/>
      <c r="X796" s="286"/>
      <c r="Y796" s="286"/>
      <c r="Z796" s="286"/>
      <c r="AA796" s="294"/>
      <c r="AB796" s="253"/>
      <c r="AC796" s="253"/>
      <c r="AD796" s="253"/>
      <c r="AE796" s="253"/>
      <c r="AF796" s="253"/>
      <c r="AG796" s="253"/>
      <c r="AH796" s="253"/>
      <c r="AI796" s="253"/>
      <c r="AJ796" s="253"/>
      <c r="AK796" s="253"/>
      <c r="AL796" s="253"/>
      <c r="AM796" s="253"/>
      <c r="AN796" s="253"/>
      <c r="AO796" s="253"/>
      <c r="AP796" s="253"/>
      <c r="AQ796" s="253"/>
      <c r="AR796" s="253"/>
      <c r="AS796" s="253"/>
      <c r="AT796" s="2"/>
      <c r="AU796" s="2"/>
      <c r="AV796" s="2"/>
      <c r="AW796" s="2"/>
      <c r="AX796" s="2"/>
      <c r="AY796" s="253"/>
    </row>
    <row r="797" ht="15.75" customHeight="1">
      <c r="A797" s="2"/>
      <c r="B797" s="288" t="str">
        <f>Controle!B797</f>
        <v/>
      </c>
      <c r="C797" s="233" t="str">
        <f>Controle!C797</f>
        <v/>
      </c>
      <c r="D797" s="289" t="str">
        <f>Controle!D797</f>
        <v/>
      </c>
      <c r="E797" s="290"/>
      <c r="F797" s="291" t="str">
        <f>Controle!F797</f>
        <v/>
      </c>
      <c r="G797" s="289" t="str">
        <f>Controle!G797</f>
        <v/>
      </c>
      <c r="H797" s="290"/>
      <c r="I797" s="291" t="str">
        <f>Controle!I797</f>
        <v/>
      </c>
      <c r="J797" s="233" t="str">
        <f>Controle!J797</f>
        <v/>
      </c>
      <c r="K797" s="292"/>
      <c r="L797" s="233" t="str">
        <f>Controle!L797</f>
        <v/>
      </c>
      <c r="M797" s="233" t="str">
        <f>Controle!M797</f>
        <v/>
      </c>
      <c r="N797" s="235" t="str">
        <f>Controle!N797</f>
        <v/>
      </c>
      <c r="O797" s="235" t="str">
        <f>Controle!O797</f>
        <v/>
      </c>
      <c r="P797" s="235" t="str">
        <f>Controle!P797</f>
        <v/>
      </c>
      <c r="Q797" s="235" t="str">
        <f>Controle!Q797</f>
        <v/>
      </c>
      <c r="R797" s="286" t="str">
        <f>Controle!R797</f>
        <v/>
      </c>
      <c r="S797" s="286"/>
      <c r="T797" s="286"/>
      <c r="U797" s="286"/>
      <c r="V797" s="286"/>
      <c r="W797" s="286"/>
      <c r="X797" s="286"/>
      <c r="Y797" s="286"/>
      <c r="Z797" s="286"/>
      <c r="AA797" s="294"/>
      <c r="AB797" s="253"/>
      <c r="AC797" s="253"/>
      <c r="AD797" s="253"/>
      <c r="AE797" s="253"/>
      <c r="AF797" s="253"/>
      <c r="AG797" s="253"/>
      <c r="AH797" s="253"/>
      <c r="AI797" s="253"/>
      <c r="AJ797" s="253"/>
      <c r="AK797" s="253"/>
      <c r="AL797" s="253"/>
      <c r="AM797" s="253"/>
      <c r="AN797" s="253"/>
      <c r="AO797" s="253"/>
      <c r="AP797" s="253"/>
      <c r="AQ797" s="253"/>
      <c r="AR797" s="253"/>
      <c r="AS797" s="253"/>
      <c r="AT797" s="2"/>
      <c r="AU797" s="2"/>
      <c r="AV797" s="2"/>
      <c r="AW797" s="2"/>
      <c r="AX797" s="2"/>
      <c r="AY797" s="253"/>
    </row>
    <row r="798" ht="15.75" customHeight="1">
      <c r="A798" s="2"/>
      <c r="B798" s="288" t="str">
        <f>Controle!B798</f>
        <v/>
      </c>
      <c r="C798" s="233" t="str">
        <f>Controle!C798</f>
        <v/>
      </c>
      <c r="D798" s="289" t="str">
        <f>Controle!D798</f>
        <v/>
      </c>
      <c r="E798" s="290"/>
      <c r="F798" s="291" t="str">
        <f>Controle!F798</f>
        <v/>
      </c>
      <c r="G798" s="289" t="str">
        <f>Controle!G798</f>
        <v/>
      </c>
      <c r="H798" s="290"/>
      <c r="I798" s="291" t="str">
        <f>Controle!I798</f>
        <v/>
      </c>
      <c r="J798" s="233" t="str">
        <f>Controle!J798</f>
        <v/>
      </c>
      <c r="K798" s="292"/>
      <c r="L798" s="233" t="str">
        <f>Controle!L798</f>
        <v/>
      </c>
      <c r="M798" s="233" t="str">
        <f>Controle!M798</f>
        <v/>
      </c>
      <c r="N798" s="235" t="str">
        <f>Controle!N798</f>
        <v/>
      </c>
      <c r="O798" s="235" t="str">
        <f>Controle!O798</f>
        <v/>
      </c>
      <c r="P798" s="235" t="str">
        <f>Controle!P798</f>
        <v/>
      </c>
      <c r="Q798" s="235" t="str">
        <f>Controle!Q798</f>
        <v/>
      </c>
      <c r="R798" s="286" t="str">
        <f>Controle!R798</f>
        <v/>
      </c>
      <c r="S798" s="286"/>
      <c r="T798" s="286"/>
      <c r="U798" s="286"/>
      <c r="V798" s="286"/>
      <c r="W798" s="286"/>
      <c r="X798" s="286"/>
      <c r="Y798" s="286"/>
      <c r="Z798" s="286"/>
      <c r="AA798" s="294"/>
      <c r="AB798" s="253"/>
      <c r="AC798" s="253"/>
      <c r="AD798" s="253"/>
      <c r="AE798" s="253"/>
      <c r="AF798" s="253"/>
      <c r="AG798" s="253"/>
      <c r="AH798" s="253"/>
      <c r="AI798" s="253"/>
      <c r="AJ798" s="253"/>
      <c r="AK798" s="253"/>
      <c r="AL798" s="253"/>
      <c r="AM798" s="253"/>
      <c r="AN798" s="253"/>
      <c r="AO798" s="253"/>
      <c r="AP798" s="253"/>
      <c r="AQ798" s="253"/>
      <c r="AR798" s="253"/>
      <c r="AS798" s="253"/>
      <c r="AT798" s="2"/>
      <c r="AU798" s="2"/>
      <c r="AV798" s="2"/>
      <c r="AW798" s="2"/>
      <c r="AX798" s="2"/>
      <c r="AY798" s="253"/>
    </row>
    <row r="799" ht="15.75" customHeight="1">
      <c r="A799" s="2"/>
      <c r="B799" s="288" t="str">
        <f>Controle!B799</f>
        <v/>
      </c>
      <c r="C799" s="233" t="str">
        <f>Controle!C799</f>
        <v/>
      </c>
      <c r="D799" s="289" t="str">
        <f>Controle!D799</f>
        <v/>
      </c>
      <c r="E799" s="290"/>
      <c r="F799" s="291" t="str">
        <f>Controle!F799</f>
        <v/>
      </c>
      <c r="G799" s="289" t="str">
        <f>Controle!G799</f>
        <v/>
      </c>
      <c r="H799" s="290"/>
      <c r="I799" s="291" t="str">
        <f>Controle!I799</f>
        <v/>
      </c>
      <c r="J799" s="233" t="str">
        <f>Controle!J799</f>
        <v/>
      </c>
      <c r="K799" s="292"/>
      <c r="L799" s="233" t="str">
        <f>Controle!L799</f>
        <v/>
      </c>
      <c r="M799" s="233" t="str">
        <f>Controle!M799</f>
        <v/>
      </c>
      <c r="N799" s="235" t="str">
        <f>Controle!N799</f>
        <v/>
      </c>
      <c r="O799" s="235" t="str">
        <f>Controle!O799</f>
        <v/>
      </c>
      <c r="P799" s="235" t="str">
        <f>Controle!P799</f>
        <v/>
      </c>
      <c r="Q799" s="235" t="str">
        <f>Controle!Q799</f>
        <v/>
      </c>
      <c r="R799" s="286" t="str">
        <f>Controle!R799</f>
        <v/>
      </c>
      <c r="S799" s="286"/>
      <c r="T799" s="286"/>
      <c r="U799" s="286"/>
      <c r="V799" s="286"/>
      <c r="W799" s="286"/>
      <c r="X799" s="286"/>
      <c r="Y799" s="286"/>
      <c r="Z799" s="286"/>
      <c r="AA799" s="294"/>
      <c r="AB799" s="253"/>
      <c r="AC799" s="253"/>
      <c r="AD799" s="253"/>
      <c r="AE799" s="253"/>
      <c r="AF799" s="253"/>
      <c r="AG799" s="253"/>
      <c r="AH799" s="253"/>
      <c r="AI799" s="253"/>
      <c r="AJ799" s="253"/>
      <c r="AK799" s="253"/>
      <c r="AL799" s="253"/>
      <c r="AM799" s="253"/>
      <c r="AN799" s="253"/>
      <c r="AO799" s="253"/>
      <c r="AP799" s="253"/>
      <c r="AQ799" s="253"/>
      <c r="AR799" s="253"/>
      <c r="AS799" s="253"/>
      <c r="AT799" s="2"/>
      <c r="AU799" s="2"/>
      <c r="AV799" s="2"/>
      <c r="AW799" s="2"/>
      <c r="AX799" s="2"/>
      <c r="AY799" s="253"/>
    </row>
    <row r="800" ht="15.75" customHeight="1">
      <c r="A800" s="2"/>
      <c r="B800" s="288" t="str">
        <f>Controle!B800</f>
        <v/>
      </c>
      <c r="C800" s="233" t="str">
        <f>Controle!C800</f>
        <v/>
      </c>
      <c r="D800" s="289" t="str">
        <f>Controle!D800</f>
        <v/>
      </c>
      <c r="E800" s="290"/>
      <c r="F800" s="291" t="str">
        <f>Controle!F800</f>
        <v/>
      </c>
      <c r="G800" s="289" t="str">
        <f>Controle!G800</f>
        <v/>
      </c>
      <c r="H800" s="290"/>
      <c r="I800" s="291" t="str">
        <f>Controle!I800</f>
        <v/>
      </c>
      <c r="J800" s="233" t="str">
        <f>Controle!J800</f>
        <v/>
      </c>
      <c r="K800" s="292"/>
      <c r="L800" s="233" t="str">
        <f>Controle!L800</f>
        <v/>
      </c>
      <c r="M800" s="233" t="str">
        <f>Controle!M800</f>
        <v/>
      </c>
      <c r="N800" s="235" t="str">
        <f>Controle!N800</f>
        <v/>
      </c>
      <c r="O800" s="235" t="str">
        <f>Controle!O800</f>
        <v/>
      </c>
      <c r="P800" s="235" t="str">
        <f>Controle!P800</f>
        <v/>
      </c>
      <c r="Q800" s="235" t="str">
        <f>Controle!Q800</f>
        <v/>
      </c>
      <c r="R800" s="286" t="str">
        <f>Controle!R800</f>
        <v/>
      </c>
      <c r="S800" s="286"/>
      <c r="T800" s="286"/>
      <c r="U800" s="286"/>
      <c r="V800" s="286"/>
      <c r="W800" s="286"/>
      <c r="X800" s="286"/>
      <c r="Y800" s="286"/>
      <c r="Z800" s="286"/>
      <c r="AA800" s="294"/>
      <c r="AB800" s="253"/>
      <c r="AC800" s="253"/>
      <c r="AD800" s="253"/>
      <c r="AE800" s="253"/>
      <c r="AF800" s="253"/>
      <c r="AG800" s="253"/>
      <c r="AH800" s="253"/>
      <c r="AI800" s="253"/>
      <c r="AJ800" s="253"/>
      <c r="AK800" s="253"/>
      <c r="AL800" s="253"/>
      <c r="AM800" s="253"/>
      <c r="AN800" s="253"/>
      <c r="AO800" s="253"/>
      <c r="AP800" s="253"/>
      <c r="AQ800" s="253"/>
      <c r="AR800" s="253"/>
      <c r="AS800" s="253"/>
      <c r="AT800" s="2"/>
      <c r="AU800" s="2"/>
      <c r="AV800" s="2"/>
      <c r="AW800" s="2"/>
      <c r="AX800" s="2"/>
      <c r="AY800" s="253"/>
    </row>
    <row r="801" ht="15.75" customHeight="1">
      <c r="A801" s="2"/>
      <c r="B801" s="288" t="str">
        <f>Controle!B801</f>
        <v/>
      </c>
      <c r="C801" s="233" t="str">
        <f>Controle!C801</f>
        <v/>
      </c>
      <c r="D801" s="289" t="str">
        <f>Controle!D801</f>
        <v/>
      </c>
      <c r="E801" s="290"/>
      <c r="F801" s="291" t="str">
        <f>Controle!F801</f>
        <v/>
      </c>
      <c r="G801" s="289" t="str">
        <f>Controle!G801</f>
        <v/>
      </c>
      <c r="H801" s="290"/>
      <c r="I801" s="291" t="str">
        <f>Controle!I801</f>
        <v/>
      </c>
      <c r="J801" s="233" t="str">
        <f>Controle!J801</f>
        <v/>
      </c>
      <c r="K801" s="292"/>
      <c r="L801" s="233" t="str">
        <f>Controle!L801</f>
        <v/>
      </c>
      <c r="M801" s="233" t="str">
        <f>Controle!M801</f>
        <v/>
      </c>
      <c r="N801" s="235" t="str">
        <f>Controle!N801</f>
        <v/>
      </c>
      <c r="O801" s="235" t="str">
        <f>Controle!O801</f>
        <v/>
      </c>
      <c r="P801" s="235" t="str">
        <f>Controle!P801</f>
        <v/>
      </c>
      <c r="Q801" s="235" t="str">
        <f>Controle!Q801</f>
        <v/>
      </c>
      <c r="R801" s="286" t="str">
        <f>Controle!R801</f>
        <v/>
      </c>
      <c r="S801" s="286"/>
      <c r="T801" s="286"/>
      <c r="U801" s="286"/>
      <c r="V801" s="286"/>
      <c r="W801" s="286"/>
      <c r="X801" s="286"/>
      <c r="Y801" s="286"/>
      <c r="Z801" s="286"/>
      <c r="AA801" s="294"/>
      <c r="AB801" s="253"/>
      <c r="AC801" s="253"/>
      <c r="AD801" s="253"/>
      <c r="AE801" s="253"/>
      <c r="AF801" s="253"/>
      <c r="AG801" s="253"/>
      <c r="AH801" s="253"/>
      <c r="AI801" s="253"/>
      <c r="AJ801" s="253"/>
      <c r="AK801" s="253"/>
      <c r="AL801" s="253"/>
      <c r="AM801" s="253"/>
      <c r="AN801" s="253"/>
      <c r="AO801" s="253"/>
      <c r="AP801" s="253"/>
      <c r="AQ801" s="253"/>
      <c r="AR801" s="253"/>
      <c r="AS801" s="253"/>
      <c r="AT801" s="2"/>
      <c r="AU801" s="2"/>
      <c r="AV801" s="2"/>
      <c r="AW801" s="2"/>
      <c r="AX801" s="2"/>
      <c r="AY801" s="253"/>
    </row>
    <row r="802" ht="15.75" customHeight="1">
      <c r="A802" s="2"/>
      <c r="B802" s="288" t="str">
        <f>Controle!B802</f>
        <v/>
      </c>
      <c r="C802" s="233" t="str">
        <f>Controle!C802</f>
        <v/>
      </c>
      <c r="D802" s="289" t="str">
        <f>Controle!D802</f>
        <v/>
      </c>
      <c r="E802" s="290"/>
      <c r="F802" s="291" t="str">
        <f>Controle!F802</f>
        <v/>
      </c>
      <c r="G802" s="289" t="str">
        <f>Controle!G802</f>
        <v/>
      </c>
      <c r="H802" s="290"/>
      <c r="I802" s="291" t="str">
        <f>Controle!I802</f>
        <v/>
      </c>
      <c r="J802" s="233" t="str">
        <f>Controle!J802</f>
        <v/>
      </c>
      <c r="K802" s="292"/>
      <c r="L802" s="233" t="str">
        <f>Controle!L802</f>
        <v/>
      </c>
      <c r="M802" s="233" t="str">
        <f>Controle!M802</f>
        <v/>
      </c>
      <c r="N802" s="235" t="str">
        <f>Controle!N802</f>
        <v/>
      </c>
      <c r="O802" s="235" t="str">
        <f>Controle!O802</f>
        <v/>
      </c>
      <c r="P802" s="235" t="str">
        <f>Controle!P802</f>
        <v/>
      </c>
      <c r="Q802" s="235" t="str">
        <f>Controle!Q802</f>
        <v/>
      </c>
      <c r="R802" s="286" t="str">
        <f>Controle!R802</f>
        <v/>
      </c>
      <c r="S802" s="286"/>
      <c r="T802" s="286"/>
      <c r="U802" s="286"/>
      <c r="V802" s="286"/>
      <c r="W802" s="286"/>
      <c r="X802" s="286"/>
      <c r="Y802" s="286"/>
      <c r="Z802" s="286"/>
      <c r="AA802" s="294"/>
      <c r="AB802" s="253"/>
      <c r="AC802" s="253"/>
      <c r="AD802" s="253"/>
      <c r="AE802" s="253"/>
      <c r="AF802" s="253"/>
      <c r="AG802" s="253"/>
      <c r="AH802" s="253"/>
      <c r="AI802" s="253"/>
      <c r="AJ802" s="253"/>
      <c r="AK802" s="253"/>
      <c r="AL802" s="253"/>
      <c r="AM802" s="253"/>
      <c r="AN802" s="253"/>
      <c r="AO802" s="253"/>
      <c r="AP802" s="253"/>
      <c r="AQ802" s="253"/>
      <c r="AR802" s="253"/>
      <c r="AS802" s="253"/>
      <c r="AT802" s="2"/>
      <c r="AU802" s="2"/>
      <c r="AV802" s="2"/>
      <c r="AW802" s="2"/>
      <c r="AX802" s="2"/>
      <c r="AY802" s="253"/>
    </row>
    <row r="803" ht="15.75" customHeight="1">
      <c r="A803" s="2"/>
      <c r="B803" s="288" t="str">
        <f>Controle!B803</f>
        <v/>
      </c>
      <c r="C803" s="233" t="str">
        <f>Controle!C803</f>
        <v/>
      </c>
      <c r="D803" s="289" t="str">
        <f>Controle!D803</f>
        <v/>
      </c>
      <c r="E803" s="290"/>
      <c r="F803" s="291" t="str">
        <f>Controle!F803</f>
        <v/>
      </c>
      <c r="G803" s="289" t="str">
        <f>Controle!G803</f>
        <v/>
      </c>
      <c r="H803" s="290"/>
      <c r="I803" s="291" t="str">
        <f>Controle!I803</f>
        <v/>
      </c>
      <c r="J803" s="233" t="str">
        <f>Controle!J803</f>
        <v/>
      </c>
      <c r="K803" s="292"/>
      <c r="L803" s="233" t="str">
        <f>Controle!L803</f>
        <v/>
      </c>
      <c r="M803" s="233" t="str">
        <f>Controle!M803</f>
        <v/>
      </c>
      <c r="N803" s="235" t="str">
        <f>Controle!N803</f>
        <v/>
      </c>
      <c r="O803" s="235" t="str">
        <f>Controle!O803</f>
        <v/>
      </c>
      <c r="P803" s="235" t="str">
        <f>Controle!P803</f>
        <v/>
      </c>
      <c r="Q803" s="235" t="str">
        <f>Controle!Q803</f>
        <v/>
      </c>
      <c r="R803" s="286" t="str">
        <f>Controle!R803</f>
        <v/>
      </c>
      <c r="S803" s="286"/>
      <c r="T803" s="286"/>
      <c r="U803" s="286"/>
      <c r="V803" s="286"/>
      <c r="W803" s="286"/>
      <c r="X803" s="286"/>
      <c r="Y803" s="286"/>
      <c r="Z803" s="286"/>
      <c r="AA803" s="294"/>
      <c r="AB803" s="253"/>
      <c r="AC803" s="253"/>
      <c r="AD803" s="253"/>
      <c r="AE803" s="253"/>
      <c r="AF803" s="253"/>
      <c r="AG803" s="253"/>
      <c r="AH803" s="253"/>
      <c r="AI803" s="253"/>
      <c r="AJ803" s="253"/>
      <c r="AK803" s="253"/>
      <c r="AL803" s="253"/>
      <c r="AM803" s="253"/>
      <c r="AN803" s="253"/>
      <c r="AO803" s="253"/>
      <c r="AP803" s="253"/>
      <c r="AQ803" s="253"/>
      <c r="AR803" s="253"/>
      <c r="AS803" s="253"/>
      <c r="AT803" s="2"/>
      <c r="AU803" s="2"/>
      <c r="AV803" s="2"/>
      <c r="AW803" s="2"/>
      <c r="AX803" s="2"/>
      <c r="AY803" s="253"/>
    </row>
    <row r="804" ht="15.75" customHeight="1">
      <c r="A804" s="2"/>
      <c r="B804" s="288" t="str">
        <f>Controle!B804</f>
        <v/>
      </c>
      <c r="C804" s="233" t="str">
        <f>Controle!C804</f>
        <v/>
      </c>
      <c r="D804" s="289" t="str">
        <f>Controle!D804</f>
        <v/>
      </c>
      <c r="E804" s="290"/>
      <c r="F804" s="291" t="str">
        <f>Controle!F804</f>
        <v/>
      </c>
      <c r="G804" s="289" t="str">
        <f>Controle!G804</f>
        <v/>
      </c>
      <c r="H804" s="290"/>
      <c r="I804" s="291" t="str">
        <f>Controle!I804</f>
        <v/>
      </c>
      <c r="J804" s="233" t="str">
        <f>Controle!J804</f>
        <v/>
      </c>
      <c r="K804" s="292"/>
      <c r="L804" s="233" t="str">
        <f>Controle!L804</f>
        <v/>
      </c>
      <c r="M804" s="233" t="str">
        <f>Controle!M804</f>
        <v/>
      </c>
      <c r="N804" s="235" t="str">
        <f>Controle!N804</f>
        <v/>
      </c>
      <c r="O804" s="235" t="str">
        <f>Controle!O804</f>
        <v/>
      </c>
      <c r="P804" s="235" t="str">
        <f>Controle!P804</f>
        <v/>
      </c>
      <c r="Q804" s="235" t="str">
        <f>Controle!Q804</f>
        <v/>
      </c>
      <c r="R804" s="286" t="str">
        <f>Controle!R804</f>
        <v/>
      </c>
      <c r="S804" s="286"/>
      <c r="T804" s="286"/>
      <c r="U804" s="286"/>
      <c r="V804" s="286"/>
      <c r="W804" s="286"/>
      <c r="X804" s="286"/>
      <c r="Y804" s="286"/>
      <c r="Z804" s="286"/>
      <c r="AA804" s="294"/>
      <c r="AB804" s="253"/>
      <c r="AC804" s="253"/>
      <c r="AD804" s="253"/>
      <c r="AE804" s="253"/>
      <c r="AF804" s="253"/>
      <c r="AG804" s="253"/>
      <c r="AH804" s="253"/>
      <c r="AI804" s="253"/>
      <c r="AJ804" s="253"/>
      <c r="AK804" s="253"/>
      <c r="AL804" s="253"/>
      <c r="AM804" s="253"/>
      <c r="AN804" s="253"/>
      <c r="AO804" s="253"/>
      <c r="AP804" s="253"/>
      <c r="AQ804" s="253"/>
      <c r="AR804" s="253"/>
      <c r="AS804" s="253"/>
      <c r="AT804" s="2"/>
      <c r="AU804" s="2"/>
      <c r="AV804" s="2"/>
      <c r="AW804" s="2"/>
      <c r="AX804" s="2"/>
      <c r="AY804" s="253"/>
    </row>
    <row r="805" ht="15.75" customHeight="1">
      <c r="A805" s="2"/>
      <c r="B805" s="288" t="str">
        <f>Controle!B805</f>
        <v/>
      </c>
      <c r="C805" s="233" t="str">
        <f>Controle!C805</f>
        <v/>
      </c>
      <c r="D805" s="289" t="str">
        <f>Controle!D805</f>
        <v/>
      </c>
      <c r="E805" s="290"/>
      <c r="F805" s="291" t="str">
        <f>Controle!F805</f>
        <v/>
      </c>
      <c r="G805" s="289" t="str">
        <f>Controle!G805</f>
        <v/>
      </c>
      <c r="H805" s="290"/>
      <c r="I805" s="291" t="str">
        <f>Controle!I805</f>
        <v/>
      </c>
      <c r="J805" s="233" t="str">
        <f>Controle!J805</f>
        <v/>
      </c>
      <c r="K805" s="292"/>
      <c r="L805" s="233" t="str">
        <f>Controle!L805</f>
        <v/>
      </c>
      <c r="M805" s="233" t="str">
        <f>Controle!M805</f>
        <v/>
      </c>
      <c r="N805" s="235" t="str">
        <f>Controle!N805</f>
        <v/>
      </c>
      <c r="O805" s="235" t="str">
        <f>Controle!O805</f>
        <v/>
      </c>
      <c r="P805" s="235" t="str">
        <f>Controle!P805</f>
        <v/>
      </c>
      <c r="Q805" s="235" t="str">
        <f>Controle!Q805</f>
        <v/>
      </c>
      <c r="R805" s="286" t="str">
        <f>Controle!R805</f>
        <v/>
      </c>
      <c r="S805" s="286"/>
      <c r="T805" s="286"/>
      <c r="U805" s="286"/>
      <c r="V805" s="286"/>
      <c r="W805" s="286"/>
      <c r="X805" s="286"/>
      <c r="Y805" s="286"/>
      <c r="Z805" s="286"/>
      <c r="AA805" s="294"/>
      <c r="AB805" s="253"/>
      <c r="AC805" s="253"/>
      <c r="AD805" s="253"/>
      <c r="AE805" s="253"/>
      <c r="AF805" s="253"/>
      <c r="AG805" s="253"/>
      <c r="AH805" s="253"/>
      <c r="AI805" s="253"/>
      <c r="AJ805" s="253"/>
      <c r="AK805" s="253"/>
      <c r="AL805" s="253"/>
      <c r="AM805" s="253"/>
      <c r="AN805" s="253"/>
      <c r="AO805" s="253"/>
      <c r="AP805" s="253"/>
      <c r="AQ805" s="253"/>
      <c r="AR805" s="253"/>
      <c r="AS805" s="253"/>
      <c r="AT805" s="2"/>
      <c r="AU805" s="2"/>
      <c r="AV805" s="2"/>
      <c r="AW805" s="2"/>
      <c r="AX805" s="2"/>
      <c r="AY805" s="253"/>
    </row>
    <row r="806" ht="15.75" customHeight="1">
      <c r="A806" s="2"/>
      <c r="B806" s="288" t="str">
        <f>Controle!B806</f>
        <v/>
      </c>
      <c r="C806" s="233" t="str">
        <f>Controle!C806</f>
        <v/>
      </c>
      <c r="D806" s="289" t="str">
        <f>Controle!D806</f>
        <v/>
      </c>
      <c r="E806" s="290"/>
      <c r="F806" s="291" t="str">
        <f>Controle!F806</f>
        <v/>
      </c>
      <c r="G806" s="289" t="str">
        <f>Controle!G806</f>
        <v/>
      </c>
      <c r="H806" s="290"/>
      <c r="I806" s="291" t="str">
        <f>Controle!I806</f>
        <v/>
      </c>
      <c r="J806" s="233" t="str">
        <f>Controle!J806</f>
        <v/>
      </c>
      <c r="K806" s="292"/>
      <c r="L806" s="233" t="str">
        <f>Controle!L806</f>
        <v/>
      </c>
      <c r="M806" s="233" t="str">
        <f>Controle!M806</f>
        <v/>
      </c>
      <c r="N806" s="235" t="str">
        <f>Controle!N806</f>
        <v/>
      </c>
      <c r="O806" s="235" t="str">
        <f>Controle!O806</f>
        <v/>
      </c>
      <c r="P806" s="235" t="str">
        <f>Controle!P806</f>
        <v/>
      </c>
      <c r="Q806" s="235" t="str">
        <f>Controle!Q806</f>
        <v/>
      </c>
      <c r="R806" s="286" t="str">
        <f>Controle!R806</f>
        <v/>
      </c>
      <c r="S806" s="286"/>
      <c r="T806" s="286"/>
      <c r="U806" s="286"/>
      <c r="V806" s="286"/>
      <c r="W806" s="286"/>
      <c r="X806" s="286"/>
      <c r="Y806" s="286"/>
      <c r="Z806" s="286"/>
      <c r="AA806" s="294"/>
      <c r="AB806" s="253"/>
      <c r="AC806" s="253"/>
      <c r="AD806" s="253"/>
      <c r="AE806" s="253"/>
      <c r="AF806" s="253"/>
      <c r="AG806" s="253"/>
      <c r="AH806" s="253"/>
      <c r="AI806" s="253"/>
      <c r="AJ806" s="253"/>
      <c r="AK806" s="253"/>
      <c r="AL806" s="253"/>
      <c r="AM806" s="253"/>
      <c r="AN806" s="253"/>
      <c r="AO806" s="253"/>
      <c r="AP806" s="253"/>
      <c r="AQ806" s="253"/>
      <c r="AR806" s="253"/>
      <c r="AS806" s="253"/>
      <c r="AT806" s="2"/>
      <c r="AU806" s="2"/>
      <c r="AV806" s="2"/>
      <c r="AW806" s="2"/>
      <c r="AX806" s="2"/>
      <c r="AY806" s="253"/>
    </row>
    <row r="807" ht="15.75" customHeight="1">
      <c r="A807" s="2"/>
      <c r="B807" s="288" t="str">
        <f>Controle!B807</f>
        <v/>
      </c>
      <c r="C807" s="233" t="str">
        <f>Controle!C807</f>
        <v/>
      </c>
      <c r="D807" s="289" t="str">
        <f>Controle!D807</f>
        <v/>
      </c>
      <c r="E807" s="290"/>
      <c r="F807" s="291" t="str">
        <f>Controle!F807</f>
        <v/>
      </c>
      <c r="G807" s="289" t="str">
        <f>Controle!G807</f>
        <v/>
      </c>
      <c r="H807" s="290"/>
      <c r="I807" s="291" t="str">
        <f>Controle!I807</f>
        <v/>
      </c>
      <c r="J807" s="233" t="str">
        <f>Controle!J807</f>
        <v/>
      </c>
      <c r="K807" s="292"/>
      <c r="L807" s="233" t="str">
        <f>Controle!L807</f>
        <v/>
      </c>
      <c r="M807" s="233" t="str">
        <f>Controle!M807</f>
        <v/>
      </c>
      <c r="N807" s="235" t="str">
        <f>Controle!N807</f>
        <v/>
      </c>
      <c r="O807" s="235" t="str">
        <f>Controle!O807</f>
        <v/>
      </c>
      <c r="P807" s="235" t="str">
        <f>Controle!P807</f>
        <v/>
      </c>
      <c r="Q807" s="235" t="str">
        <f>Controle!Q807</f>
        <v/>
      </c>
      <c r="R807" s="286" t="str">
        <f>Controle!R807</f>
        <v/>
      </c>
      <c r="S807" s="286"/>
      <c r="T807" s="286"/>
      <c r="U807" s="286"/>
      <c r="V807" s="286"/>
      <c r="W807" s="286"/>
      <c r="X807" s="286"/>
      <c r="Y807" s="286"/>
      <c r="Z807" s="286"/>
      <c r="AA807" s="294"/>
      <c r="AB807" s="253"/>
      <c r="AC807" s="253"/>
      <c r="AD807" s="253"/>
      <c r="AE807" s="253"/>
      <c r="AF807" s="253"/>
      <c r="AG807" s="253"/>
      <c r="AH807" s="253"/>
      <c r="AI807" s="253"/>
      <c r="AJ807" s="253"/>
      <c r="AK807" s="253"/>
      <c r="AL807" s="253"/>
      <c r="AM807" s="253"/>
      <c r="AN807" s="253"/>
      <c r="AO807" s="253"/>
      <c r="AP807" s="253"/>
      <c r="AQ807" s="253"/>
      <c r="AR807" s="253"/>
      <c r="AS807" s="253"/>
      <c r="AT807" s="2"/>
      <c r="AU807" s="2"/>
      <c r="AV807" s="2"/>
      <c r="AW807" s="2"/>
      <c r="AX807" s="2"/>
      <c r="AY807" s="253"/>
    </row>
    <row r="808" ht="15.75" customHeight="1">
      <c r="A808" s="2"/>
      <c r="B808" s="288" t="str">
        <f>Controle!B808</f>
        <v/>
      </c>
      <c r="C808" s="233" t="str">
        <f>Controle!C808</f>
        <v/>
      </c>
      <c r="D808" s="289" t="str">
        <f>Controle!D808</f>
        <v/>
      </c>
      <c r="E808" s="290"/>
      <c r="F808" s="291" t="str">
        <f>Controle!F808</f>
        <v/>
      </c>
      <c r="G808" s="289" t="str">
        <f>Controle!G808</f>
        <v/>
      </c>
      <c r="H808" s="290"/>
      <c r="I808" s="291" t="str">
        <f>Controle!I808</f>
        <v/>
      </c>
      <c r="J808" s="233" t="str">
        <f>Controle!J808</f>
        <v/>
      </c>
      <c r="K808" s="292"/>
      <c r="L808" s="233" t="str">
        <f>Controle!L808</f>
        <v/>
      </c>
      <c r="M808" s="233" t="str">
        <f>Controle!M808</f>
        <v/>
      </c>
      <c r="N808" s="235" t="str">
        <f>Controle!N808</f>
        <v/>
      </c>
      <c r="O808" s="235" t="str">
        <f>Controle!O808</f>
        <v/>
      </c>
      <c r="P808" s="235" t="str">
        <f>Controle!P808</f>
        <v/>
      </c>
      <c r="Q808" s="235" t="str">
        <f>Controle!Q808</f>
        <v/>
      </c>
      <c r="R808" s="286" t="str">
        <f>Controle!R808</f>
        <v/>
      </c>
      <c r="S808" s="286"/>
      <c r="T808" s="286"/>
      <c r="U808" s="286"/>
      <c r="V808" s="286"/>
      <c r="W808" s="286"/>
      <c r="X808" s="286"/>
      <c r="Y808" s="286"/>
      <c r="Z808" s="286"/>
      <c r="AA808" s="294"/>
      <c r="AB808" s="253"/>
      <c r="AC808" s="253"/>
      <c r="AD808" s="253"/>
      <c r="AE808" s="253"/>
      <c r="AF808" s="253"/>
      <c r="AG808" s="253"/>
      <c r="AH808" s="253"/>
      <c r="AI808" s="253"/>
      <c r="AJ808" s="253"/>
      <c r="AK808" s="253"/>
      <c r="AL808" s="253"/>
      <c r="AM808" s="253"/>
      <c r="AN808" s="253"/>
      <c r="AO808" s="253"/>
      <c r="AP808" s="253"/>
      <c r="AQ808" s="253"/>
      <c r="AR808" s="253"/>
      <c r="AS808" s="253"/>
      <c r="AT808" s="2"/>
      <c r="AU808" s="2"/>
      <c r="AV808" s="2"/>
      <c r="AW808" s="2"/>
      <c r="AX808" s="2"/>
      <c r="AY808" s="253"/>
    </row>
    <row r="809" ht="15.75" customHeight="1">
      <c r="A809" s="2"/>
      <c r="B809" s="288" t="str">
        <f>Controle!B809</f>
        <v/>
      </c>
      <c r="C809" s="233" t="str">
        <f>Controle!C809</f>
        <v/>
      </c>
      <c r="D809" s="289" t="str">
        <f>Controle!D809</f>
        <v/>
      </c>
      <c r="E809" s="290"/>
      <c r="F809" s="291" t="str">
        <f>Controle!F809</f>
        <v/>
      </c>
      <c r="G809" s="289" t="str">
        <f>Controle!G809</f>
        <v/>
      </c>
      <c r="H809" s="290"/>
      <c r="I809" s="291" t="str">
        <f>Controle!I809</f>
        <v/>
      </c>
      <c r="J809" s="233" t="str">
        <f>Controle!J809</f>
        <v/>
      </c>
      <c r="K809" s="292"/>
      <c r="L809" s="233" t="str">
        <f>Controle!L809</f>
        <v/>
      </c>
      <c r="M809" s="233" t="str">
        <f>Controle!M809</f>
        <v/>
      </c>
      <c r="N809" s="235" t="str">
        <f>Controle!N809</f>
        <v/>
      </c>
      <c r="O809" s="235" t="str">
        <f>Controle!O809</f>
        <v/>
      </c>
      <c r="P809" s="235" t="str">
        <f>Controle!P809</f>
        <v/>
      </c>
      <c r="Q809" s="235" t="str">
        <f>Controle!Q809</f>
        <v/>
      </c>
      <c r="R809" s="286" t="str">
        <f>Controle!R809</f>
        <v/>
      </c>
      <c r="S809" s="286"/>
      <c r="T809" s="286"/>
      <c r="U809" s="286"/>
      <c r="V809" s="286"/>
      <c r="W809" s="286"/>
      <c r="X809" s="286"/>
      <c r="Y809" s="286"/>
      <c r="Z809" s="286"/>
      <c r="AA809" s="294"/>
      <c r="AB809" s="253"/>
      <c r="AC809" s="253"/>
      <c r="AD809" s="253"/>
      <c r="AE809" s="253"/>
      <c r="AF809" s="253"/>
      <c r="AG809" s="253"/>
      <c r="AH809" s="253"/>
      <c r="AI809" s="253"/>
      <c r="AJ809" s="253"/>
      <c r="AK809" s="253"/>
      <c r="AL809" s="253"/>
      <c r="AM809" s="253"/>
      <c r="AN809" s="253"/>
      <c r="AO809" s="253"/>
      <c r="AP809" s="253"/>
      <c r="AQ809" s="253"/>
      <c r="AR809" s="253"/>
      <c r="AS809" s="253"/>
      <c r="AT809" s="2"/>
      <c r="AU809" s="2"/>
      <c r="AV809" s="2"/>
      <c r="AW809" s="2"/>
      <c r="AX809" s="2"/>
      <c r="AY809" s="253"/>
    </row>
    <row r="810" ht="15.75" customHeight="1">
      <c r="A810" s="2"/>
      <c r="B810" s="288" t="str">
        <f>Controle!B810</f>
        <v/>
      </c>
      <c r="C810" s="233" t="str">
        <f>Controle!C810</f>
        <v/>
      </c>
      <c r="D810" s="289" t="str">
        <f>Controle!D810</f>
        <v/>
      </c>
      <c r="E810" s="290"/>
      <c r="F810" s="291" t="str">
        <f>Controle!F810</f>
        <v/>
      </c>
      <c r="G810" s="289" t="str">
        <f>Controle!G810</f>
        <v/>
      </c>
      <c r="H810" s="290"/>
      <c r="I810" s="291" t="str">
        <f>Controle!I810</f>
        <v/>
      </c>
      <c r="J810" s="233" t="str">
        <f>Controle!J810</f>
        <v/>
      </c>
      <c r="K810" s="292"/>
      <c r="L810" s="233" t="str">
        <f>Controle!L810</f>
        <v/>
      </c>
      <c r="M810" s="233" t="str">
        <f>Controle!M810</f>
        <v/>
      </c>
      <c r="N810" s="235" t="str">
        <f>Controle!N810</f>
        <v/>
      </c>
      <c r="O810" s="235" t="str">
        <f>Controle!O810</f>
        <v/>
      </c>
      <c r="P810" s="235" t="str">
        <f>Controle!P810</f>
        <v/>
      </c>
      <c r="Q810" s="235" t="str">
        <f>Controle!Q810</f>
        <v/>
      </c>
      <c r="R810" s="286" t="str">
        <f>Controle!R810</f>
        <v/>
      </c>
      <c r="S810" s="286"/>
      <c r="T810" s="286"/>
      <c r="U810" s="286"/>
      <c r="V810" s="286"/>
      <c r="W810" s="286"/>
      <c r="X810" s="286"/>
      <c r="Y810" s="286"/>
      <c r="Z810" s="286"/>
      <c r="AA810" s="294"/>
      <c r="AB810" s="253"/>
      <c r="AC810" s="253"/>
      <c r="AD810" s="253"/>
      <c r="AE810" s="253"/>
      <c r="AF810" s="253"/>
      <c r="AG810" s="253"/>
      <c r="AH810" s="253"/>
      <c r="AI810" s="253"/>
      <c r="AJ810" s="253"/>
      <c r="AK810" s="253"/>
      <c r="AL810" s="253"/>
      <c r="AM810" s="253"/>
      <c r="AN810" s="253"/>
      <c r="AO810" s="253"/>
      <c r="AP810" s="253"/>
      <c r="AQ810" s="253"/>
      <c r="AR810" s="253"/>
      <c r="AS810" s="253"/>
      <c r="AT810" s="2"/>
      <c r="AU810" s="2"/>
      <c r="AV810" s="2"/>
      <c r="AW810" s="2"/>
      <c r="AX810" s="2"/>
      <c r="AY810" s="253"/>
    </row>
    <row r="811" ht="15.75" customHeight="1">
      <c r="A811" s="2"/>
      <c r="B811" s="288" t="str">
        <f>Controle!B811</f>
        <v/>
      </c>
      <c r="C811" s="233" t="str">
        <f>Controle!C811</f>
        <v/>
      </c>
      <c r="D811" s="289" t="str">
        <f>Controle!D811</f>
        <v/>
      </c>
      <c r="E811" s="290"/>
      <c r="F811" s="291" t="str">
        <f>Controle!F811</f>
        <v/>
      </c>
      <c r="G811" s="289" t="str">
        <f>Controle!G811</f>
        <v/>
      </c>
      <c r="H811" s="290"/>
      <c r="I811" s="291" t="str">
        <f>Controle!I811</f>
        <v/>
      </c>
      <c r="J811" s="233" t="str">
        <f>Controle!J811</f>
        <v/>
      </c>
      <c r="K811" s="292"/>
      <c r="L811" s="233" t="str">
        <f>Controle!L811</f>
        <v/>
      </c>
      <c r="M811" s="233" t="str">
        <f>Controle!M811</f>
        <v/>
      </c>
      <c r="N811" s="235" t="str">
        <f>Controle!N811</f>
        <v/>
      </c>
      <c r="O811" s="235" t="str">
        <f>Controle!O811</f>
        <v/>
      </c>
      <c r="P811" s="235" t="str">
        <f>Controle!P811</f>
        <v/>
      </c>
      <c r="Q811" s="235" t="str">
        <f>Controle!Q811</f>
        <v/>
      </c>
      <c r="R811" s="286" t="str">
        <f>Controle!R811</f>
        <v/>
      </c>
      <c r="S811" s="286"/>
      <c r="T811" s="286"/>
      <c r="U811" s="286"/>
      <c r="V811" s="286"/>
      <c r="W811" s="286"/>
      <c r="X811" s="286"/>
      <c r="Y811" s="286"/>
      <c r="Z811" s="286"/>
      <c r="AA811" s="294"/>
      <c r="AB811" s="253"/>
      <c r="AC811" s="253"/>
      <c r="AD811" s="253"/>
      <c r="AE811" s="253"/>
      <c r="AF811" s="253"/>
      <c r="AG811" s="253"/>
      <c r="AH811" s="253"/>
      <c r="AI811" s="253"/>
      <c r="AJ811" s="253"/>
      <c r="AK811" s="253"/>
      <c r="AL811" s="253"/>
      <c r="AM811" s="253"/>
      <c r="AN811" s="253"/>
      <c r="AO811" s="253"/>
      <c r="AP811" s="253"/>
      <c r="AQ811" s="253"/>
      <c r="AR811" s="253"/>
      <c r="AS811" s="253"/>
      <c r="AT811" s="2"/>
      <c r="AU811" s="2"/>
      <c r="AV811" s="2"/>
      <c r="AW811" s="2"/>
      <c r="AX811" s="2"/>
      <c r="AY811" s="253"/>
    </row>
    <row r="812" ht="15.75" customHeight="1">
      <c r="A812" s="2"/>
      <c r="B812" s="288" t="str">
        <f>Controle!B812</f>
        <v/>
      </c>
      <c r="C812" s="233" t="str">
        <f>Controle!C812</f>
        <v/>
      </c>
      <c r="D812" s="289" t="str">
        <f>Controle!D812</f>
        <v/>
      </c>
      <c r="E812" s="290"/>
      <c r="F812" s="291" t="str">
        <f>Controle!F812</f>
        <v/>
      </c>
      <c r="G812" s="289" t="str">
        <f>Controle!G812</f>
        <v/>
      </c>
      <c r="H812" s="290"/>
      <c r="I812" s="291" t="str">
        <f>Controle!I812</f>
        <v/>
      </c>
      <c r="J812" s="233" t="str">
        <f>Controle!J812</f>
        <v/>
      </c>
      <c r="K812" s="292"/>
      <c r="L812" s="233" t="str">
        <f>Controle!L812</f>
        <v/>
      </c>
      <c r="M812" s="233" t="str">
        <f>Controle!M812</f>
        <v/>
      </c>
      <c r="N812" s="235" t="str">
        <f>Controle!N812</f>
        <v/>
      </c>
      <c r="O812" s="235" t="str">
        <f>Controle!O812</f>
        <v/>
      </c>
      <c r="P812" s="235" t="str">
        <f>Controle!P812</f>
        <v/>
      </c>
      <c r="Q812" s="235" t="str">
        <f>Controle!Q812</f>
        <v/>
      </c>
      <c r="R812" s="286" t="str">
        <f>Controle!R812</f>
        <v/>
      </c>
      <c r="S812" s="286"/>
      <c r="T812" s="286"/>
      <c r="U812" s="286"/>
      <c r="V812" s="286"/>
      <c r="W812" s="286"/>
      <c r="X812" s="286"/>
      <c r="Y812" s="286"/>
      <c r="Z812" s="286"/>
      <c r="AA812" s="294"/>
      <c r="AB812" s="253"/>
      <c r="AC812" s="253"/>
      <c r="AD812" s="253"/>
      <c r="AE812" s="253"/>
      <c r="AF812" s="253"/>
      <c r="AG812" s="253"/>
      <c r="AH812" s="253"/>
      <c r="AI812" s="253"/>
      <c r="AJ812" s="253"/>
      <c r="AK812" s="253"/>
      <c r="AL812" s="253"/>
      <c r="AM812" s="253"/>
      <c r="AN812" s="253"/>
      <c r="AO812" s="253"/>
      <c r="AP812" s="253"/>
      <c r="AQ812" s="253"/>
      <c r="AR812" s="253"/>
      <c r="AS812" s="253"/>
      <c r="AT812" s="2"/>
      <c r="AU812" s="2"/>
      <c r="AV812" s="2"/>
      <c r="AW812" s="2"/>
      <c r="AX812" s="2"/>
      <c r="AY812" s="253"/>
    </row>
    <row r="813" ht="15.75" customHeight="1">
      <c r="A813" s="2"/>
      <c r="B813" s="288" t="str">
        <f>Controle!B813</f>
        <v/>
      </c>
      <c r="C813" s="233" t="str">
        <f>Controle!C813</f>
        <v/>
      </c>
      <c r="D813" s="289" t="str">
        <f>Controle!D813</f>
        <v/>
      </c>
      <c r="E813" s="290"/>
      <c r="F813" s="291" t="str">
        <f>Controle!F813</f>
        <v/>
      </c>
      <c r="G813" s="289" t="str">
        <f>Controle!G813</f>
        <v/>
      </c>
      <c r="H813" s="290"/>
      <c r="I813" s="291" t="str">
        <f>Controle!I813</f>
        <v/>
      </c>
      <c r="J813" s="233" t="str">
        <f>Controle!J813</f>
        <v/>
      </c>
      <c r="K813" s="292"/>
      <c r="L813" s="233" t="str">
        <f>Controle!L813</f>
        <v/>
      </c>
      <c r="M813" s="233" t="str">
        <f>Controle!M813</f>
        <v/>
      </c>
      <c r="N813" s="235" t="str">
        <f>Controle!N813</f>
        <v/>
      </c>
      <c r="O813" s="235" t="str">
        <f>Controle!O813</f>
        <v/>
      </c>
      <c r="P813" s="235" t="str">
        <f>Controle!P813</f>
        <v/>
      </c>
      <c r="Q813" s="235" t="str">
        <f>Controle!Q813</f>
        <v/>
      </c>
      <c r="R813" s="286" t="str">
        <f>Controle!R813</f>
        <v/>
      </c>
      <c r="S813" s="286"/>
      <c r="T813" s="286"/>
      <c r="U813" s="286"/>
      <c r="V813" s="286"/>
      <c r="W813" s="286"/>
      <c r="X813" s="286"/>
      <c r="Y813" s="286"/>
      <c r="Z813" s="286"/>
      <c r="AA813" s="294"/>
      <c r="AB813" s="253"/>
      <c r="AC813" s="253"/>
      <c r="AD813" s="253"/>
      <c r="AE813" s="253"/>
      <c r="AF813" s="253"/>
      <c r="AG813" s="253"/>
      <c r="AH813" s="253"/>
      <c r="AI813" s="253"/>
      <c r="AJ813" s="253"/>
      <c r="AK813" s="253"/>
      <c r="AL813" s="253"/>
      <c r="AM813" s="253"/>
      <c r="AN813" s="253"/>
      <c r="AO813" s="253"/>
      <c r="AP813" s="253"/>
      <c r="AQ813" s="253"/>
      <c r="AR813" s="253"/>
      <c r="AS813" s="253"/>
      <c r="AT813" s="2"/>
      <c r="AU813" s="2"/>
      <c r="AV813" s="2"/>
      <c r="AW813" s="2"/>
      <c r="AX813" s="2"/>
      <c r="AY813" s="253"/>
    </row>
    <row r="814" ht="15.75" customHeight="1">
      <c r="A814" s="2"/>
      <c r="B814" s="288" t="str">
        <f>Controle!B814</f>
        <v/>
      </c>
      <c r="C814" s="233" t="str">
        <f>Controle!C814</f>
        <v/>
      </c>
      <c r="D814" s="289" t="str">
        <f>Controle!D814</f>
        <v/>
      </c>
      <c r="E814" s="290"/>
      <c r="F814" s="291" t="str">
        <f>Controle!F814</f>
        <v/>
      </c>
      <c r="G814" s="289" t="str">
        <f>Controle!G814</f>
        <v/>
      </c>
      <c r="H814" s="290"/>
      <c r="I814" s="291" t="str">
        <f>Controle!I814</f>
        <v/>
      </c>
      <c r="J814" s="233" t="str">
        <f>Controle!J814</f>
        <v/>
      </c>
      <c r="K814" s="292"/>
      <c r="L814" s="233" t="str">
        <f>Controle!L814</f>
        <v/>
      </c>
      <c r="M814" s="233" t="str">
        <f>Controle!M814</f>
        <v/>
      </c>
      <c r="N814" s="235" t="str">
        <f>Controle!N814</f>
        <v/>
      </c>
      <c r="O814" s="235" t="str">
        <f>Controle!O814</f>
        <v/>
      </c>
      <c r="P814" s="235" t="str">
        <f>Controle!P814</f>
        <v/>
      </c>
      <c r="Q814" s="235" t="str">
        <f>Controle!Q814</f>
        <v/>
      </c>
      <c r="R814" s="286" t="str">
        <f>Controle!R814</f>
        <v/>
      </c>
      <c r="S814" s="286"/>
      <c r="T814" s="286"/>
      <c r="U814" s="286"/>
      <c r="V814" s="286"/>
      <c r="W814" s="286"/>
      <c r="X814" s="286"/>
      <c r="Y814" s="286"/>
      <c r="Z814" s="286"/>
      <c r="AA814" s="294"/>
      <c r="AB814" s="253"/>
      <c r="AC814" s="253"/>
      <c r="AD814" s="253"/>
      <c r="AE814" s="253"/>
      <c r="AF814" s="253"/>
      <c r="AG814" s="253"/>
      <c r="AH814" s="253"/>
      <c r="AI814" s="253"/>
      <c r="AJ814" s="253"/>
      <c r="AK814" s="253"/>
      <c r="AL814" s="253"/>
      <c r="AM814" s="253"/>
      <c r="AN814" s="253"/>
      <c r="AO814" s="253"/>
      <c r="AP814" s="253"/>
      <c r="AQ814" s="253"/>
      <c r="AR814" s="253"/>
      <c r="AS814" s="253"/>
      <c r="AT814" s="2"/>
      <c r="AU814" s="2"/>
      <c r="AV814" s="2"/>
      <c r="AW814" s="2"/>
      <c r="AX814" s="2"/>
      <c r="AY814" s="253"/>
    </row>
    <row r="815" ht="15.75" customHeight="1">
      <c r="A815" s="2"/>
      <c r="B815" s="288" t="str">
        <f>Controle!B815</f>
        <v/>
      </c>
      <c r="C815" s="233" t="str">
        <f>Controle!C815</f>
        <v/>
      </c>
      <c r="D815" s="289" t="str">
        <f>Controle!D815</f>
        <v/>
      </c>
      <c r="E815" s="290"/>
      <c r="F815" s="291" t="str">
        <f>Controle!F815</f>
        <v/>
      </c>
      <c r="G815" s="289" t="str">
        <f>Controle!G815</f>
        <v/>
      </c>
      <c r="H815" s="290"/>
      <c r="I815" s="291" t="str">
        <f>Controle!I815</f>
        <v/>
      </c>
      <c r="J815" s="233" t="str">
        <f>Controle!J815</f>
        <v/>
      </c>
      <c r="K815" s="292"/>
      <c r="L815" s="233" t="str">
        <f>Controle!L815</f>
        <v/>
      </c>
      <c r="M815" s="233" t="str">
        <f>Controle!M815</f>
        <v/>
      </c>
      <c r="N815" s="235" t="str">
        <f>Controle!N815</f>
        <v/>
      </c>
      <c r="O815" s="235" t="str">
        <f>Controle!O815</f>
        <v/>
      </c>
      <c r="P815" s="235" t="str">
        <f>Controle!P815</f>
        <v/>
      </c>
      <c r="Q815" s="235" t="str">
        <f>Controle!Q815</f>
        <v/>
      </c>
      <c r="R815" s="286" t="str">
        <f>Controle!R815</f>
        <v/>
      </c>
      <c r="S815" s="286"/>
      <c r="T815" s="286"/>
      <c r="U815" s="286"/>
      <c r="V815" s="286"/>
      <c r="W815" s="286"/>
      <c r="X815" s="286"/>
      <c r="Y815" s="286"/>
      <c r="Z815" s="286"/>
      <c r="AA815" s="294"/>
      <c r="AB815" s="253"/>
      <c r="AC815" s="253"/>
      <c r="AD815" s="253"/>
      <c r="AE815" s="253"/>
      <c r="AF815" s="253"/>
      <c r="AG815" s="253"/>
      <c r="AH815" s="253"/>
      <c r="AI815" s="253"/>
      <c r="AJ815" s="253"/>
      <c r="AK815" s="253"/>
      <c r="AL815" s="253"/>
      <c r="AM815" s="253"/>
      <c r="AN815" s="253"/>
      <c r="AO815" s="253"/>
      <c r="AP815" s="253"/>
      <c r="AQ815" s="253"/>
      <c r="AR815" s="253"/>
      <c r="AS815" s="253"/>
      <c r="AT815" s="2"/>
      <c r="AU815" s="2"/>
      <c r="AV815" s="2"/>
      <c r="AW815" s="2"/>
      <c r="AX815" s="2"/>
      <c r="AY815" s="253"/>
    </row>
    <row r="816" ht="15.75" customHeight="1">
      <c r="A816" s="2"/>
      <c r="B816" s="288" t="str">
        <f>Controle!B816</f>
        <v/>
      </c>
      <c r="C816" s="233" t="str">
        <f>Controle!C816</f>
        <v/>
      </c>
      <c r="D816" s="289" t="str">
        <f>Controle!D816</f>
        <v/>
      </c>
      <c r="E816" s="290"/>
      <c r="F816" s="291" t="str">
        <f>Controle!F816</f>
        <v/>
      </c>
      <c r="G816" s="289" t="str">
        <f>Controle!G816</f>
        <v/>
      </c>
      <c r="H816" s="290"/>
      <c r="I816" s="291" t="str">
        <f>Controle!I816</f>
        <v/>
      </c>
      <c r="J816" s="233" t="str">
        <f>Controle!J816</f>
        <v/>
      </c>
      <c r="K816" s="292"/>
      <c r="L816" s="233" t="str">
        <f>Controle!L816</f>
        <v/>
      </c>
      <c r="M816" s="233" t="str">
        <f>Controle!M816</f>
        <v/>
      </c>
      <c r="N816" s="235" t="str">
        <f>Controle!N816</f>
        <v/>
      </c>
      <c r="O816" s="235" t="str">
        <f>Controle!O816</f>
        <v/>
      </c>
      <c r="P816" s="235" t="str">
        <f>Controle!P816</f>
        <v/>
      </c>
      <c r="Q816" s="235" t="str">
        <f>Controle!Q816</f>
        <v/>
      </c>
      <c r="R816" s="286" t="str">
        <f>Controle!R816</f>
        <v/>
      </c>
      <c r="S816" s="286"/>
      <c r="T816" s="286"/>
      <c r="U816" s="286"/>
      <c r="V816" s="286"/>
      <c r="W816" s="286"/>
      <c r="X816" s="286"/>
      <c r="Y816" s="286"/>
      <c r="Z816" s="286"/>
      <c r="AA816" s="294"/>
      <c r="AB816" s="253"/>
      <c r="AC816" s="253"/>
      <c r="AD816" s="253"/>
      <c r="AE816" s="253"/>
      <c r="AF816" s="253"/>
      <c r="AG816" s="253"/>
      <c r="AH816" s="253"/>
      <c r="AI816" s="253"/>
      <c r="AJ816" s="253"/>
      <c r="AK816" s="253"/>
      <c r="AL816" s="253"/>
      <c r="AM816" s="253"/>
      <c r="AN816" s="253"/>
      <c r="AO816" s="253"/>
      <c r="AP816" s="253"/>
      <c r="AQ816" s="253"/>
      <c r="AR816" s="253"/>
      <c r="AS816" s="253"/>
      <c r="AT816" s="2"/>
      <c r="AU816" s="2"/>
      <c r="AV816" s="2"/>
      <c r="AW816" s="2"/>
      <c r="AX816" s="2"/>
      <c r="AY816" s="253"/>
    </row>
    <row r="817" ht="15.75" customHeight="1">
      <c r="A817" s="2"/>
      <c r="B817" s="288" t="str">
        <f>Controle!B817</f>
        <v/>
      </c>
      <c r="C817" s="233" t="str">
        <f>Controle!C817</f>
        <v/>
      </c>
      <c r="D817" s="289" t="str">
        <f>Controle!D817</f>
        <v/>
      </c>
      <c r="E817" s="290"/>
      <c r="F817" s="291" t="str">
        <f>Controle!F817</f>
        <v/>
      </c>
      <c r="G817" s="289" t="str">
        <f>Controle!G817</f>
        <v/>
      </c>
      <c r="H817" s="290"/>
      <c r="I817" s="291" t="str">
        <f>Controle!I817</f>
        <v/>
      </c>
      <c r="J817" s="233" t="str">
        <f>Controle!J817</f>
        <v/>
      </c>
      <c r="K817" s="292"/>
      <c r="L817" s="233" t="str">
        <f>Controle!L817</f>
        <v/>
      </c>
      <c r="M817" s="233" t="str">
        <f>Controle!M817</f>
        <v/>
      </c>
      <c r="N817" s="235" t="str">
        <f>Controle!N817</f>
        <v/>
      </c>
      <c r="O817" s="235" t="str">
        <f>Controle!O817</f>
        <v/>
      </c>
      <c r="P817" s="235" t="str">
        <f>Controle!P817</f>
        <v/>
      </c>
      <c r="Q817" s="235" t="str">
        <f>Controle!Q817</f>
        <v/>
      </c>
      <c r="R817" s="286" t="str">
        <f>Controle!R817</f>
        <v/>
      </c>
      <c r="S817" s="286"/>
      <c r="T817" s="286"/>
      <c r="U817" s="286"/>
      <c r="V817" s="286"/>
      <c r="W817" s="286"/>
      <c r="X817" s="286"/>
      <c r="Y817" s="286"/>
      <c r="Z817" s="286"/>
      <c r="AA817" s="294"/>
      <c r="AB817" s="253"/>
      <c r="AC817" s="253"/>
      <c r="AD817" s="253"/>
      <c r="AE817" s="253"/>
      <c r="AF817" s="253"/>
      <c r="AG817" s="253"/>
      <c r="AH817" s="253"/>
      <c r="AI817" s="253"/>
      <c r="AJ817" s="253"/>
      <c r="AK817" s="253"/>
      <c r="AL817" s="253"/>
      <c r="AM817" s="253"/>
      <c r="AN817" s="253"/>
      <c r="AO817" s="253"/>
      <c r="AP817" s="253"/>
      <c r="AQ817" s="253"/>
      <c r="AR817" s="253"/>
      <c r="AS817" s="253"/>
      <c r="AT817" s="2"/>
      <c r="AU817" s="2"/>
      <c r="AV817" s="2"/>
      <c r="AW817" s="2"/>
      <c r="AX817" s="2"/>
      <c r="AY817" s="253"/>
    </row>
    <row r="818" ht="15.75" customHeight="1">
      <c r="A818" s="2"/>
      <c r="B818" s="288" t="str">
        <f>Controle!B818</f>
        <v/>
      </c>
      <c r="C818" s="233" t="str">
        <f>Controle!C818</f>
        <v/>
      </c>
      <c r="D818" s="289" t="str">
        <f>Controle!D818</f>
        <v/>
      </c>
      <c r="E818" s="290"/>
      <c r="F818" s="291" t="str">
        <f>Controle!F818</f>
        <v/>
      </c>
      <c r="G818" s="289" t="str">
        <f>Controle!G818</f>
        <v/>
      </c>
      <c r="H818" s="290"/>
      <c r="I818" s="291" t="str">
        <f>Controle!I818</f>
        <v/>
      </c>
      <c r="J818" s="233" t="str">
        <f>Controle!J818</f>
        <v/>
      </c>
      <c r="K818" s="292"/>
      <c r="L818" s="233" t="str">
        <f>Controle!L818</f>
        <v/>
      </c>
      <c r="M818" s="233" t="str">
        <f>Controle!M818</f>
        <v/>
      </c>
      <c r="N818" s="235" t="str">
        <f>Controle!N818</f>
        <v/>
      </c>
      <c r="O818" s="235" t="str">
        <f>Controle!O818</f>
        <v/>
      </c>
      <c r="P818" s="235" t="str">
        <f>Controle!P818</f>
        <v/>
      </c>
      <c r="Q818" s="235" t="str">
        <f>Controle!Q818</f>
        <v/>
      </c>
      <c r="R818" s="286" t="str">
        <f>Controle!R818</f>
        <v/>
      </c>
      <c r="S818" s="286"/>
      <c r="T818" s="286"/>
      <c r="U818" s="286"/>
      <c r="V818" s="286"/>
      <c r="W818" s="286"/>
      <c r="X818" s="286"/>
      <c r="Y818" s="286"/>
      <c r="Z818" s="286"/>
      <c r="AA818" s="294"/>
      <c r="AB818" s="253"/>
      <c r="AC818" s="253"/>
      <c r="AD818" s="253"/>
      <c r="AE818" s="253"/>
      <c r="AF818" s="253"/>
      <c r="AG818" s="253"/>
      <c r="AH818" s="253"/>
      <c r="AI818" s="253"/>
      <c r="AJ818" s="253"/>
      <c r="AK818" s="253"/>
      <c r="AL818" s="253"/>
      <c r="AM818" s="253"/>
      <c r="AN818" s="253"/>
      <c r="AO818" s="253"/>
      <c r="AP818" s="253"/>
      <c r="AQ818" s="253"/>
      <c r="AR818" s="253"/>
      <c r="AS818" s="253"/>
      <c r="AT818" s="2"/>
      <c r="AU818" s="2"/>
      <c r="AV818" s="2"/>
      <c r="AW818" s="2"/>
      <c r="AX818" s="2"/>
      <c r="AY818" s="253"/>
    </row>
    <row r="819" ht="15.75" customHeight="1">
      <c r="A819" s="2"/>
      <c r="B819" s="288" t="str">
        <f>Controle!B819</f>
        <v/>
      </c>
      <c r="C819" s="233" t="str">
        <f>Controle!C819</f>
        <v/>
      </c>
      <c r="D819" s="289" t="str">
        <f>Controle!D819</f>
        <v/>
      </c>
      <c r="E819" s="290"/>
      <c r="F819" s="291" t="str">
        <f>Controle!F819</f>
        <v/>
      </c>
      <c r="G819" s="289" t="str">
        <f>Controle!G819</f>
        <v/>
      </c>
      <c r="H819" s="290"/>
      <c r="I819" s="291" t="str">
        <f>Controle!I819</f>
        <v/>
      </c>
      <c r="J819" s="233" t="str">
        <f>Controle!J819</f>
        <v/>
      </c>
      <c r="K819" s="292"/>
      <c r="L819" s="233" t="str">
        <f>Controle!L819</f>
        <v/>
      </c>
      <c r="M819" s="233" t="str">
        <f>Controle!M819</f>
        <v/>
      </c>
      <c r="N819" s="235" t="str">
        <f>Controle!N819</f>
        <v/>
      </c>
      <c r="O819" s="235" t="str">
        <f>Controle!O819</f>
        <v/>
      </c>
      <c r="P819" s="235" t="str">
        <f>Controle!P819</f>
        <v/>
      </c>
      <c r="Q819" s="235" t="str">
        <f>Controle!Q819</f>
        <v/>
      </c>
      <c r="R819" s="286" t="str">
        <f>Controle!R819</f>
        <v/>
      </c>
      <c r="S819" s="286"/>
      <c r="T819" s="286"/>
      <c r="U819" s="286"/>
      <c r="V819" s="286"/>
      <c r="W819" s="286"/>
      <c r="X819" s="286"/>
      <c r="Y819" s="286"/>
      <c r="Z819" s="286"/>
      <c r="AA819" s="294"/>
      <c r="AB819" s="253"/>
      <c r="AC819" s="253"/>
      <c r="AD819" s="253"/>
      <c r="AE819" s="253"/>
      <c r="AF819" s="253"/>
      <c r="AG819" s="253"/>
      <c r="AH819" s="253"/>
      <c r="AI819" s="253"/>
      <c r="AJ819" s="253"/>
      <c r="AK819" s="253"/>
      <c r="AL819" s="253"/>
      <c r="AM819" s="253"/>
      <c r="AN819" s="253"/>
      <c r="AO819" s="253"/>
      <c r="AP819" s="253"/>
      <c r="AQ819" s="253"/>
      <c r="AR819" s="253"/>
      <c r="AS819" s="253"/>
      <c r="AT819" s="2"/>
      <c r="AU819" s="2"/>
      <c r="AV819" s="2"/>
      <c r="AW819" s="2"/>
      <c r="AX819" s="2"/>
      <c r="AY819" s="253"/>
    </row>
    <row r="820" ht="15.75" customHeight="1">
      <c r="A820" s="2"/>
      <c r="B820" s="288" t="str">
        <f>Controle!B820</f>
        <v/>
      </c>
      <c r="C820" s="233" t="str">
        <f>Controle!C820</f>
        <v/>
      </c>
      <c r="D820" s="289" t="str">
        <f>Controle!D820</f>
        <v/>
      </c>
      <c r="E820" s="290"/>
      <c r="F820" s="291" t="str">
        <f>Controle!F820</f>
        <v/>
      </c>
      <c r="G820" s="289" t="str">
        <f>Controle!G820</f>
        <v/>
      </c>
      <c r="H820" s="290"/>
      <c r="I820" s="291" t="str">
        <f>Controle!I820</f>
        <v/>
      </c>
      <c r="J820" s="233" t="str">
        <f>Controle!J820</f>
        <v/>
      </c>
      <c r="K820" s="292"/>
      <c r="L820" s="233" t="str">
        <f>Controle!L820</f>
        <v/>
      </c>
      <c r="M820" s="233" t="str">
        <f>Controle!M820</f>
        <v/>
      </c>
      <c r="N820" s="235" t="str">
        <f>Controle!N820</f>
        <v/>
      </c>
      <c r="O820" s="235" t="str">
        <f>Controle!O820</f>
        <v/>
      </c>
      <c r="P820" s="235" t="str">
        <f>Controle!P820</f>
        <v/>
      </c>
      <c r="Q820" s="235" t="str">
        <f>Controle!Q820</f>
        <v/>
      </c>
      <c r="R820" s="286" t="str">
        <f>Controle!R820</f>
        <v/>
      </c>
      <c r="S820" s="286"/>
      <c r="T820" s="286"/>
      <c r="U820" s="286"/>
      <c r="V820" s="286"/>
      <c r="W820" s="286"/>
      <c r="X820" s="286"/>
      <c r="Y820" s="286"/>
      <c r="Z820" s="286"/>
      <c r="AA820" s="294"/>
      <c r="AB820" s="253"/>
      <c r="AC820" s="253"/>
      <c r="AD820" s="253"/>
      <c r="AE820" s="253"/>
      <c r="AF820" s="253"/>
      <c r="AG820" s="253"/>
      <c r="AH820" s="253"/>
      <c r="AI820" s="253"/>
      <c r="AJ820" s="253"/>
      <c r="AK820" s="253"/>
      <c r="AL820" s="253"/>
      <c r="AM820" s="253"/>
      <c r="AN820" s="253"/>
      <c r="AO820" s="253"/>
      <c r="AP820" s="253"/>
      <c r="AQ820" s="253"/>
      <c r="AR820" s="253"/>
      <c r="AS820" s="253"/>
      <c r="AT820" s="2"/>
      <c r="AU820" s="2"/>
      <c r="AV820" s="2"/>
      <c r="AW820" s="2"/>
      <c r="AX820" s="2"/>
      <c r="AY820" s="253"/>
    </row>
    <row r="821" ht="15.75" customHeight="1">
      <c r="A821" s="2"/>
      <c r="B821" s="288" t="str">
        <f>Controle!B821</f>
        <v/>
      </c>
      <c r="C821" s="233" t="str">
        <f>Controle!C821</f>
        <v/>
      </c>
      <c r="D821" s="289" t="str">
        <f>Controle!D821</f>
        <v/>
      </c>
      <c r="E821" s="290"/>
      <c r="F821" s="291" t="str">
        <f>Controle!F821</f>
        <v/>
      </c>
      <c r="G821" s="289" t="str">
        <f>Controle!G821</f>
        <v/>
      </c>
      <c r="H821" s="290"/>
      <c r="I821" s="291" t="str">
        <f>Controle!I821</f>
        <v/>
      </c>
      <c r="J821" s="233" t="str">
        <f>Controle!J821</f>
        <v/>
      </c>
      <c r="K821" s="292"/>
      <c r="L821" s="233" t="str">
        <f>Controle!L821</f>
        <v/>
      </c>
      <c r="M821" s="233" t="str">
        <f>Controle!M821</f>
        <v/>
      </c>
      <c r="N821" s="235" t="str">
        <f>Controle!N821</f>
        <v/>
      </c>
      <c r="O821" s="235" t="str">
        <f>Controle!O821</f>
        <v/>
      </c>
      <c r="P821" s="235" t="str">
        <f>Controle!P821</f>
        <v/>
      </c>
      <c r="Q821" s="235" t="str">
        <f>Controle!Q821</f>
        <v/>
      </c>
      <c r="R821" s="286" t="str">
        <f>Controle!R821</f>
        <v/>
      </c>
      <c r="S821" s="286"/>
      <c r="T821" s="286"/>
      <c r="U821" s="286"/>
      <c r="V821" s="286"/>
      <c r="W821" s="286"/>
      <c r="X821" s="286"/>
      <c r="Y821" s="286"/>
      <c r="Z821" s="286"/>
      <c r="AA821" s="294"/>
      <c r="AB821" s="253"/>
      <c r="AC821" s="253"/>
      <c r="AD821" s="253"/>
      <c r="AE821" s="253"/>
      <c r="AF821" s="253"/>
      <c r="AG821" s="253"/>
      <c r="AH821" s="253"/>
      <c r="AI821" s="253"/>
      <c r="AJ821" s="253"/>
      <c r="AK821" s="253"/>
      <c r="AL821" s="253"/>
      <c r="AM821" s="253"/>
      <c r="AN821" s="253"/>
      <c r="AO821" s="253"/>
      <c r="AP821" s="253"/>
      <c r="AQ821" s="253"/>
      <c r="AR821" s="253"/>
      <c r="AS821" s="253"/>
      <c r="AT821" s="2"/>
      <c r="AU821" s="2"/>
      <c r="AV821" s="2"/>
      <c r="AW821" s="2"/>
      <c r="AX821" s="2"/>
      <c r="AY821" s="253"/>
    </row>
    <row r="822" ht="15.75" customHeight="1">
      <c r="A822" s="2"/>
      <c r="B822" s="288" t="str">
        <f>Controle!B822</f>
        <v/>
      </c>
      <c r="C822" s="233" t="str">
        <f>Controle!C822</f>
        <v/>
      </c>
      <c r="D822" s="289" t="str">
        <f>Controle!D822</f>
        <v/>
      </c>
      <c r="E822" s="290"/>
      <c r="F822" s="291" t="str">
        <f>Controle!F822</f>
        <v/>
      </c>
      <c r="G822" s="289" t="str">
        <f>Controle!G822</f>
        <v/>
      </c>
      <c r="H822" s="290"/>
      <c r="I822" s="291" t="str">
        <f>Controle!I822</f>
        <v/>
      </c>
      <c r="J822" s="233" t="str">
        <f>Controle!J822</f>
        <v/>
      </c>
      <c r="K822" s="292"/>
      <c r="L822" s="233" t="str">
        <f>Controle!L822</f>
        <v/>
      </c>
      <c r="M822" s="233" t="str">
        <f>Controle!M822</f>
        <v/>
      </c>
      <c r="N822" s="235" t="str">
        <f>Controle!N822</f>
        <v/>
      </c>
      <c r="O822" s="235" t="str">
        <f>Controle!O822</f>
        <v/>
      </c>
      <c r="P822" s="235" t="str">
        <f>Controle!P822</f>
        <v/>
      </c>
      <c r="Q822" s="235" t="str">
        <f>Controle!Q822</f>
        <v/>
      </c>
      <c r="R822" s="286" t="str">
        <f>Controle!R822</f>
        <v/>
      </c>
      <c r="S822" s="286"/>
      <c r="T822" s="286"/>
      <c r="U822" s="286"/>
      <c r="V822" s="286"/>
      <c r="W822" s="286"/>
      <c r="X822" s="286"/>
      <c r="Y822" s="286"/>
      <c r="Z822" s="286"/>
      <c r="AA822" s="294"/>
      <c r="AB822" s="253"/>
      <c r="AC822" s="253"/>
      <c r="AD822" s="253"/>
      <c r="AE822" s="253"/>
      <c r="AF822" s="253"/>
      <c r="AG822" s="253"/>
      <c r="AH822" s="253"/>
      <c r="AI822" s="253"/>
      <c r="AJ822" s="253"/>
      <c r="AK822" s="253"/>
      <c r="AL822" s="253"/>
      <c r="AM822" s="253"/>
      <c r="AN822" s="253"/>
      <c r="AO822" s="253"/>
      <c r="AP822" s="253"/>
      <c r="AQ822" s="253"/>
      <c r="AR822" s="253"/>
      <c r="AS822" s="253"/>
      <c r="AT822" s="2"/>
      <c r="AU822" s="2"/>
      <c r="AV822" s="2"/>
      <c r="AW822" s="2"/>
      <c r="AX822" s="2"/>
      <c r="AY822" s="253"/>
    </row>
    <row r="823" ht="15.75" customHeight="1">
      <c r="A823" s="2"/>
      <c r="B823" s="288" t="str">
        <f>Controle!B823</f>
        <v/>
      </c>
      <c r="C823" s="233" t="str">
        <f>Controle!C823</f>
        <v/>
      </c>
      <c r="D823" s="289" t="str">
        <f>Controle!D823</f>
        <v/>
      </c>
      <c r="E823" s="290"/>
      <c r="F823" s="291" t="str">
        <f>Controle!F823</f>
        <v/>
      </c>
      <c r="G823" s="289" t="str">
        <f>Controle!G823</f>
        <v/>
      </c>
      <c r="H823" s="290"/>
      <c r="I823" s="291" t="str">
        <f>Controle!I823</f>
        <v/>
      </c>
      <c r="J823" s="233" t="str">
        <f>Controle!J823</f>
        <v/>
      </c>
      <c r="K823" s="292"/>
      <c r="L823" s="233" t="str">
        <f>Controle!L823</f>
        <v/>
      </c>
      <c r="M823" s="233" t="str">
        <f>Controle!M823</f>
        <v/>
      </c>
      <c r="N823" s="235" t="str">
        <f>Controle!N823</f>
        <v/>
      </c>
      <c r="O823" s="235" t="str">
        <f>Controle!O823</f>
        <v/>
      </c>
      <c r="P823" s="235" t="str">
        <f>Controle!P823</f>
        <v/>
      </c>
      <c r="Q823" s="235" t="str">
        <f>Controle!Q823</f>
        <v/>
      </c>
      <c r="R823" s="286" t="str">
        <f>Controle!R823</f>
        <v/>
      </c>
      <c r="S823" s="286"/>
      <c r="T823" s="286"/>
      <c r="U823" s="286"/>
      <c r="V823" s="286"/>
      <c r="W823" s="286"/>
      <c r="X823" s="286"/>
      <c r="Y823" s="286"/>
      <c r="Z823" s="286"/>
      <c r="AA823" s="294"/>
      <c r="AB823" s="253"/>
      <c r="AC823" s="253"/>
      <c r="AD823" s="253"/>
      <c r="AE823" s="253"/>
      <c r="AF823" s="253"/>
      <c r="AG823" s="253"/>
      <c r="AH823" s="253"/>
      <c r="AI823" s="253"/>
      <c r="AJ823" s="253"/>
      <c r="AK823" s="253"/>
      <c r="AL823" s="253"/>
      <c r="AM823" s="253"/>
      <c r="AN823" s="253"/>
      <c r="AO823" s="253"/>
      <c r="AP823" s="253"/>
      <c r="AQ823" s="253"/>
      <c r="AR823" s="253"/>
      <c r="AS823" s="253"/>
      <c r="AT823" s="2"/>
      <c r="AU823" s="2"/>
      <c r="AV823" s="2"/>
      <c r="AW823" s="2"/>
      <c r="AX823" s="2"/>
      <c r="AY823" s="253"/>
    </row>
    <row r="824" ht="15.75" customHeight="1">
      <c r="A824" s="2"/>
      <c r="B824" s="288" t="str">
        <f>Controle!B824</f>
        <v/>
      </c>
      <c r="C824" s="233" t="str">
        <f>Controle!C824</f>
        <v/>
      </c>
      <c r="D824" s="289" t="str">
        <f>Controle!D824</f>
        <v/>
      </c>
      <c r="E824" s="290"/>
      <c r="F824" s="291" t="str">
        <f>Controle!F824</f>
        <v/>
      </c>
      <c r="G824" s="289" t="str">
        <f>Controle!G824</f>
        <v/>
      </c>
      <c r="H824" s="290"/>
      <c r="I824" s="291" t="str">
        <f>Controle!I824</f>
        <v/>
      </c>
      <c r="J824" s="233" t="str">
        <f>Controle!J824</f>
        <v/>
      </c>
      <c r="K824" s="292"/>
      <c r="L824" s="233" t="str">
        <f>Controle!L824</f>
        <v/>
      </c>
      <c r="M824" s="233" t="str">
        <f>Controle!M824</f>
        <v/>
      </c>
      <c r="N824" s="235" t="str">
        <f>Controle!N824</f>
        <v/>
      </c>
      <c r="O824" s="235" t="str">
        <f>Controle!O824</f>
        <v/>
      </c>
      <c r="P824" s="235" t="str">
        <f>Controle!P824</f>
        <v/>
      </c>
      <c r="Q824" s="235" t="str">
        <f>Controle!Q824</f>
        <v/>
      </c>
      <c r="R824" s="286" t="str">
        <f>Controle!R824</f>
        <v/>
      </c>
      <c r="S824" s="286"/>
      <c r="T824" s="286"/>
      <c r="U824" s="286"/>
      <c r="V824" s="286"/>
      <c r="W824" s="286"/>
      <c r="X824" s="286"/>
      <c r="Y824" s="286"/>
      <c r="Z824" s="286"/>
      <c r="AA824" s="294"/>
      <c r="AB824" s="253"/>
      <c r="AC824" s="253"/>
      <c r="AD824" s="253"/>
      <c r="AE824" s="253"/>
      <c r="AF824" s="253"/>
      <c r="AG824" s="253"/>
      <c r="AH824" s="253"/>
      <c r="AI824" s="253"/>
      <c r="AJ824" s="253"/>
      <c r="AK824" s="253"/>
      <c r="AL824" s="253"/>
      <c r="AM824" s="253"/>
      <c r="AN824" s="253"/>
      <c r="AO824" s="253"/>
      <c r="AP824" s="253"/>
      <c r="AQ824" s="253"/>
      <c r="AR824" s="253"/>
      <c r="AS824" s="253"/>
      <c r="AT824" s="2"/>
      <c r="AU824" s="2"/>
      <c r="AV824" s="2"/>
      <c r="AW824" s="2"/>
      <c r="AX824" s="2"/>
      <c r="AY824" s="253"/>
    </row>
    <row r="825" ht="15.75" customHeight="1">
      <c r="A825" s="2"/>
      <c r="B825" s="288" t="str">
        <f>Controle!B825</f>
        <v/>
      </c>
      <c r="C825" s="233" t="str">
        <f>Controle!C825</f>
        <v/>
      </c>
      <c r="D825" s="289" t="str">
        <f>Controle!D825</f>
        <v/>
      </c>
      <c r="E825" s="290"/>
      <c r="F825" s="291" t="str">
        <f>Controle!F825</f>
        <v/>
      </c>
      <c r="G825" s="289" t="str">
        <f>Controle!G825</f>
        <v/>
      </c>
      <c r="H825" s="290"/>
      <c r="I825" s="291" t="str">
        <f>Controle!I825</f>
        <v/>
      </c>
      <c r="J825" s="233" t="str">
        <f>Controle!J825</f>
        <v/>
      </c>
      <c r="K825" s="292"/>
      <c r="L825" s="233" t="str">
        <f>Controle!L825</f>
        <v/>
      </c>
      <c r="M825" s="233" t="str">
        <f>Controle!M825</f>
        <v/>
      </c>
      <c r="N825" s="235" t="str">
        <f>Controle!N825</f>
        <v/>
      </c>
      <c r="O825" s="235" t="str">
        <f>Controle!O825</f>
        <v/>
      </c>
      <c r="P825" s="235" t="str">
        <f>Controle!P825</f>
        <v/>
      </c>
      <c r="Q825" s="235" t="str">
        <f>Controle!Q825</f>
        <v/>
      </c>
      <c r="R825" s="286" t="str">
        <f>Controle!R825</f>
        <v/>
      </c>
      <c r="S825" s="286"/>
      <c r="T825" s="286"/>
      <c r="U825" s="286"/>
      <c r="V825" s="286"/>
      <c r="W825" s="286"/>
      <c r="X825" s="286"/>
      <c r="Y825" s="286"/>
      <c r="Z825" s="286"/>
      <c r="AA825" s="294"/>
      <c r="AB825" s="253"/>
      <c r="AC825" s="253"/>
      <c r="AD825" s="253"/>
      <c r="AE825" s="253"/>
      <c r="AF825" s="253"/>
      <c r="AG825" s="253"/>
      <c r="AH825" s="253"/>
      <c r="AI825" s="253"/>
      <c r="AJ825" s="253"/>
      <c r="AK825" s="253"/>
      <c r="AL825" s="253"/>
      <c r="AM825" s="253"/>
      <c r="AN825" s="253"/>
      <c r="AO825" s="253"/>
      <c r="AP825" s="253"/>
      <c r="AQ825" s="253"/>
      <c r="AR825" s="253"/>
      <c r="AS825" s="253"/>
      <c r="AT825" s="2"/>
      <c r="AU825" s="2"/>
      <c r="AV825" s="2"/>
      <c r="AW825" s="2"/>
      <c r="AX825" s="2"/>
      <c r="AY825" s="253"/>
    </row>
    <row r="826" ht="15.75" customHeight="1">
      <c r="A826" s="2"/>
      <c r="B826" s="288" t="str">
        <f>Controle!B826</f>
        <v/>
      </c>
      <c r="C826" s="233" t="str">
        <f>Controle!C826</f>
        <v/>
      </c>
      <c r="D826" s="289" t="str">
        <f>Controle!D826</f>
        <v/>
      </c>
      <c r="E826" s="290"/>
      <c r="F826" s="291" t="str">
        <f>Controle!F826</f>
        <v/>
      </c>
      <c r="G826" s="289" t="str">
        <f>Controle!G826</f>
        <v/>
      </c>
      <c r="H826" s="290"/>
      <c r="I826" s="291" t="str">
        <f>Controle!I826</f>
        <v/>
      </c>
      <c r="J826" s="233" t="str">
        <f>Controle!J826</f>
        <v/>
      </c>
      <c r="K826" s="292"/>
      <c r="L826" s="233" t="str">
        <f>Controle!L826</f>
        <v/>
      </c>
      <c r="M826" s="233" t="str">
        <f>Controle!M826</f>
        <v/>
      </c>
      <c r="N826" s="235" t="str">
        <f>Controle!N826</f>
        <v/>
      </c>
      <c r="O826" s="235" t="str">
        <f>Controle!O826</f>
        <v/>
      </c>
      <c r="P826" s="235" t="str">
        <f>Controle!P826</f>
        <v/>
      </c>
      <c r="Q826" s="235" t="str">
        <f>Controle!Q826</f>
        <v/>
      </c>
      <c r="R826" s="286" t="str">
        <f>Controle!R826</f>
        <v/>
      </c>
      <c r="S826" s="286"/>
      <c r="T826" s="286"/>
      <c r="U826" s="286"/>
      <c r="V826" s="286"/>
      <c r="W826" s="286"/>
      <c r="X826" s="286"/>
      <c r="Y826" s="286"/>
      <c r="Z826" s="286"/>
      <c r="AA826" s="294"/>
      <c r="AB826" s="253"/>
      <c r="AC826" s="253"/>
      <c r="AD826" s="253"/>
      <c r="AE826" s="253"/>
      <c r="AF826" s="253"/>
      <c r="AG826" s="253"/>
      <c r="AH826" s="253"/>
      <c r="AI826" s="253"/>
      <c r="AJ826" s="253"/>
      <c r="AK826" s="253"/>
      <c r="AL826" s="253"/>
      <c r="AM826" s="253"/>
      <c r="AN826" s="253"/>
      <c r="AO826" s="253"/>
      <c r="AP826" s="253"/>
      <c r="AQ826" s="253"/>
      <c r="AR826" s="253"/>
      <c r="AS826" s="253"/>
      <c r="AT826" s="2"/>
      <c r="AU826" s="2"/>
      <c r="AV826" s="2"/>
      <c r="AW826" s="2"/>
      <c r="AX826" s="2"/>
      <c r="AY826" s="253"/>
    </row>
    <row r="827" ht="15.75" customHeight="1">
      <c r="A827" s="2"/>
      <c r="B827" s="288" t="str">
        <f>Controle!B827</f>
        <v/>
      </c>
      <c r="C827" s="233" t="str">
        <f>Controle!C827</f>
        <v/>
      </c>
      <c r="D827" s="289" t="str">
        <f>Controle!D827</f>
        <v/>
      </c>
      <c r="E827" s="290"/>
      <c r="F827" s="291" t="str">
        <f>Controle!F827</f>
        <v/>
      </c>
      <c r="G827" s="289" t="str">
        <f>Controle!G827</f>
        <v/>
      </c>
      <c r="H827" s="290"/>
      <c r="I827" s="291" t="str">
        <f>Controle!I827</f>
        <v/>
      </c>
      <c r="J827" s="233" t="str">
        <f>Controle!J827</f>
        <v/>
      </c>
      <c r="K827" s="292"/>
      <c r="L827" s="233" t="str">
        <f>Controle!L827</f>
        <v/>
      </c>
      <c r="M827" s="233" t="str">
        <f>Controle!M827</f>
        <v/>
      </c>
      <c r="N827" s="235" t="str">
        <f>Controle!N827</f>
        <v/>
      </c>
      <c r="O827" s="235" t="str">
        <f>Controle!O827</f>
        <v/>
      </c>
      <c r="P827" s="235" t="str">
        <f>Controle!P827</f>
        <v/>
      </c>
      <c r="Q827" s="235" t="str">
        <f>Controle!Q827</f>
        <v/>
      </c>
      <c r="R827" s="286" t="str">
        <f>Controle!R827</f>
        <v/>
      </c>
      <c r="S827" s="286"/>
      <c r="T827" s="286"/>
      <c r="U827" s="286"/>
      <c r="V827" s="286"/>
      <c r="W827" s="286"/>
      <c r="X827" s="286"/>
      <c r="Y827" s="286"/>
      <c r="Z827" s="286"/>
      <c r="AA827" s="294"/>
      <c r="AB827" s="253"/>
      <c r="AC827" s="253"/>
      <c r="AD827" s="253"/>
      <c r="AE827" s="253"/>
      <c r="AF827" s="253"/>
      <c r="AG827" s="253"/>
      <c r="AH827" s="253"/>
      <c r="AI827" s="253"/>
      <c r="AJ827" s="253"/>
      <c r="AK827" s="253"/>
      <c r="AL827" s="253"/>
      <c r="AM827" s="253"/>
      <c r="AN827" s="253"/>
      <c r="AO827" s="253"/>
      <c r="AP827" s="253"/>
      <c r="AQ827" s="253"/>
      <c r="AR827" s="253"/>
      <c r="AS827" s="253"/>
      <c r="AT827" s="2"/>
      <c r="AU827" s="2"/>
      <c r="AV827" s="2"/>
      <c r="AW827" s="2"/>
      <c r="AX827" s="2"/>
      <c r="AY827" s="253"/>
    </row>
    <row r="828" ht="15.75" customHeight="1">
      <c r="A828" s="2"/>
      <c r="B828" s="288" t="str">
        <f>Controle!B828</f>
        <v/>
      </c>
      <c r="C828" s="233" t="str">
        <f>Controle!C828</f>
        <v/>
      </c>
      <c r="D828" s="289" t="str">
        <f>Controle!D828</f>
        <v/>
      </c>
      <c r="E828" s="290"/>
      <c r="F828" s="291" t="str">
        <f>Controle!F828</f>
        <v/>
      </c>
      <c r="G828" s="289" t="str">
        <f>Controle!G828</f>
        <v/>
      </c>
      <c r="H828" s="290"/>
      <c r="I828" s="291" t="str">
        <f>Controle!I828</f>
        <v/>
      </c>
      <c r="J828" s="233" t="str">
        <f>Controle!J828</f>
        <v/>
      </c>
      <c r="K828" s="292"/>
      <c r="L828" s="233" t="str">
        <f>Controle!L828</f>
        <v/>
      </c>
      <c r="M828" s="233" t="str">
        <f>Controle!M828</f>
        <v/>
      </c>
      <c r="N828" s="235" t="str">
        <f>Controle!N828</f>
        <v/>
      </c>
      <c r="O828" s="235" t="str">
        <f>Controle!O828</f>
        <v/>
      </c>
      <c r="P828" s="235" t="str">
        <f>Controle!P828</f>
        <v/>
      </c>
      <c r="Q828" s="235" t="str">
        <f>Controle!Q828</f>
        <v/>
      </c>
      <c r="R828" s="286" t="str">
        <f>Controle!R828</f>
        <v/>
      </c>
      <c r="S828" s="286"/>
      <c r="T828" s="286"/>
      <c r="U828" s="286"/>
      <c r="V828" s="286"/>
      <c r="W828" s="286"/>
      <c r="X828" s="286"/>
      <c r="Y828" s="286"/>
      <c r="Z828" s="286"/>
      <c r="AA828" s="294"/>
      <c r="AB828" s="253"/>
      <c r="AC828" s="253"/>
      <c r="AD828" s="253"/>
      <c r="AE828" s="253"/>
      <c r="AF828" s="253"/>
      <c r="AG828" s="253"/>
      <c r="AH828" s="253"/>
      <c r="AI828" s="253"/>
      <c r="AJ828" s="253"/>
      <c r="AK828" s="253"/>
      <c r="AL828" s="253"/>
      <c r="AM828" s="253"/>
      <c r="AN828" s="253"/>
      <c r="AO828" s="253"/>
      <c r="AP828" s="253"/>
      <c r="AQ828" s="253"/>
      <c r="AR828" s="253"/>
      <c r="AS828" s="253"/>
      <c r="AT828" s="2"/>
      <c r="AU828" s="2"/>
      <c r="AV828" s="2"/>
      <c r="AW828" s="2"/>
      <c r="AX828" s="2"/>
      <c r="AY828" s="253"/>
    </row>
    <row r="829" ht="15.75" customHeight="1">
      <c r="A829" s="2"/>
      <c r="B829" s="288" t="str">
        <f>Controle!B829</f>
        <v/>
      </c>
      <c r="C829" s="233" t="str">
        <f>Controle!C829</f>
        <v/>
      </c>
      <c r="D829" s="289" t="str">
        <f>Controle!D829</f>
        <v/>
      </c>
      <c r="E829" s="290"/>
      <c r="F829" s="291" t="str">
        <f>Controle!F829</f>
        <v/>
      </c>
      <c r="G829" s="289" t="str">
        <f>Controle!G829</f>
        <v/>
      </c>
      <c r="H829" s="290"/>
      <c r="I829" s="291" t="str">
        <f>Controle!I829</f>
        <v/>
      </c>
      <c r="J829" s="233" t="str">
        <f>Controle!J829</f>
        <v/>
      </c>
      <c r="K829" s="292"/>
      <c r="L829" s="233" t="str">
        <f>Controle!L829</f>
        <v/>
      </c>
      <c r="M829" s="233" t="str">
        <f>Controle!M829</f>
        <v/>
      </c>
      <c r="N829" s="235" t="str">
        <f>Controle!N829</f>
        <v/>
      </c>
      <c r="O829" s="235" t="str">
        <f>Controle!O829</f>
        <v/>
      </c>
      <c r="P829" s="235" t="str">
        <f>Controle!P829</f>
        <v/>
      </c>
      <c r="Q829" s="235" t="str">
        <f>Controle!Q829</f>
        <v/>
      </c>
      <c r="R829" s="286" t="str">
        <f>Controle!R829</f>
        <v/>
      </c>
      <c r="S829" s="286"/>
      <c r="T829" s="286"/>
      <c r="U829" s="286"/>
      <c r="V829" s="286"/>
      <c r="W829" s="286"/>
      <c r="X829" s="286"/>
      <c r="Y829" s="286"/>
      <c r="Z829" s="286"/>
      <c r="AA829" s="294"/>
      <c r="AB829" s="253"/>
      <c r="AC829" s="253"/>
      <c r="AD829" s="253"/>
      <c r="AE829" s="253"/>
      <c r="AF829" s="253"/>
      <c r="AG829" s="253"/>
      <c r="AH829" s="253"/>
      <c r="AI829" s="253"/>
      <c r="AJ829" s="253"/>
      <c r="AK829" s="253"/>
      <c r="AL829" s="253"/>
      <c r="AM829" s="253"/>
      <c r="AN829" s="253"/>
      <c r="AO829" s="253"/>
      <c r="AP829" s="253"/>
      <c r="AQ829" s="253"/>
      <c r="AR829" s="253"/>
      <c r="AS829" s="253"/>
      <c r="AT829" s="2"/>
      <c r="AU829" s="2"/>
      <c r="AV829" s="2"/>
      <c r="AW829" s="2"/>
      <c r="AX829" s="2"/>
      <c r="AY829" s="253"/>
    </row>
    <row r="830" ht="15.75" customHeight="1">
      <c r="A830" s="2"/>
      <c r="B830" s="288" t="str">
        <f>Controle!B830</f>
        <v/>
      </c>
      <c r="C830" s="233" t="str">
        <f>Controle!C830</f>
        <v/>
      </c>
      <c r="D830" s="289" t="str">
        <f>Controle!D830</f>
        <v/>
      </c>
      <c r="E830" s="290"/>
      <c r="F830" s="291" t="str">
        <f>Controle!F830</f>
        <v/>
      </c>
      <c r="G830" s="289" t="str">
        <f>Controle!G830</f>
        <v/>
      </c>
      <c r="H830" s="290"/>
      <c r="I830" s="291" t="str">
        <f>Controle!I830</f>
        <v/>
      </c>
      <c r="J830" s="233" t="str">
        <f>Controle!J830</f>
        <v/>
      </c>
      <c r="K830" s="292"/>
      <c r="L830" s="233" t="str">
        <f>Controle!L830</f>
        <v/>
      </c>
      <c r="M830" s="233" t="str">
        <f>Controle!M830</f>
        <v/>
      </c>
      <c r="N830" s="235" t="str">
        <f>Controle!N830</f>
        <v/>
      </c>
      <c r="O830" s="235" t="str">
        <f>Controle!O830</f>
        <v/>
      </c>
      <c r="P830" s="235" t="str">
        <f>Controle!P830</f>
        <v/>
      </c>
      <c r="Q830" s="235" t="str">
        <f>Controle!Q830</f>
        <v/>
      </c>
      <c r="R830" s="286" t="str">
        <f>Controle!R830</f>
        <v/>
      </c>
      <c r="S830" s="286"/>
      <c r="T830" s="286"/>
      <c r="U830" s="286"/>
      <c r="V830" s="286"/>
      <c r="W830" s="286"/>
      <c r="X830" s="286"/>
      <c r="Y830" s="286"/>
      <c r="Z830" s="286"/>
      <c r="AA830" s="294"/>
      <c r="AB830" s="253"/>
      <c r="AC830" s="253"/>
      <c r="AD830" s="253"/>
      <c r="AE830" s="253"/>
      <c r="AF830" s="253"/>
      <c r="AG830" s="253"/>
      <c r="AH830" s="253"/>
      <c r="AI830" s="253"/>
      <c r="AJ830" s="253"/>
      <c r="AK830" s="253"/>
      <c r="AL830" s="253"/>
      <c r="AM830" s="253"/>
      <c r="AN830" s="253"/>
      <c r="AO830" s="253"/>
      <c r="AP830" s="253"/>
      <c r="AQ830" s="253"/>
      <c r="AR830" s="253"/>
      <c r="AS830" s="253"/>
      <c r="AT830" s="2"/>
      <c r="AU830" s="2"/>
      <c r="AV830" s="2"/>
      <c r="AW830" s="2"/>
      <c r="AX830" s="2"/>
      <c r="AY830" s="253"/>
    </row>
    <row r="831" ht="15.75" customHeight="1">
      <c r="A831" s="2"/>
      <c r="B831" s="288" t="str">
        <f>Controle!B831</f>
        <v/>
      </c>
      <c r="C831" s="233" t="str">
        <f>Controle!C831</f>
        <v/>
      </c>
      <c r="D831" s="289" t="str">
        <f>Controle!D831</f>
        <v/>
      </c>
      <c r="E831" s="290"/>
      <c r="F831" s="291" t="str">
        <f>Controle!F831</f>
        <v/>
      </c>
      <c r="G831" s="289" t="str">
        <f>Controle!G831</f>
        <v/>
      </c>
      <c r="H831" s="290"/>
      <c r="I831" s="291" t="str">
        <f>Controle!I831</f>
        <v/>
      </c>
      <c r="J831" s="233" t="str">
        <f>Controle!J831</f>
        <v/>
      </c>
      <c r="K831" s="292"/>
      <c r="L831" s="233" t="str">
        <f>Controle!L831</f>
        <v/>
      </c>
      <c r="M831" s="233" t="str">
        <f>Controle!M831</f>
        <v/>
      </c>
      <c r="N831" s="235" t="str">
        <f>Controle!N831</f>
        <v/>
      </c>
      <c r="O831" s="235" t="str">
        <f>Controle!O831</f>
        <v/>
      </c>
      <c r="P831" s="235" t="str">
        <f>Controle!P831</f>
        <v/>
      </c>
      <c r="Q831" s="235" t="str">
        <f>Controle!Q831</f>
        <v/>
      </c>
      <c r="R831" s="286" t="str">
        <f>Controle!R831</f>
        <v/>
      </c>
      <c r="S831" s="286"/>
      <c r="T831" s="286"/>
      <c r="U831" s="286"/>
      <c r="V831" s="286"/>
      <c r="W831" s="286"/>
      <c r="X831" s="286"/>
      <c r="Y831" s="286"/>
      <c r="Z831" s="286"/>
      <c r="AA831" s="294"/>
      <c r="AB831" s="253"/>
      <c r="AC831" s="253"/>
      <c r="AD831" s="253"/>
      <c r="AE831" s="253"/>
      <c r="AF831" s="253"/>
      <c r="AG831" s="253"/>
      <c r="AH831" s="253"/>
      <c r="AI831" s="253"/>
      <c r="AJ831" s="253"/>
      <c r="AK831" s="253"/>
      <c r="AL831" s="253"/>
      <c r="AM831" s="253"/>
      <c r="AN831" s="253"/>
      <c r="AO831" s="253"/>
      <c r="AP831" s="253"/>
      <c r="AQ831" s="253"/>
      <c r="AR831" s="253"/>
      <c r="AS831" s="253"/>
      <c r="AT831" s="2"/>
      <c r="AU831" s="2"/>
      <c r="AV831" s="2"/>
      <c r="AW831" s="2"/>
      <c r="AX831" s="2"/>
      <c r="AY831" s="253"/>
    </row>
    <row r="832" ht="15.75" customHeight="1">
      <c r="A832" s="2"/>
      <c r="B832" s="288" t="str">
        <f>Controle!B832</f>
        <v/>
      </c>
      <c r="C832" s="233" t="str">
        <f>Controle!C832</f>
        <v/>
      </c>
      <c r="D832" s="289" t="str">
        <f>Controle!D832</f>
        <v/>
      </c>
      <c r="E832" s="290"/>
      <c r="F832" s="291" t="str">
        <f>Controle!F832</f>
        <v/>
      </c>
      <c r="G832" s="289" t="str">
        <f>Controle!G832</f>
        <v/>
      </c>
      <c r="H832" s="290"/>
      <c r="I832" s="291" t="str">
        <f>Controle!I832</f>
        <v/>
      </c>
      <c r="J832" s="233" t="str">
        <f>Controle!J832</f>
        <v/>
      </c>
      <c r="K832" s="292"/>
      <c r="L832" s="233" t="str">
        <f>Controle!L832</f>
        <v/>
      </c>
      <c r="M832" s="233" t="str">
        <f>Controle!M832</f>
        <v/>
      </c>
      <c r="N832" s="235" t="str">
        <f>Controle!N832</f>
        <v/>
      </c>
      <c r="O832" s="235" t="str">
        <f>Controle!O832</f>
        <v/>
      </c>
      <c r="P832" s="235" t="str">
        <f>Controle!P832</f>
        <v/>
      </c>
      <c r="Q832" s="235" t="str">
        <f>Controle!Q832</f>
        <v/>
      </c>
      <c r="R832" s="286" t="str">
        <f>Controle!R832</f>
        <v/>
      </c>
      <c r="S832" s="286"/>
      <c r="T832" s="286"/>
      <c r="U832" s="286"/>
      <c r="V832" s="286"/>
      <c r="W832" s="286"/>
      <c r="X832" s="286"/>
      <c r="Y832" s="286"/>
      <c r="Z832" s="286"/>
      <c r="AA832" s="294"/>
      <c r="AB832" s="253"/>
      <c r="AC832" s="253"/>
      <c r="AD832" s="253"/>
      <c r="AE832" s="253"/>
      <c r="AF832" s="253"/>
      <c r="AG832" s="253"/>
      <c r="AH832" s="253"/>
      <c r="AI832" s="253"/>
      <c r="AJ832" s="253"/>
      <c r="AK832" s="253"/>
      <c r="AL832" s="253"/>
      <c r="AM832" s="253"/>
      <c r="AN832" s="253"/>
      <c r="AO832" s="253"/>
      <c r="AP832" s="253"/>
      <c r="AQ832" s="253"/>
      <c r="AR832" s="253"/>
      <c r="AS832" s="253"/>
      <c r="AT832" s="2"/>
      <c r="AU832" s="2"/>
      <c r="AV832" s="2"/>
      <c r="AW832" s="2"/>
      <c r="AX832" s="2"/>
      <c r="AY832" s="253"/>
    </row>
    <row r="833" ht="15.75" customHeight="1">
      <c r="A833" s="2"/>
      <c r="B833" s="288" t="str">
        <f>Controle!B833</f>
        <v/>
      </c>
      <c r="C833" s="233" t="str">
        <f>Controle!C833</f>
        <v/>
      </c>
      <c r="D833" s="289" t="str">
        <f>Controle!D833</f>
        <v/>
      </c>
      <c r="E833" s="290"/>
      <c r="F833" s="291" t="str">
        <f>Controle!F833</f>
        <v/>
      </c>
      <c r="G833" s="289" t="str">
        <f>Controle!G833</f>
        <v/>
      </c>
      <c r="H833" s="290"/>
      <c r="I833" s="291" t="str">
        <f>Controle!I833</f>
        <v/>
      </c>
      <c r="J833" s="233" t="str">
        <f>Controle!J833</f>
        <v/>
      </c>
      <c r="K833" s="292"/>
      <c r="L833" s="233" t="str">
        <f>Controle!L833</f>
        <v/>
      </c>
      <c r="M833" s="233" t="str">
        <f>Controle!M833</f>
        <v/>
      </c>
      <c r="N833" s="235" t="str">
        <f>Controle!N833</f>
        <v/>
      </c>
      <c r="O833" s="235" t="str">
        <f>Controle!O833</f>
        <v/>
      </c>
      <c r="P833" s="235" t="str">
        <f>Controle!P833</f>
        <v/>
      </c>
      <c r="Q833" s="235" t="str">
        <f>Controle!Q833</f>
        <v/>
      </c>
      <c r="R833" s="286" t="str">
        <f>Controle!R833</f>
        <v/>
      </c>
      <c r="S833" s="286"/>
      <c r="T833" s="286"/>
      <c r="U833" s="286"/>
      <c r="V833" s="286"/>
      <c r="W833" s="286"/>
      <c r="X833" s="286"/>
      <c r="Y833" s="286"/>
      <c r="Z833" s="286"/>
      <c r="AA833" s="294"/>
      <c r="AB833" s="253"/>
      <c r="AC833" s="253"/>
      <c r="AD833" s="253"/>
      <c r="AE833" s="253"/>
      <c r="AF833" s="253"/>
      <c r="AG833" s="253"/>
      <c r="AH833" s="253"/>
      <c r="AI833" s="253"/>
      <c r="AJ833" s="253"/>
      <c r="AK833" s="253"/>
      <c r="AL833" s="253"/>
      <c r="AM833" s="253"/>
      <c r="AN833" s="253"/>
      <c r="AO833" s="253"/>
      <c r="AP833" s="253"/>
      <c r="AQ833" s="253"/>
      <c r="AR833" s="253"/>
      <c r="AS833" s="253"/>
      <c r="AT833" s="2"/>
      <c r="AU833" s="2"/>
      <c r="AV833" s="2"/>
      <c r="AW833" s="2"/>
      <c r="AX833" s="2"/>
      <c r="AY833" s="253"/>
    </row>
    <row r="834" ht="15.75" customHeight="1">
      <c r="A834" s="2"/>
      <c r="B834" s="288" t="str">
        <f>Controle!B834</f>
        <v/>
      </c>
      <c r="C834" s="233" t="str">
        <f>Controle!C834</f>
        <v/>
      </c>
      <c r="D834" s="289" t="str">
        <f>Controle!D834</f>
        <v/>
      </c>
      <c r="E834" s="290"/>
      <c r="F834" s="291" t="str">
        <f>Controle!F834</f>
        <v/>
      </c>
      <c r="G834" s="289" t="str">
        <f>Controle!G834</f>
        <v/>
      </c>
      <c r="H834" s="290"/>
      <c r="I834" s="291" t="str">
        <f>Controle!I834</f>
        <v/>
      </c>
      <c r="J834" s="233" t="str">
        <f>Controle!J834</f>
        <v/>
      </c>
      <c r="K834" s="292"/>
      <c r="L834" s="233" t="str">
        <f>Controle!L834</f>
        <v/>
      </c>
      <c r="M834" s="233" t="str">
        <f>Controle!M834</f>
        <v/>
      </c>
      <c r="N834" s="235" t="str">
        <f>Controle!N834</f>
        <v/>
      </c>
      <c r="O834" s="235" t="str">
        <f>Controle!O834</f>
        <v/>
      </c>
      <c r="P834" s="235" t="str">
        <f>Controle!P834</f>
        <v/>
      </c>
      <c r="Q834" s="235" t="str">
        <f>Controle!Q834</f>
        <v/>
      </c>
      <c r="R834" s="286" t="str">
        <f>Controle!R834</f>
        <v/>
      </c>
      <c r="S834" s="286"/>
      <c r="T834" s="286"/>
      <c r="U834" s="286"/>
      <c r="V834" s="286"/>
      <c r="W834" s="286"/>
      <c r="X834" s="286"/>
      <c r="Y834" s="286"/>
      <c r="Z834" s="286"/>
      <c r="AA834" s="294"/>
      <c r="AB834" s="253"/>
      <c r="AC834" s="253"/>
      <c r="AD834" s="253"/>
      <c r="AE834" s="253"/>
      <c r="AF834" s="253"/>
      <c r="AG834" s="253"/>
      <c r="AH834" s="253"/>
      <c r="AI834" s="253"/>
      <c r="AJ834" s="253"/>
      <c r="AK834" s="253"/>
      <c r="AL834" s="253"/>
      <c r="AM834" s="253"/>
      <c r="AN834" s="253"/>
      <c r="AO834" s="253"/>
      <c r="AP834" s="253"/>
      <c r="AQ834" s="253"/>
      <c r="AR834" s="253"/>
      <c r="AS834" s="253"/>
      <c r="AT834" s="2"/>
      <c r="AU834" s="2"/>
      <c r="AV834" s="2"/>
      <c r="AW834" s="2"/>
      <c r="AX834" s="2"/>
      <c r="AY834" s="253"/>
    </row>
    <row r="835" ht="15.75" customHeight="1">
      <c r="A835" s="2"/>
      <c r="B835" s="288" t="str">
        <f>Controle!B835</f>
        <v/>
      </c>
      <c r="C835" s="233" t="str">
        <f>Controle!C835</f>
        <v/>
      </c>
      <c r="D835" s="289" t="str">
        <f>Controle!D835</f>
        <v/>
      </c>
      <c r="E835" s="290"/>
      <c r="F835" s="291" t="str">
        <f>Controle!F835</f>
        <v/>
      </c>
      <c r="G835" s="289" t="str">
        <f>Controle!G835</f>
        <v/>
      </c>
      <c r="H835" s="290"/>
      <c r="I835" s="291" t="str">
        <f>Controle!I835</f>
        <v/>
      </c>
      <c r="J835" s="233" t="str">
        <f>Controle!J835</f>
        <v/>
      </c>
      <c r="K835" s="292"/>
      <c r="L835" s="233" t="str">
        <f>Controle!L835</f>
        <v/>
      </c>
      <c r="M835" s="233" t="str">
        <f>Controle!M835</f>
        <v/>
      </c>
      <c r="N835" s="235" t="str">
        <f>Controle!N835</f>
        <v/>
      </c>
      <c r="O835" s="235" t="str">
        <f>Controle!O835</f>
        <v/>
      </c>
      <c r="P835" s="235" t="str">
        <f>Controle!P835</f>
        <v/>
      </c>
      <c r="Q835" s="235" t="str">
        <f>Controle!Q835</f>
        <v/>
      </c>
      <c r="R835" s="286" t="str">
        <f>Controle!R835</f>
        <v/>
      </c>
      <c r="S835" s="286"/>
      <c r="T835" s="286"/>
      <c r="U835" s="286"/>
      <c r="V835" s="286"/>
      <c r="W835" s="286"/>
      <c r="X835" s="286"/>
      <c r="Y835" s="286"/>
      <c r="Z835" s="286"/>
      <c r="AA835" s="294"/>
      <c r="AB835" s="253"/>
      <c r="AC835" s="253"/>
      <c r="AD835" s="253"/>
      <c r="AE835" s="253"/>
      <c r="AF835" s="253"/>
      <c r="AG835" s="253"/>
      <c r="AH835" s="253"/>
      <c r="AI835" s="253"/>
      <c r="AJ835" s="253"/>
      <c r="AK835" s="253"/>
      <c r="AL835" s="253"/>
      <c r="AM835" s="253"/>
      <c r="AN835" s="253"/>
      <c r="AO835" s="253"/>
      <c r="AP835" s="253"/>
      <c r="AQ835" s="253"/>
      <c r="AR835" s="253"/>
      <c r="AS835" s="253"/>
      <c r="AT835" s="2"/>
      <c r="AU835" s="2"/>
      <c r="AV835" s="2"/>
      <c r="AW835" s="2"/>
      <c r="AX835" s="2"/>
      <c r="AY835" s="253"/>
    </row>
    <row r="836" ht="15.75" customHeight="1">
      <c r="A836" s="2"/>
      <c r="B836" s="288" t="str">
        <f>Controle!B836</f>
        <v/>
      </c>
      <c r="C836" s="233" t="str">
        <f>Controle!C836</f>
        <v/>
      </c>
      <c r="D836" s="289" t="str">
        <f>Controle!D836</f>
        <v/>
      </c>
      <c r="E836" s="290"/>
      <c r="F836" s="291" t="str">
        <f>Controle!F836</f>
        <v/>
      </c>
      <c r="G836" s="289" t="str">
        <f>Controle!G836</f>
        <v/>
      </c>
      <c r="H836" s="290"/>
      <c r="I836" s="291" t="str">
        <f>Controle!I836</f>
        <v/>
      </c>
      <c r="J836" s="233" t="str">
        <f>Controle!J836</f>
        <v/>
      </c>
      <c r="K836" s="292"/>
      <c r="L836" s="233" t="str">
        <f>Controle!L836</f>
        <v/>
      </c>
      <c r="M836" s="233" t="str">
        <f>Controle!M836</f>
        <v/>
      </c>
      <c r="N836" s="235" t="str">
        <f>Controle!N836</f>
        <v/>
      </c>
      <c r="O836" s="235" t="str">
        <f>Controle!O836</f>
        <v/>
      </c>
      <c r="P836" s="235" t="str">
        <f>Controle!P836</f>
        <v/>
      </c>
      <c r="Q836" s="235" t="str">
        <f>Controle!Q836</f>
        <v/>
      </c>
      <c r="R836" s="286" t="str">
        <f>Controle!R836</f>
        <v/>
      </c>
      <c r="S836" s="286"/>
      <c r="T836" s="286"/>
      <c r="U836" s="286"/>
      <c r="V836" s="286"/>
      <c r="W836" s="286"/>
      <c r="X836" s="286"/>
      <c r="Y836" s="286"/>
      <c r="Z836" s="286"/>
      <c r="AA836" s="294"/>
      <c r="AB836" s="253"/>
      <c r="AC836" s="253"/>
      <c r="AD836" s="253"/>
      <c r="AE836" s="253"/>
      <c r="AF836" s="253"/>
      <c r="AG836" s="253"/>
      <c r="AH836" s="253"/>
      <c r="AI836" s="253"/>
      <c r="AJ836" s="253"/>
      <c r="AK836" s="253"/>
      <c r="AL836" s="253"/>
      <c r="AM836" s="253"/>
      <c r="AN836" s="253"/>
      <c r="AO836" s="253"/>
      <c r="AP836" s="253"/>
      <c r="AQ836" s="253"/>
      <c r="AR836" s="253"/>
      <c r="AS836" s="253"/>
      <c r="AT836" s="2"/>
      <c r="AU836" s="2"/>
      <c r="AV836" s="2"/>
      <c r="AW836" s="2"/>
      <c r="AX836" s="2"/>
      <c r="AY836" s="253"/>
    </row>
    <row r="837" ht="15.75" customHeight="1">
      <c r="A837" s="2"/>
      <c r="B837" s="288" t="str">
        <f>Controle!B837</f>
        <v/>
      </c>
      <c r="C837" s="233" t="str">
        <f>Controle!C837</f>
        <v/>
      </c>
      <c r="D837" s="289" t="str">
        <f>Controle!D837</f>
        <v/>
      </c>
      <c r="E837" s="290"/>
      <c r="F837" s="291" t="str">
        <f>Controle!F837</f>
        <v/>
      </c>
      <c r="G837" s="289" t="str">
        <f>Controle!G837</f>
        <v/>
      </c>
      <c r="H837" s="290"/>
      <c r="I837" s="291" t="str">
        <f>Controle!I837</f>
        <v/>
      </c>
      <c r="J837" s="233" t="str">
        <f>Controle!J837</f>
        <v/>
      </c>
      <c r="K837" s="292"/>
      <c r="L837" s="233" t="str">
        <f>Controle!L837</f>
        <v/>
      </c>
      <c r="M837" s="233" t="str">
        <f>Controle!M837</f>
        <v/>
      </c>
      <c r="N837" s="235" t="str">
        <f>Controle!N837</f>
        <v/>
      </c>
      <c r="O837" s="235" t="str">
        <f>Controle!O837</f>
        <v/>
      </c>
      <c r="P837" s="235" t="str">
        <f>Controle!P837</f>
        <v/>
      </c>
      <c r="Q837" s="235" t="str">
        <f>Controle!Q837</f>
        <v/>
      </c>
      <c r="R837" s="286" t="str">
        <f>Controle!R837</f>
        <v/>
      </c>
      <c r="S837" s="286"/>
      <c r="T837" s="286"/>
      <c r="U837" s="286"/>
      <c r="V837" s="286"/>
      <c r="W837" s="286"/>
      <c r="X837" s="286"/>
      <c r="Y837" s="286"/>
      <c r="Z837" s="286"/>
      <c r="AA837" s="294"/>
      <c r="AB837" s="253"/>
      <c r="AC837" s="253"/>
      <c r="AD837" s="253"/>
      <c r="AE837" s="253"/>
      <c r="AF837" s="253"/>
      <c r="AG837" s="253"/>
      <c r="AH837" s="253"/>
      <c r="AI837" s="253"/>
      <c r="AJ837" s="253"/>
      <c r="AK837" s="253"/>
      <c r="AL837" s="253"/>
      <c r="AM837" s="253"/>
      <c r="AN837" s="253"/>
      <c r="AO837" s="253"/>
      <c r="AP837" s="253"/>
      <c r="AQ837" s="253"/>
      <c r="AR837" s="253"/>
      <c r="AS837" s="253"/>
      <c r="AT837" s="2"/>
      <c r="AU837" s="2"/>
      <c r="AV837" s="2"/>
      <c r="AW837" s="2"/>
      <c r="AX837" s="2"/>
      <c r="AY837" s="253"/>
    </row>
    <row r="838" ht="15.75" customHeight="1">
      <c r="A838" s="2"/>
      <c r="B838" s="288" t="str">
        <f>Controle!B838</f>
        <v/>
      </c>
      <c r="C838" s="233" t="str">
        <f>Controle!C838</f>
        <v/>
      </c>
      <c r="D838" s="289" t="str">
        <f>Controle!D838</f>
        <v/>
      </c>
      <c r="E838" s="290"/>
      <c r="F838" s="291" t="str">
        <f>Controle!F838</f>
        <v/>
      </c>
      <c r="G838" s="289" t="str">
        <f>Controle!G838</f>
        <v/>
      </c>
      <c r="H838" s="290"/>
      <c r="I838" s="291" t="str">
        <f>Controle!I838</f>
        <v/>
      </c>
      <c r="J838" s="233" t="str">
        <f>Controle!J838</f>
        <v/>
      </c>
      <c r="K838" s="292"/>
      <c r="L838" s="233" t="str">
        <f>Controle!L838</f>
        <v/>
      </c>
      <c r="M838" s="233" t="str">
        <f>Controle!M838</f>
        <v/>
      </c>
      <c r="N838" s="235" t="str">
        <f>Controle!N838</f>
        <v/>
      </c>
      <c r="O838" s="235" t="str">
        <f>Controle!O838</f>
        <v/>
      </c>
      <c r="P838" s="235" t="str">
        <f>Controle!P838</f>
        <v/>
      </c>
      <c r="Q838" s="235" t="str">
        <f>Controle!Q838</f>
        <v/>
      </c>
      <c r="R838" s="286" t="str">
        <f>Controle!R838</f>
        <v/>
      </c>
      <c r="S838" s="286"/>
      <c r="T838" s="286"/>
      <c r="U838" s="286"/>
      <c r="V838" s="286"/>
      <c r="W838" s="286"/>
      <c r="X838" s="286"/>
      <c r="Y838" s="286"/>
      <c r="Z838" s="286"/>
      <c r="AA838" s="294"/>
      <c r="AB838" s="253"/>
      <c r="AC838" s="253"/>
      <c r="AD838" s="253"/>
      <c r="AE838" s="253"/>
      <c r="AF838" s="253"/>
      <c r="AG838" s="253"/>
      <c r="AH838" s="253"/>
      <c r="AI838" s="253"/>
      <c r="AJ838" s="253"/>
      <c r="AK838" s="253"/>
      <c r="AL838" s="253"/>
      <c r="AM838" s="253"/>
      <c r="AN838" s="253"/>
      <c r="AO838" s="253"/>
      <c r="AP838" s="253"/>
      <c r="AQ838" s="253"/>
      <c r="AR838" s="253"/>
      <c r="AS838" s="253"/>
      <c r="AT838" s="2"/>
      <c r="AU838" s="2"/>
      <c r="AV838" s="2"/>
      <c r="AW838" s="2"/>
      <c r="AX838" s="2"/>
      <c r="AY838" s="253"/>
    </row>
    <row r="839" ht="15.75" customHeight="1">
      <c r="A839" s="2"/>
      <c r="B839" s="288" t="str">
        <f>Controle!B839</f>
        <v/>
      </c>
      <c r="C839" s="233" t="str">
        <f>Controle!C839</f>
        <v/>
      </c>
      <c r="D839" s="289" t="str">
        <f>Controle!D839</f>
        <v/>
      </c>
      <c r="E839" s="290"/>
      <c r="F839" s="291" t="str">
        <f>Controle!F839</f>
        <v/>
      </c>
      <c r="G839" s="289" t="str">
        <f>Controle!G839</f>
        <v/>
      </c>
      <c r="H839" s="290"/>
      <c r="I839" s="291" t="str">
        <f>Controle!I839</f>
        <v/>
      </c>
      <c r="J839" s="233" t="str">
        <f>Controle!J839</f>
        <v/>
      </c>
      <c r="K839" s="292"/>
      <c r="L839" s="233" t="str">
        <f>Controle!L839</f>
        <v/>
      </c>
      <c r="M839" s="233" t="str">
        <f>Controle!M839</f>
        <v/>
      </c>
      <c r="N839" s="235" t="str">
        <f>Controle!N839</f>
        <v/>
      </c>
      <c r="O839" s="235" t="str">
        <f>Controle!O839</f>
        <v/>
      </c>
      <c r="P839" s="235" t="str">
        <f>Controle!P839</f>
        <v/>
      </c>
      <c r="Q839" s="235" t="str">
        <f>Controle!Q839</f>
        <v/>
      </c>
      <c r="R839" s="286" t="str">
        <f>Controle!R839</f>
        <v/>
      </c>
      <c r="S839" s="286"/>
      <c r="T839" s="286"/>
      <c r="U839" s="286"/>
      <c r="V839" s="286"/>
      <c r="W839" s="286"/>
      <c r="X839" s="286"/>
      <c r="Y839" s="286"/>
      <c r="Z839" s="286"/>
      <c r="AA839" s="294"/>
      <c r="AB839" s="253"/>
      <c r="AC839" s="253"/>
      <c r="AD839" s="253"/>
      <c r="AE839" s="253"/>
      <c r="AF839" s="253"/>
      <c r="AG839" s="253"/>
      <c r="AH839" s="253"/>
      <c r="AI839" s="253"/>
      <c r="AJ839" s="253"/>
      <c r="AK839" s="253"/>
      <c r="AL839" s="253"/>
      <c r="AM839" s="253"/>
      <c r="AN839" s="253"/>
      <c r="AO839" s="253"/>
      <c r="AP839" s="253"/>
      <c r="AQ839" s="253"/>
      <c r="AR839" s="253"/>
      <c r="AS839" s="253"/>
      <c r="AT839" s="2"/>
      <c r="AU839" s="2"/>
      <c r="AV839" s="2"/>
      <c r="AW839" s="2"/>
      <c r="AX839" s="2"/>
      <c r="AY839" s="253"/>
    </row>
    <row r="840" ht="15.75" customHeight="1">
      <c r="A840" s="2"/>
      <c r="B840" s="288" t="str">
        <f>Controle!B840</f>
        <v/>
      </c>
      <c r="C840" s="233" t="str">
        <f>Controle!C840</f>
        <v/>
      </c>
      <c r="D840" s="289" t="str">
        <f>Controle!D840</f>
        <v/>
      </c>
      <c r="E840" s="290"/>
      <c r="F840" s="291" t="str">
        <f>Controle!F840</f>
        <v/>
      </c>
      <c r="G840" s="289" t="str">
        <f>Controle!G840</f>
        <v/>
      </c>
      <c r="H840" s="290"/>
      <c r="I840" s="291" t="str">
        <f>Controle!I840</f>
        <v/>
      </c>
      <c r="J840" s="233" t="str">
        <f>Controle!J840</f>
        <v/>
      </c>
      <c r="K840" s="292"/>
      <c r="L840" s="233" t="str">
        <f>Controle!L840</f>
        <v/>
      </c>
      <c r="M840" s="233" t="str">
        <f>Controle!M840</f>
        <v/>
      </c>
      <c r="N840" s="235" t="str">
        <f>Controle!N840</f>
        <v/>
      </c>
      <c r="O840" s="235" t="str">
        <f>Controle!O840</f>
        <v/>
      </c>
      <c r="P840" s="235" t="str">
        <f>Controle!P840</f>
        <v/>
      </c>
      <c r="Q840" s="235" t="str">
        <f>Controle!Q840</f>
        <v/>
      </c>
      <c r="R840" s="286" t="str">
        <f>Controle!R840</f>
        <v/>
      </c>
      <c r="S840" s="286"/>
      <c r="T840" s="286"/>
      <c r="U840" s="286"/>
      <c r="V840" s="286"/>
      <c r="W840" s="286"/>
      <c r="X840" s="286"/>
      <c r="Y840" s="286"/>
      <c r="Z840" s="286"/>
      <c r="AA840" s="294"/>
      <c r="AB840" s="253"/>
      <c r="AC840" s="253"/>
      <c r="AD840" s="253"/>
      <c r="AE840" s="253"/>
      <c r="AF840" s="253"/>
      <c r="AG840" s="253"/>
      <c r="AH840" s="253"/>
      <c r="AI840" s="253"/>
      <c r="AJ840" s="253"/>
      <c r="AK840" s="253"/>
      <c r="AL840" s="253"/>
      <c r="AM840" s="253"/>
      <c r="AN840" s="253"/>
      <c r="AO840" s="253"/>
      <c r="AP840" s="253"/>
      <c r="AQ840" s="253"/>
      <c r="AR840" s="253"/>
      <c r="AS840" s="253"/>
      <c r="AT840" s="2"/>
      <c r="AU840" s="2"/>
      <c r="AV840" s="2"/>
      <c r="AW840" s="2"/>
      <c r="AX840" s="2"/>
      <c r="AY840" s="253"/>
    </row>
    <row r="841" ht="15.75" customHeight="1">
      <c r="A841" s="2"/>
      <c r="B841" s="288" t="str">
        <f>Controle!B841</f>
        <v/>
      </c>
      <c r="C841" s="233" t="str">
        <f>Controle!C841</f>
        <v/>
      </c>
      <c r="D841" s="289" t="str">
        <f>Controle!D841</f>
        <v/>
      </c>
      <c r="E841" s="290"/>
      <c r="F841" s="291" t="str">
        <f>Controle!F841</f>
        <v/>
      </c>
      <c r="G841" s="289" t="str">
        <f>Controle!G841</f>
        <v/>
      </c>
      <c r="H841" s="290"/>
      <c r="I841" s="291" t="str">
        <f>Controle!I841</f>
        <v/>
      </c>
      <c r="J841" s="233" t="str">
        <f>Controle!J841</f>
        <v/>
      </c>
      <c r="K841" s="292"/>
      <c r="L841" s="233" t="str">
        <f>Controle!L841</f>
        <v/>
      </c>
      <c r="M841" s="233" t="str">
        <f>Controle!M841</f>
        <v/>
      </c>
      <c r="N841" s="235" t="str">
        <f>Controle!N841</f>
        <v/>
      </c>
      <c r="O841" s="235" t="str">
        <f>Controle!O841</f>
        <v/>
      </c>
      <c r="P841" s="235" t="str">
        <f>Controle!P841</f>
        <v/>
      </c>
      <c r="Q841" s="235" t="str">
        <f>Controle!Q841</f>
        <v/>
      </c>
      <c r="R841" s="286" t="str">
        <f>Controle!R841</f>
        <v/>
      </c>
      <c r="S841" s="286"/>
      <c r="T841" s="286"/>
      <c r="U841" s="286"/>
      <c r="V841" s="286"/>
      <c r="W841" s="286"/>
      <c r="X841" s="286"/>
      <c r="Y841" s="286"/>
      <c r="Z841" s="286"/>
      <c r="AA841" s="294"/>
      <c r="AB841" s="253"/>
      <c r="AC841" s="253"/>
      <c r="AD841" s="253"/>
      <c r="AE841" s="253"/>
      <c r="AF841" s="253"/>
      <c r="AG841" s="253"/>
      <c r="AH841" s="253"/>
      <c r="AI841" s="253"/>
      <c r="AJ841" s="253"/>
      <c r="AK841" s="253"/>
      <c r="AL841" s="253"/>
      <c r="AM841" s="253"/>
      <c r="AN841" s="253"/>
      <c r="AO841" s="253"/>
      <c r="AP841" s="253"/>
      <c r="AQ841" s="253"/>
      <c r="AR841" s="253"/>
      <c r="AS841" s="253"/>
      <c r="AT841" s="2"/>
      <c r="AU841" s="2"/>
      <c r="AV841" s="2"/>
      <c r="AW841" s="2"/>
      <c r="AX841" s="2"/>
      <c r="AY841" s="253"/>
    </row>
    <row r="842" ht="15.75" customHeight="1">
      <c r="A842" s="2"/>
      <c r="B842" s="288" t="str">
        <f>Controle!B842</f>
        <v/>
      </c>
      <c r="C842" s="233" t="str">
        <f>Controle!C842</f>
        <v/>
      </c>
      <c r="D842" s="289" t="str">
        <f>Controle!D842</f>
        <v/>
      </c>
      <c r="E842" s="290"/>
      <c r="F842" s="291" t="str">
        <f>Controle!F842</f>
        <v/>
      </c>
      <c r="G842" s="289" t="str">
        <f>Controle!G842</f>
        <v/>
      </c>
      <c r="H842" s="290"/>
      <c r="I842" s="291" t="str">
        <f>Controle!I842</f>
        <v/>
      </c>
      <c r="J842" s="233" t="str">
        <f>Controle!J842</f>
        <v/>
      </c>
      <c r="K842" s="292"/>
      <c r="L842" s="233" t="str">
        <f>Controle!L842</f>
        <v/>
      </c>
      <c r="M842" s="233" t="str">
        <f>Controle!M842</f>
        <v/>
      </c>
      <c r="N842" s="235" t="str">
        <f>Controle!N842</f>
        <v/>
      </c>
      <c r="O842" s="235" t="str">
        <f>Controle!O842</f>
        <v/>
      </c>
      <c r="P842" s="235" t="str">
        <f>Controle!P842</f>
        <v/>
      </c>
      <c r="Q842" s="235" t="str">
        <f>Controle!Q842</f>
        <v/>
      </c>
      <c r="R842" s="286" t="str">
        <f>Controle!R842</f>
        <v/>
      </c>
      <c r="S842" s="286"/>
      <c r="T842" s="286"/>
      <c r="U842" s="286"/>
      <c r="V842" s="286"/>
      <c r="W842" s="286"/>
      <c r="X842" s="286"/>
      <c r="Y842" s="286"/>
      <c r="Z842" s="286"/>
      <c r="AA842" s="294"/>
      <c r="AB842" s="253"/>
      <c r="AC842" s="253"/>
      <c r="AD842" s="253"/>
      <c r="AE842" s="253"/>
      <c r="AF842" s="253"/>
      <c r="AG842" s="253"/>
      <c r="AH842" s="253"/>
      <c r="AI842" s="253"/>
      <c r="AJ842" s="253"/>
      <c r="AK842" s="253"/>
      <c r="AL842" s="253"/>
      <c r="AM842" s="253"/>
      <c r="AN842" s="253"/>
      <c r="AO842" s="253"/>
      <c r="AP842" s="253"/>
      <c r="AQ842" s="253"/>
      <c r="AR842" s="253"/>
      <c r="AS842" s="253"/>
      <c r="AT842" s="2"/>
      <c r="AU842" s="2"/>
      <c r="AV842" s="2"/>
      <c r="AW842" s="2"/>
      <c r="AX842" s="2"/>
      <c r="AY842" s="253"/>
    </row>
    <row r="843" ht="15.75" customHeight="1">
      <c r="A843" s="2"/>
      <c r="B843" s="288" t="str">
        <f>Controle!B843</f>
        <v/>
      </c>
      <c r="C843" s="233" t="str">
        <f>Controle!C843</f>
        <v/>
      </c>
      <c r="D843" s="289" t="str">
        <f>Controle!D843</f>
        <v/>
      </c>
      <c r="E843" s="290"/>
      <c r="F843" s="291" t="str">
        <f>Controle!F843</f>
        <v/>
      </c>
      <c r="G843" s="289" t="str">
        <f>Controle!G843</f>
        <v/>
      </c>
      <c r="H843" s="290"/>
      <c r="I843" s="291" t="str">
        <f>Controle!I843</f>
        <v/>
      </c>
      <c r="J843" s="233" t="str">
        <f>Controle!J843</f>
        <v/>
      </c>
      <c r="K843" s="292"/>
      <c r="L843" s="233" t="str">
        <f>Controle!L843</f>
        <v/>
      </c>
      <c r="M843" s="233" t="str">
        <f>Controle!M843</f>
        <v/>
      </c>
      <c r="N843" s="235" t="str">
        <f>Controle!N843</f>
        <v/>
      </c>
      <c r="O843" s="235" t="str">
        <f>Controle!O843</f>
        <v/>
      </c>
      <c r="P843" s="235" t="str">
        <f>Controle!P843</f>
        <v/>
      </c>
      <c r="Q843" s="235" t="str">
        <f>Controle!Q843</f>
        <v/>
      </c>
      <c r="R843" s="286" t="str">
        <f>Controle!R843</f>
        <v/>
      </c>
      <c r="S843" s="286"/>
      <c r="T843" s="286"/>
      <c r="U843" s="286"/>
      <c r="V843" s="286"/>
      <c r="W843" s="286"/>
      <c r="X843" s="286"/>
      <c r="Y843" s="286"/>
      <c r="Z843" s="286"/>
      <c r="AA843" s="294"/>
      <c r="AB843" s="253"/>
      <c r="AC843" s="253"/>
      <c r="AD843" s="253"/>
      <c r="AE843" s="253"/>
      <c r="AF843" s="253"/>
      <c r="AG843" s="253"/>
      <c r="AH843" s="253"/>
      <c r="AI843" s="253"/>
      <c r="AJ843" s="253"/>
      <c r="AK843" s="253"/>
      <c r="AL843" s="253"/>
      <c r="AM843" s="253"/>
      <c r="AN843" s="253"/>
      <c r="AO843" s="253"/>
      <c r="AP843" s="253"/>
      <c r="AQ843" s="253"/>
      <c r="AR843" s="253"/>
      <c r="AS843" s="253"/>
      <c r="AT843" s="2"/>
      <c r="AU843" s="2"/>
      <c r="AV843" s="2"/>
      <c r="AW843" s="2"/>
      <c r="AX843" s="2"/>
      <c r="AY843" s="253"/>
    </row>
    <row r="844" ht="15.75" customHeight="1">
      <c r="A844" s="2"/>
      <c r="B844" s="288" t="str">
        <f>Controle!B844</f>
        <v/>
      </c>
      <c r="C844" s="233" t="str">
        <f>Controle!C844</f>
        <v/>
      </c>
      <c r="D844" s="289" t="str">
        <f>Controle!D844</f>
        <v/>
      </c>
      <c r="E844" s="290"/>
      <c r="F844" s="291" t="str">
        <f>Controle!F844</f>
        <v/>
      </c>
      <c r="G844" s="289" t="str">
        <f>Controle!G844</f>
        <v/>
      </c>
      <c r="H844" s="290"/>
      <c r="I844" s="291" t="str">
        <f>Controle!I844</f>
        <v/>
      </c>
      <c r="J844" s="233" t="str">
        <f>Controle!J844</f>
        <v/>
      </c>
      <c r="K844" s="292"/>
      <c r="L844" s="233" t="str">
        <f>Controle!L844</f>
        <v/>
      </c>
      <c r="M844" s="233" t="str">
        <f>Controle!M844</f>
        <v/>
      </c>
      <c r="N844" s="235" t="str">
        <f>Controle!N844</f>
        <v/>
      </c>
      <c r="O844" s="235" t="str">
        <f>Controle!O844</f>
        <v/>
      </c>
      <c r="P844" s="235" t="str">
        <f>Controle!P844</f>
        <v/>
      </c>
      <c r="Q844" s="235" t="str">
        <f>Controle!Q844</f>
        <v/>
      </c>
      <c r="R844" s="286" t="str">
        <f>Controle!R844</f>
        <v/>
      </c>
      <c r="S844" s="286"/>
      <c r="T844" s="286"/>
      <c r="U844" s="286"/>
      <c r="V844" s="286"/>
      <c r="W844" s="286"/>
      <c r="X844" s="286"/>
      <c r="Y844" s="286"/>
      <c r="Z844" s="286"/>
      <c r="AA844" s="294"/>
      <c r="AB844" s="253"/>
      <c r="AC844" s="253"/>
      <c r="AD844" s="253"/>
      <c r="AE844" s="253"/>
      <c r="AF844" s="253"/>
      <c r="AG844" s="253"/>
      <c r="AH844" s="253"/>
      <c r="AI844" s="253"/>
      <c r="AJ844" s="253"/>
      <c r="AK844" s="253"/>
      <c r="AL844" s="253"/>
      <c r="AM844" s="253"/>
      <c r="AN844" s="253"/>
      <c r="AO844" s="253"/>
      <c r="AP844" s="253"/>
      <c r="AQ844" s="253"/>
      <c r="AR844" s="253"/>
      <c r="AS844" s="253"/>
      <c r="AT844" s="2"/>
      <c r="AU844" s="2"/>
      <c r="AV844" s="2"/>
      <c r="AW844" s="2"/>
      <c r="AX844" s="2"/>
      <c r="AY844" s="253"/>
    </row>
    <row r="845" ht="15.75" customHeight="1">
      <c r="A845" s="2"/>
      <c r="B845" s="288" t="str">
        <f>Controle!B845</f>
        <v/>
      </c>
      <c r="C845" s="233" t="str">
        <f>Controle!C845</f>
        <v/>
      </c>
      <c r="D845" s="289" t="str">
        <f>Controle!D845</f>
        <v/>
      </c>
      <c r="E845" s="290"/>
      <c r="F845" s="291" t="str">
        <f>Controle!F845</f>
        <v/>
      </c>
      <c r="G845" s="289" t="str">
        <f>Controle!G845</f>
        <v/>
      </c>
      <c r="H845" s="290"/>
      <c r="I845" s="291" t="str">
        <f>Controle!I845</f>
        <v/>
      </c>
      <c r="J845" s="233" t="str">
        <f>Controle!J845</f>
        <v/>
      </c>
      <c r="K845" s="292"/>
      <c r="L845" s="233" t="str">
        <f>Controle!L845</f>
        <v/>
      </c>
      <c r="M845" s="233" t="str">
        <f>Controle!M845</f>
        <v/>
      </c>
      <c r="N845" s="235" t="str">
        <f>Controle!N845</f>
        <v/>
      </c>
      <c r="O845" s="235" t="str">
        <f>Controle!O845</f>
        <v/>
      </c>
      <c r="P845" s="235" t="str">
        <f>Controle!P845</f>
        <v/>
      </c>
      <c r="Q845" s="235" t="str">
        <f>Controle!Q845</f>
        <v/>
      </c>
      <c r="R845" s="286" t="str">
        <f>Controle!R845</f>
        <v/>
      </c>
      <c r="S845" s="286"/>
      <c r="T845" s="286"/>
      <c r="U845" s="286"/>
      <c r="V845" s="286"/>
      <c r="W845" s="286"/>
      <c r="X845" s="286"/>
      <c r="Y845" s="286"/>
      <c r="Z845" s="286"/>
      <c r="AA845" s="294"/>
      <c r="AB845" s="253"/>
      <c r="AC845" s="253"/>
      <c r="AD845" s="253"/>
      <c r="AE845" s="253"/>
      <c r="AF845" s="253"/>
      <c r="AG845" s="253"/>
      <c r="AH845" s="253"/>
      <c r="AI845" s="253"/>
      <c r="AJ845" s="253"/>
      <c r="AK845" s="253"/>
      <c r="AL845" s="253"/>
      <c r="AM845" s="253"/>
      <c r="AN845" s="253"/>
      <c r="AO845" s="253"/>
      <c r="AP845" s="253"/>
      <c r="AQ845" s="253"/>
      <c r="AR845" s="253"/>
      <c r="AS845" s="253"/>
      <c r="AT845" s="2"/>
      <c r="AU845" s="2"/>
      <c r="AV845" s="2"/>
      <c r="AW845" s="2"/>
      <c r="AX845" s="2"/>
      <c r="AY845" s="253"/>
    </row>
    <row r="846" ht="15.75" customHeight="1">
      <c r="A846" s="2"/>
      <c r="B846" s="288" t="str">
        <f>Controle!B846</f>
        <v/>
      </c>
      <c r="C846" s="233" t="str">
        <f>Controle!C846</f>
        <v/>
      </c>
      <c r="D846" s="289" t="str">
        <f>Controle!D846</f>
        <v/>
      </c>
      <c r="E846" s="290"/>
      <c r="F846" s="291" t="str">
        <f>Controle!F846</f>
        <v/>
      </c>
      <c r="G846" s="289" t="str">
        <f>Controle!G846</f>
        <v/>
      </c>
      <c r="H846" s="290"/>
      <c r="I846" s="291" t="str">
        <f>Controle!I846</f>
        <v/>
      </c>
      <c r="J846" s="233" t="str">
        <f>Controle!J846</f>
        <v/>
      </c>
      <c r="K846" s="292"/>
      <c r="L846" s="233" t="str">
        <f>Controle!L846</f>
        <v/>
      </c>
      <c r="M846" s="233" t="str">
        <f>Controle!M846</f>
        <v/>
      </c>
      <c r="N846" s="235" t="str">
        <f>Controle!N846</f>
        <v/>
      </c>
      <c r="O846" s="235" t="str">
        <f>Controle!O846</f>
        <v/>
      </c>
      <c r="P846" s="235" t="str">
        <f>Controle!P846</f>
        <v/>
      </c>
      <c r="Q846" s="235" t="str">
        <f>Controle!Q846</f>
        <v/>
      </c>
      <c r="R846" s="286" t="str">
        <f>Controle!R846</f>
        <v/>
      </c>
      <c r="S846" s="286"/>
      <c r="T846" s="286"/>
      <c r="U846" s="286"/>
      <c r="V846" s="286"/>
      <c r="W846" s="286"/>
      <c r="X846" s="286"/>
      <c r="Y846" s="286"/>
      <c r="Z846" s="286"/>
      <c r="AA846" s="294"/>
      <c r="AB846" s="253"/>
      <c r="AC846" s="253"/>
      <c r="AD846" s="253"/>
      <c r="AE846" s="253"/>
      <c r="AF846" s="253"/>
      <c r="AG846" s="253"/>
      <c r="AH846" s="253"/>
      <c r="AI846" s="253"/>
      <c r="AJ846" s="253"/>
      <c r="AK846" s="253"/>
      <c r="AL846" s="253"/>
      <c r="AM846" s="253"/>
      <c r="AN846" s="253"/>
      <c r="AO846" s="253"/>
      <c r="AP846" s="253"/>
      <c r="AQ846" s="253"/>
      <c r="AR846" s="253"/>
      <c r="AS846" s="253"/>
      <c r="AT846" s="2"/>
      <c r="AU846" s="2"/>
      <c r="AV846" s="2"/>
      <c r="AW846" s="2"/>
      <c r="AX846" s="2"/>
      <c r="AY846" s="253"/>
    </row>
    <row r="847" ht="15.75" customHeight="1">
      <c r="A847" s="2"/>
      <c r="B847" s="288" t="str">
        <f>Controle!B847</f>
        <v/>
      </c>
      <c r="C847" s="233" t="str">
        <f>Controle!C847</f>
        <v/>
      </c>
      <c r="D847" s="289" t="str">
        <f>Controle!D847</f>
        <v/>
      </c>
      <c r="E847" s="290"/>
      <c r="F847" s="291" t="str">
        <f>Controle!F847</f>
        <v/>
      </c>
      <c r="G847" s="289" t="str">
        <f>Controle!G847</f>
        <v/>
      </c>
      <c r="H847" s="290"/>
      <c r="I847" s="291" t="str">
        <f>Controle!I847</f>
        <v/>
      </c>
      <c r="J847" s="233" t="str">
        <f>Controle!J847</f>
        <v/>
      </c>
      <c r="K847" s="292"/>
      <c r="L847" s="233" t="str">
        <f>Controle!L847</f>
        <v/>
      </c>
      <c r="M847" s="233" t="str">
        <f>Controle!M847</f>
        <v/>
      </c>
      <c r="N847" s="235" t="str">
        <f>Controle!N847</f>
        <v/>
      </c>
      <c r="O847" s="235" t="str">
        <f>Controle!O847</f>
        <v/>
      </c>
      <c r="P847" s="235" t="str">
        <f>Controle!P847</f>
        <v/>
      </c>
      <c r="Q847" s="235" t="str">
        <f>Controle!Q847</f>
        <v/>
      </c>
      <c r="R847" s="286" t="str">
        <f>Controle!R847</f>
        <v/>
      </c>
      <c r="S847" s="286"/>
      <c r="T847" s="286"/>
      <c r="U847" s="286"/>
      <c r="V847" s="286"/>
      <c r="W847" s="286"/>
      <c r="X847" s="286"/>
      <c r="Y847" s="286"/>
      <c r="Z847" s="286"/>
      <c r="AA847" s="294"/>
      <c r="AB847" s="253"/>
      <c r="AC847" s="253"/>
      <c r="AD847" s="253"/>
      <c r="AE847" s="253"/>
      <c r="AF847" s="253"/>
      <c r="AG847" s="253"/>
      <c r="AH847" s="253"/>
      <c r="AI847" s="253"/>
      <c r="AJ847" s="253"/>
      <c r="AK847" s="253"/>
      <c r="AL847" s="253"/>
      <c r="AM847" s="253"/>
      <c r="AN847" s="253"/>
      <c r="AO847" s="253"/>
      <c r="AP847" s="253"/>
      <c r="AQ847" s="253"/>
      <c r="AR847" s="253"/>
      <c r="AS847" s="253"/>
      <c r="AT847" s="2"/>
      <c r="AU847" s="2"/>
      <c r="AV847" s="2"/>
      <c r="AW847" s="2"/>
      <c r="AX847" s="2"/>
      <c r="AY847" s="253"/>
    </row>
    <row r="848" ht="15.75" customHeight="1">
      <c r="A848" s="2"/>
      <c r="B848" s="288" t="str">
        <f>Controle!B848</f>
        <v/>
      </c>
      <c r="C848" s="233" t="str">
        <f>Controle!C848</f>
        <v/>
      </c>
      <c r="D848" s="289" t="str">
        <f>Controle!D848</f>
        <v/>
      </c>
      <c r="E848" s="290"/>
      <c r="F848" s="291" t="str">
        <f>Controle!F848</f>
        <v/>
      </c>
      <c r="G848" s="289" t="str">
        <f>Controle!G848</f>
        <v/>
      </c>
      <c r="H848" s="290"/>
      <c r="I848" s="291" t="str">
        <f>Controle!I848</f>
        <v/>
      </c>
      <c r="J848" s="233" t="str">
        <f>Controle!J848</f>
        <v/>
      </c>
      <c r="K848" s="292"/>
      <c r="L848" s="233" t="str">
        <f>Controle!L848</f>
        <v/>
      </c>
      <c r="M848" s="233" t="str">
        <f>Controle!M848</f>
        <v/>
      </c>
      <c r="N848" s="235" t="str">
        <f>Controle!N848</f>
        <v/>
      </c>
      <c r="O848" s="235" t="str">
        <f>Controle!O848</f>
        <v/>
      </c>
      <c r="P848" s="235" t="str">
        <f>Controle!P848</f>
        <v/>
      </c>
      <c r="Q848" s="235" t="str">
        <f>Controle!Q848</f>
        <v/>
      </c>
      <c r="R848" s="286" t="str">
        <f>Controle!R848</f>
        <v/>
      </c>
      <c r="S848" s="286"/>
      <c r="T848" s="286"/>
      <c r="U848" s="286"/>
      <c r="V848" s="286"/>
      <c r="W848" s="286"/>
      <c r="X848" s="286"/>
      <c r="Y848" s="286"/>
      <c r="Z848" s="286"/>
      <c r="AA848" s="294"/>
      <c r="AB848" s="253"/>
      <c r="AC848" s="253"/>
      <c r="AD848" s="253"/>
      <c r="AE848" s="253"/>
      <c r="AF848" s="253"/>
      <c r="AG848" s="253"/>
      <c r="AH848" s="253"/>
      <c r="AI848" s="253"/>
      <c r="AJ848" s="253"/>
      <c r="AK848" s="253"/>
      <c r="AL848" s="253"/>
      <c r="AM848" s="253"/>
      <c r="AN848" s="253"/>
      <c r="AO848" s="253"/>
      <c r="AP848" s="253"/>
      <c r="AQ848" s="253"/>
      <c r="AR848" s="253"/>
      <c r="AS848" s="253"/>
      <c r="AT848" s="2"/>
      <c r="AU848" s="2"/>
      <c r="AV848" s="2"/>
      <c r="AW848" s="2"/>
      <c r="AX848" s="2"/>
      <c r="AY848" s="253"/>
    </row>
    <row r="849" ht="15.75" customHeight="1">
      <c r="A849" s="2"/>
      <c r="B849" s="288" t="str">
        <f>Controle!B849</f>
        <v/>
      </c>
      <c r="C849" s="233" t="str">
        <f>Controle!C849</f>
        <v/>
      </c>
      <c r="D849" s="289" t="str">
        <f>Controle!D849</f>
        <v/>
      </c>
      <c r="E849" s="290"/>
      <c r="F849" s="291" t="str">
        <f>Controle!F849</f>
        <v/>
      </c>
      <c r="G849" s="289" t="str">
        <f>Controle!G849</f>
        <v/>
      </c>
      <c r="H849" s="290"/>
      <c r="I849" s="291" t="str">
        <f>Controle!I849</f>
        <v/>
      </c>
      <c r="J849" s="233" t="str">
        <f>Controle!J849</f>
        <v/>
      </c>
      <c r="K849" s="292"/>
      <c r="L849" s="233" t="str">
        <f>Controle!L849</f>
        <v/>
      </c>
      <c r="M849" s="233" t="str">
        <f>Controle!M849</f>
        <v/>
      </c>
      <c r="N849" s="235" t="str">
        <f>Controle!N849</f>
        <v/>
      </c>
      <c r="O849" s="235" t="str">
        <f>Controle!O849</f>
        <v/>
      </c>
      <c r="P849" s="235" t="str">
        <f>Controle!P849</f>
        <v/>
      </c>
      <c r="Q849" s="235" t="str">
        <f>Controle!Q849</f>
        <v/>
      </c>
      <c r="R849" s="286" t="str">
        <f>Controle!R849</f>
        <v/>
      </c>
      <c r="S849" s="286"/>
      <c r="T849" s="286"/>
      <c r="U849" s="286"/>
      <c r="V849" s="286"/>
      <c r="W849" s="286"/>
      <c r="X849" s="286"/>
      <c r="Y849" s="286"/>
      <c r="Z849" s="286"/>
      <c r="AA849" s="294"/>
      <c r="AB849" s="253"/>
      <c r="AC849" s="253"/>
      <c r="AD849" s="253"/>
      <c r="AE849" s="253"/>
      <c r="AF849" s="253"/>
      <c r="AG849" s="253"/>
      <c r="AH849" s="253"/>
      <c r="AI849" s="253"/>
      <c r="AJ849" s="253"/>
      <c r="AK849" s="253"/>
      <c r="AL849" s="253"/>
      <c r="AM849" s="253"/>
      <c r="AN849" s="253"/>
      <c r="AO849" s="253"/>
      <c r="AP849" s="253"/>
      <c r="AQ849" s="253"/>
      <c r="AR849" s="253"/>
      <c r="AS849" s="253"/>
      <c r="AT849" s="2"/>
      <c r="AU849" s="2"/>
      <c r="AV849" s="2"/>
      <c r="AW849" s="2"/>
      <c r="AX849" s="2"/>
      <c r="AY849" s="253"/>
    </row>
    <row r="850" ht="15.75" customHeight="1">
      <c r="A850" s="2"/>
      <c r="B850" s="288" t="str">
        <f>Controle!B850</f>
        <v/>
      </c>
      <c r="C850" s="233" t="str">
        <f>Controle!C850</f>
        <v/>
      </c>
      <c r="D850" s="289" t="str">
        <f>Controle!D850</f>
        <v/>
      </c>
      <c r="E850" s="290"/>
      <c r="F850" s="291" t="str">
        <f>Controle!F850</f>
        <v/>
      </c>
      <c r="G850" s="289" t="str">
        <f>Controle!G850</f>
        <v/>
      </c>
      <c r="H850" s="290"/>
      <c r="I850" s="291" t="str">
        <f>Controle!I850</f>
        <v/>
      </c>
      <c r="J850" s="233" t="str">
        <f>Controle!J850</f>
        <v/>
      </c>
      <c r="K850" s="292"/>
      <c r="L850" s="233" t="str">
        <f>Controle!L850</f>
        <v/>
      </c>
      <c r="M850" s="233" t="str">
        <f>Controle!M850</f>
        <v/>
      </c>
      <c r="N850" s="235" t="str">
        <f>Controle!N850</f>
        <v/>
      </c>
      <c r="O850" s="235" t="str">
        <f>Controle!O850</f>
        <v/>
      </c>
      <c r="P850" s="235" t="str">
        <f>Controle!P850</f>
        <v/>
      </c>
      <c r="Q850" s="235" t="str">
        <f>Controle!Q850</f>
        <v/>
      </c>
      <c r="R850" s="286" t="str">
        <f>Controle!R850</f>
        <v/>
      </c>
      <c r="S850" s="286"/>
      <c r="T850" s="286"/>
      <c r="U850" s="286"/>
      <c r="V850" s="286"/>
      <c r="W850" s="286"/>
      <c r="X850" s="286"/>
      <c r="Y850" s="286"/>
      <c r="Z850" s="286"/>
      <c r="AA850" s="294"/>
      <c r="AB850" s="253"/>
      <c r="AC850" s="253"/>
      <c r="AD850" s="253"/>
      <c r="AE850" s="253"/>
      <c r="AF850" s="253"/>
      <c r="AG850" s="253"/>
      <c r="AH850" s="253"/>
      <c r="AI850" s="253"/>
      <c r="AJ850" s="253"/>
      <c r="AK850" s="253"/>
      <c r="AL850" s="253"/>
      <c r="AM850" s="253"/>
      <c r="AN850" s="253"/>
      <c r="AO850" s="253"/>
      <c r="AP850" s="253"/>
      <c r="AQ850" s="253"/>
      <c r="AR850" s="253"/>
      <c r="AS850" s="253"/>
      <c r="AT850" s="2"/>
      <c r="AU850" s="2"/>
      <c r="AV850" s="2"/>
      <c r="AW850" s="2"/>
      <c r="AX850" s="2"/>
      <c r="AY850" s="253"/>
    </row>
    <row r="851" ht="15.75" customHeight="1">
      <c r="A851" s="2"/>
      <c r="B851" s="288" t="str">
        <f>Controle!B851</f>
        <v/>
      </c>
      <c r="C851" s="233" t="str">
        <f>Controle!C851</f>
        <v/>
      </c>
      <c r="D851" s="289" t="str">
        <f>Controle!D851</f>
        <v/>
      </c>
      <c r="E851" s="290"/>
      <c r="F851" s="291" t="str">
        <f>Controle!F851</f>
        <v/>
      </c>
      <c r="G851" s="289" t="str">
        <f>Controle!G851</f>
        <v/>
      </c>
      <c r="H851" s="290"/>
      <c r="I851" s="291" t="str">
        <f>Controle!I851</f>
        <v/>
      </c>
      <c r="J851" s="233" t="str">
        <f>Controle!J851</f>
        <v/>
      </c>
      <c r="K851" s="292"/>
      <c r="L851" s="233" t="str">
        <f>Controle!L851</f>
        <v/>
      </c>
      <c r="M851" s="233" t="str">
        <f>Controle!M851</f>
        <v/>
      </c>
      <c r="N851" s="235" t="str">
        <f>Controle!N851</f>
        <v/>
      </c>
      <c r="O851" s="235" t="str">
        <f>Controle!O851</f>
        <v/>
      </c>
      <c r="P851" s="235" t="str">
        <f>Controle!P851</f>
        <v/>
      </c>
      <c r="Q851" s="235" t="str">
        <f>Controle!Q851</f>
        <v/>
      </c>
      <c r="R851" s="286" t="str">
        <f>Controle!R851</f>
        <v/>
      </c>
      <c r="S851" s="286"/>
      <c r="T851" s="286"/>
      <c r="U851" s="286"/>
      <c r="V851" s="286"/>
      <c r="W851" s="286"/>
      <c r="X851" s="286"/>
      <c r="Y851" s="286"/>
      <c r="Z851" s="286"/>
      <c r="AA851" s="294"/>
      <c r="AB851" s="253"/>
      <c r="AC851" s="253"/>
      <c r="AD851" s="253"/>
      <c r="AE851" s="253"/>
      <c r="AF851" s="253"/>
      <c r="AG851" s="253"/>
      <c r="AH851" s="253"/>
      <c r="AI851" s="253"/>
      <c r="AJ851" s="253"/>
      <c r="AK851" s="253"/>
      <c r="AL851" s="253"/>
      <c r="AM851" s="253"/>
      <c r="AN851" s="253"/>
      <c r="AO851" s="253"/>
      <c r="AP851" s="253"/>
      <c r="AQ851" s="253"/>
      <c r="AR851" s="253"/>
      <c r="AS851" s="253"/>
      <c r="AT851" s="2"/>
      <c r="AU851" s="2"/>
      <c r="AV851" s="2"/>
      <c r="AW851" s="2"/>
      <c r="AX851" s="2"/>
      <c r="AY851" s="253"/>
    </row>
    <row r="852" ht="15.75" customHeight="1">
      <c r="A852" s="2"/>
      <c r="B852" s="288" t="str">
        <f>Controle!B852</f>
        <v/>
      </c>
      <c r="C852" s="233" t="str">
        <f>Controle!C852</f>
        <v/>
      </c>
      <c r="D852" s="289" t="str">
        <f>Controle!D852</f>
        <v/>
      </c>
      <c r="E852" s="290"/>
      <c r="F852" s="291" t="str">
        <f>Controle!F852</f>
        <v/>
      </c>
      <c r="G852" s="289" t="str">
        <f>Controle!G852</f>
        <v/>
      </c>
      <c r="H852" s="290"/>
      <c r="I852" s="291" t="str">
        <f>Controle!I852</f>
        <v/>
      </c>
      <c r="J852" s="233" t="str">
        <f>Controle!J852</f>
        <v/>
      </c>
      <c r="K852" s="292"/>
      <c r="L852" s="233" t="str">
        <f>Controle!L852</f>
        <v/>
      </c>
      <c r="M852" s="233" t="str">
        <f>Controle!M852</f>
        <v/>
      </c>
      <c r="N852" s="235" t="str">
        <f>Controle!N852</f>
        <v/>
      </c>
      <c r="O852" s="235" t="str">
        <f>Controle!O852</f>
        <v/>
      </c>
      <c r="P852" s="235" t="str">
        <f>Controle!P852</f>
        <v/>
      </c>
      <c r="Q852" s="235" t="str">
        <f>Controle!Q852</f>
        <v/>
      </c>
      <c r="R852" s="286" t="str">
        <f>Controle!R852</f>
        <v/>
      </c>
      <c r="S852" s="286"/>
      <c r="T852" s="286"/>
      <c r="U852" s="286"/>
      <c r="V852" s="286"/>
      <c r="W852" s="286"/>
      <c r="X852" s="286"/>
      <c r="Y852" s="286"/>
      <c r="Z852" s="286"/>
      <c r="AA852" s="294"/>
      <c r="AB852" s="253"/>
      <c r="AC852" s="253"/>
      <c r="AD852" s="253"/>
      <c r="AE852" s="253"/>
      <c r="AF852" s="253"/>
      <c r="AG852" s="253"/>
      <c r="AH852" s="253"/>
      <c r="AI852" s="253"/>
      <c r="AJ852" s="253"/>
      <c r="AK852" s="253"/>
      <c r="AL852" s="253"/>
      <c r="AM852" s="253"/>
      <c r="AN852" s="253"/>
      <c r="AO852" s="253"/>
      <c r="AP852" s="253"/>
      <c r="AQ852" s="253"/>
      <c r="AR852" s="253"/>
      <c r="AS852" s="253"/>
      <c r="AT852" s="2"/>
      <c r="AU852" s="2"/>
      <c r="AV852" s="2"/>
      <c r="AW852" s="2"/>
      <c r="AX852" s="2"/>
      <c r="AY852" s="253"/>
    </row>
    <row r="853" ht="15.75" customHeight="1">
      <c r="A853" s="2"/>
      <c r="B853" s="288" t="str">
        <f>Controle!B853</f>
        <v/>
      </c>
      <c r="C853" s="233" t="str">
        <f>Controle!C853</f>
        <v/>
      </c>
      <c r="D853" s="289" t="str">
        <f>Controle!D853</f>
        <v/>
      </c>
      <c r="E853" s="290"/>
      <c r="F853" s="291" t="str">
        <f>Controle!F853</f>
        <v/>
      </c>
      <c r="G853" s="289" t="str">
        <f>Controle!G853</f>
        <v/>
      </c>
      <c r="H853" s="290"/>
      <c r="I853" s="291" t="str">
        <f>Controle!I853</f>
        <v/>
      </c>
      <c r="J853" s="233" t="str">
        <f>Controle!J853</f>
        <v/>
      </c>
      <c r="K853" s="292"/>
      <c r="L853" s="233" t="str">
        <f>Controle!L853</f>
        <v/>
      </c>
      <c r="M853" s="233" t="str">
        <f>Controle!M853</f>
        <v/>
      </c>
      <c r="N853" s="235" t="str">
        <f>Controle!N853</f>
        <v/>
      </c>
      <c r="O853" s="235" t="str">
        <f>Controle!O853</f>
        <v/>
      </c>
      <c r="P853" s="235" t="str">
        <f>Controle!P853</f>
        <v/>
      </c>
      <c r="Q853" s="235" t="str">
        <f>Controle!Q853</f>
        <v/>
      </c>
      <c r="R853" s="286" t="str">
        <f>Controle!R853</f>
        <v/>
      </c>
      <c r="S853" s="286"/>
      <c r="T853" s="286"/>
      <c r="U853" s="286"/>
      <c r="V853" s="286"/>
      <c r="W853" s="286"/>
      <c r="X853" s="286"/>
      <c r="Y853" s="286"/>
      <c r="Z853" s="286"/>
      <c r="AA853" s="294"/>
      <c r="AB853" s="253"/>
      <c r="AC853" s="253"/>
      <c r="AD853" s="253"/>
      <c r="AE853" s="253"/>
      <c r="AF853" s="253"/>
      <c r="AG853" s="253"/>
      <c r="AH853" s="253"/>
      <c r="AI853" s="253"/>
      <c r="AJ853" s="253"/>
      <c r="AK853" s="253"/>
      <c r="AL853" s="253"/>
      <c r="AM853" s="253"/>
      <c r="AN853" s="253"/>
      <c r="AO853" s="253"/>
      <c r="AP853" s="253"/>
      <c r="AQ853" s="253"/>
      <c r="AR853" s="253"/>
      <c r="AS853" s="253"/>
      <c r="AT853" s="2"/>
      <c r="AU853" s="2"/>
      <c r="AV853" s="2"/>
      <c r="AW853" s="2"/>
      <c r="AX853" s="2"/>
      <c r="AY853" s="253"/>
    </row>
    <row r="854" ht="15.75" customHeight="1">
      <c r="A854" s="2"/>
      <c r="B854" s="288" t="str">
        <f>Controle!B854</f>
        <v/>
      </c>
      <c r="C854" s="233" t="str">
        <f>Controle!C854</f>
        <v/>
      </c>
      <c r="D854" s="289" t="str">
        <f>Controle!D854</f>
        <v/>
      </c>
      <c r="E854" s="290"/>
      <c r="F854" s="291" t="str">
        <f>Controle!F854</f>
        <v/>
      </c>
      <c r="G854" s="289" t="str">
        <f>Controle!G854</f>
        <v/>
      </c>
      <c r="H854" s="290"/>
      <c r="I854" s="291" t="str">
        <f>Controle!I854</f>
        <v/>
      </c>
      <c r="J854" s="233" t="str">
        <f>Controle!J854</f>
        <v/>
      </c>
      <c r="K854" s="292"/>
      <c r="L854" s="233" t="str">
        <f>Controle!L854</f>
        <v/>
      </c>
      <c r="M854" s="233" t="str">
        <f>Controle!M854</f>
        <v/>
      </c>
      <c r="N854" s="235" t="str">
        <f>Controle!N854</f>
        <v/>
      </c>
      <c r="O854" s="235" t="str">
        <f>Controle!O854</f>
        <v/>
      </c>
      <c r="P854" s="235" t="str">
        <f>Controle!P854</f>
        <v/>
      </c>
      <c r="Q854" s="235" t="str">
        <f>Controle!Q854</f>
        <v/>
      </c>
      <c r="R854" s="286" t="str">
        <f>Controle!R854</f>
        <v/>
      </c>
      <c r="S854" s="286"/>
      <c r="T854" s="286"/>
      <c r="U854" s="286"/>
      <c r="V854" s="286"/>
      <c r="W854" s="286"/>
      <c r="X854" s="286"/>
      <c r="Y854" s="286"/>
      <c r="Z854" s="286"/>
      <c r="AA854" s="294"/>
      <c r="AB854" s="253"/>
      <c r="AC854" s="253"/>
      <c r="AD854" s="253"/>
      <c r="AE854" s="253"/>
      <c r="AF854" s="253"/>
      <c r="AG854" s="253"/>
      <c r="AH854" s="253"/>
      <c r="AI854" s="253"/>
      <c r="AJ854" s="253"/>
      <c r="AK854" s="253"/>
      <c r="AL854" s="253"/>
      <c r="AM854" s="253"/>
      <c r="AN854" s="253"/>
      <c r="AO854" s="253"/>
      <c r="AP854" s="253"/>
      <c r="AQ854" s="253"/>
      <c r="AR854" s="253"/>
      <c r="AS854" s="253"/>
      <c r="AT854" s="2"/>
      <c r="AU854" s="2"/>
      <c r="AV854" s="2"/>
      <c r="AW854" s="2"/>
      <c r="AX854" s="2"/>
      <c r="AY854" s="253"/>
    </row>
    <row r="855" ht="15.75" customHeight="1">
      <c r="A855" s="2"/>
      <c r="B855" s="288" t="str">
        <f>Controle!B855</f>
        <v/>
      </c>
      <c r="C855" s="233" t="str">
        <f>Controle!C855</f>
        <v/>
      </c>
      <c r="D855" s="289" t="str">
        <f>Controle!D855</f>
        <v/>
      </c>
      <c r="E855" s="290"/>
      <c r="F855" s="291" t="str">
        <f>Controle!F855</f>
        <v/>
      </c>
      <c r="G855" s="289" t="str">
        <f>Controle!G855</f>
        <v/>
      </c>
      <c r="H855" s="290"/>
      <c r="I855" s="291" t="str">
        <f>Controle!I855</f>
        <v/>
      </c>
      <c r="J855" s="233" t="str">
        <f>Controle!J855</f>
        <v/>
      </c>
      <c r="K855" s="292"/>
      <c r="L855" s="233" t="str">
        <f>Controle!L855</f>
        <v/>
      </c>
      <c r="M855" s="233" t="str">
        <f>Controle!M855</f>
        <v/>
      </c>
      <c r="N855" s="235" t="str">
        <f>Controle!N855</f>
        <v/>
      </c>
      <c r="O855" s="235" t="str">
        <f>Controle!O855</f>
        <v/>
      </c>
      <c r="P855" s="235" t="str">
        <f>Controle!P855</f>
        <v/>
      </c>
      <c r="Q855" s="235" t="str">
        <f>Controle!Q855</f>
        <v/>
      </c>
      <c r="R855" s="286" t="str">
        <f>Controle!R855</f>
        <v/>
      </c>
      <c r="S855" s="286"/>
      <c r="T855" s="286"/>
      <c r="U855" s="286"/>
      <c r="V855" s="286"/>
      <c r="W855" s="286"/>
      <c r="X855" s="286"/>
      <c r="Y855" s="286"/>
      <c r="Z855" s="286"/>
      <c r="AA855" s="294"/>
      <c r="AB855" s="253"/>
      <c r="AC855" s="253"/>
      <c r="AD855" s="253"/>
      <c r="AE855" s="253"/>
      <c r="AF855" s="253"/>
      <c r="AG855" s="253"/>
      <c r="AH855" s="253"/>
      <c r="AI855" s="253"/>
      <c r="AJ855" s="253"/>
      <c r="AK855" s="253"/>
      <c r="AL855" s="253"/>
      <c r="AM855" s="253"/>
      <c r="AN855" s="253"/>
      <c r="AO855" s="253"/>
      <c r="AP855" s="253"/>
      <c r="AQ855" s="253"/>
      <c r="AR855" s="253"/>
      <c r="AS855" s="253"/>
      <c r="AT855" s="2"/>
      <c r="AU855" s="2"/>
      <c r="AV855" s="2"/>
      <c r="AW855" s="2"/>
      <c r="AX855" s="2"/>
      <c r="AY855" s="253"/>
    </row>
    <row r="856" ht="15.75" customHeight="1">
      <c r="A856" s="2"/>
      <c r="B856" s="288" t="str">
        <f>Controle!B856</f>
        <v/>
      </c>
      <c r="C856" s="233" t="str">
        <f>Controle!C856</f>
        <v/>
      </c>
      <c r="D856" s="289" t="str">
        <f>Controle!D856</f>
        <v/>
      </c>
      <c r="E856" s="290"/>
      <c r="F856" s="291" t="str">
        <f>Controle!F856</f>
        <v/>
      </c>
      <c r="G856" s="289" t="str">
        <f>Controle!G856</f>
        <v/>
      </c>
      <c r="H856" s="290"/>
      <c r="I856" s="291" t="str">
        <f>Controle!I856</f>
        <v/>
      </c>
      <c r="J856" s="233" t="str">
        <f>Controle!J856</f>
        <v/>
      </c>
      <c r="K856" s="292"/>
      <c r="L856" s="233" t="str">
        <f>Controle!L856</f>
        <v/>
      </c>
      <c r="M856" s="233" t="str">
        <f>Controle!M856</f>
        <v/>
      </c>
      <c r="N856" s="235" t="str">
        <f>Controle!N856</f>
        <v/>
      </c>
      <c r="O856" s="235" t="str">
        <f>Controle!O856</f>
        <v/>
      </c>
      <c r="P856" s="235" t="str">
        <f>Controle!P856</f>
        <v/>
      </c>
      <c r="Q856" s="235" t="str">
        <f>Controle!Q856</f>
        <v/>
      </c>
      <c r="R856" s="286" t="str">
        <f>Controle!R856</f>
        <v/>
      </c>
      <c r="S856" s="286"/>
      <c r="T856" s="286"/>
      <c r="U856" s="286"/>
      <c r="V856" s="286"/>
      <c r="W856" s="286"/>
      <c r="X856" s="286"/>
      <c r="Y856" s="286"/>
      <c r="Z856" s="286"/>
      <c r="AA856" s="294"/>
      <c r="AB856" s="253"/>
      <c r="AC856" s="253"/>
      <c r="AD856" s="253"/>
      <c r="AE856" s="253"/>
      <c r="AF856" s="253"/>
      <c r="AG856" s="253"/>
      <c r="AH856" s="253"/>
      <c r="AI856" s="253"/>
      <c r="AJ856" s="253"/>
      <c r="AK856" s="253"/>
      <c r="AL856" s="253"/>
      <c r="AM856" s="253"/>
      <c r="AN856" s="253"/>
      <c r="AO856" s="253"/>
      <c r="AP856" s="253"/>
      <c r="AQ856" s="253"/>
      <c r="AR856" s="253"/>
      <c r="AS856" s="253"/>
      <c r="AT856" s="2"/>
      <c r="AU856" s="2"/>
      <c r="AV856" s="2"/>
      <c r="AW856" s="2"/>
      <c r="AX856" s="2"/>
      <c r="AY856" s="253"/>
    </row>
    <row r="857" ht="15.75" customHeight="1">
      <c r="A857" s="2"/>
      <c r="B857" s="288" t="str">
        <f>Controle!B857</f>
        <v/>
      </c>
      <c r="C857" s="233" t="str">
        <f>Controle!C857</f>
        <v/>
      </c>
      <c r="D857" s="289" t="str">
        <f>Controle!D857</f>
        <v/>
      </c>
      <c r="E857" s="290"/>
      <c r="F857" s="291" t="str">
        <f>Controle!F857</f>
        <v/>
      </c>
      <c r="G857" s="289" t="str">
        <f>Controle!G857</f>
        <v/>
      </c>
      <c r="H857" s="290"/>
      <c r="I857" s="291" t="str">
        <f>Controle!I857</f>
        <v/>
      </c>
      <c r="J857" s="233" t="str">
        <f>Controle!J857</f>
        <v/>
      </c>
      <c r="K857" s="292"/>
      <c r="L857" s="233" t="str">
        <f>Controle!L857</f>
        <v/>
      </c>
      <c r="M857" s="233" t="str">
        <f>Controle!M857</f>
        <v/>
      </c>
      <c r="N857" s="235" t="str">
        <f>Controle!N857</f>
        <v/>
      </c>
      <c r="O857" s="235" t="str">
        <f>Controle!O857</f>
        <v/>
      </c>
      <c r="P857" s="235" t="str">
        <f>Controle!P857</f>
        <v/>
      </c>
      <c r="Q857" s="235" t="str">
        <f>Controle!Q857</f>
        <v/>
      </c>
      <c r="R857" s="286" t="str">
        <f>Controle!R857</f>
        <v/>
      </c>
      <c r="S857" s="286"/>
      <c r="T857" s="286"/>
      <c r="U857" s="286"/>
      <c r="V857" s="286"/>
      <c r="W857" s="286"/>
      <c r="X857" s="286"/>
      <c r="Y857" s="286"/>
      <c r="Z857" s="286"/>
      <c r="AA857" s="294"/>
      <c r="AB857" s="253"/>
      <c r="AC857" s="253"/>
      <c r="AD857" s="253"/>
      <c r="AE857" s="253"/>
      <c r="AF857" s="253"/>
      <c r="AG857" s="253"/>
      <c r="AH857" s="253"/>
      <c r="AI857" s="253"/>
      <c r="AJ857" s="253"/>
      <c r="AK857" s="253"/>
      <c r="AL857" s="253"/>
      <c r="AM857" s="253"/>
      <c r="AN857" s="253"/>
      <c r="AO857" s="253"/>
      <c r="AP857" s="253"/>
      <c r="AQ857" s="253"/>
      <c r="AR857" s="253"/>
      <c r="AS857" s="253"/>
      <c r="AT857" s="2"/>
      <c r="AU857" s="2"/>
      <c r="AV857" s="2"/>
      <c r="AW857" s="2"/>
      <c r="AX857" s="2"/>
      <c r="AY857" s="253"/>
    </row>
    <row r="858" ht="15.75" customHeight="1">
      <c r="A858" s="2"/>
      <c r="B858" s="288" t="str">
        <f>Controle!B858</f>
        <v/>
      </c>
      <c r="C858" s="233" t="str">
        <f>Controle!C858</f>
        <v/>
      </c>
      <c r="D858" s="289" t="str">
        <f>Controle!D858</f>
        <v/>
      </c>
      <c r="E858" s="290"/>
      <c r="F858" s="291" t="str">
        <f>Controle!F858</f>
        <v/>
      </c>
      <c r="G858" s="289" t="str">
        <f>Controle!G858</f>
        <v/>
      </c>
      <c r="H858" s="290"/>
      <c r="I858" s="291" t="str">
        <f>Controle!I858</f>
        <v/>
      </c>
      <c r="J858" s="233" t="str">
        <f>Controle!J858</f>
        <v/>
      </c>
      <c r="K858" s="292"/>
      <c r="L858" s="233" t="str">
        <f>Controle!L858</f>
        <v/>
      </c>
      <c r="M858" s="233" t="str">
        <f>Controle!M858</f>
        <v/>
      </c>
      <c r="N858" s="235" t="str">
        <f>Controle!N858</f>
        <v/>
      </c>
      <c r="O858" s="235" t="str">
        <f>Controle!O858</f>
        <v/>
      </c>
      <c r="P858" s="235" t="str">
        <f>Controle!P858</f>
        <v/>
      </c>
      <c r="Q858" s="235" t="str">
        <f>Controle!Q858</f>
        <v/>
      </c>
      <c r="R858" s="286" t="str">
        <f>Controle!R858</f>
        <v/>
      </c>
      <c r="S858" s="286"/>
      <c r="T858" s="286"/>
      <c r="U858" s="286"/>
      <c r="V858" s="286"/>
      <c r="W858" s="286"/>
      <c r="X858" s="286"/>
      <c r="Y858" s="286"/>
      <c r="Z858" s="286"/>
      <c r="AA858" s="294"/>
      <c r="AB858" s="253"/>
      <c r="AC858" s="253"/>
      <c r="AD858" s="253"/>
      <c r="AE858" s="253"/>
      <c r="AF858" s="253"/>
      <c r="AG858" s="253"/>
      <c r="AH858" s="253"/>
      <c r="AI858" s="253"/>
      <c r="AJ858" s="253"/>
      <c r="AK858" s="253"/>
      <c r="AL858" s="253"/>
      <c r="AM858" s="253"/>
      <c r="AN858" s="253"/>
      <c r="AO858" s="253"/>
      <c r="AP858" s="253"/>
      <c r="AQ858" s="253"/>
      <c r="AR858" s="253"/>
      <c r="AS858" s="253"/>
      <c r="AT858" s="2"/>
      <c r="AU858" s="2"/>
      <c r="AV858" s="2"/>
      <c r="AW858" s="2"/>
      <c r="AX858" s="2"/>
      <c r="AY858" s="253"/>
    </row>
    <row r="859" ht="15.75" customHeight="1">
      <c r="A859" s="2"/>
      <c r="B859" s="288" t="str">
        <f>Controle!B859</f>
        <v/>
      </c>
      <c r="C859" s="233" t="str">
        <f>Controle!C859</f>
        <v/>
      </c>
      <c r="D859" s="289" t="str">
        <f>Controle!D859</f>
        <v/>
      </c>
      <c r="E859" s="290"/>
      <c r="F859" s="291" t="str">
        <f>Controle!F859</f>
        <v/>
      </c>
      <c r="G859" s="289" t="str">
        <f>Controle!G859</f>
        <v/>
      </c>
      <c r="H859" s="290"/>
      <c r="I859" s="291" t="str">
        <f>Controle!I859</f>
        <v/>
      </c>
      <c r="J859" s="233" t="str">
        <f>Controle!J859</f>
        <v/>
      </c>
      <c r="K859" s="292"/>
      <c r="L859" s="233" t="str">
        <f>Controle!L859</f>
        <v/>
      </c>
      <c r="M859" s="233" t="str">
        <f>Controle!M859</f>
        <v/>
      </c>
      <c r="N859" s="235" t="str">
        <f>Controle!N859</f>
        <v/>
      </c>
      <c r="O859" s="235" t="str">
        <f>Controle!O859</f>
        <v/>
      </c>
      <c r="P859" s="235" t="str">
        <f>Controle!P859</f>
        <v/>
      </c>
      <c r="Q859" s="235" t="str">
        <f>Controle!Q859</f>
        <v/>
      </c>
      <c r="R859" s="286" t="str">
        <f>Controle!R859</f>
        <v/>
      </c>
      <c r="S859" s="286"/>
      <c r="T859" s="286"/>
      <c r="U859" s="286"/>
      <c r="V859" s="286"/>
      <c r="W859" s="286"/>
      <c r="X859" s="286"/>
      <c r="Y859" s="286"/>
      <c r="Z859" s="286"/>
      <c r="AA859" s="294"/>
      <c r="AB859" s="253"/>
      <c r="AC859" s="253"/>
      <c r="AD859" s="253"/>
      <c r="AE859" s="253"/>
      <c r="AF859" s="253"/>
      <c r="AG859" s="253"/>
      <c r="AH859" s="253"/>
      <c r="AI859" s="253"/>
      <c r="AJ859" s="253"/>
      <c r="AK859" s="253"/>
      <c r="AL859" s="253"/>
      <c r="AM859" s="253"/>
      <c r="AN859" s="253"/>
      <c r="AO859" s="253"/>
      <c r="AP859" s="253"/>
      <c r="AQ859" s="253"/>
      <c r="AR859" s="253"/>
      <c r="AS859" s="253"/>
      <c r="AT859" s="2"/>
      <c r="AU859" s="2"/>
      <c r="AV859" s="2"/>
      <c r="AW859" s="2"/>
      <c r="AX859" s="2"/>
      <c r="AY859" s="253"/>
    </row>
    <row r="860" ht="15.75" customHeight="1">
      <c r="A860" s="2"/>
      <c r="B860" s="288" t="str">
        <f>Controle!B860</f>
        <v/>
      </c>
      <c r="C860" s="233" t="str">
        <f>Controle!C860</f>
        <v/>
      </c>
      <c r="D860" s="289" t="str">
        <f>Controle!D860</f>
        <v/>
      </c>
      <c r="E860" s="290"/>
      <c r="F860" s="291" t="str">
        <f>Controle!F860</f>
        <v/>
      </c>
      <c r="G860" s="289" t="str">
        <f>Controle!G860</f>
        <v/>
      </c>
      <c r="H860" s="290"/>
      <c r="I860" s="291" t="str">
        <f>Controle!I860</f>
        <v/>
      </c>
      <c r="J860" s="233" t="str">
        <f>Controle!J860</f>
        <v/>
      </c>
      <c r="K860" s="292"/>
      <c r="L860" s="233" t="str">
        <f>Controle!L860</f>
        <v/>
      </c>
      <c r="M860" s="233" t="str">
        <f>Controle!M860</f>
        <v/>
      </c>
      <c r="N860" s="235" t="str">
        <f>Controle!N860</f>
        <v/>
      </c>
      <c r="O860" s="235" t="str">
        <f>Controle!O860</f>
        <v/>
      </c>
      <c r="P860" s="235" t="str">
        <f>Controle!P860</f>
        <v/>
      </c>
      <c r="Q860" s="235" t="str">
        <f>Controle!Q860</f>
        <v/>
      </c>
      <c r="R860" s="286" t="str">
        <f>Controle!R860</f>
        <v/>
      </c>
      <c r="S860" s="286"/>
      <c r="T860" s="286"/>
      <c r="U860" s="286"/>
      <c r="V860" s="286"/>
      <c r="W860" s="286"/>
      <c r="X860" s="286"/>
      <c r="Y860" s="286"/>
      <c r="Z860" s="286"/>
      <c r="AA860" s="294"/>
      <c r="AB860" s="253"/>
      <c r="AC860" s="253"/>
      <c r="AD860" s="253"/>
      <c r="AE860" s="253"/>
      <c r="AF860" s="253"/>
      <c r="AG860" s="253"/>
      <c r="AH860" s="253"/>
      <c r="AI860" s="253"/>
      <c r="AJ860" s="253"/>
      <c r="AK860" s="253"/>
      <c r="AL860" s="253"/>
      <c r="AM860" s="253"/>
      <c r="AN860" s="253"/>
      <c r="AO860" s="253"/>
      <c r="AP860" s="253"/>
      <c r="AQ860" s="253"/>
      <c r="AR860" s="253"/>
      <c r="AS860" s="253"/>
      <c r="AT860" s="2"/>
      <c r="AU860" s="2"/>
      <c r="AV860" s="2"/>
      <c r="AW860" s="2"/>
      <c r="AX860" s="2"/>
      <c r="AY860" s="253"/>
    </row>
    <row r="861" ht="15.75" customHeight="1">
      <c r="A861" s="2"/>
      <c r="B861" s="288" t="str">
        <f>Controle!B861</f>
        <v/>
      </c>
      <c r="C861" s="233" t="str">
        <f>Controle!C861</f>
        <v/>
      </c>
      <c r="D861" s="289" t="str">
        <f>Controle!D861</f>
        <v/>
      </c>
      <c r="E861" s="290"/>
      <c r="F861" s="291" t="str">
        <f>Controle!F861</f>
        <v/>
      </c>
      <c r="G861" s="289" t="str">
        <f>Controle!G861</f>
        <v/>
      </c>
      <c r="H861" s="290"/>
      <c r="I861" s="291" t="str">
        <f>Controle!I861</f>
        <v/>
      </c>
      <c r="J861" s="233" t="str">
        <f>Controle!J861</f>
        <v/>
      </c>
      <c r="K861" s="292"/>
      <c r="L861" s="233" t="str">
        <f>Controle!L861</f>
        <v/>
      </c>
      <c r="M861" s="233" t="str">
        <f>Controle!M861</f>
        <v/>
      </c>
      <c r="N861" s="235" t="str">
        <f>Controle!N861</f>
        <v/>
      </c>
      <c r="O861" s="235" t="str">
        <f>Controle!O861</f>
        <v/>
      </c>
      <c r="P861" s="235" t="str">
        <f>Controle!P861</f>
        <v/>
      </c>
      <c r="Q861" s="235" t="str">
        <f>Controle!Q861</f>
        <v/>
      </c>
      <c r="R861" s="286" t="str">
        <f>Controle!R861</f>
        <v/>
      </c>
      <c r="S861" s="286"/>
      <c r="T861" s="286"/>
      <c r="U861" s="286"/>
      <c r="V861" s="286"/>
      <c r="W861" s="286"/>
      <c r="X861" s="286"/>
      <c r="Y861" s="286"/>
      <c r="Z861" s="286"/>
      <c r="AA861" s="294"/>
      <c r="AB861" s="253"/>
      <c r="AC861" s="253"/>
      <c r="AD861" s="253"/>
      <c r="AE861" s="253"/>
      <c r="AF861" s="253"/>
      <c r="AG861" s="253"/>
      <c r="AH861" s="253"/>
      <c r="AI861" s="253"/>
      <c r="AJ861" s="253"/>
      <c r="AK861" s="253"/>
      <c r="AL861" s="253"/>
      <c r="AM861" s="253"/>
      <c r="AN861" s="253"/>
      <c r="AO861" s="253"/>
      <c r="AP861" s="253"/>
      <c r="AQ861" s="253"/>
      <c r="AR861" s="253"/>
      <c r="AS861" s="253"/>
      <c r="AT861" s="2"/>
      <c r="AU861" s="2"/>
      <c r="AV861" s="2"/>
      <c r="AW861" s="2"/>
      <c r="AX861" s="2"/>
      <c r="AY861" s="253"/>
    </row>
    <row r="862" ht="15.75" customHeight="1">
      <c r="A862" s="2"/>
      <c r="B862" s="288" t="str">
        <f>Controle!B862</f>
        <v/>
      </c>
      <c r="C862" s="233" t="str">
        <f>Controle!C862</f>
        <v/>
      </c>
      <c r="D862" s="289" t="str">
        <f>Controle!D862</f>
        <v/>
      </c>
      <c r="E862" s="290"/>
      <c r="F862" s="291" t="str">
        <f>Controle!F862</f>
        <v/>
      </c>
      <c r="G862" s="289" t="str">
        <f>Controle!G862</f>
        <v/>
      </c>
      <c r="H862" s="290"/>
      <c r="I862" s="291" t="str">
        <f>Controle!I862</f>
        <v/>
      </c>
      <c r="J862" s="233" t="str">
        <f>Controle!J862</f>
        <v/>
      </c>
      <c r="K862" s="292"/>
      <c r="L862" s="233" t="str">
        <f>Controle!L862</f>
        <v/>
      </c>
      <c r="M862" s="233" t="str">
        <f>Controle!M862</f>
        <v/>
      </c>
      <c r="N862" s="235" t="str">
        <f>Controle!N862</f>
        <v/>
      </c>
      <c r="O862" s="235" t="str">
        <f>Controle!O862</f>
        <v/>
      </c>
      <c r="P862" s="235" t="str">
        <f>Controle!P862</f>
        <v/>
      </c>
      <c r="Q862" s="235" t="str">
        <f>Controle!Q862</f>
        <v/>
      </c>
      <c r="R862" s="286" t="str">
        <f>Controle!R862</f>
        <v/>
      </c>
      <c r="S862" s="286"/>
      <c r="T862" s="286"/>
      <c r="U862" s="286"/>
      <c r="V862" s="286"/>
      <c r="W862" s="286"/>
      <c r="X862" s="286"/>
      <c r="Y862" s="286"/>
      <c r="Z862" s="286"/>
      <c r="AA862" s="294"/>
      <c r="AB862" s="253"/>
      <c r="AC862" s="253"/>
      <c r="AD862" s="253"/>
      <c r="AE862" s="253"/>
      <c r="AF862" s="253"/>
      <c r="AG862" s="253"/>
      <c r="AH862" s="253"/>
      <c r="AI862" s="253"/>
      <c r="AJ862" s="253"/>
      <c r="AK862" s="253"/>
      <c r="AL862" s="253"/>
      <c r="AM862" s="253"/>
      <c r="AN862" s="253"/>
      <c r="AO862" s="253"/>
      <c r="AP862" s="253"/>
      <c r="AQ862" s="253"/>
      <c r="AR862" s="253"/>
      <c r="AS862" s="253"/>
      <c r="AT862" s="2"/>
      <c r="AU862" s="2"/>
      <c r="AV862" s="2"/>
      <c r="AW862" s="2"/>
      <c r="AX862" s="2"/>
      <c r="AY862" s="253"/>
    </row>
    <row r="863" ht="15.75" customHeight="1">
      <c r="A863" s="2"/>
      <c r="B863" s="288" t="str">
        <f>Controle!B863</f>
        <v/>
      </c>
      <c r="C863" s="233" t="str">
        <f>Controle!C863</f>
        <v/>
      </c>
      <c r="D863" s="289" t="str">
        <f>Controle!D863</f>
        <v/>
      </c>
      <c r="E863" s="290"/>
      <c r="F863" s="291" t="str">
        <f>Controle!F863</f>
        <v/>
      </c>
      <c r="G863" s="289" t="str">
        <f>Controle!G863</f>
        <v/>
      </c>
      <c r="H863" s="290"/>
      <c r="I863" s="291" t="str">
        <f>Controle!I863</f>
        <v/>
      </c>
      <c r="J863" s="233" t="str">
        <f>Controle!J863</f>
        <v/>
      </c>
      <c r="K863" s="292"/>
      <c r="L863" s="233" t="str">
        <f>Controle!L863</f>
        <v/>
      </c>
      <c r="M863" s="233" t="str">
        <f>Controle!M863</f>
        <v/>
      </c>
      <c r="N863" s="235" t="str">
        <f>Controle!N863</f>
        <v/>
      </c>
      <c r="O863" s="235" t="str">
        <f>Controle!O863</f>
        <v/>
      </c>
      <c r="P863" s="235" t="str">
        <f>Controle!P863</f>
        <v/>
      </c>
      <c r="Q863" s="235" t="str">
        <f>Controle!Q863</f>
        <v/>
      </c>
      <c r="R863" s="286" t="str">
        <f>Controle!R863</f>
        <v/>
      </c>
      <c r="S863" s="286"/>
      <c r="T863" s="286"/>
      <c r="U863" s="286"/>
      <c r="V863" s="286"/>
      <c r="W863" s="286"/>
      <c r="X863" s="286"/>
      <c r="Y863" s="286"/>
      <c r="Z863" s="286"/>
      <c r="AA863" s="294"/>
      <c r="AB863" s="253"/>
      <c r="AC863" s="253"/>
      <c r="AD863" s="253"/>
      <c r="AE863" s="253"/>
      <c r="AF863" s="253"/>
      <c r="AG863" s="253"/>
      <c r="AH863" s="253"/>
      <c r="AI863" s="253"/>
      <c r="AJ863" s="253"/>
      <c r="AK863" s="253"/>
      <c r="AL863" s="253"/>
      <c r="AM863" s="253"/>
      <c r="AN863" s="253"/>
      <c r="AO863" s="253"/>
      <c r="AP863" s="253"/>
      <c r="AQ863" s="253"/>
      <c r="AR863" s="253"/>
      <c r="AS863" s="253"/>
      <c r="AT863" s="2"/>
      <c r="AU863" s="2"/>
      <c r="AV863" s="2"/>
      <c r="AW863" s="2"/>
      <c r="AX863" s="2"/>
      <c r="AY863" s="253"/>
    </row>
    <row r="864" ht="15.75" customHeight="1">
      <c r="A864" s="2"/>
      <c r="B864" s="288" t="str">
        <f>Controle!B864</f>
        <v/>
      </c>
      <c r="C864" s="233" t="str">
        <f>Controle!C864</f>
        <v/>
      </c>
      <c r="D864" s="289" t="str">
        <f>Controle!D864</f>
        <v/>
      </c>
      <c r="E864" s="290"/>
      <c r="F864" s="291" t="str">
        <f>Controle!F864</f>
        <v/>
      </c>
      <c r="G864" s="289" t="str">
        <f>Controle!G864</f>
        <v/>
      </c>
      <c r="H864" s="290"/>
      <c r="I864" s="291" t="str">
        <f>Controle!I864</f>
        <v/>
      </c>
      <c r="J864" s="233" t="str">
        <f>Controle!J864</f>
        <v/>
      </c>
      <c r="K864" s="292"/>
      <c r="L864" s="233" t="str">
        <f>Controle!L864</f>
        <v/>
      </c>
      <c r="M864" s="233" t="str">
        <f>Controle!M864</f>
        <v/>
      </c>
      <c r="N864" s="235" t="str">
        <f>Controle!N864</f>
        <v/>
      </c>
      <c r="O864" s="235" t="str">
        <f>Controle!O864</f>
        <v/>
      </c>
      <c r="P864" s="235" t="str">
        <f>Controle!P864</f>
        <v/>
      </c>
      <c r="Q864" s="235" t="str">
        <f>Controle!Q864</f>
        <v/>
      </c>
      <c r="R864" s="286" t="str">
        <f>Controle!R864</f>
        <v/>
      </c>
      <c r="S864" s="286"/>
      <c r="T864" s="286"/>
      <c r="U864" s="286"/>
      <c r="V864" s="286"/>
      <c r="W864" s="286"/>
      <c r="X864" s="286"/>
      <c r="Y864" s="286"/>
      <c r="Z864" s="286"/>
      <c r="AA864" s="294"/>
      <c r="AB864" s="253"/>
      <c r="AC864" s="253"/>
      <c r="AD864" s="253"/>
      <c r="AE864" s="253"/>
      <c r="AF864" s="253"/>
      <c r="AG864" s="253"/>
      <c r="AH864" s="253"/>
      <c r="AI864" s="253"/>
      <c r="AJ864" s="253"/>
      <c r="AK864" s="253"/>
      <c r="AL864" s="253"/>
      <c r="AM864" s="253"/>
      <c r="AN864" s="253"/>
      <c r="AO864" s="253"/>
      <c r="AP864" s="253"/>
      <c r="AQ864" s="253"/>
      <c r="AR864" s="253"/>
      <c r="AS864" s="253"/>
      <c r="AT864" s="2"/>
      <c r="AU864" s="2"/>
      <c r="AV864" s="2"/>
      <c r="AW864" s="2"/>
      <c r="AX864" s="2"/>
      <c r="AY864" s="253"/>
    </row>
    <row r="865" ht="15.75" customHeight="1">
      <c r="A865" s="2"/>
      <c r="B865" s="288" t="str">
        <f>Controle!B865</f>
        <v/>
      </c>
      <c r="C865" s="233" t="str">
        <f>Controle!C865</f>
        <v/>
      </c>
      <c r="D865" s="289" t="str">
        <f>Controle!D865</f>
        <v/>
      </c>
      <c r="E865" s="290"/>
      <c r="F865" s="291" t="str">
        <f>Controle!F865</f>
        <v/>
      </c>
      <c r="G865" s="289" t="str">
        <f>Controle!G865</f>
        <v/>
      </c>
      <c r="H865" s="290"/>
      <c r="I865" s="291" t="str">
        <f>Controle!I865</f>
        <v/>
      </c>
      <c r="J865" s="233" t="str">
        <f>Controle!J865</f>
        <v/>
      </c>
      <c r="K865" s="292"/>
      <c r="L865" s="233" t="str">
        <f>Controle!L865</f>
        <v/>
      </c>
      <c r="M865" s="233" t="str">
        <f>Controle!M865</f>
        <v/>
      </c>
      <c r="N865" s="235" t="str">
        <f>Controle!N865</f>
        <v/>
      </c>
      <c r="O865" s="235" t="str">
        <f>Controle!O865</f>
        <v/>
      </c>
      <c r="P865" s="235" t="str">
        <f>Controle!P865</f>
        <v/>
      </c>
      <c r="Q865" s="235" t="str">
        <f>Controle!Q865</f>
        <v/>
      </c>
      <c r="R865" s="286" t="str">
        <f>Controle!R865</f>
        <v/>
      </c>
      <c r="S865" s="286"/>
      <c r="T865" s="286"/>
      <c r="U865" s="286"/>
      <c r="V865" s="286"/>
      <c r="W865" s="286"/>
      <c r="X865" s="286"/>
      <c r="Y865" s="286"/>
      <c r="Z865" s="286"/>
      <c r="AA865" s="294"/>
      <c r="AB865" s="253"/>
      <c r="AC865" s="253"/>
      <c r="AD865" s="253"/>
      <c r="AE865" s="253"/>
      <c r="AF865" s="253"/>
      <c r="AG865" s="253"/>
      <c r="AH865" s="253"/>
      <c r="AI865" s="253"/>
      <c r="AJ865" s="253"/>
      <c r="AK865" s="253"/>
      <c r="AL865" s="253"/>
      <c r="AM865" s="253"/>
      <c r="AN865" s="253"/>
      <c r="AO865" s="253"/>
      <c r="AP865" s="253"/>
      <c r="AQ865" s="253"/>
      <c r="AR865" s="253"/>
      <c r="AS865" s="253"/>
      <c r="AT865" s="2"/>
      <c r="AU865" s="2"/>
      <c r="AV865" s="2"/>
      <c r="AW865" s="2"/>
      <c r="AX865" s="2"/>
      <c r="AY865" s="253"/>
    </row>
    <row r="866" ht="15.75" customHeight="1">
      <c r="A866" s="2"/>
      <c r="B866" s="288" t="str">
        <f>Controle!B866</f>
        <v/>
      </c>
      <c r="C866" s="233" t="str">
        <f>Controle!C866</f>
        <v/>
      </c>
      <c r="D866" s="289" t="str">
        <f>Controle!D866</f>
        <v/>
      </c>
      <c r="E866" s="290"/>
      <c r="F866" s="291" t="str">
        <f>Controle!F866</f>
        <v/>
      </c>
      <c r="G866" s="289" t="str">
        <f>Controle!G866</f>
        <v/>
      </c>
      <c r="H866" s="290"/>
      <c r="I866" s="291" t="str">
        <f>Controle!I866</f>
        <v/>
      </c>
      <c r="J866" s="233" t="str">
        <f>Controle!J866</f>
        <v/>
      </c>
      <c r="K866" s="292"/>
      <c r="L866" s="233" t="str">
        <f>Controle!L866</f>
        <v/>
      </c>
      <c r="M866" s="233" t="str">
        <f>Controle!M866</f>
        <v/>
      </c>
      <c r="N866" s="235" t="str">
        <f>Controle!N866</f>
        <v/>
      </c>
      <c r="O866" s="235" t="str">
        <f>Controle!O866</f>
        <v/>
      </c>
      <c r="P866" s="235" t="str">
        <f>Controle!P866</f>
        <v/>
      </c>
      <c r="Q866" s="235" t="str">
        <f>Controle!Q866</f>
        <v/>
      </c>
      <c r="R866" s="286" t="str">
        <f>Controle!R866</f>
        <v/>
      </c>
      <c r="S866" s="286"/>
      <c r="T866" s="286"/>
      <c r="U866" s="286"/>
      <c r="V866" s="286"/>
      <c r="W866" s="286"/>
      <c r="X866" s="286"/>
      <c r="Y866" s="286"/>
      <c r="Z866" s="286"/>
      <c r="AA866" s="294"/>
      <c r="AB866" s="253"/>
      <c r="AC866" s="253"/>
      <c r="AD866" s="253"/>
      <c r="AE866" s="253"/>
      <c r="AF866" s="253"/>
      <c r="AG866" s="253"/>
      <c r="AH866" s="253"/>
      <c r="AI866" s="253"/>
      <c r="AJ866" s="253"/>
      <c r="AK866" s="253"/>
      <c r="AL866" s="253"/>
      <c r="AM866" s="253"/>
      <c r="AN866" s="253"/>
      <c r="AO866" s="253"/>
      <c r="AP866" s="253"/>
      <c r="AQ866" s="253"/>
      <c r="AR866" s="253"/>
      <c r="AS866" s="253"/>
      <c r="AT866" s="2"/>
      <c r="AU866" s="2"/>
      <c r="AV866" s="2"/>
      <c r="AW866" s="2"/>
      <c r="AX866" s="2"/>
      <c r="AY866" s="253"/>
    </row>
    <row r="867" ht="15.75" customHeight="1">
      <c r="A867" s="2"/>
      <c r="B867" s="288" t="str">
        <f>Controle!B867</f>
        <v/>
      </c>
      <c r="C867" s="233" t="str">
        <f>Controle!C867</f>
        <v/>
      </c>
      <c r="D867" s="289" t="str">
        <f>Controle!D867</f>
        <v/>
      </c>
      <c r="E867" s="290"/>
      <c r="F867" s="291" t="str">
        <f>Controle!F867</f>
        <v/>
      </c>
      <c r="G867" s="289" t="str">
        <f>Controle!G867</f>
        <v/>
      </c>
      <c r="H867" s="290"/>
      <c r="I867" s="291" t="str">
        <f>Controle!I867</f>
        <v/>
      </c>
      <c r="J867" s="233" t="str">
        <f>Controle!J867</f>
        <v/>
      </c>
      <c r="K867" s="292"/>
      <c r="L867" s="233" t="str">
        <f>Controle!L867</f>
        <v/>
      </c>
      <c r="M867" s="233" t="str">
        <f>Controle!M867</f>
        <v/>
      </c>
      <c r="N867" s="235" t="str">
        <f>Controle!N867</f>
        <v/>
      </c>
      <c r="O867" s="235" t="str">
        <f>Controle!O867</f>
        <v/>
      </c>
      <c r="P867" s="235" t="str">
        <f>Controle!P867</f>
        <v/>
      </c>
      <c r="Q867" s="235" t="str">
        <f>Controle!Q867</f>
        <v/>
      </c>
      <c r="R867" s="286" t="str">
        <f>Controle!R867</f>
        <v/>
      </c>
      <c r="S867" s="286"/>
      <c r="T867" s="286"/>
      <c r="U867" s="286"/>
      <c r="V867" s="286"/>
      <c r="W867" s="286"/>
      <c r="X867" s="286"/>
      <c r="Y867" s="286"/>
      <c r="Z867" s="286"/>
      <c r="AA867" s="294"/>
      <c r="AB867" s="253"/>
      <c r="AC867" s="253"/>
      <c r="AD867" s="253"/>
      <c r="AE867" s="253"/>
      <c r="AF867" s="253"/>
      <c r="AG867" s="253"/>
      <c r="AH867" s="253"/>
      <c r="AI867" s="253"/>
      <c r="AJ867" s="253"/>
      <c r="AK867" s="253"/>
      <c r="AL867" s="253"/>
      <c r="AM867" s="253"/>
      <c r="AN867" s="253"/>
      <c r="AO867" s="253"/>
      <c r="AP867" s="253"/>
      <c r="AQ867" s="253"/>
      <c r="AR867" s="253"/>
      <c r="AS867" s="253"/>
      <c r="AT867" s="2"/>
      <c r="AU867" s="2"/>
      <c r="AV867" s="2"/>
      <c r="AW867" s="2"/>
      <c r="AX867" s="2"/>
      <c r="AY867" s="253"/>
    </row>
    <row r="868" ht="15.75" customHeight="1">
      <c r="A868" s="2"/>
      <c r="B868" s="288" t="str">
        <f>Controle!B868</f>
        <v/>
      </c>
      <c r="C868" s="233" t="str">
        <f>Controle!C868</f>
        <v/>
      </c>
      <c r="D868" s="289" t="str">
        <f>Controle!D868</f>
        <v/>
      </c>
      <c r="E868" s="290"/>
      <c r="F868" s="291" t="str">
        <f>Controle!F868</f>
        <v/>
      </c>
      <c r="G868" s="289" t="str">
        <f>Controle!G868</f>
        <v/>
      </c>
      <c r="H868" s="290"/>
      <c r="I868" s="291" t="str">
        <f>Controle!I868</f>
        <v/>
      </c>
      <c r="J868" s="233" t="str">
        <f>Controle!J868</f>
        <v/>
      </c>
      <c r="K868" s="292"/>
      <c r="L868" s="233" t="str">
        <f>Controle!L868</f>
        <v/>
      </c>
      <c r="M868" s="233" t="str">
        <f>Controle!M868</f>
        <v/>
      </c>
      <c r="N868" s="235" t="str">
        <f>Controle!N868</f>
        <v/>
      </c>
      <c r="O868" s="235" t="str">
        <f>Controle!O868</f>
        <v/>
      </c>
      <c r="P868" s="235" t="str">
        <f>Controle!P868</f>
        <v/>
      </c>
      <c r="Q868" s="235" t="str">
        <f>Controle!Q868</f>
        <v/>
      </c>
      <c r="R868" s="286" t="str">
        <f>Controle!R868</f>
        <v/>
      </c>
      <c r="S868" s="286"/>
      <c r="T868" s="286"/>
      <c r="U868" s="286"/>
      <c r="V868" s="286"/>
      <c r="W868" s="286"/>
      <c r="X868" s="286"/>
      <c r="Y868" s="286"/>
      <c r="Z868" s="286"/>
      <c r="AA868" s="294"/>
      <c r="AB868" s="253"/>
      <c r="AC868" s="253"/>
      <c r="AD868" s="253"/>
      <c r="AE868" s="253"/>
      <c r="AF868" s="253"/>
      <c r="AG868" s="253"/>
      <c r="AH868" s="253"/>
      <c r="AI868" s="253"/>
      <c r="AJ868" s="253"/>
      <c r="AK868" s="253"/>
      <c r="AL868" s="253"/>
      <c r="AM868" s="253"/>
      <c r="AN868" s="253"/>
      <c r="AO868" s="253"/>
      <c r="AP868" s="253"/>
      <c r="AQ868" s="253"/>
      <c r="AR868" s="253"/>
      <c r="AS868" s="253"/>
      <c r="AT868" s="2"/>
      <c r="AU868" s="2"/>
      <c r="AV868" s="2"/>
      <c r="AW868" s="2"/>
      <c r="AX868" s="2"/>
      <c r="AY868" s="253"/>
    </row>
    <row r="869" ht="15.75" customHeight="1">
      <c r="A869" s="2"/>
      <c r="B869" s="288" t="str">
        <f>Controle!B869</f>
        <v/>
      </c>
      <c r="C869" s="233" t="str">
        <f>Controle!C869</f>
        <v/>
      </c>
      <c r="D869" s="289" t="str">
        <f>Controle!D869</f>
        <v/>
      </c>
      <c r="E869" s="290"/>
      <c r="F869" s="291" t="str">
        <f>Controle!F869</f>
        <v/>
      </c>
      <c r="G869" s="289" t="str">
        <f>Controle!G869</f>
        <v/>
      </c>
      <c r="H869" s="290"/>
      <c r="I869" s="291" t="str">
        <f>Controle!I869</f>
        <v/>
      </c>
      <c r="J869" s="233" t="str">
        <f>Controle!J869</f>
        <v/>
      </c>
      <c r="K869" s="292"/>
      <c r="L869" s="233" t="str">
        <f>Controle!L869</f>
        <v/>
      </c>
      <c r="M869" s="233" t="str">
        <f>Controle!M869</f>
        <v/>
      </c>
      <c r="N869" s="235" t="str">
        <f>Controle!N869</f>
        <v/>
      </c>
      <c r="O869" s="235" t="str">
        <f>Controle!O869</f>
        <v/>
      </c>
      <c r="P869" s="235" t="str">
        <f>Controle!P869</f>
        <v/>
      </c>
      <c r="Q869" s="235" t="str">
        <f>Controle!Q869</f>
        <v/>
      </c>
      <c r="R869" s="286" t="str">
        <f>Controle!R869</f>
        <v/>
      </c>
      <c r="S869" s="286"/>
      <c r="T869" s="286"/>
      <c r="U869" s="286"/>
      <c r="V869" s="286"/>
      <c r="W869" s="286"/>
      <c r="X869" s="286"/>
      <c r="Y869" s="286"/>
      <c r="Z869" s="286"/>
      <c r="AA869" s="294"/>
      <c r="AB869" s="253"/>
      <c r="AC869" s="253"/>
      <c r="AD869" s="253"/>
      <c r="AE869" s="253"/>
      <c r="AF869" s="253"/>
      <c r="AG869" s="253"/>
      <c r="AH869" s="253"/>
      <c r="AI869" s="253"/>
      <c r="AJ869" s="253"/>
      <c r="AK869" s="253"/>
      <c r="AL869" s="253"/>
      <c r="AM869" s="253"/>
      <c r="AN869" s="253"/>
      <c r="AO869" s="253"/>
      <c r="AP869" s="253"/>
      <c r="AQ869" s="253"/>
      <c r="AR869" s="253"/>
      <c r="AS869" s="253"/>
      <c r="AT869" s="2"/>
      <c r="AU869" s="2"/>
      <c r="AV869" s="2"/>
      <c r="AW869" s="2"/>
      <c r="AX869" s="2"/>
      <c r="AY869" s="253"/>
    </row>
    <row r="870" ht="15.75" customHeight="1">
      <c r="A870" s="2"/>
      <c r="B870" s="288" t="str">
        <f>Controle!B870</f>
        <v/>
      </c>
      <c r="C870" s="233" t="str">
        <f>Controle!C870</f>
        <v/>
      </c>
      <c r="D870" s="289" t="str">
        <f>Controle!D870</f>
        <v/>
      </c>
      <c r="E870" s="290"/>
      <c r="F870" s="291" t="str">
        <f>Controle!F870</f>
        <v/>
      </c>
      <c r="G870" s="289" t="str">
        <f>Controle!G870</f>
        <v/>
      </c>
      <c r="H870" s="290"/>
      <c r="I870" s="291" t="str">
        <f>Controle!I870</f>
        <v/>
      </c>
      <c r="J870" s="233" t="str">
        <f>Controle!J870</f>
        <v/>
      </c>
      <c r="K870" s="292"/>
      <c r="L870" s="233" t="str">
        <f>Controle!L870</f>
        <v/>
      </c>
      <c r="M870" s="233" t="str">
        <f>Controle!M870</f>
        <v/>
      </c>
      <c r="N870" s="235" t="str">
        <f>Controle!N870</f>
        <v/>
      </c>
      <c r="O870" s="235" t="str">
        <f>Controle!O870</f>
        <v/>
      </c>
      <c r="P870" s="235" t="str">
        <f>Controle!P870</f>
        <v/>
      </c>
      <c r="Q870" s="235" t="str">
        <f>Controle!Q870</f>
        <v/>
      </c>
      <c r="R870" s="286" t="str">
        <f>Controle!R870</f>
        <v/>
      </c>
      <c r="S870" s="286"/>
      <c r="T870" s="286"/>
      <c r="U870" s="286"/>
      <c r="V870" s="286"/>
      <c r="W870" s="286"/>
      <c r="X870" s="286"/>
      <c r="Y870" s="286"/>
      <c r="Z870" s="286"/>
      <c r="AA870" s="294"/>
      <c r="AB870" s="253"/>
      <c r="AC870" s="253"/>
      <c r="AD870" s="253"/>
      <c r="AE870" s="253"/>
      <c r="AF870" s="253"/>
      <c r="AG870" s="253"/>
      <c r="AH870" s="253"/>
      <c r="AI870" s="253"/>
      <c r="AJ870" s="253"/>
      <c r="AK870" s="253"/>
      <c r="AL870" s="253"/>
      <c r="AM870" s="253"/>
      <c r="AN870" s="253"/>
      <c r="AO870" s="253"/>
      <c r="AP870" s="253"/>
      <c r="AQ870" s="253"/>
      <c r="AR870" s="253"/>
      <c r="AS870" s="253"/>
      <c r="AT870" s="2"/>
      <c r="AU870" s="2"/>
      <c r="AV870" s="2"/>
      <c r="AW870" s="2"/>
      <c r="AX870" s="2"/>
      <c r="AY870" s="253"/>
    </row>
    <row r="871" ht="15.75" customHeight="1">
      <c r="A871" s="2"/>
      <c r="B871" s="288" t="str">
        <f>Controle!B871</f>
        <v/>
      </c>
      <c r="C871" s="233" t="str">
        <f>Controle!C871</f>
        <v/>
      </c>
      <c r="D871" s="289" t="str">
        <f>Controle!D871</f>
        <v/>
      </c>
      <c r="E871" s="290"/>
      <c r="F871" s="291" t="str">
        <f>Controle!F871</f>
        <v/>
      </c>
      <c r="G871" s="289" t="str">
        <f>Controle!G871</f>
        <v/>
      </c>
      <c r="H871" s="290"/>
      <c r="I871" s="291" t="str">
        <f>Controle!I871</f>
        <v/>
      </c>
      <c r="J871" s="233" t="str">
        <f>Controle!J871</f>
        <v/>
      </c>
      <c r="K871" s="292"/>
      <c r="L871" s="233" t="str">
        <f>Controle!L871</f>
        <v/>
      </c>
      <c r="M871" s="233" t="str">
        <f>Controle!M871</f>
        <v/>
      </c>
      <c r="N871" s="235" t="str">
        <f>Controle!N871</f>
        <v/>
      </c>
      <c r="O871" s="235" t="str">
        <f>Controle!O871</f>
        <v/>
      </c>
      <c r="P871" s="235" t="str">
        <f>Controle!P871</f>
        <v/>
      </c>
      <c r="Q871" s="235" t="str">
        <f>Controle!Q871</f>
        <v/>
      </c>
      <c r="R871" s="286" t="str">
        <f>Controle!R871</f>
        <v/>
      </c>
      <c r="S871" s="286"/>
      <c r="T871" s="286"/>
      <c r="U871" s="286"/>
      <c r="V871" s="286"/>
      <c r="W871" s="286"/>
      <c r="X871" s="286"/>
      <c r="Y871" s="286"/>
      <c r="Z871" s="286"/>
      <c r="AA871" s="294"/>
      <c r="AB871" s="253"/>
      <c r="AC871" s="253"/>
      <c r="AD871" s="253"/>
      <c r="AE871" s="253"/>
      <c r="AF871" s="253"/>
      <c r="AG871" s="253"/>
      <c r="AH871" s="253"/>
      <c r="AI871" s="253"/>
      <c r="AJ871" s="253"/>
      <c r="AK871" s="253"/>
      <c r="AL871" s="253"/>
      <c r="AM871" s="253"/>
      <c r="AN871" s="253"/>
      <c r="AO871" s="253"/>
      <c r="AP871" s="253"/>
      <c r="AQ871" s="253"/>
      <c r="AR871" s="253"/>
      <c r="AS871" s="253"/>
      <c r="AT871" s="2"/>
      <c r="AU871" s="2"/>
      <c r="AV871" s="2"/>
      <c r="AW871" s="2"/>
      <c r="AX871" s="2"/>
      <c r="AY871" s="253"/>
    </row>
    <row r="872" ht="15.75" customHeight="1">
      <c r="A872" s="2"/>
      <c r="B872" s="288" t="str">
        <f>Controle!B872</f>
        <v/>
      </c>
      <c r="C872" s="233" t="str">
        <f>Controle!C872</f>
        <v/>
      </c>
      <c r="D872" s="289" t="str">
        <f>Controle!D872</f>
        <v/>
      </c>
      <c r="E872" s="290"/>
      <c r="F872" s="291" t="str">
        <f>Controle!F872</f>
        <v/>
      </c>
      <c r="G872" s="289" t="str">
        <f>Controle!G872</f>
        <v/>
      </c>
      <c r="H872" s="290"/>
      <c r="I872" s="291" t="str">
        <f>Controle!I872</f>
        <v/>
      </c>
      <c r="J872" s="233" t="str">
        <f>Controle!J872</f>
        <v/>
      </c>
      <c r="K872" s="292"/>
      <c r="L872" s="233" t="str">
        <f>Controle!L872</f>
        <v/>
      </c>
      <c r="M872" s="233" t="str">
        <f>Controle!M872</f>
        <v/>
      </c>
      <c r="N872" s="235" t="str">
        <f>Controle!N872</f>
        <v/>
      </c>
      <c r="O872" s="235" t="str">
        <f>Controle!O872</f>
        <v/>
      </c>
      <c r="P872" s="235" t="str">
        <f>Controle!P872</f>
        <v/>
      </c>
      <c r="Q872" s="235" t="str">
        <f>Controle!Q872</f>
        <v/>
      </c>
      <c r="R872" s="286" t="str">
        <f>Controle!R872</f>
        <v/>
      </c>
      <c r="S872" s="286"/>
      <c r="T872" s="286"/>
      <c r="U872" s="286"/>
      <c r="V872" s="286"/>
      <c r="W872" s="286"/>
      <c r="X872" s="286"/>
      <c r="Y872" s="286"/>
      <c r="Z872" s="286"/>
      <c r="AA872" s="294"/>
      <c r="AB872" s="253"/>
      <c r="AC872" s="253"/>
      <c r="AD872" s="253"/>
      <c r="AE872" s="253"/>
      <c r="AF872" s="253"/>
      <c r="AG872" s="253"/>
      <c r="AH872" s="253"/>
      <c r="AI872" s="253"/>
      <c r="AJ872" s="253"/>
      <c r="AK872" s="253"/>
      <c r="AL872" s="253"/>
      <c r="AM872" s="253"/>
      <c r="AN872" s="253"/>
      <c r="AO872" s="253"/>
      <c r="AP872" s="253"/>
      <c r="AQ872" s="253"/>
      <c r="AR872" s="253"/>
      <c r="AS872" s="253"/>
      <c r="AT872" s="2"/>
      <c r="AU872" s="2"/>
      <c r="AV872" s="2"/>
      <c r="AW872" s="2"/>
      <c r="AX872" s="2"/>
      <c r="AY872" s="253"/>
    </row>
    <row r="873" ht="15.75" customHeight="1">
      <c r="A873" s="2"/>
      <c r="B873" s="288" t="str">
        <f>Controle!B873</f>
        <v/>
      </c>
      <c r="C873" s="233" t="str">
        <f>Controle!C873</f>
        <v/>
      </c>
      <c r="D873" s="289" t="str">
        <f>Controle!D873</f>
        <v/>
      </c>
      <c r="E873" s="290"/>
      <c r="F873" s="291" t="str">
        <f>Controle!F873</f>
        <v/>
      </c>
      <c r="G873" s="289" t="str">
        <f>Controle!G873</f>
        <v/>
      </c>
      <c r="H873" s="290"/>
      <c r="I873" s="291" t="str">
        <f>Controle!I873</f>
        <v/>
      </c>
      <c r="J873" s="233" t="str">
        <f>Controle!J873</f>
        <v/>
      </c>
      <c r="K873" s="292"/>
      <c r="L873" s="233" t="str">
        <f>Controle!L873</f>
        <v/>
      </c>
      <c r="M873" s="233" t="str">
        <f>Controle!M873</f>
        <v/>
      </c>
      <c r="N873" s="235" t="str">
        <f>Controle!N873</f>
        <v/>
      </c>
      <c r="O873" s="235" t="str">
        <f>Controle!O873</f>
        <v/>
      </c>
      <c r="P873" s="235" t="str">
        <f>Controle!P873</f>
        <v/>
      </c>
      <c r="Q873" s="235" t="str">
        <f>Controle!Q873</f>
        <v/>
      </c>
      <c r="R873" s="286" t="str">
        <f>Controle!R873</f>
        <v/>
      </c>
      <c r="S873" s="286"/>
      <c r="T873" s="286"/>
      <c r="U873" s="286"/>
      <c r="V873" s="286"/>
      <c r="W873" s="286"/>
      <c r="X873" s="286"/>
      <c r="Y873" s="286"/>
      <c r="Z873" s="286"/>
      <c r="AA873" s="294"/>
      <c r="AB873" s="253"/>
      <c r="AC873" s="253"/>
      <c r="AD873" s="253"/>
      <c r="AE873" s="253"/>
      <c r="AF873" s="253"/>
      <c r="AG873" s="253"/>
      <c r="AH873" s="253"/>
      <c r="AI873" s="253"/>
      <c r="AJ873" s="253"/>
      <c r="AK873" s="253"/>
      <c r="AL873" s="253"/>
      <c r="AM873" s="253"/>
      <c r="AN873" s="253"/>
      <c r="AO873" s="253"/>
      <c r="AP873" s="253"/>
      <c r="AQ873" s="253"/>
      <c r="AR873" s="253"/>
      <c r="AS873" s="253"/>
      <c r="AT873" s="2"/>
      <c r="AU873" s="2"/>
      <c r="AV873" s="2"/>
      <c r="AW873" s="2"/>
      <c r="AX873" s="2"/>
      <c r="AY873" s="253"/>
    </row>
    <row r="874" ht="15.75" customHeight="1">
      <c r="A874" s="2"/>
      <c r="B874" s="288" t="str">
        <f>Controle!B874</f>
        <v/>
      </c>
      <c r="C874" s="233" t="str">
        <f>Controle!C874</f>
        <v/>
      </c>
      <c r="D874" s="289" t="str">
        <f>Controle!D874</f>
        <v/>
      </c>
      <c r="E874" s="290"/>
      <c r="F874" s="291" t="str">
        <f>Controle!F874</f>
        <v/>
      </c>
      <c r="G874" s="289" t="str">
        <f>Controle!G874</f>
        <v/>
      </c>
      <c r="H874" s="290"/>
      <c r="I874" s="291" t="str">
        <f>Controle!I874</f>
        <v/>
      </c>
      <c r="J874" s="233" t="str">
        <f>Controle!J874</f>
        <v/>
      </c>
      <c r="K874" s="292"/>
      <c r="L874" s="233" t="str">
        <f>Controle!L874</f>
        <v/>
      </c>
      <c r="M874" s="233" t="str">
        <f>Controle!M874</f>
        <v/>
      </c>
      <c r="N874" s="235" t="str">
        <f>Controle!N874</f>
        <v/>
      </c>
      <c r="O874" s="235" t="str">
        <f>Controle!O874</f>
        <v/>
      </c>
      <c r="P874" s="235" t="str">
        <f>Controle!P874</f>
        <v/>
      </c>
      <c r="Q874" s="235" t="str">
        <f>Controle!Q874</f>
        <v/>
      </c>
      <c r="R874" s="286" t="str">
        <f>Controle!R874</f>
        <v/>
      </c>
      <c r="S874" s="286"/>
      <c r="T874" s="286"/>
      <c r="U874" s="286"/>
      <c r="V874" s="286"/>
      <c r="W874" s="286"/>
      <c r="X874" s="286"/>
      <c r="Y874" s="286"/>
      <c r="Z874" s="286"/>
      <c r="AA874" s="294"/>
      <c r="AB874" s="253"/>
      <c r="AC874" s="253"/>
      <c r="AD874" s="253"/>
      <c r="AE874" s="253"/>
      <c r="AF874" s="253"/>
      <c r="AG874" s="253"/>
      <c r="AH874" s="253"/>
      <c r="AI874" s="253"/>
      <c r="AJ874" s="253"/>
      <c r="AK874" s="253"/>
      <c r="AL874" s="253"/>
      <c r="AM874" s="253"/>
      <c r="AN874" s="253"/>
      <c r="AO874" s="253"/>
      <c r="AP874" s="253"/>
      <c r="AQ874" s="253"/>
      <c r="AR874" s="253"/>
      <c r="AS874" s="253"/>
      <c r="AT874" s="2"/>
      <c r="AU874" s="2"/>
      <c r="AV874" s="2"/>
      <c r="AW874" s="2"/>
      <c r="AX874" s="2"/>
      <c r="AY874" s="253"/>
    </row>
    <row r="875" ht="15.75" customHeight="1">
      <c r="A875" s="2"/>
      <c r="B875" s="288" t="str">
        <f>Controle!B875</f>
        <v/>
      </c>
      <c r="C875" s="233" t="str">
        <f>Controle!C875</f>
        <v/>
      </c>
      <c r="D875" s="289" t="str">
        <f>Controle!D875</f>
        <v/>
      </c>
      <c r="E875" s="290"/>
      <c r="F875" s="291" t="str">
        <f>Controle!F875</f>
        <v/>
      </c>
      <c r="G875" s="289" t="str">
        <f>Controle!G875</f>
        <v/>
      </c>
      <c r="H875" s="290"/>
      <c r="I875" s="291" t="str">
        <f>Controle!I875</f>
        <v/>
      </c>
      <c r="J875" s="233" t="str">
        <f>Controle!J875</f>
        <v/>
      </c>
      <c r="K875" s="292"/>
      <c r="L875" s="233" t="str">
        <f>Controle!L875</f>
        <v/>
      </c>
      <c r="M875" s="233" t="str">
        <f>Controle!M875</f>
        <v/>
      </c>
      <c r="N875" s="235" t="str">
        <f>Controle!N875</f>
        <v/>
      </c>
      <c r="O875" s="235" t="str">
        <f>Controle!O875</f>
        <v/>
      </c>
      <c r="P875" s="235" t="str">
        <f>Controle!P875</f>
        <v/>
      </c>
      <c r="Q875" s="235" t="str">
        <f>Controle!Q875</f>
        <v/>
      </c>
      <c r="R875" s="286" t="str">
        <f>Controle!R875</f>
        <v/>
      </c>
      <c r="S875" s="286"/>
      <c r="T875" s="286"/>
      <c r="U875" s="286"/>
      <c r="V875" s="286"/>
      <c r="W875" s="286"/>
      <c r="X875" s="286"/>
      <c r="Y875" s="286"/>
      <c r="Z875" s="286"/>
      <c r="AA875" s="294"/>
      <c r="AB875" s="253"/>
      <c r="AC875" s="253"/>
      <c r="AD875" s="253"/>
      <c r="AE875" s="253"/>
      <c r="AF875" s="253"/>
      <c r="AG875" s="253"/>
      <c r="AH875" s="253"/>
      <c r="AI875" s="253"/>
      <c r="AJ875" s="253"/>
      <c r="AK875" s="253"/>
      <c r="AL875" s="253"/>
      <c r="AM875" s="253"/>
      <c r="AN875" s="253"/>
      <c r="AO875" s="253"/>
      <c r="AP875" s="253"/>
      <c r="AQ875" s="253"/>
      <c r="AR875" s="253"/>
      <c r="AS875" s="253"/>
      <c r="AT875" s="2"/>
      <c r="AU875" s="2"/>
      <c r="AV875" s="2"/>
      <c r="AW875" s="2"/>
      <c r="AX875" s="2"/>
      <c r="AY875" s="253"/>
    </row>
    <row r="876" ht="15.75" customHeight="1">
      <c r="A876" s="2"/>
      <c r="B876" s="288" t="str">
        <f>Controle!B876</f>
        <v/>
      </c>
      <c r="C876" s="233" t="str">
        <f>Controle!C876</f>
        <v/>
      </c>
      <c r="D876" s="289" t="str">
        <f>Controle!D876</f>
        <v/>
      </c>
      <c r="E876" s="290"/>
      <c r="F876" s="291" t="str">
        <f>Controle!F876</f>
        <v/>
      </c>
      <c r="G876" s="289" t="str">
        <f>Controle!G876</f>
        <v/>
      </c>
      <c r="H876" s="290"/>
      <c r="I876" s="291" t="str">
        <f>Controle!I876</f>
        <v/>
      </c>
      <c r="J876" s="233" t="str">
        <f>Controle!J876</f>
        <v/>
      </c>
      <c r="K876" s="292"/>
      <c r="L876" s="233" t="str">
        <f>Controle!L876</f>
        <v/>
      </c>
      <c r="M876" s="233" t="str">
        <f>Controle!M876</f>
        <v/>
      </c>
      <c r="N876" s="235" t="str">
        <f>Controle!N876</f>
        <v/>
      </c>
      <c r="O876" s="235" t="str">
        <f>Controle!O876</f>
        <v/>
      </c>
      <c r="P876" s="235" t="str">
        <f>Controle!P876</f>
        <v/>
      </c>
      <c r="Q876" s="235" t="str">
        <f>Controle!Q876</f>
        <v/>
      </c>
      <c r="R876" s="286" t="str">
        <f>Controle!R876</f>
        <v/>
      </c>
      <c r="S876" s="286"/>
      <c r="T876" s="286"/>
      <c r="U876" s="286"/>
      <c r="V876" s="286"/>
      <c r="W876" s="286"/>
      <c r="X876" s="286"/>
      <c r="Y876" s="286"/>
      <c r="Z876" s="286"/>
      <c r="AA876" s="294"/>
      <c r="AB876" s="253"/>
      <c r="AC876" s="253"/>
      <c r="AD876" s="253"/>
      <c r="AE876" s="253"/>
      <c r="AF876" s="253"/>
      <c r="AG876" s="253"/>
      <c r="AH876" s="253"/>
      <c r="AI876" s="253"/>
      <c r="AJ876" s="253"/>
      <c r="AK876" s="253"/>
      <c r="AL876" s="253"/>
      <c r="AM876" s="253"/>
      <c r="AN876" s="253"/>
      <c r="AO876" s="253"/>
      <c r="AP876" s="253"/>
      <c r="AQ876" s="253"/>
      <c r="AR876" s="253"/>
      <c r="AS876" s="253"/>
      <c r="AT876" s="2"/>
      <c r="AU876" s="2"/>
      <c r="AV876" s="2"/>
      <c r="AW876" s="2"/>
      <c r="AX876" s="2"/>
      <c r="AY876" s="253"/>
    </row>
    <row r="877" ht="15.75" customHeight="1">
      <c r="A877" s="2"/>
      <c r="B877" s="288" t="str">
        <f>Controle!B877</f>
        <v/>
      </c>
      <c r="C877" s="233" t="str">
        <f>Controle!C877</f>
        <v/>
      </c>
      <c r="D877" s="289" t="str">
        <f>Controle!D877</f>
        <v/>
      </c>
      <c r="E877" s="290"/>
      <c r="F877" s="291" t="str">
        <f>Controle!F877</f>
        <v/>
      </c>
      <c r="G877" s="289" t="str">
        <f>Controle!G877</f>
        <v/>
      </c>
      <c r="H877" s="290"/>
      <c r="I877" s="291" t="str">
        <f>Controle!I877</f>
        <v/>
      </c>
      <c r="J877" s="233" t="str">
        <f>Controle!J877</f>
        <v/>
      </c>
      <c r="K877" s="292"/>
      <c r="L877" s="233" t="str">
        <f>Controle!L877</f>
        <v/>
      </c>
      <c r="M877" s="233" t="str">
        <f>Controle!M877</f>
        <v/>
      </c>
      <c r="N877" s="235" t="str">
        <f>Controle!N877</f>
        <v/>
      </c>
      <c r="O877" s="235" t="str">
        <f>Controle!O877</f>
        <v/>
      </c>
      <c r="P877" s="235" t="str">
        <f>Controle!P877</f>
        <v/>
      </c>
      <c r="Q877" s="235" t="str">
        <f>Controle!Q877</f>
        <v/>
      </c>
      <c r="R877" s="286" t="str">
        <f>Controle!R877</f>
        <v/>
      </c>
      <c r="S877" s="286"/>
      <c r="T877" s="286"/>
      <c r="U877" s="286"/>
      <c r="V877" s="286"/>
      <c r="W877" s="286"/>
      <c r="X877" s="286"/>
      <c r="Y877" s="286"/>
      <c r="Z877" s="286"/>
      <c r="AA877" s="294"/>
      <c r="AB877" s="253"/>
      <c r="AC877" s="253"/>
      <c r="AD877" s="253"/>
      <c r="AE877" s="253"/>
      <c r="AF877" s="253"/>
      <c r="AG877" s="253"/>
      <c r="AH877" s="253"/>
      <c r="AI877" s="253"/>
      <c r="AJ877" s="253"/>
      <c r="AK877" s="253"/>
      <c r="AL877" s="253"/>
      <c r="AM877" s="253"/>
      <c r="AN877" s="253"/>
      <c r="AO877" s="253"/>
      <c r="AP877" s="253"/>
      <c r="AQ877" s="253"/>
      <c r="AR877" s="253"/>
      <c r="AS877" s="253"/>
      <c r="AT877" s="2"/>
      <c r="AU877" s="2"/>
      <c r="AV877" s="2"/>
      <c r="AW877" s="2"/>
      <c r="AX877" s="2"/>
      <c r="AY877" s="253"/>
    </row>
    <row r="878" ht="15.75" customHeight="1">
      <c r="A878" s="2"/>
      <c r="B878" s="288" t="str">
        <f>Controle!B878</f>
        <v/>
      </c>
      <c r="C878" s="233" t="str">
        <f>Controle!C878</f>
        <v/>
      </c>
      <c r="D878" s="289" t="str">
        <f>Controle!D878</f>
        <v/>
      </c>
      <c r="E878" s="290"/>
      <c r="F878" s="291" t="str">
        <f>Controle!F878</f>
        <v/>
      </c>
      <c r="G878" s="289" t="str">
        <f>Controle!G878</f>
        <v/>
      </c>
      <c r="H878" s="290"/>
      <c r="I878" s="291" t="str">
        <f>Controle!I878</f>
        <v/>
      </c>
      <c r="J878" s="233" t="str">
        <f>Controle!J878</f>
        <v/>
      </c>
      <c r="K878" s="292"/>
      <c r="L878" s="233" t="str">
        <f>Controle!L878</f>
        <v/>
      </c>
      <c r="M878" s="233" t="str">
        <f>Controle!M878</f>
        <v/>
      </c>
      <c r="N878" s="235" t="str">
        <f>Controle!N878</f>
        <v/>
      </c>
      <c r="O878" s="235" t="str">
        <f>Controle!O878</f>
        <v/>
      </c>
      <c r="P878" s="235" t="str">
        <f>Controle!P878</f>
        <v/>
      </c>
      <c r="Q878" s="235" t="str">
        <f>Controle!Q878</f>
        <v/>
      </c>
      <c r="R878" s="286" t="str">
        <f>Controle!R878</f>
        <v/>
      </c>
      <c r="S878" s="286"/>
      <c r="T878" s="286"/>
      <c r="U878" s="286"/>
      <c r="V878" s="286"/>
      <c r="W878" s="286"/>
      <c r="X878" s="286"/>
      <c r="Y878" s="286"/>
      <c r="Z878" s="286"/>
      <c r="AA878" s="294"/>
      <c r="AB878" s="253"/>
      <c r="AC878" s="253"/>
      <c r="AD878" s="253"/>
      <c r="AE878" s="253"/>
      <c r="AF878" s="253"/>
      <c r="AG878" s="253"/>
      <c r="AH878" s="253"/>
      <c r="AI878" s="253"/>
      <c r="AJ878" s="253"/>
      <c r="AK878" s="253"/>
      <c r="AL878" s="253"/>
      <c r="AM878" s="253"/>
      <c r="AN878" s="253"/>
      <c r="AO878" s="253"/>
      <c r="AP878" s="253"/>
      <c r="AQ878" s="253"/>
      <c r="AR878" s="253"/>
      <c r="AS878" s="253"/>
      <c r="AT878" s="2"/>
      <c r="AU878" s="2"/>
      <c r="AV878" s="2"/>
      <c r="AW878" s="2"/>
      <c r="AX878" s="2"/>
      <c r="AY878" s="253"/>
    </row>
    <row r="879" ht="15.75" customHeight="1">
      <c r="A879" s="2"/>
      <c r="B879" s="288" t="str">
        <f>Controle!B879</f>
        <v/>
      </c>
      <c r="C879" s="233" t="str">
        <f>Controle!C879</f>
        <v/>
      </c>
      <c r="D879" s="289" t="str">
        <f>Controle!D879</f>
        <v/>
      </c>
      <c r="E879" s="290"/>
      <c r="F879" s="291" t="str">
        <f>Controle!F879</f>
        <v/>
      </c>
      <c r="G879" s="289" t="str">
        <f>Controle!G879</f>
        <v/>
      </c>
      <c r="H879" s="290"/>
      <c r="I879" s="291" t="str">
        <f>Controle!I879</f>
        <v/>
      </c>
      <c r="J879" s="233" t="str">
        <f>Controle!J879</f>
        <v/>
      </c>
      <c r="K879" s="292"/>
      <c r="L879" s="233" t="str">
        <f>Controle!L879</f>
        <v/>
      </c>
      <c r="M879" s="233" t="str">
        <f>Controle!M879</f>
        <v/>
      </c>
      <c r="N879" s="235" t="str">
        <f>Controle!N879</f>
        <v/>
      </c>
      <c r="O879" s="235" t="str">
        <f>Controle!O879</f>
        <v/>
      </c>
      <c r="P879" s="235" t="str">
        <f>Controle!P879</f>
        <v/>
      </c>
      <c r="Q879" s="235" t="str">
        <f>Controle!Q879</f>
        <v/>
      </c>
      <c r="R879" s="286" t="str">
        <f>Controle!R879</f>
        <v/>
      </c>
      <c r="S879" s="286"/>
      <c r="T879" s="286"/>
      <c r="U879" s="286"/>
      <c r="V879" s="286"/>
      <c r="W879" s="286"/>
      <c r="X879" s="286"/>
      <c r="Y879" s="286"/>
      <c r="Z879" s="286"/>
      <c r="AA879" s="294"/>
      <c r="AB879" s="253"/>
      <c r="AC879" s="253"/>
      <c r="AD879" s="253"/>
      <c r="AE879" s="253"/>
      <c r="AF879" s="253"/>
      <c r="AG879" s="253"/>
      <c r="AH879" s="253"/>
      <c r="AI879" s="253"/>
      <c r="AJ879" s="253"/>
      <c r="AK879" s="253"/>
      <c r="AL879" s="253"/>
      <c r="AM879" s="253"/>
      <c r="AN879" s="253"/>
      <c r="AO879" s="253"/>
      <c r="AP879" s="253"/>
      <c r="AQ879" s="253"/>
      <c r="AR879" s="253"/>
      <c r="AS879" s="253"/>
      <c r="AT879" s="2"/>
      <c r="AU879" s="2"/>
      <c r="AV879" s="2"/>
      <c r="AW879" s="2"/>
      <c r="AX879" s="2"/>
      <c r="AY879" s="253"/>
    </row>
    <row r="880" ht="15.75" customHeight="1">
      <c r="A880" s="2"/>
      <c r="B880" s="288" t="str">
        <f>Controle!B880</f>
        <v/>
      </c>
      <c r="C880" s="233" t="str">
        <f>Controle!C880</f>
        <v/>
      </c>
      <c r="D880" s="289" t="str">
        <f>Controle!D880</f>
        <v/>
      </c>
      <c r="E880" s="290"/>
      <c r="F880" s="291" t="str">
        <f>Controle!F880</f>
        <v/>
      </c>
      <c r="G880" s="289" t="str">
        <f>Controle!G880</f>
        <v/>
      </c>
      <c r="H880" s="290"/>
      <c r="I880" s="291" t="str">
        <f>Controle!I880</f>
        <v/>
      </c>
      <c r="J880" s="233" t="str">
        <f>Controle!J880</f>
        <v/>
      </c>
      <c r="K880" s="292"/>
      <c r="L880" s="233" t="str">
        <f>Controle!L880</f>
        <v/>
      </c>
      <c r="M880" s="233" t="str">
        <f>Controle!M880</f>
        <v/>
      </c>
      <c r="N880" s="235" t="str">
        <f>Controle!N880</f>
        <v/>
      </c>
      <c r="O880" s="235" t="str">
        <f>Controle!O880</f>
        <v/>
      </c>
      <c r="P880" s="235" t="str">
        <f>Controle!P880</f>
        <v/>
      </c>
      <c r="Q880" s="235" t="str">
        <f>Controle!Q880</f>
        <v/>
      </c>
      <c r="R880" s="286" t="str">
        <f>Controle!R880</f>
        <v/>
      </c>
      <c r="S880" s="286"/>
      <c r="T880" s="286"/>
      <c r="U880" s="286"/>
      <c r="V880" s="286"/>
      <c r="W880" s="286"/>
      <c r="X880" s="286"/>
      <c r="Y880" s="286"/>
      <c r="Z880" s="286"/>
      <c r="AA880" s="294"/>
      <c r="AB880" s="253"/>
      <c r="AC880" s="253"/>
      <c r="AD880" s="253"/>
      <c r="AE880" s="253"/>
      <c r="AF880" s="253"/>
      <c r="AG880" s="253"/>
      <c r="AH880" s="253"/>
      <c r="AI880" s="253"/>
      <c r="AJ880" s="253"/>
      <c r="AK880" s="253"/>
      <c r="AL880" s="253"/>
      <c r="AM880" s="253"/>
      <c r="AN880" s="253"/>
      <c r="AO880" s="253"/>
      <c r="AP880" s="253"/>
      <c r="AQ880" s="253"/>
      <c r="AR880" s="253"/>
      <c r="AS880" s="253"/>
      <c r="AT880" s="2"/>
      <c r="AU880" s="2"/>
      <c r="AV880" s="2"/>
      <c r="AW880" s="2"/>
      <c r="AX880" s="2"/>
      <c r="AY880" s="253"/>
    </row>
    <row r="881" ht="15.75" customHeight="1">
      <c r="A881" s="2"/>
      <c r="B881" s="288" t="str">
        <f>Controle!B881</f>
        <v/>
      </c>
      <c r="C881" s="233" t="str">
        <f>Controle!C881</f>
        <v/>
      </c>
      <c r="D881" s="289" t="str">
        <f>Controle!D881</f>
        <v/>
      </c>
      <c r="E881" s="290"/>
      <c r="F881" s="291" t="str">
        <f>Controle!F881</f>
        <v/>
      </c>
      <c r="G881" s="289" t="str">
        <f>Controle!G881</f>
        <v/>
      </c>
      <c r="H881" s="290"/>
      <c r="I881" s="291" t="str">
        <f>Controle!I881</f>
        <v/>
      </c>
      <c r="J881" s="233" t="str">
        <f>Controle!J881</f>
        <v/>
      </c>
      <c r="K881" s="292"/>
      <c r="L881" s="233" t="str">
        <f>Controle!L881</f>
        <v/>
      </c>
      <c r="M881" s="233" t="str">
        <f>Controle!M881</f>
        <v/>
      </c>
      <c r="N881" s="235" t="str">
        <f>Controle!N881</f>
        <v/>
      </c>
      <c r="O881" s="235" t="str">
        <f>Controle!O881</f>
        <v/>
      </c>
      <c r="P881" s="235" t="str">
        <f>Controle!P881</f>
        <v/>
      </c>
      <c r="Q881" s="235" t="str">
        <f>Controle!Q881</f>
        <v/>
      </c>
      <c r="R881" s="286" t="str">
        <f>Controle!R881</f>
        <v/>
      </c>
      <c r="S881" s="286"/>
      <c r="T881" s="286"/>
      <c r="U881" s="286"/>
      <c r="V881" s="286"/>
      <c r="W881" s="286"/>
      <c r="X881" s="286"/>
      <c r="Y881" s="286"/>
      <c r="Z881" s="286"/>
      <c r="AA881" s="294"/>
      <c r="AB881" s="253"/>
      <c r="AC881" s="253"/>
      <c r="AD881" s="253"/>
      <c r="AE881" s="253"/>
      <c r="AF881" s="253"/>
      <c r="AG881" s="253"/>
      <c r="AH881" s="253"/>
      <c r="AI881" s="253"/>
      <c r="AJ881" s="253"/>
      <c r="AK881" s="253"/>
      <c r="AL881" s="253"/>
      <c r="AM881" s="253"/>
      <c r="AN881" s="253"/>
      <c r="AO881" s="253"/>
      <c r="AP881" s="253"/>
      <c r="AQ881" s="253"/>
      <c r="AR881" s="253"/>
      <c r="AS881" s="253"/>
      <c r="AT881" s="2"/>
      <c r="AU881" s="2"/>
      <c r="AV881" s="2"/>
      <c r="AW881" s="2"/>
      <c r="AX881" s="2"/>
      <c r="AY881" s="253"/>
    </row>
    <row r="882" ht="15.75" customHeight="1">
      <c r="A882" s="2"/>
      <c r="B882" s="288" t="str">
        <f>Controle!B882</f>
        <v/>
      </c>
      <c r="C882" s="233" t="str">
        <f>Controle!C882</f>
        <v/>
      </c>
      <c r="D882" s="289" t="str">
        <f>Controle!D882</f>
        <v/>
      </c>
      <c r="E882" s="290"/>
      <c r="F882" s="291" t="str">
        <f>Controle!F882</f>
        <v/>
      </c>
      <c r="G882" s="289" t="str">
        <f>Controle!G882</f>
        <v/>
      </c>
      <c r="H882" s="290"/>
      <c r="I882" s="291" t="str">
        <f>Controle!I882</f>
        <v/>
      </c>
      <c r="J882" s="233" t="str">
        <f>Controle!J882</f>
        <v/>
      </c>
      <c r="K882" s="292"/>
      <c r="L882" s="233" t="str">
        <f>Controle!L882</f>
        <v/>
      </c>
      <c r="M882" s="233" t="str">
        <f>Controle!M882</f>
        <v/>
      </c>
      <c r="N882" s="235" t="str">
        <f>Controle!N882</f>
        <v/>
      </c>
      <c r="O882" s="235" t="str">
        <f>Controle!O882</f>
        <v/>
      </c>
      <c r="P882" s="235" t="str">
        <f>Controle!P882</f>
        <v/>
      </c>
      <c r="Q882" s="235" t="str">
        <f>Controle!Q882</f>
        <v/>
      </c>
      <c r="R882" s="286" t="str">
        <f>Controle!R882</f>
        <v/>
      </c>
      <c r="S882" s="286"/>
      <c r="T882" s="286"/>
      <c r="U882" s="286"/>
      <c r="V882" s="286"/>
      <c r="W882" s="286"/>
      <c r="X882" s="286"/>
      <c r="Y882" s="286"/>
      <c r="Z882" s="286"/>
      <c r="AA882" s="294"/>
      <c r="AB882" s="253"/>
      <c r="AC882" s="253"/>
      <c r="AD882" s="253"/>
      <c r="AE882" s="253"/>
      <c r="AF882" s="253"/>
      <c r="AG882" s="253"/>
      <c r="AH882" s="253"/>
      <c r="AI882" s="253"/>
      <c r="AJ882" s="253"/>
      <c r="AK882" s="253"/>
      <c r="AL882" s="253"/>
      <c r="AM882" s="253"/>
      <c r="AN882" s="253"/>
      <c r="AO882" s="253"/>
      <c r="AP882" s="253"/>
      <c r="AQ882" s="253"/>
      <c r="AR882" s="253"/>
      <c r="AS882" s="253"/>
      <c r="AT882" s="2"/>
      <c r="AU882" s="2"/>
      <c r="AV882" s="2"/>
      <c r="AW882" s="2"/>
      <c r="AX882" s="2"/>
      <c r="AY882" s="253"/>
    </row>
    <row r="883" ht="15.75" customHeight="1">
      <c r="A883" s="2"/>
      <c r="B883" s="288" t="str">
        <f>Controle!B883</f>
        <v/>
      </c>
      <c r="C883" s="233" t="str">
        <f>Controle!C883</f>
        <v/>
      </c>
      <c r="D883" s="289" t="str">
        <f>Controle!D883</f>
        <v/>
      </c>
      <c r="E883" s="290"/>
      <c r="F883" s="291" t="str">
        <f>Controle!F883</f>
        <v/>
      </c>
      <c r="G883" s="289" t="str">
        <f>Controle!G883</f>
        <v/>
      </c>
      <c r="H883" s="290"/>
      <c r="I883" s="291" t="str">
        <f>Controle!I883</f>
        <v/>
      </c>
      <c r="J883" s="233" t="str">
        <f>Controle!J883</f>
        <v/>
      </c>
      <c r="K883" s="292"/>
      <c r="L883" s="233" t="str">
        <f>Controle!L883</f>
        <v/>
      </c>
      <c r="M883" s="233" t="str">
        <f>Controle!M883</f>
        <v/>
      </c>
      <c r="N883" s="235" t="str">
        <f>Controle!N883</f>
        <v/>
      </c>
      <c r="O883" s="235" t="str">
        <f>Controle!O883</f>
        <v/>
      </c>
      <c r="P883" s="235" t="str">
        <f>Controle!P883</f>
        <v/>
      </c>
      <c r="Q883" s="235" t="str">
        <f>Controle!Q883</f>
        <v/>
      </c>
      <c r="R883" s="286" t="str">
        <f>Controle!R883</f>
        <v/>
      </c>
      <c r="S883" s="286"/>
      <c r="T883" s="286"/>
      <c r="U883" s="286"/>
      <c r="V883" s="286"/>
      <c r="W883" s="286"/>
      <c r="X883" s="286"/>
      <c r="Y883" s="286"/>
      <c r="Z883" s="286"/>
      <c r="AA883" s="294"/>
      <c r="AB883" s="253"/>
      <c r="AC883" s="253"/>
      <c r="AD883" s="253"/>
      <c r="AE883" s="253"/>
      <c r="AF883" s="253"/>
      <c r="AG883" s="253"/>
      <c r="AH883" s="253"/>
      <c r="AI883" s="253"/>
      <c r="AJ883" s="253"/>
      <c r="AK883" s="253"/>
      <c r="AL883" s="253"/>
      <c r="AM883" s="253"/>
      <c r="AN883" s="253"/>
      <c r="AO883" s="253"/>
      <c r="AP883" s="253"/>
      <c r="AQ883" s="253"/>
      <c r="AR883" s="253"/>
      <c r="AS883" s="253"/>
      <c r="AT883" s="2"/>
      <c r="AU883" s="2"/>
      <c r="AV883" s="2"/>
      <c r="AW883" s="2"/>
      <c r="AX883" s="2"/>
      <c r="AY883" s="253"/>
    </row>
    <row r="884" ht="15.75" customHeight="1">
      <c r="A884" s="2"/>
      <c r="B884" s="288" t="str">
        <f>Controle!B884</f>
        <v/>
      </c>
      <c r="C884" s="233" t="str">
        <f>Controle!C884</f>
        <v/>
      </c>
      <c r="D884" s="289" t="str">
        <f>Controle!D884</f>
        <v/>
      </c>
      <c r="E884" s="290"/>
      <c r="F884" s="291" t="str">
        <f>Controle!F884</f>
        <v/>
      </c>
      <c r="G884" s="289" t="str">
        <f>Controle!G884</f>
        <v/>
      </c>
      <c r="H884" s="290"/>
      <c r="I884" s="291" t="str">
        <f>Controle!I884</f>
        <v/>
      </c>
      <c r="J884" s="233" t="str">
        <f>Controle!J884</f>
        <v/>
      </c>
      <c r="K884" s="292"/>
      <c r="L884" s="233" t="str">
        <f>Controle!L884</f>
        <v/>
      </c>
      <c r="M884" s="233" t="str">
        <f>Controle!M884</f>
        <v/>
      </c>
      <c r="N884" s="235" t="str">
        <f>Controle!N884</f>
        <v/>
      </c>
      <c r="O884" s="235" t="str">
        <f>Controle!O884</f>
        <v/>
      </c>
      <c r="P884" s="235" t="str">
        <f>Controle!P884</f>
        <v/>
      </c>
      <c r="Q884" s="235" t="str">
        <f>Controle!Q884</f>
        <v/>
      </c>
      <c r="R884" s="286" t="str">
        <f>Controle!R884</f>
        <v/>
      </c>
      <c r="S884" s="286"/>
      <c r="T884" s="286"/>
      <c r="U884" s="286"/>
      <c r="V884" s="286"/>
      <c r="W884" s="286"/>
      <c r="X884" s="286"/>
      <c r="Y884" s="286"/>
      <c r="Z884" s="286"/>
      <c r="AA884" s="294"/>
      <c r="AB884" s="253"/>
      <c r="AC884" s="253"/>
      <c r="AD884" s="253"/>
      <c r="AE884" s="253"/>
      <c r="AF884" s="253"/>
      <c r="AG884" s="253"/>
      <c r="AH884" s="253"/>
      <c r="AI884" s="253"/>
      <c r="AJ884" s="253"/>
      <c r="AK884" s="253"/>
      <c r="AL884" s="253"/>
      <c r="AM884" s="253"/>
      <c r="AN884" s="253"/>
      <c r="AO884" s="253"/>
      <c r="AP884" s="253"/>
      <c r="AQ884" s="253"/>
      <c r="AR884" s="253"/>
      <c r="AS884" s="253"/>
      <c r="AT884" s="2"/>
      <c r="AU884" s="2"/>
      <c r="AV884" s="2"/>
      <c r="AW884" s="2"/>
      <c r="AX884" s="2"/>
      <c r="AY884" s="253"/>
    </row>
    <row r="885" ht="15.75" customHeight="1">
      <c r="A885" s="2"/>
      <c r="B885" s="288" t="str">
        <f>Controle!B885</f>
        <v/>
      </c>
      <c r="C885" s="233" t="str">
        <f>Controle!C885</f>
        <v/>
      </c>
      <c r="D885" s="289" t="str">
        <f>Controle!D885</f>
        <v/>
      </c>
      <c r="E885" s="290"/>
      <c r="F885" s="291" t="str">
        <f>Controle!F885</f>
        <v/>
      </c>
      <c r="G885" s="289" t="str">
        <f>Controle!G885</f>
        <v/>
      </c>
      <c r="H885" s="290"/>
      <c r="I885" s="291" t="str">
        <f>Controle!I885</f>
        <v/>
      </c>
      <c r="J885" s="233" t="str">
        <f>Controle!J885</f>
        <v/>
      </c>
      <c r="K885" s="292"/>
      <c r="L885" s="233" t="str">
        <f>Controle!L885</f>
        <v/>
      </c>
      <c r="M885" s="233" t="str">
        <f>Controle!M885</f>
        <v/>
      </c>
      <c r="N885" s="235" t="str">
        <f>Controle!N885</f>
        <v/>
      </c>
      <c r="O885" s="235" t="str">
        <f>Controle!O885</f>
        <v/>
      </c>
      <c r="P885" s="235" t="str">
        <f>Controle!P885</f>
        <v/>
      </c>
      <c r="Q885" s="235" t="str">
        <f>Controle!Q885</f>
        <v/>
      </c>
      <c r="R885" s="286" t="str">
        <f>Controle!R885</f>
        <v/>
      </c>
      <c r="S885" s="286"/>
      <c r="T885" s="286"/>
      <c r="U885" s="286"/>
      <c r="V885" s="286"/>
      <c r="W885" s="286"/>
      <c r="X885" s="286"/>
      <c r="Y885" s="286"/>
      <c r="Z885" s="286"/>
      <c r="AA885" s="294"/>
      <c r="AB885" s="253"/>
      <c r="AC885" s="253"/>
      <c r="AD885" s="253"/>
      <c r="AE885" s="253"/>
      <c r="AF885" s="253"/>
      <c r="AG885" s="253"/>
      <c r="AH885" s="253"/>
      <c r="AI885" s="253"/>
      <c r="AJ885" s="253"/>
      <c r="AK885" s="253"/>
      <c r="AL885" s="253"/>
      <c r="AM885" s="253"/>
      <c r="AN885" s="253"/>
      <c r="AO885" s="253"/>
      <c r="AP885" s="253"/>
      <c r="AQ885" s="253"/>
      <c r="AR885" s="253"/>
      <c r="AS885" s="253"/>
      <c r="AT885" s="2"/>
      <c r="AU885" s="2"/>
      <c r="AV885" s="2"/>
      <c r="AW885" s="2"/>
      <c r="AX885" s="2"/>
      <c r="AY885" s="253"/>
    </row>
    <row r="886" ht="15.75" customHeight="1">
      <c r="A886" s="2"/>
      <c r="B886" s="288" t="str">
        <f>Controle!B886</f>
        <v/>
      </c>
      <c r="C886" s="233" t="str">
        <f>Controle!C886</f>
        <v/>
      </c>
      <c r="D886" s="289" t="str">
        <f>Controle!D886</f>
        <v/>
      </c>
      <c r="E886" s="290"/>
      <c r="F886" s="291" t="str">
        <f>Controle!F886</f>
        <v/>
      </c>
      <c r="G886" s="289" t="str">
        <f>Controle!G886</f>
        <v/>
      </c>
      <c r="H886" s="290"/>
      <c r="I886" s="291" t="str">
        <f>Controle!I886</f>
        <v/>
      </c>
      <c r="J886" s="233" t="str">
        <f>Controle!J886</f>
        <v/>
      </c>
      <c r="K886" s="292"/>
      <c r="L886" s="233" t="str">
        <f>Controle!L886</f>
        <v/>
      </c>
      <c r="M886" s="233" t="str">
        <f>Controle!M886</f>
        <v/>
      </c>
      <c r="N886" s="235" t="str">
        <f>Controle!N886</f>
        <v/>
      </c>
      <c r="O886" s="235" t="str">
        <f>Controle!O886</f>
        <v/>
      </c>
      <c r="P886" s="235" t="str">
        <f>Controle!P886</f>
        <v/>
      </c>
      <c r="Q886" s="235" t="str">
        <f>Controle!Q886</f>
        <v/>
      </c>
      <c r="R886" s="286" t="str">
        <f>Controle!R886</f>
        <v/>
      </c>
      <c r="S886" s="286"/>
      <c r="T886" s="286"/>
      <c r="U886" s="286"/>
      <c r="V886" s="286"/>
      <c r="W886" s="286"/>
      <c r="X886" s="286"/>
      <c r="Y886" s="286"/>
      <c r="Z886" s="286"/>
      <c r="AA886" s="294"/>
      <c r="AB886" s="253"/>
      <c r="AC886" s="253"/>
      <c r="AD886" s="253"/>
      <c r="AE886" s="253"/>
      <c r="AF886" s="253"/>
      <c r="AG886" s="253"/>
      <c r="AH886" s="253"/>
      <c r="AI886" s="253"/>
      <c r="AJ886" s="253"/>
      <c r="AK886" s="253"/>
      <c r="AL886" s="253"/>
      <c r="AM886" s="253"/>
      <c r="AN886" s="253"/>
      <c r="AO886" s="253"/>
      <c r="AP886" s="253"/>
      <c r="AQ886" s="253"/>
      <c r="AR886" s="253"/>
      <c r="AS886" s="253"/>
      <c r="AT886" s="2"/>
      <c r="AU886" s="2"/>
      <c r="AV886" s="2"/>
      <c r="AW886" s="2"/>
      <c r="AX886" s="2"/>
      <c r="AY886" s="253"/>
    </row>
    <row r="887" ht="15.75" customHeight="1">
      <c r="A887" s="2"/>
      <c r="B887" s="288" t="str">
        <f>Controle!B887</f>
        <v/>
      </c>
      <c r="C887" s="233" t="str">
        <f>Controle!C887</f>
        <v/>
      </c>
      <c r="D887" s="289" t="str">
        <f>Controle!D887</f>
        <v/>
      </c>
      <c r="E887" s="290"/>
      <c r="F887" s="291" t="str">
        <f>Controle!F887</f>
        <v/>
      </c>
      <c r="G887" s="289" t="str">
        <f>Controle!G887</f>
        <v/>
      </c>
      <c r="H887" s="290"/>
      <c r="I887" s="291" t="str">
        <f>Controle!I887</f>
        <v/>
      </c>
      <c r="J887" s="233" t="str">
        <f>Controle!J887</f>
        <v/>
      </c>
      <c r="K887" s="292"/>
      <c r="L887" s="233" t="str">
        <f>Controle!L887</f>
        <v/>
      </c>
      <c r="M887" s="233" t="str">
        <f>Controle!M887</f>
        <v/>
      </c>
      <c r="N887" s="235" t="str">
        <f>Controle!N887</f>
        <v/>
      </c>
      <c r="O887" s="235" t="str">
        <f>Controle!O887</f>
        <v/>
      </c>
      <c r="P887" s="235" t="str">
        <f>Controle!P887</f>
        <v/>
      </c>
      <c r="Q887" s="235" t="str">
        <f>Controle!Q887</f>
        <v/>
      </c>
      <c r="R887" s="286" t="str">
        <f>Controle!R887</f>
        <v/>
      </c>
      <c r="S887" s="286"/>
      <c r="T887" s="286"/>
      <c r="U887" s="286"/>
      <c r="V887" s="286"/>
      <c r="W887" s="286"/>
      <c r="X887" s="286"/>
      <c r="Y887" s="286"/>
      <c r="Z887" s="286"/>
      <c r="AA887" s="294"/>
      <c r="AB887" s="253"/>
      <c r="AC887" s="253"/>
      <c r="AD887" s="253"/>
      <c r="AE887" s="253"/>
      <c r="AF887" s="253"/>
      <c r="AG887" s="253"/>
      <c r="AH887" s="253"/>
      <c r="AI887" s="253"/>
      <c r="AJ887" s="253"/>
      <c r="AK887" s="253"/>
      <c r="AL887" s="253"/>
      <c r="AM887" s="253"/>
      <c r="AN887" s="253"/>
      <c r="AO887" s="253"/>
      <c r="AP887" s="253"/>
      <c r="AQ887" s="253"/>
      <c r="AR887" s="253"/>
      <c r="AS887" s="253"/>
      <c r="AT887" s="2"/>
      <c r="AU887" s="2"/>
      <c r="AV887" s="2"/>
      <c r="AW887" s="2"/>
      <c r="AX887" s="2"/>
      <c r="AY887" s="253"/>
    </row>
    <row r="888" ht="15.75" customHeight="1">
      <c r="A888" s="2"/>
      <c r="B888" s="288" t="str">
        <f>Controle!B888</f>
        <v/>
      </c>
      <c r="C888" s="233" t="str">
        <f>Controle!C888</f>
        <v/>
      </c>
      <c r="D888" s="289" t="str">
        <f>Controle!D888</f>
        <v/>
      </c>
      <c r="E888" s="290"/>
      <c r="F888" s="291" t="str">
        <f>Controle!F888</f>
        <v/>
      </c>
      <c r="G888" s="289" t="str">
        <f>Controle!G888</f>
        <v/>
      </c>
      <c r="H888" s="290"/>
      <c r="I888" s="291" t="str">
        <f>Controle!I888</f>
        <v/>
      </c>
      <c r="J888" s="233" t="str">
        <f>Controle!J888</f>
        <v/>
      </c>
      <c r="K888" s="292"/>
      <c r="L888" s="233" t="str">
        <f>Controle!L888</f>
        <v/>
      </c>
      <c r="M888" s="233" t="str">
        <f>Controle!M888</f>
        <v/>
      </c>
      <c r="N888" s="235" t="str">
        <f>Controle!N888</f>
        <v/>
      </c>
      <c r="O888" s="235" t="str">
        <f>Controle!O888</f>
        <v/>
      </c>
      <c r="P888" s="235" t="str">
        <f>Controle!P888</f>
        <v/>
      </c>
      <c r="Q888" s="235" t="str">
        <f>Controle!Q888</f>
        <v/>
      </c>
      <c r="R888" s="286" t="str">
        <f>Controle!R888</f>
        <v/>
      </c>
      <c r="S888" s="286"/>
      <c r="T888" s="286"/>
      <c r="U888" s="286"/>
      <c r="V888" s="286"/>
      <c r="W888" s="286"/>
      <c r="X888" s="286"/>
      <c r="Y888" s="286"/>
      <c r="Z888" s="286"/>
      <c r="AA888" s="294"/>
      <c r="AB888" s="253"/>
      <c r="AC888" s="253"/>
      <c r="AD888" s="253"/>
      <c r="AE888" s="253"/>
      <c r="AF888" s="253"/>
      <c r="AG888" s="253"/>
      <c r="AH888" s="253"/>
      <c r="AI888" s="253"/>
      <c r="AJ888" s="253"/>
      <c r="AK888" s="253"/>
      <c r="AL888" s="253"/>
      <c r="AM888" s="253"/>
      <c r="AN888" s="253"/>
      <c r="AO888" s="253"/>
      <c r="AP888" s="253"/>
      <c r="AQ888" s="253"/>
      <c r="AR888" s="253"/>
      <c r="AS888" s="253"/>
      <c r="AT888" s="2"/>
      <c r="AU888" s="2"/>
      <c r="AV888" s="2"/>
      <c r="AW888" s="2"/>
      <c r="AX888" s="2"/>
      <c r="AY888" s="253"/>
    </row>
    <row r="889" ht="15.75" customHeight="1">
      <c r="A889" s="2"/>
      <c r="B889" s="288" t="str">
        <f>Controle!B889</f>
        <v/>
      </c>
      <c r="C889" s="233" t="str">
        <f>Controle!C889</f>
        <v/>
      </c>
      <c r="D889" s="289" t="str">
        <f>Controle!D889</f>
        <v/>
      </c>
      <c r="E889" s="290"/>
      <c r="F889" s="291" t="str">
        <f>Controle!F889</f>
        <v/>
      </c>
      <c r="G889" s="289" t="str">
        <f>Controle!G889</f>
        <v/>
      </c>
      <c r="H889" s="290"/>
      <c r="I889" s="291" t="str">
        <f>Controle!I889</f>
        <v/>
      </c>
      <c r="J889" s="233" t="str">
        <f>Controle!J889</f>
        <v/>
      </c>
      <c r="K889" s="292"/>
      <c r="L889" s="233" t="str">
        <f>Controle!L889</f>
        <v/>
      </c>
      <c r="M889" s="233" t="str">
        <f>Controle!M889</f>
        <v/>
      </c>
      <c r="N889" s="235" t="str">
        <f>Controle!N889</f>
        <v/>
      </c>
      <c r="O889" s="235" t="str">
        <f>Controle!O889</f>
        <v/>
      </c>
      <c r="P889" s="235" t="str">
        <f>Controle!P889</f>
        <v/>
      </c>
      <c r="Q889" s="235" t="str">
        <f>Controle!Q889</f>
        <v/>
      </c>
      <c r="R889" s="286" t="str">
        <f>Controle!R889</f>
        <v/>
      </c>
      <c r="S889" s="286"/>
      <c r="T889" s="286"/>
      <c r="U889" s="286"/>
      <c r="V889" s="286"/>
      <c r="W889" s="286"/>
      <c r="X889" s="286"/>
      <c r="Y889" s="286"/>
      <c r="Z889" s="286"/>
      <c r="AA889" s="294"/>
      <c r="AB889" s="253"/>
      <c r="AC889" s="253"/>
      <c r="AD889" s="253"/>
      <c r="AE889" s="253"/>
      <c r="AF889" s="253"/>
      <c r="AG889" s="253"/>
      <c r="AH889" s="253"/>
      <c r="AI889" s="253"/>
      <c r="AJ889" s="253"/>
      <c r="AK889" s="253"/>
      <c r="AL889" s="253"/>
      <c r="AM889" s="253"/>
      <c r="AN889" s="253"/>
      <c r="AO889" s="253"/>
      <c r="AP889" s="253"/>
      <c r="AQ889" s="253"/>
      <c r="AR889" s="253"/>
      <c r="AS889" s="253"/>
      <c r="AT889" s="2"/>
      <c r="AU889" s="2"/>
      <c r="AV889" s="2"/>
      <c r="AW889" s="2"/>
      <c r="AX889" s="2"/>
      <c r="AY889" s="253"/>
    </row>
    <row r="890" ht="15.75" customHeight="1">
      <c r="A890" s="2"/>
      <c r="B890" s="288" t="str">
        <f>Controle!B890</f>
        <v/>
      </c>
      <c r="C890" s="233" t="str">
        <f>Controle!C890</f>
        <v/>
      </c>
      <c r="D890" s="289" t="str">
        <f>Controle!D890</f>
        <v/>
      </c>
      <c r="E890" s="290"/>
      <c r="F890" s="291" t="str">
        <f>Controle!F890</f>
        <v/>
      </c>
      <c r="G890" s="289" t="str">
        <f>Controle!G890</f>
        <v/>
      </c>
      <c r="H890" s="290"/>
      <c r="I890" s="291" t="str">
        <f>Controle!I890</f>
        <v/>
      </c>
      <c r="J890" s="233" t="str">
        <f>Controle!J890</f>
        <v/>
      </c>
      <c r="K890" s="292"/>
      <c r="L890" s="233" t="str">
        <f>Controle!L890</f>
        <v/>
      </c>
      <c r="M890" s="233" t="str">
        <f>Controle!M890</f>
        <v/>
      </c>
      <c r="N890" s="235" t="str">
        <f>Controle!N890</f>
        <v/>
      </c>
      <c r="O890" s="235" t="str">
        <f>Controle!O890</f>
        <v/>
      </c>
      <c r="P890" s="235" t="str">
        <f>Controle!P890</f>
        <v/>
      </c>
      <c r="Q890" s="235" t="str">
        <f>Controle!Q890</f>
        <v/>
      </c>
      <c r="R890" s="286" t="str">
        <f>Controle!R890</f>
        <v/>
      </c>
      <c r="S890" s="286"/>
      <c r="T890" s="286"/>
      <c r="U890" s="286"/>
      <c r="V890" s="286"/>
      <c r="W890" s="286"/>
      <c r="X890" s="286"/>
      <c r="Y890" s="286"/>
      <c r="Z890" s="286"/>
      <c r="AA890" s="294"/>
      <c r="AB890" s="253"/>
      <c r="AC890" s="253"/>
      <c r="AD890" s="253"/>
      <c r="AE890" s="253"/>
      <c r="AF890" s="253"/>
      <c r="AG890" s="253"/>
      <c r="AH890" s="253"/>
      <c r="AI890" s="253"/>
      <c r="AJ890" s="253"/>
      <c r="AK890" s="253"/>
      <c r="AL890" s="253"/>
      <c r="AM890" s="253"/>
      <c r="AN890" s="253"/>
      <c r="AO890" s="253"/>
      <c r="AP890" s="253"/>
      <c r="AQ890" s="253"/>
      <c r="AR890" s="253"/>
      <c r="AS890" s="253"/>
      <c r="AT890" s="2"/>
      <c r="AU890" s="2"/>
      <c r="AV890" s="2"/>
      <c r="AW890" s="2"/>
      <c r="AX890" s="2"/>
      <c r="AY890" s="253"/>
    </row>
    <row r="891" ht="15.75" customHeight="1">
      <c r="A891" s="2"/>
      <c r="B891" s="288" t="str">
        <f>Controle!B891</f>
        <v/>
      </c>
      <c r="C891" s="233" t="str">
        <f>Controle!C891</f>
        <v/>
      </c>
      <c r="D891" s="289" t="str">
        <f>Controle!D891</f>
        <v/>
      </c>
      <c r="E891" s="290"/>
      <c r="F891" s="291" t="str">
        <f>Controle!F891</f>
        <v/>
      </c>
      <c r="G891" s="289" t="str">
        <f>Controle!G891</f>
        <v/>
      </c>
      <c r="H891" s="290"/>
      <c r="I891" s="291" t="str">
        <f>Controle!I891</f>
        <v/>
      </c>
      <c r="J891" s="233" t="str">
        <f>Controle!J891</f>
        <v/>
      </c>
      <c r="K891" s="292"/>
      <c r="L891" s="233" t="str">
        <f>Controle!L891</f>
        <v/>
      </c>
      <c r="M891" s="233" t="str">
        <f>Controle!M891</f>
        <v/>
      </c>
      <c r="N891" s="235" t="str">
        <f>Controle!N891</f>
        <v/>
      </c>
      <c r="O891" s="235" t="str">
        <f>Controle!O891</f>
        <v/>
      </c>
      <c r="P891" s="235" t="str">
        <f>Controle!P891</f>
        <v/>
      </c>
      <c r="Q891" s="235" t="str">
        <f>Controle!Q891</f>
        <v/>
      </c>
      <c r="R891" s="286" t="str">
        <f>Controle!R891</f>
        <v/>
      </c>
      <c r="S891" s="286"/>
      <c r="T891" s="286"/>
      <c r="U891" s="286"/>
      <c r="V891" s="286"/>
      <c r="W891" s="286"/>
      <c r="X891" s="286"/>
      <c r="Y891" s="286"/>
      <c r="Z891" s="286"/>
      <c r="AA891" s="294"/>
      <c r="AB891" s="253"/>
      <c r="AC891" s="253"/>
      <c r="AD891" s="253"/>
      <c r="AE891" s="253"/>
      <c r="AF891" s="253"/>
      <c r="AG891" s="253"/>
      <c r="AH891" s="253"/>
      <c r="AI891" s="253"/>
      <c r="AJ891" s="253"/>
      <c r="AK891" s="253"/>
      <c r="AL891" s="253"/>
      <c r="AM891" s="253"/>
      <c r="AN891" s="253"/>
      <c r="AO891" s="253"/>
      <c r="AP891" s="253"/>
      <c r="AQ891" s="253"/>
      <c r="AR891" s="253"/>
      <c r="AS891" s="253"/>
      <c r="AT891" s="2"/>
      <c r="AU891" s="2"/>
      <c r="AV891" s="2"/>
      <c r="AW891" s="2"/>
      <c r="AX891" s="2"/>
      <c r="AY891" s="253"/>
    </row>
    <row r="892" ht="15.75" customHeight="1">
      <c r="A892" s="2"/>
      <c r="B892" s="288" t="str">
        <f>Controle!B892</f>
        <v/>
      </c>
      <c r="C892" s="233" t="str">
        <f>Controle!C892</f>
        <v/>
      </c>
      <c r="D892" s="289" t="str">
        <f>Controle!D892</f>
        <v/>
      </c>
      <c r="E892" s="290"/>
      <c r="F892" s="291" t="str">
        <f>Controle!F892</f>
        <v/>
      </c>
      <c r="G892" s="289" t="str">
        <f>Controle!G892</f>
        <v/>
      </c>
      <c r="H892" s="290"/>
      <c r="I892" s="291" t="str">
        <f>Controle!I892</f>
        <v/>
      </c>
      <c r="J892" s="233" t="str">
        <f>Controle!J892</f>
        <v/>
      </c>
      <c r="K892" s="292"/>
      <c r="L892" s="233" t="str">
        <f>Controle!L892</f>
        <v/>
      </c>
      <c r="M892" s="233" t="str">
        <f>Controle!M892</f>
        <v/>
      </c>
      <c r="N892" s="235" t="str">
        <f>Controle!N892</f>
        <v/>
      </c>
      <c r="O892" s="235" t="str">
        <f>Controle!O892</f>
        <v/>
      </c>
      <c r="P892" s="235" t="str">
        <f>Controle!P892</f>
        <v/>
      </c>
      <c r="Q892" s="235" t="str">
        <f>Controle!Q892</f>
        <v/>
      </c>
      <c r="R892" s="286" t="str">
        <f>Controle!R892</f>
        <v/>
      </c>
      <c r="S892" s="286"/>
      <c r="T892" s="286"/>
      <c r="U892" s="286"/>
      <c r="V892" s="286"/>
      <c r="W892" s="286"/>
      <c r="X892" s="286"/>
      <c r="Y892" s="286"/>
      <c r="Z892" s="286"/>
      <c r="AA892" s="294"/>
      <c r="AB892" s="253"/>
      <c r="AC892" s="253"/>
      <c r="AD892" s="253"/>
      <c r="AE892" s="253"/>
      <c r="AF892" s="253"/>
      <c r="AG892" s="253"/>
      <c r="AH892" s="253"/>
      <c r="AI892" s="253"/>
      <c r="AJ892" s="253"/>
      <c r="AK892" s="253"/>
      <c r="AL892" s="253"/>
      <c r="AM892" s="253"/>
      <c r="AN892" s="253"/>
      <c r="AO892" s="253"/>
      <c r="AP892" s="253"/>
      <c r="AQ892" s="253"/>
      <c r="AR892" s="253"/>
      <c r="AS892" s="253"/>
      <c r="AT892" s="2"/>
      <c r="AU892" s="2"/>
      <c r="AV892" s="2"/>
      <c r="AW892" s="2"/>
      <c r="AX892" s="2"/>
      <c r="AY892" s="253"/>
    </row>
    <row r="893" ht="15.75" customHeight="1">
      <c r="A893" s="2"/>
      <c r="B893" s="288" t="str">
        <f>Controle!B893</f>
        <v/>
      </c>
      <c r="C893" s="233" t="str">
        <f>Controle!C893</f>
        <v/>
      </c>
      <c r="D893" s="289" t="str">
        <f>Controle!D893</f>
        <v/>
      </c>
      <c r="E893" s="290"/>
      <c r="F893" s="291" t="str">
        <f>Controle!F893</f>
        <v/>
      </c>
      <c r="G893" s="289" t="str">
        <f>Controle!G893</f>
        <v/>
      </c>
      <c r="H893" s="290"/>
      <c r="I893" s="291" t="str">
        <f>Controle!I893</f>
        <v/>
      </c>
      <c r="J893" s="233" t="str">
        <f>Controle!J893</f>
        <v/>
      </c>
      <c r="K893" s="292"/>
      <c r="L893" s="233" t="str">
        <f>Controle!L893</f>
        <v/>
      </c>
      <c r="M893" s="233" t="str">
        <f>Controle!M893</f>
        <v/>
      </c>
      <c r="N893" s="235" t="str">
        <f>Controle!N893</f>
        <v/>
      </c>
      <c r="O893" s="235" t="str">
        <f>Controle!O893</f>
        <v/>
      </c>
      <c r="P893" s="235" t="str">
        <f>Controle!P893</f>
        <v/>
      </c>
      <c r="Q893" s="235" t="str">
        <f>Controle!Q893</f>
        <v/>
      </c>
      <c r="R893" s="286" t="str">
        <f>Controle!R893</f>
        <v/>
      </c>
      <c r="S893" s="286"/>
      <c r="T893" s="286"/>
      <c r="U893" s="286"/>
      <c r="V893" s="286"/>
      <c r="W893" s="286"/>
      <c r="X893" s="286"/>
      <c r="Y893" s="286"/>
      <c r="Z893" s="286"/>
      <c r="AA893" s="294"/>
      <c r="AB893" s="253"/>
      <c r="AC893" s="253"/>
      <c r="AD893" s="253"/>
      <c r="AE893" s="253"/>
      <c r="AF893" s="253"/>
      <c r="AG893" s="253"/>
      <c r="AH893" s="253"/>
      <c r="AI893" s="253"/>
      <c r="AJ893" s="253"/>
      <c r="AK893" s="253"/>
      <c r="AL893" s="253"/>
      <c r="AM893" s="253"/>
      <c r="AN893" s="253"/>
      <c r="AO893" s="253"/>
      <c r="AP893" s="253"/>
      <c r="AQ893" s="253"/>
      <c r="AR893" s="253"/>
      <c r="AS893" s="253"/>
      <c r="AT893" s="2"/>
      <c r="AU893" s="2"/>
      <c r="AV893" s="2"/>
      <c r="AW893" s="2"/>
      <c r="AX893" s="2"/>
      <c r="AY893" s="253"/>
    </row>
    <row r="894" ht="15.75" customHeight="1">
      <c r="A894" s="2"/>
      <c r="B894" s="288" t="str">
        <f>Controle!B894</f>
        <v/>
      </c>
      <c r="C894" s="233" t="str">
        <f>Controle!C894</f>
        <v/>
      </c>
      <c r="D894" s="289" t="str">
        <f>Controle!D894</f>
        <v/>
      </c>
      <c r="E894" s="290"/>
      <c r="F894" s="291" t="str">
        <f>Controle!F894</f>
        <v/>
      </c>
      <c r="G894" s="289" t="str">
        <f>Controle!G894</f>
        <v/>
      </c>
      <c r="H894" s="290"/>
      <c r="I894" s="291" t="str">
        <f>Controle!I894</f>
        <v/>
      </c>
      <c r="J894" s="233" t="str">
        <f>Controle!J894</f>
        <v/>
      </c>
      <c r="K894" s="292"/>
      <c r="L894" s="233" t="str">
        <f>Controle!L894</f>
        <v/>
      </c>
      <c r="M894" s="233" t="str">
        <f>Controle!M894</f>
        <v/>
      </c>
      <c r="N894" s="235" t="str">
        <f>Controle!N894</f>
        <v/>
      </c>
      <c r="O894" s="235" t="str">
        <f>Controle!O894</f>
        <v/>
      </c>
      <c r="P894" s="235" t="str">
        <f>Controle!P894</f>
        <v/>
      </c>
      <c r="Q894" s="235" t="str">
        <f>Controle!Q894</f>
        <v/>
      </c>
      <c r="R894" s="286" t="str">
        <f>Controle!R894</f>
        <v/>
      </c>
      <c r="S894" s="286"/>
      <c r="T894" s="286"/>
      <c r="U894" s="286"/>
      <c r="V894" s="286"/>
      <c r="W894" s="286"/>
      <c r="X894" s="286"/>
      <c r="Y894" s="286"/>
      <c r="Z894" s="286"/>
      <c r="AA894" s="294"/>
      <c r="AB894" s="253"/>
      <c r="AC894" s="253"/>
      <c r="AD894" s="253"/>
      <c r="AE894" s="253"/>
      <c r="AF894" s="253"/>
      <c r="AG894" s="253"/>
      <c r="AH894" s="253"/>
      <c r="AI894" s="253"/>
      <c r="AJ894" s="253"/>
      <c r="AK894" s="253"/>
      <c r="AL894" s="253"/>
      <c r="AM894" s="253"/>
      <c r="AN894" s="253"/>
      <c r="AO894" s="253"/>
      <c r="AP894" s="253"/>
      <c r="AQ894" s="253"/>
      <c r="AR894" s="253"/>
      <c r="AS894" s="253"/>
      <c r="AT894" s="2"/>
      <c r="AU894" s="2"/>
      <c r="AV894" s="2"/>
      <c r="AW894" s="2"/>
      <c r="AX894" s="2"/>
      <c r="AY894" s="253"/>
    </row>
    <row r="895" ht="15.75" customHeight="1">
      <c r="A895" s="2"/>
      <c r="B895" s="288" t="str">
        <f>Controle!B895</f>
        <v/>
      </c>
      <c r="C895" s="233" t="str">
        <f>Controle!C895</f>
        <v/>
      </c>
      <c r="D895" s="289" t="str">
        <f>Controle!D895</f>
        <v/>
      </c>
      <c r="E895" s="290"/>
      <c r="F895" s="291" t="str">
        <f>Controle!F895</f>
        <v/>
      </c>
      <c r="G895" s="289" t="str">
        <f>Controle!G895</f>
        <v/>
      </c>
      <c r="H895" s="290"/>
      <c r="I895" s="291" t="str">
        <f>Controle!I895</f>
        <v/>
      </c>
      <c r="J895" s="233" t="str">
        <f>Controle!J895</f>
        <v/>
      </c>
      <c r="K895" s="292"/>
      <c r="L895" s="233" t="str">
        <f>Controle!L895</f>
        <v/>
      </c>
      <c r="M895" s="233" t="str">
        <f>Controle!M895</f>
        <v/>
      </c>
      <c r="N895" s="235" t="str">
        <f>Controle!N895</f>
        <v/>
      </c>
      <c r="O895" s="235" t="str">
        <f>Controle!O895</f>
        <v/>
      </c>
      <c r="P895" s="235" t="str">
        <f>Controle!P895</f>
        <v/>
      </c>
      <c r="Q895" s="235" t="str">
        <f>Controle!Q895</f>
        <v/>
      </c>
      <c r="R895" s="286" t="str">
        <f>Controle!R895</f>
        <v/>
      </c>
      <c r="S895" s="286"/>
      <c r="T895" s="286"/>
      <c r="U895" s="286"/>
      <c r="V895" s="286"/>
      <c r="W895" s="286"/>
      <c r="X895" s="286"/>
      <c r="Y895" s="286"/>
      <c r="Z895" s="286"/>
      <c r="AA895" s="294"/>
      <c r="AB895" s="253"/>
      <c r="AC895" s="253"/>
      <c r="AD895" s="253"/>
      <c r="AE895" s="253"/>
      <c r="AF895" s="253"/>
      <c r="AG895" s="253"/>
      <c r="AH895" s="253"/>
      <c r="AI895" s="253"/>
      <c r="AJ895" s="253"/>
      <c r="AK895" s="253"/>
      <c r="AL895" s="253"/>
      <c r="AM895" s="253"/>
      <c r="AN895" s="253"/>
      <c r="AO895" s="253"/>
      <c r="AP895" s="253"/>
      <c r="AQ895" s="253"/>
      <c r="AR895" s="253"/>
      <c r="AS895" s="253"/>
      <c r="AT895" s="2"/>
      <c r="AU895" s="2"/>
      <c r="AV895" s="2"/>
      <c r="AW895" s="2"/>
      <c r="AX895" s="2"/>
      <c r="AY895" s="253"/>
    </row>
    <row r="896" ht="15.75" customHeight="1">
      <c r="A896" s="2"/>
      <c r="B896" s="288" t="str">
        <f>Controle!B896</f>
        <v/>
      </c>
      <c r="C896" s="233" t="str">
        <f>Controle!C896</f>
        <v/>
      </c>
      <c r="D896" s="289" t="str">
        <f>Controle!D896</f>
        <v/>
      </c>
      <c r="E896" s="290"/>
      <c r="F896" s="291" t="str">
        <f>Controle!F896</f>
        <v/>
      </c>
      <c r="G896" s="289" t="str">
        <f>Controle!G896</f>
        <v/>
      </c>
      <c r="H896" s="290"/>
      <c r="I896" s="291" t="str">
        <f>Controle!I896</f>
        <v/>
      </c>
      <c r="J896" s="233" t="str">
        <f>Controle!J896</f>
        <v/>
      </c>
      <c r="K896" s="292"/>
      <c r="L896" s="233" t="str">
        <f>Controle!L896</f>
        <v/>
      </c>
      <c r="M896" s="233" t="str">
        <f>Controle!M896</f>
        <v/>
      </c>
      <c r="N896" s="235" t="str">
        <f>Controle!N896</f>
        <v/>
      </c>
      <c r="O896" s="235" t="str">
        <f>Controle!O896</f>
        <v/>
      </c>
      <c r="P896" s="235" t="str">
        <f>Controle!P896</f>
        <v/>
      </c>
      <c r="Q896" s="235" t="str">
        <f>Controle!Q896</f>
        <v/>
      </c>
      <c r="R896" s="286" t="str">
        <f>Controle!R896</f>
        <v/>
      </c>
      <c r="S896" s="286"/>
      <c r="T896" s="286"/>
      <c r="U896" s="286"/>
      <c r="V896" s="286"/>
      <c r="W896" s="286"/>
      <c r="X896" s="286"/>
      <c r="Y896" s="286"/>
      <c r="Z896" s="286"/>
      <c r="AA896" s="294"/>
      <c r="AB896" s="253"/>
      <c r="AC896" s="253"/>
      <c r="AD896" s="253"/>
      <c r="AE896" s="253"/>
      <c r="AF896" s="253"/>
      <c r="AG896" s="253"/>
      <c r="AH896" s="253"/>
      <c r="AI896" s="253"/>
      <c r="AJ896" s="253"/>
      <c r="AK896" s="253"/>
      <c r="AL896" s="253"/>
      <c r="AM896" s="253"/>
      <c r="AN896" s="253"/>
      <c r="AO896" s="253"/>
      <c r="AP896" s="253"/>
      <c r="AQ896" s="253"/>
      <c r="AR896" s="253"/>
      <c r="AS896" s="253"/>
      <c r="AT896" s="2"/>
      <c r="AU896" s="2"/>
      <c r="AV896" s="2"/>
      <c r="AW896" s="2"/>
      <c r="AX896" s="2"/>
      <c r="AY896" s="253"/>
    </row>
    <row r="897" ht="15.75" customHeight="1">
      <c r="A897" s="2"/>
      <c r="B897" s="288" t="str">
        <f>Controle!B897</f>
        <v/>
      </c>
      <c r="C897" s="233" t="str">
        <f>Controle!C897</f>
        <v/>
      </c>
      <c r="D897" s="289" t="str">
        <f>Controle!D897</f>
        <v/>
      </c>
      <c r="E897" s="290"/>
      <c r="F897" s="291" t="str">
        <f>Controle!F897</f>
        <v/>
      </c>
      <c r="G897" s="289" t="str">
        <f>Controle!G897</f>
        <v/>
      </c>
      <c r="H897" s="290"/>
      <c r="I897" s="291" t="str">
        <f>Controle!I897</f>
        <v/>
      </c>
      <c r="J897" s="233" t="str">
        <f>Controle!J897</f>
        <v/>
      </c>
      <c r="K897" s="292"/>
      <c r="L897" s="233" t="str">
        <f>Controle!L897</f>
        <v/>
      </c>
      <c r="M897" s="233" t="str">
        <f>Controle!M897</f>
        <v/>
      </c>
      <c r="N897" s="235" t="str">
        <f>Controle!N897</f>
        <v/>
      </c>
      <c r="O897" s="235" t="str">
        <f>Controle!O897</f>
        <v/>
      </c>
      <c r="P897" s="235" t="str">
        <f>Controle!P897</f>
        <v/>
      </c>
      <c r="Q897" s="235" t="str">
        <f>Controle!Q897</f>
        <v/>
      </c>
      <c r="R897" s="286" t="str">
        <f>Controle!R897</f>
        <v/>
      </c>
      <c r="S897" s="286"/>
      <c r="T897" s="286"/>
      <c r="U897" s="286"/>
      <c r="V897" s="286"/>
      <c r="W897" s="286"/>
      <c r="X897" s="286"/>
      <c r="Y897" s="286"/>
      <c r="Z897" s="286"/>
      <c r="AA897" s="294"/>
      <c r="AB897" s="253"/>
      <c r="AC897" s="253"/>
      <c r="AD897" s="253"/>
      <c r="AE897" s="253"/>
      <c r="AF897" s="253"/>
      <c r="AG897" s="253"/>
      <c r="AH897" s="253"/>
      <c r="AI897" s="253"/>
      <c r="AJ897" s="253"/>
      <c r="AK897" s="253"/>
      <c r="AL897" s="253"/>
      <c r="AM897" s="253"/>
      <c r="AN897" s="253"/>
      <c r="AO897" s="253"/>
      <c r="AP897" s="253"/>
      <c r="AQ897" s="253"/>
      <c r="AR897" s="253"/>
      <c r="AS897" s="253"/>
      <c r="AT897" s="2"/>
      <c r="AU897" s="2"/>
      <c r="AV897" s="2"/>
      <c r="AW897" s="2"/>
      <c r="AX897" s="2"/>
      <c r="AY897" s="253"/>
    </row>
    <row r="898" ht="15.75" customHeight="1">
      <c r="A898" s="2"/>
      <c r="B898" s="288" t="str">
        <f>Controle!B898</f>
        <v/>
      </c>
      <c r="C898" s="233" t="str">
        <f>Controle!C898</f>
        <v/>
      </c>
      <c r="D898" s="289" t="str">
        <f>Controle!D898</f>
        <v/>
      </c>
      <c r="E898" s="290"/>
      <c r="F898" s="291" t="str">
        <f>Controle!F898</f>
        <v/>
      </c>
      <c r="G898" s="289" t="str">
        <f>Controle!G898</f>
        <v/>
      </c>
      <c r="H898" s="290"/>
      <c r="I898" s="291" t="str">
        <f>Controle!I898</f>
        <v/>
      </c>
      <c r="J898" s="233" t="str">
        <f>Controle!J898</f>
        <v/>
      </c>
      <c r="K898" s="292"/>
      <c r="L898" s="233" t="str">
        <f>Controle!L898</f>
        <v/>
      </c>
      <c r="M898" s="233" t="str">
        <f>Controle!M898</f>
        <v/>
      </c>
      <c r="N898" s="235" t="str">
        <f>Controle!N898</f>
        <v/>
      </c>
      <c r="O898" s="235" t="str">
        <f>Controle!O898</f>
        <v/>
      </c>
      <c r="P898" s="235" t="str">
        <f>Controle!P898</f>
        <v/>
      </c>
      <c r="Q898" s="235" t="str">
        <f>Controle!Q898</f>
        <v/>
      </c>
      <c r="R898" s="286" t="str">
        <f>Controle!R898</f>
        <v/>
      </c>
      <c r="S898" s="286"/>
      <c r="T898" s="286"/>
      <c r="U898" s="286"/>
      <c r="V898" s="286"/>
      <c r="W898" s="286"/>
      <c r="X898" s="286"/>
      <c r="Y898" s="286"/>
      <c r="Z898" s="286"/>
      <c r="AA898" s="294"/>
      <c r="AB898" s="253"/>
      <c r="AC898" s="253"/>
      <c r="AD898" s="253"/>
      <c r="AE898" s="253"/>
      <c r="AF898" s="253"/>
      <c r="AG898" s="253"/>
      <c r="AH898" s="253"/>
      <c r="AI898" s="253"/>
      <c r="AJ898" s="253"/>
      <c r="AK898" s="253"/>
      <c r="AL898" s="253"/>
      <c r="AM898" s="253"/>
      <c r="AN898" s="253"/>
      <c r="AO898" s="253"/>
      <c r="AP898" s="253"/>
      <c r="AQ898" s="253"/>
      <c r="AR898" s="253"/>
      <c r="AS898" s="253"/>
      <c r="AT898" s="2"/>
      <c r="AU898" s="2"/>
      <c r="AV898" s="2"/>
      <c r="AW898" s="2"/>
      <c r="AX898" s="2"/>
      <c r="AY898" s="253"/>
    </row>
    <row r="899" ht="15.75" customHeight="1">
      <c r="A899" s="2"/>
      <c r="B899" s="288" t="str">
        <f>Controle!B899</f>
        <v/>
      </c>
      <c r="C899" s="233" t="str">
        <f>Controle!C899</f>
        <v/>
      </c>
      <c r="D899" s="289" t="str">
        <f>Controle!D899</f>
        <v/>
      </c>
      <c r="E899" s="290"/>
      <c r="F899" s="291" t="str">
        <f>Controle!F899</f>
        <v/>
      </c>
      <c r="G899" s="289" t="str">
        <f>Controle!G899</f>
        <v/>
      </c>
      <c r="H899" s="290"/>
      <c r="I899" s="291" t="str">
        <f>Controle!I899</f>
        <v/>
      </c>
      <c r="J899" s="233" t="str">
        <f>Controle!J899</f>
        <v/>
      </c>
      <c r="K899" s="292"/>
      <c r="L899" s="233" t="str">
        <f>Controle!L899</f>
        <v/>
      </c>
      <c r="M899" s="233" t="str">
        <f>Controle!M899</f>
        <v/>
      </c>
      <c r="N899" s="235" t="str">
        <f>Controle!N899</f>
        <v/>
      </c>
      <c r="O899" s="235" t="str">
        <f>Controle!O899</f>
        <v/>
      </c>
      <c r="P899" s="235" t="str">
        <f>Controle!P899</f>
        <v/>
      </c>
      <c r="Q899" s="235" t="str">
        <f>Controle!Q899</f>
        <v/>
      </c>
      <c r="R899" s="286" t="str">
        <f>Controle!R899</f>
        <v/>
      </c>
      <c r="S899" s="286"/>
      <c r="T899" s="286"/>
      <c r="U899" s="286"/>
      <c r="V899" s="286"/>
      <c r="W899" s="286"/>
      <c r="X899" s="286"/>
      <c r="Y899" s="286"/>
      <c r="Z899" s="286"/>
      <c r="AA899" s="294"/>
      <c r="AB899" s="253"/>
      <c r="AC899" s="253"/>
      <c r="AD899" s="253"/>
      <c r="AE899" s="253"/>
      <c r="AF899" s="253"/>
      <c r="AG899" s="253"/>
      <c r="AH899" s="253"/>
      <c r="AI899" s="253"/>
      <c r="AJ899" s="253"/>
      <c r="AK899" s="253"/>
      <c r="AL899" s="253"/>
      <c r="AM899" s="253"/>
      <c r="AN899" s="253"/>
      <c r="AO899" s="253"/>
      <c r="AP899" s="253"/>
      <c r="AQ899" s="253"/>
      <c r="AR899" s="253"/>
      <c r="AS899" s="253"/>
      <c r="AT899" s="2"/>
      <c r="AU899" s="2"/>
      <c r="AV899" s="2"/>
      <c r="AW899" s="2"/>
      <c r="AX899" s="2"/>
      <c r="AY899" s="253"/>
    </row>
    <row r="900" ht="15.75" customHeight="1">
      <c r="A900" s="2"/>
      <c r="B900" s="288" t="str">
        <f>Controle!B900</f>
        <v/>
      </c>
      <c r="C900" s="233" t="str">
        <f>Controle!C900</f>
        <v/>
      </c>
      <c r="D900" s="289" t="str">
        <f>Controle!D900</f>
        <v/>
      </c>
      <c r="E900" s="290"/>
      <c r="F900" s="291" t="str">
        <f>Controle!F900</f>
        <v/>
      </c>
      <c r="G900" s="289" t="str">
        <f>Controle!G900</f>
        <v/>
      </c>
      <c r="H900" s="290"/>
      <c r="I900" s="291" t="str">
        <f>Controle!I900</f>
        <v/>
      </c>
      <c r="J900" s="233" t="str">
        <f>Controle!J900</f>
        <v/>
      </c>
      <c r="K900" s="292"/>
      <c r="L900" s="233" t="str">
        <f>Controle!L900</f>
        <v/>
      </c>
      <c r="M900" s="233" t="str">
        <f>Controle!M900</f>
        <v/>
      </c>
      <c r="N900" s="235" t="str">
        <f>Controle!N900</f>
        <v/>
      </c>
      <c r="O900" s="235" t="str">
        <f>Controle!O900</f>
        <v/>
      </c>
      <c r="P900" s="235" t="str">
        <f>Controle!P900</f>
        <v/>
      </c>
      <c r="Q900" s="235" t="str">
        <f>Controle!Q900</f>
        <v/>
      </c>
      <c r="R900" s="286" t="str">
        <f>Controle!R900</f>
        <v/>
      </c>
      <c r="S900" s="286"/>
      <c r="T900" s="286"/>
      <c r="U900" s="286"/>
      <c r="V900" s="286"/>
      <c r="W900" s="286"/>
      <c r="X900" s="286"/>
      <c r="Y900" s="286"/>
      <c r="Z900" s="286"/>
      <c r="AA900" s="294"/>
      <c r="AB900" s="253"/>
      <c r="AC900" s="253"/>
      <c r="AD900" s="253"/>
      <c r="AE900" s="253"/>
      <c r="AF900" s="253"/>
      <c r="AG900" s="253"/>
      <c r="AH900" s="253"/>
      <c r="AI900" s="253"/>
      <c r="AJ900" s="253"/>
      <c r="AK900" s="253"/>
      <c r="AL900" s="253"/>
      <c r="AM900" s="253"/>
      <c r="AN900" s="253"/>
      <c r="AO900" s="253"/>
      <c r="AP900" s="253"/>
      <c r="AQ900" s="253"/>
      <c r="AR900" s="253"/>
      <c r="AS900" s="253"/>
      <c r="AT900" s="2"/>
      <c r="AU900" s="2"/>
      <c r="AV900" s="2"/>
      <c r="AW900" s="2"/>
      <c r="AX900" s="2"/>
      <c r="AY900" s="253"/>
    </row>
    <row r="901" ht="15.75" customHeight="1">
      <c r="A901" s="2"/>
      <c r="B901" s="288" t="str">
        <f>Controle!B901</f>
        <v/>
      </c>
      <c r="C901" s="233" t="str">
        <f>Controle!C901</f>
        <v/>
      </c>
      <c r="D901" s="289" t="str">
        <f>Controle!D901</f>
        <v/>
      </c>
      <c r="E901" s="290"/>
      <c r="F901" s="291" t="str">
        <f>Controle!F901</f>
        <v/>
      </c>
      <c r="G901" s="289" t="str">
        <f>Controle!G901</f>
        <v/>
      </c>
      <c r="H901" s="290"/>
      <c r="I901" s="291" t="str">
        <f>Controle!I901</f>
        <v/>
      </c>
      <c r="J901" s="233" t="str">
        <f>Controle!J901</f>
        <v/>
      </c>
      <c r="K901" s="292"/>
      <c r="L901" s="233" t="str">
        <f>Controle!L901</f>
        <v/>
      </c>
      <c r="M901" s="233" t="str">
        <f>Controle!M901</f>
        <v/>
      </c>
      <c r="N901" s="235" t="str">
        <f>Controle!N901</f>
        <v/>
      </c>
      <c r="O901" s="235" t="str">
        <f>Controle!O901</f>
        <v/>
      </c>
      <c r="P901" s="235" t="str">
        <f>Controle!P901</f>
        <v/>
      </c>
      <c r="Q901" s="235" t="str">
        <f>Controle!Q901</f>
        <v/>
      </c>
      <c r="R901" s="286" t="str">
        <f>Controle!R901</f>
        <v/>
      </c>
      <c r="S901" s="286"/>
      <c r="T901" s="286"/>
      <c r="U901" s="286"/>
      <c r="V901" s="286"/>
      <c r="W901" s="286"/>
      <c r="X901" s="286"/>
      <c r="Y901" s="286"/>
      <c r="Z901" s="286"/>
      <c r="AA901" s="294"/>
      <c r="AB901" s="253"/>
      <c r="AC901" s="253"/>
      <c r="AD901" s="253"/>
      <c r="AE901" s="253"/>
      <c r="AF901" s="253"/>
      <c r="AG901" s="253"/>
      <c r="AH901" s="253"/>
      <c r="AI901" s="253"/>
      <c r="AJ901" s="253"/>
      <c r="AK901" s="253"/>
      <c r="AL901" s="253"/>
      <c r="AM901" s="253"/>
      <c r="AN901" s="253"/>
      <c r="AO901" s="253"/>
      <c r="AP901" s="253"/>
      <c r="AQ901" s="253"/>
      <c r="AR901" s="253"/>
      <c r="AS901" s="253"/>
      <c r="AT901" s="2"/>
      <c r="AU901" s="2"/>
      <c r="AV901" s="2"/>
      <c r="AW901" s="2"/>
      <c r="AX901" s="2"/>
      <c r="AY901" s="253"/>
    </row>
    <row r="902" ht="15.75" customHeight="1">
      <c r="A902" s="2"/>
      <c r="B902" s="288" t="str">
        <f>Controle!B902</f>
        <v/>
      </c>
      <c r="C902" s="233" t="str">
        <f>Controle!C902</f>
        <v/>
      </c>
      <c r="D902" s="289" t="str">
        <f>Controle!D902</f>
        <v/>
      </c>
      <c r="E902" s="290"/>
      <c r="F902" s="291" t="str">
        <f>Controle!F902</f>
        <v/>
      </c>
      <c r="G902" s="289" t="str">
        <f>Controle!G902</f>
        <v/>
      </c>
      <c r="H902" s="290"/>
      <c r="I902" s="291" t="str">
        <f>Controle!I902</f>
        <v/>
      </c>
      <c r="J902" s="233" t="str">
        <f>Controle!J902</f>
        <v/>
      </c>
      <c r="K902" s="292"/>
      <c r="L902" s="233" t="str">
        <f>Controle!L902</f>
        <v/>
      </c>
      <c r="M902" s="233" t="str">
        <f>Controle!M902</f>
        <v/>
      </c>
      <c r="N902" s="235" t="str">
        <f>Controle!N902</f>
        <v/>
      </c>
      <c r="O902" s="235" t="str">
        <f>Controle!O902</f>
        <v/>
      </c>
      <c r="P902" s="235" t="str">
        <f>Controle!P902</f>
        <v/>
      </c>
      <c r="Q902" s="235" t="str">
        <f>Controle!Q902</f>
        <v/>
      </c>
      <c r="R902" s="286" t="str">
        <f>Controle!R902</f>
        <v/>
      </c>
      <c r="S902" s="286"/>
      <c r="T902" s="286"/>
      <c r="U902" s="286"/>
      <c r="V902" s="286"/>
      <c r="W902" s="286"/>
      <c r="X902" s="286"/>
      <c r="Y902" s="286"/>
      <c r="Z902" s="286"/>
      <c r="AA902" s="294"/>
      <c r="AB902" s="253"/>
      <c r="AC902" s="253"/>
      <c r="AD902" s="253"/>
      <c r="AE902" s="253"/>
      <c r="AF902" s="253"/>
      <c r="AG902" s="253"/>
      <c r="AH902" s="253"/>
      <c r="AI902" s="253"/>
      <c r="AJ902" s="253"/>
      <c r="AK902" s="253"/>
      <c r="AL902" s="253"/>
      <c r="AM902" s="253"/>
      <c r="AN902" s="253"/>
      <c r="AO902" s="253"/>
      <c r="AP902" s="253"/>
      <c r="AQ902" s="253"/>
      <c r="AR902" s="253"/>
      <c r="AS902" s="253"/>
      <c r="AT902" s="2"/>
      <c r="AU902" s="2"/>
      <c r="AV902" s="2"/>
      <c r="AW902" s="2"/>
      <c r="AX902" s="2"/>
      <c r="AY902" s="253"/>
    </row>
    <row r="903" ht="15.75" customHeight="1">
      <c r="A903" s="2"/>
      <c r="B903" s="288" t="str">
        <f>Controle!B903</f>
        <v/>
      </c>
      <c r="C903" s="233" t="str">
        <f>Controle!C903</f>
        <v/>
      </c>
      <c r="D903" s="289" t="str">
        <f>Controle!D903</f>
        <v/>
      </c>
      <c r="E903" s="290"/>
      <c r="F903" s="291" t="str">
        <f>Controle!F903</f>
        <v/>
      </c>
      <c r="G903" s="289" t="str">
        <f>Controle!G903</f>
        <v/>
      </c>
      <c r="H903" s="290"/>
      <c r="I903" s="291" t="str">
        <f>Controle!I903</f>
        <v/>
      </c>
      <c r="J903" s="233" t="str">
        <f>Controle!J903</f>
        <v/>
      </c>
      <c r="K903" s="292"/>
      <c r="L903" s="233" t="str">
        <f>Controle!L903</f>
        <v/>
      </c>
      <c r="M903" s="233" t="str">
        <f>Controle!M903</f>
        <v/>
      </c>
      <c r="N903" s="235" t="str">
        <f>Controle!N903</f>
        <v/>
      </c>
      <c r="O903" s="235" t="str">
        <f>Controle!O903</f>
        <v/>
      </c>
      <c r="P903" s="235" t="str">
        <f>Controle!P903</f>
        <v/>
      </c>
      <c r="Q903" s="235" t="str">
        <f>Controle!Q903</f>
        <v/>
      </c>
      <c r="R903" s="286" t="str">
        <f>Controle!R903</f>
        <v/>
      </c>
      <c r="S903" s="286"/>
      <c r="T903" s="286"/>
      <c r="U903" s="286"/>
      <c r="V903" s="286"/>
      <c r="W903" s="286"/>
      <c r="X903" s="286"/>
      <c r="Y903" s="286"/>
      <c r="Z903" s="286"/>
      <c r="AA903" s="294"/>
      <c r="AB903" s="253"/>
      <c r="AC903" s="253"/>
      <c r="AD903" s="253"/>
      <c r="AE903" s="253"/>
      <c r="AF903" s="253"/>
      <c r="AG903" s="253"/>
      <c r="AH903" s="253"/>
      <c r="AI903" s="253"/>
      <c r="AJ903" s="253"/>
      <c r="AK903" s="253"/>
      <c r="AL903" s="253"/>
      <c r="AM903" s="253"/>
      <c r="AN903" s="253"/>
      <c r="AO903" s="253"/>
      <c r="AP903" s="253"/>
      <c r="AQ903" s="253"/>
      <c r="AR903" s="253"/>
      <c r="AS903" s="253"/>
      <c r="AT903" s="2"/>
      <c r="AU903" s="2"/>
      <c r="AV903" s="2"/>
      <c r="AW903" s="2"/>
      <c r="AX903" s="2"/>
      <c r="AY903" s="253"/>
    </row>
    <row r="904" ht="15.75" customHeight="1">
      <c r="A904" s="2"/>
      <c r="B904" s="288" t="str">
        <f>Controle!B904</f>
        <v/>
      </c>
      <c r="C904" s="233" t="str">
        <f>Controle!C904</f>
        <v/>
      </c>
      <c r="D904" s="289" t="str">
        <f>Controle!D904</f>
        <v/>
      </c>
      <c r="E904" s="290"/>
      <c r="F904" s="291" t="str">
        <f>Controle!F904</f>
        <v/>
      </c>
      <c r="G904" s="289" t="str">
        <f>Controle!G904</f>
        <v/>
      </c>
      <c r="H904" s="290"/>
      <c r="I904" s="291" t="str">
        <f>Controle!I904</f>
        <v/>
      </c>
      <c r="J904" s="233" t="str">
        <f>Controle!J904</f>
        <v/>
      </c>
      <c r="K904" s="292"/>
      <c r="L904" s="233" t="str">
        <f>Controle!L904</f>
        <v/>
      </c>
      <c r="M904" s="233" t="str">
        <f>Controle!M904</f>
        <v/>
      </c>
      <c r="N904" s="235" t="str">
        <f>Controle!N904</f>
        <v/>
      </c>
      <c r="O904" s="235" t="str">
        <f>Controle!O904</f>
        <v/>
      </c>
      <c r="P904" s="235" t="str">
        <f>Controle!P904</f>
        <v/>
      </c>
      <c r="Q904" s="235" t="str">
        <f>Controle!Q904</f>
        <v/>
      </c>
      <c r="R904" s="286" t="str">
        <f>Controle!R904</f>
        <v/>
      </c>
      <c r="S904" s="286"/>
      <c r="T904" s="286"/>
      <c r="U904" s="286"/>
      <c r="V904" s="286"/>
      <c r="W904" s="286"/>
      <c r="X904" s="286"/>
      <c r="Y904" s="286"/>
      <c r="Z904" s="286"/>
      <c r="AA904" s="294"/>
      <c r="AB904" s="253"/>
      <c r="AC904" s="253"/>
      <c r="AD904" s="253"/>
      <c r="AE904" s="253"/>
      <c r="AF904" s="253"/>
      <c r="AG904" s="253"/>
      <c r="AH904" s="253"/>
      <c r="AI904" s="253"/>
      <c r="AJ904" s="253"/>
      <c r="AK904" s="253"/>
      <c r="AL904" s="253"/>
      <c r="AM904" s="253"/>
      <c r="AN904" s="253"/>
      <c r="AO904" s="253"/>
      <c r="AP904" s="253"/>
      <c r="AQ904" s="253"/>
      <c r="AR904" s="253"/>
      <c r="AS904" s="253"/>
      <c r="AT904" s="2"/>
      <c r="AU904" s="2"/>
      <c r="AV904" s="2"/>
      <c r="AW904" s="2"/>
      <c r="AX904" s="2"/>
      <c r="AY904" s="253"/>
    </row>
    <row r="905" ht="15.75" customHeight="1">
      <c r="A905" s="2"/>
      <c r="B905" s="288" t="str">
        <f>Controle!B905</f>
        <v/>
      </c>
      <c r="C905" s="233" t="str">
        <f>Controle!C905</f>
        <v/>
      </c>
      <c r="D905" s="289" t="str">
        <f>Controle!D905</f>
        <v/>
      </c>
      <c r="E905" s="290"/>
      <c r="F905" s="291" t="str">
        <f>Controle!F905</f>
        <v/>
      </c>
      <c r="G905" s="289" t="str">
        <f>Controle!G905</f>
        <v/>
      </c>
      <c r="H905" s="290"/>
      <c r="I905" s="291" t="str">
        <f>Controle!I905</f>
        <v/>
      </c>
      <c r="J905" s="233" t="str">
        <f>Controle!J905</f>
        <v/>
      </c>
      <c r="K905" s="292"/>
      <c r="L905" s="233" t="str">
        <f>Controle!L905</f>
        <v/>
      </c>
      <c r="M905" s="233" t="str">
        <f>Controle!M905</f>
        <v/>
      </c>
      <c r="N905" s="235" t="str">
        <f>Controle!N905</f>
        <v/>
      </c>
      <c r="O905" s="235" t="str">
        <f>Controle!O905</f>
        <v/>
      </c>
      <c r="P905" s="235" t="str">
        <f>Controle!P905</f>
        <v/>
      </c>
      <c r="Q905" s="235" t="str">
        <f>Controle!Q905</f>
        <v/>
      </c>
      <c r="R905" s="286" t="str">
        <f>Controle!R905</f>
        <v/>
      </c>
      <c r="S905" s="286"/>
      <c r="T905" s="286"/>
      <c r="U905" s="286"/>
      <c r="V905" s="286"/>
      <c r="W905" s="286"/>
      <c r="X905" s="286"/>
      <c r="Y905" s="286"/>
      <c r="Z905" s="286"/>
      <c r="AA905" s="294"/>
      <c r="AB905" s="253"/>
      <c r="AC905" s="253"/>
      <c r="AD905" s="253"/>
      <c r="AE905" s="253"/>
      <c r="AF905" s="253"/>
      <c r="AG905" s="253"/>
      <c r="AH905" s="253"/>
      <c r="AI905" s="253"/>
      <c r="AJ905" s="253"/>
      <c r="AK905" s="253"/>
      <c r="AL905" s="253"/>
      <c r="AM905" s="253"/>
      <c r="AN905" s="253"/>
      <c r="AO905" s="253"/>
      <c r="AP905" s="253"/>
      <c r="AQ905" s="253"/>
      <c r="AR905" s="253"/>
      <c r="AS905" s="253"/>
      <c r="AT905" s="2"/>
      <c r="AU905" s="2"/>
      <c r="AV905" s="2"/>
      <c r="AW905" s="2"/>
      <c r="AX905" s="2"/>
      <c r="AY905" s="253"/>
    </row>
    <row r="906" ht="15.75" customHeight="1">
      <c r="A906" s="2"/>
      <c r="B906" s="288" t="str">
        <f>Controle!B906</f>
        <v/>
      </c>
      <c r="C906" s="233" t="str">
        <f>Controle!C906</f>
        <v/>
      </c>
      <c r="D906" s="289" t="str">
        <f>Controle!D906</f>
        <v/>
      </c>
      <c r="E906" s="290"/>
      <c r="F906" s="291" t="str">
        <f>Controle!F906</f>
        <v/>
      </c>
      <c r="G906" s="289" t="str">
        <f>Controle!G906</f>
        <v/>
      </c>
      <c r="H906" s="290"/>
      <c r="I906" s="291" t="str">
        <f>Controle!I906</f>
        <v/>
      </c>
      <c r="J906" s="233" t="str">
        <f>Controle!J906</f>
        <v/>
      </c>
      <c r="K906" s="292"/>
      <c r="L906" s="233" t="str">
        <f>Controle!L906</f>
        <v/>
      </c>
      <c r="M906" s="233" t="str">
        <f>Controle!M906</f>
        <v/>
      </c>
      <c r="N906" s="235" t="str">
        <f>Controle!N906</f>
        <v/>
      </c>
      <c r="O906" s="235" t="str">
        <f>Controle!O906</f>
        <v/>
      </c>
      <c r="P906" s="235" t="str">
        <f>Controle!P906</f>
        <v/>
      </c>
      <c r="Q906" s="235" t="str">
        <f>Controle!Q906</f>
        <v/>
      </c>
      <c r="R906" s="286" t="str">
        <f>Controle!R906</f>
        <v/>
      </c>
      <c r="S906" s="286"/>
      <c r="T906" s="286"/>
      <c r="U906" s="286"/>
      <c r="V906" s="286"/>
      <c r="W906" s="286"/>
      <c r="X906" s="286"/>
      <c r="Y906" s="286"/>
      <c r="Z906" s="286"/>
      <c r="AA906" s="294"/>
      <c r="AB906" s="253"/>
      <c r="AC906" s="253"/>
      <c r="AD906" s="253"/>
      <c r="AE906" s="253"/>
      <c r="AF906" s="253"/>
      <c r="AG906" s="253"/>
      <c r="AH906" s="253"/>
      <c r="AI906" s="253"/>
      <c r="AJ906" s="253"/>
      <c r="AK906" s="253"/>
      <c r="AL906" s="253"/>
      <c r="AM906" s="253"/>
      <c r="AN906" s="253"/>
      <c r="AO906" s="253"/>
      <c r="AP906" s="253"/>
      <c r="AQ906" s="253"/>
      <c r="AR906" s="253"/>
      <c r="AS906" s="253"/>
      <c r="AT906" s="2"/>
      <c r="AU906" s="2"/>
      <c r="AV906" s="2"/>
      <c r="AW906" s="2"/>
      <c r="AX906" s="2"/>
      <c r="AY906" s="253"/>
    </row>
    <row r="907" ht="15.75" customHeight="1">
      <c r="A907" s="2"/>
      <c r="B907" s="288" t="str">
        <f>Controle!B907</f>
        <v/>
      </c>
      <c r="C907" s="233" t="str">
        <f>Controle!C907</f>
        <v/>
      </c>
      <c r="D907" s="289" t="str">
        <f>Controle!D907</f>
        <v/>
      </c>
      <c r="E907" s="290"/>
      <c r="F907" s="291" t="str">
        <f>Controle!F907</f>
        <v/>
      </c>
      <c r="G907" s="289" t="str">
        <f>Controle!G907</f>
        <v/>
      </c>
      <c r="H907" s="290"/>
      <c r="I907" s="291" t="str">
        <f>Controle!I907</f>
        <v/>
      </c>
      <c r="J907" s="233" t="str">
        <f>Controle!J907</f>
        <v/>
      </c>
      <c r="K907" s="292"/>
      <c r="L907" s="233" t="str">
        <f>Controle!L907</f>
        <v/>
      </c>
      <c r="M907" s="233" t="str">
        <f>Controle!M907</f>
        <v/>
      </c>
      <c r="N907" s="235" t="str">
        <f>Controle!N907</f>
        <v/>
      </c>
      <c r="O907" s="235" t="str">
        <f>Controle!O907</f>
        <v/>
      </c>
      <c r="P907" s="235" t="str">
        <f>Controle!P907</f>
        <v/>
      </c>
      <c r="Q907" s="235" t="str">
        <f>Controle!Q907</f>
        <v/>
      </c>
      <c r="R907" s="286" t="str">
        <f>Controle!R907</f>
        <v/>
      </c>
      <c r="S907" s="286"/>
      <c r="T907" s="286"/>
      <c r="U907" s="286"/>
      <c r="V907" s="286"/>
      <c r="W907" s="286"/>
      <c r="X907" s="286"/>
      <c r="Y907" s="286"/>
      <c r="Z907" s="286"/>
      <c r="AA907" s="294"/>
      <c r="AB907" s="253"/>
      <c r="AC907" s="253"/>
      <c r="AD907" s="253"/>
      <c r="AE907" s="253"/>
      <c r="AF907" s="253"/>
      <c r="AG907" s="253"/>
      <c r="AH907" s="253"/>
      <c r="AI907" s="253"/>
      <c r="AJ907" s="253"/>
      <c r="AK907" s="253"/>
      <c r="AL907" s="253"/>
      <c r="AM907" s="253"/>
      <c r="AN907" s="253"/>
      <c r="AO907" s="253"/>
      <c r="AP907" s="253"/>
      <c r="AQ907" s="253"/>
      <c r="AR907" s="253"/>
      <c r="AS907" s="253"/>
      <c r="AT907" s="2"/>
      <c r="AU907" s="2"/>
      <c r="AV907" s="2"/>
      <c r="AW907" s="2"/>
      <c r="AX907" s="2"/>
      <c r="AY907" s="253"/>
    </row>
    <row r="908" ht="15.75" customHeight="1">
      <c r="A908" s="2"/>
      <c r="B908" s="288" t="str">
        <f>Controle!B908</f>
        <v/>
      </c>
      <c r="C908" s="233" t="str">
        <f>Controle!C908</f>
        <v/>
      </c>
      <c r="D908" s="289" t="str">
        <f>Controle!D908</f>
        <v/>
      </c>
      <c r="E908" s="290"/>
      <c r="F908" s="291" t="str">
        <f>Controle!F908</f>
        <v/>
      </c>
      <c r="G908" s="289" t="str">
        <f>Controle!G908</f>
        <v/>
      </c>
      <c r="H908" s="290"/>
      <c r="I908" s="291" t="str">
        <f>Controle!I908</f>
        <v/>
      </c>
      <c r="J908" s="233" t="str">
        <f>Controle!J908</f>
        <v/>
      </c>
      <c r="K908" s="292"/>
      <c r="L908" s="233" t="str">
        <f>Controle!L908</f>
        <v/>
      </c>
      <c r="M908" s="233" t="str">
        <f>Controle!M908</f>
        <v/>
      </c>
      <c r="N908" s="235" t="str">
        <f>Controle!N908</f>
        <v/>
      </c>
      <c r="O908" s="235" t="str">
        <f>Controle!O908</f>
        <v/>
      </c>
      <c r="P908" s="235" t="str">
        <f>Controle!P908</f>
        <v/>
      </c>
      <c r="Q908" s="235" t="str">
        <f>Controle!Q908</f>
        <v/>
      </c>
      <c r="R908" s="286" t="str">
        <f>Controle!R908</f>
        <v/>
      </c>
      <c r="S908" s="286"/>
      <c r="T908" s="286"/>
      <c r="U908" s="286"/>
      <c r="V908" s="286"/>
      <c r="W908" s="286"/>
      <c r="X908" s="286"/>
      <c r="Y908" s="286"/>
      <c r="Z908" s="286"/>
      <c r="AA908" s="294"/>
      <c r="AB908" s="253"/>
      <c r="AC908" s="253"/>
      <c r="AD908" s="253"/>
      <c r="AE908" s="253"/>
      <c r="AF908" s="253"/>
      <c r="AG908" s="253"/>
      <c r="AH908" s="253"/>
      <c r="AI908" s="253"/>
      <c r="AJ908" s="253"/>
      <c r="AK908" s="253"/>
      <c r="AL908" s="253"/>
      <c r="AM908" s="253"/>
      <c r="AN908" s="253"/>
      <c r="AO908" s="253"/>
      <c r="AP908" s="253"/>
      <c r="AQ908" s="253"/>
      <c r="AR908" s="253"/>
      <c r="AS908" s="253"/>
      <c r="AT908" s="2"/>
      <c r="AU908" s="2"/>
      <c r="AV908" s="2"/>
      <c r="AW908" s="2"/>
      <c r="AX908" s="2"/>
      <c r="AY908" s="253"/>
    </row>
    <row r="909" ht="15.75" customHeight="1">
      <c r="A909" s="2"/>
      <c r="B909" s="288" t="str">
        <f>Controle!B909</f>
        <v/>
      </c>
      <c r="C909" s="233" t="str">
        <f>Controle!C909</f>
        <v/>
      </c>
      <c r="D909" s="289" t="str">
        <f>Controle!D909</f>
        <v/>
      </c>
      <c r="E909" s="290"/>
      <c r="F909" s="291" t="str">
        <f>Controle!F909</f>
        <v/>
      </c>
      <c r="G909" s="289" t="str">
        <f>Controle!G909</f>
        <v/>
      </c>
      <c r="H909" s="290"/>
      <c r="I909" s="291" t="str">
        <f>Controle!I909</f>
        <v/>
      </c>
      <c r="J909" s="233" t="str">
        <f>Controle!J909</f>
        <v/>
      </c>
      <c r="K909" s="292"/>
      <c r="L909" s="233" t="str">
        <f>Controle!L909</f>
        <v/>
      </c>
      <c r="M909" s="233" t="str">
        <f>Controle!M909</f>
        <v/>
      </c>
      <c r="N909" s="235" t="str">
        <f>Controle!N909</f>
        <v/>
      </c>
      <c r="O909" s="235" t="str">
        <f>Controle!O909</f>
        <v/>
      </c>
      <c r="P909" s="235" t="str">
        <f>Controle!P909</f>
        <v/>
      </c>
      <c r="Q909" s="235" t="str">
        <f>Controle!Q909</f>
        <v/>
      </c>
      <c r="R909" s="286" t="str">
        <f>Controle!R909</f>
        <v/>
      </c>
      <c r="S909" s="286"/>
      <c r="T909" s="286"/>
      <c r="U909" s="286"/>
      <c r="V909" s="286"/>
      <c r="W909" s="286"/>
      <c r="X909" s="286"/>
      <c r="Y909" s="286"/>
      <c r="Z909" s="286"/>
      <c r="AA909" s="294"/>
      <c r="AB909" s="253"/>
      <c r="AC909" s="253"/>
      <c r="AD909" s="253"/>
      <c r="AE909" s="253"/>
      <c r="AF909" s="253"/>
      <c r="AG909" s="253"/>
      <c r="AH909" s="253"/>
      <c r="AI909" s="253"/>
      <c r="AJ909" s="253"/>
      <c r="AK909" s="253"/>
      <c r="AL909" s="253"/>
      <c r="AM909" s="253"/>
      <c r="AN909" s="253"/>
      <c r="AO909" s="253"/>
      <c r="AP909" s="253"/>
      <c r="AQ909" s="253"/>
      <c r="AR909" s="253"/>
      <c r="AS909" s="253"/>
      <c r="AT909" s="2"/>
      <c r="AU909" s="2"/>
      <c r="AV909" s="2"/>
      <c r="AW909" s="2"/>
      <c r="AX909" s="2"/>
      <c r="AY909" s="253"/>
    </row>
    <row r="910" ht="15.75" customHeight="1">
      <c r="A910" s="2"/>
      <c r="B910" s="288" t="str">
        <f>Controle!B910</f>
        <v/>
      </c>
      <c r="C910" s="233" t="str">
        <f>Controle!C910</f>
        <v/>
      </c>
      <c r="D910" s="289" t="str">
        <f>Controle!D910</f>
        <v/>
      </c>
      <c r="E910" s="290"/>
      <c r="F910" s="291" t="str">
        <f>Controle!F910</f>
        <v/>
      </c>
      <c r="G910" s="289" t="str">
        <f>Controle!G910</f>
        <v/>
      </c>
      <c r="H910" s="290"/>
      <c r="I910" s="291" t="str">
        <f>Controle!I910</f>
        <v/>
      </c>
      <c r="J910" s="233" t="str">
        <f>Controle!J910</f>
        <v/>
      </c>
      <c r="K910" s="292"/>
      <c r="L910" s="233" t="str">
        <f>Controle!L910</f>
        <v/>
      </c>
      <c r="M910" s="233" t="str">
        <f>Controle!M910</f>
        <v/>
      </c>
      <c r="N910" s="235" t="str">
        <f>Controle!N910</f>
        <v/>
      </c>
      <c r="O910" s="235" t="str">
        <f>Controle!O910</f>
        <v/>
      </c>
      <c r="P910" s="235" t="str">
        <f>Controle!P910</f>
        <v/>
      </c>
      <c r="Q910" s="235" t="str">
        <f>Controle!Q910</f>
        <v/>
      </c>
      <c r="R910" s="286" t="str">
        <f>Controle!R910</f>
        <v/>
      </c>
      <c r="S910" s="286"/>
      <c r="T910" s="286"/>
      <c r="U910" s="286"/>
      <c r="V910" s="286"/>
      <c r="W910" s="286"/>
      <c r="X910" s="286"/>
      <c r="Y910" s="286"/>
      <c r="Z910" s="286"/>
      <c r="AA910" s="294"/>
      <c r="AB910" s="253"/>
      <c r="AC910" s="253"/>
      <c r="AD910" s="253"/>
      <c r="AE910" s="253"/>
      <c r="AF910" s="253"/>
      <c r="AG910" s="253"/>
      <c r="AH910" s="253"/>
      <c r="AI910" s="253"/>
      <c r="AJ910" s="253"/>
      <c r="AK910" s="253"/>
      <c r="AL910" s="253"/>
      <c r="AM910" s="253"/>
      <c r="AN910" s="253"/>
      <c r="AO910" s="253"/>
      <c r="AP910" s="253"/>
      <c r="AQ910" s="253"/>
      <c r="AR910" s="253"/>
      <c r="AS910" s="253"/>
      <c r="AT910" s="2"/>
      <c r="AU910" s="2"/>
      <c r="AV910" s="2"/>
      <c r="AW910" s="2"/>
      <c r="AX910" s="2"/>
      <c r="AY910" s="253"/>
    </row>
    <row r="911" ht="15.75" customHeight="1">
      <c r="A911" s="2"/>
      <c r="B911" s="288" t="str">
        <f>Controle!B911</f>
        <v/>
      </c>
      <c r="C911" s="233" t="str">
        <f>Controle!C911</f>
        <v/>
      </c>
      <c r="D911" s="289" t="str">
        <f>Controle!D911</f>
        <v/>
      </c>
      <c r="E911" s="290"/>
      <c r="F911" s="291" t="str">
        <f>Controle!F911</f>
        <v/>
      </c>
      <c r="G911" s="289" t="str">
        <f>Controle!G911</f>
        <v/>
      </c>
      <c r="H911" s="290"/>
      <c r="I911" s="291" t="str">
        <f>Controle!I911</f>
        <v/>
      </c>
      <c r="J911" s="233" t="str">
        <f>Controle!J911</f>
        <v/>
      </c>
      <c r="K911" s="292"/>
      <c r="L911" s="233" t="str">
        <f>Controle!L911</f>
        <v/>
      </c>
      <c r="M911" s="233" t="str">
        <f>Controle!M911</f>
        <v/>
      </c>
      <c r="N911" s="235" t="str">
        <f>Controle!N911</f>
        <v/>
      </c>
      <c r="O911" s="235" t="str">
        <f>Controle!O911</f>
        <v/>
      </c>
      <c r="P911" s="235" t="str">
        <f>Controle!P911</f>
        <v/>
      </c>
      <c r="Q911" s="235" t="str">
        <f>Controle!Q911</f>
        <v/>
      </c>
      <c r="R911" s="286" t="str">
        <f>Controle!R911</f>
        <v/>
      </c>
      <c r="S911" s="286"/>
      <c r="T911" s="286"/>
      <c r="U911" s="286"/>
      <c r="V911" s="286"/>
      <c r="W911" s="286"/>
      <c r="X911" s="286"/>
      <c r="Y911" s="286"/>
      <c r="Z911" s="286"/>
      <c r="AA911" s="294"/>
      <c r="AB911" s="253"/>
      <c r="AC911" s="253"/>
      <c r="AD911" s="253"/>
      <c r="AE911" s="253"/>
      <c r="AF911" s="253"/>
      <c r="AG911" s="253"/>
      <c r="AH911" s="253"/>
      <c r="AI911" s="253"/>
      <c r="AJ911" s="253"/>
      <c r="AK911" s="253"/>
      <c r="AL911" s="253"/>
      <c r="AM911" s="253"/>
      <c r="AN911" s="253"/>
      <c r="AO911" s="253"/>
      <c r="AP911" s="253"/>
      <c r="AQ911" s="253"/>
      <c r="AR911" s="253"/>
      <c r="AS911" s="253"/>
      <c r="AT911" s="2"/>
      <c r="AU911" s="2"/>
      <c r="AV911" s="2"/>
      <c r="AW911" s="2"/>
      <c r="AX911" s="2"/>
      <c r="AY911" s="253"/>
    </row>
    <row r="912" ht="15.75" customHeight="1">
      <c r="A912" s="2"/>
      <c r="B912" s="288" t="str">
        <f>Controle!B912</f>
        <v/>
      </c>
      <c r="C912" s="233" t="str">
        <f>Controle!C912</f>
        <v/>
      </c>
      <c r="D912" s="289" t="str">
        <f>Controle!D912</f>
        <v/>
      </c>
      <c r="E912" s="290"/>
      <c r="F912" s="291" t="str">
        <f>Controle!F912</f>
        <v/>
      </c>
      <c r="G912" s="289" t="str">
        <f>Controle!G912</f>
        <v/>
      </c>
      <c r="H912" s="290"/>
      <c r="I912" s="291" t="str">
        <f>Controle!I912</f>
        <v/>
      </c>
      <c r="J912" s="233" t="str">
        <f>Controle!J912</f>
        <v/>
      </c>
      <c r="K912" s="292"/>
      <c r="L912" s="233" t="str">
        <f>Controle!L912</f>
        <v/>
      </c>
      <c r="M912" s="233" t="str">
        <f>Controle!M912</f>
        <v/>
      </c>
      <c r="N912" s="235" t="str">
        <f>Controle!N912</f>
        <v/>
      </c>
      <c r="O912" s="235" t="str">
        <f>Controle!O912</f>
        <v/>
      </c>
      <c r="P912" s="235" t="str">
        <f>Controle!P912</f>
        <v/>
      </c>
      <c r="Q912" s="235" t="str">
        <f>Controle!Q912</f>
        <v/>
      </c>
      <c r="R912" s="286" t="str">
        <f>Controle!R912</f>
        <v/>
      </c>
      <c r="S912" s="286"/>
      <c r="T912" s="286"/>
      <c r="U912" s="286"/>
      <c r="V912" s="286"/>
      <c r="W912" s="286"/>
      <c r="X912" s="286"/>
      <c r="Y912" s="286"/>
      <c r="Z912" s="286"/>
      <c r="AA912" s="294"/>
      <c r="AB912" s="253"/>
      <c r="AC912" s="253"/>
      <c r="AD912" s="253"/>
      <c r="AE912" s="253"/>
      <c r="AF912" s="253"/>
      <c r="AG912" s="253"/>
      <c r="AH912" s="253"/>
      <c r="AI912" s="253"/>
      <c r="AJ912" s="253"/>
      <c r="AK912" s="253"/>
      <c r="AL912" s="253"/>
      <c r="AM912" s="253"/>
      <c r="AN912" s="253"/>
      <c r="AO912" s="253"/>
      <c r="AP912" s="253"/>
      <c r="AQ912" s="253"/>
      <c r="AR912" s="253"/>
      <c r="AS912" s="253"/>
      <c r="AT912" s="2"/>
      <c r="AU912" s="2"/>
      <c r="AV912" s="2"/>
      <c r="AW912" s="2"/>
      <c r="AX912" s="2"/>
      <c r="AY912" s="253"/>
    </row>
    <row r="913" ht="15.75" customHeight="1">
      <c r="A913" s="2"/>
      <c r="B913" s="288" t="str">
        <f>Controle!B913</f>
        <v/>
      </c>
      <c r="C913" s="233" t="str">
        <f>Controle!C913</f>
        <v/>
      </c>
      <c r="D913" s="289" t="str">
        <f>Controle!D913</f>
        <v/>
      </c>
      <c r="E913" s="290"/>
      <c r="F913" s="291" t="str">
        <f>Controle!F913</f>
        <v/>
      </c>
      <c r="G913" s="289" t="str">
        <f>Controle!G913</f>
        <v/>
      </c>
      <c r="H913" s="290"/>
      <c r="I913" s="291" t="str">
        <f>Controle!I913</f>
        <v/>
      </c>
      <c r="J913" s="233" t="str">
        <f>Controle!J913</f>
        <v/>
      </c>
      <c r="K913" s="292"/>
      <c r="L913" s="233" t="str">
        <f>Controle!L913</f>
        <v/>
      </c>
      <c r="M913" s="233" t="str">
        <f>Controle!M913</f>
        <v/>
      </c>
      <c r="N913" s="235" t="str">
        <f>Controle!N913</f>
        <v/>
      </c>
      <c r="O913" s="235" t="str">
        <f>Controle!O913</f>
        <v/>
      </c>
      <c r="P913" s="235" t="str">
        <f>Controle!P913</f>
        <v/>
      </c>
      <c r="Q913" s="235" t="str">
        <f>Controle!Q913</f>
        <v/>
      </c>
      <c r="R913" s="286" t="str">
        <f>Controle!R913</f>
        <v/>
      </c>
      <c r="S913" s="286"/>
      <c r="T913" s="286"/>
      <c r="U913" s="286"/>
      <c r="V913" s="286"/>
      <c r="W913" s="286"/>
      <c r="X913" s="286"/>
      <c r="Y913" s="286"/>
      <c r="Z913" s="286"/>
      <c r="AA913" s="294"/>
      <c r="AB913" s="253"/>
      <c r="AC913" s="253"/>
      <c r="AD913" s="253"/>
      <c r="AE913" s="253"/>
      <c r="AF913" s="253"/>
      <c r="AG913" s="253"/>
      <c r="AH913" s="253"/>
      <c r="AI913" s="253"/>
      <c r="AJ913" s="253"/>
      <c r="AK913" s="253"/>
      <c r="AL913" s="253"/>
      <c r="AM913" s="253"/>
      <c r="AN913" s="253"/>
      <c r="AO913" s="253"/>
      <c r="AP913" s="253"/>
      <c r="AQ913" s="253"/>
      <c r="AR913" s="253"/>
      <c r="AS913" s="253"/>
      <c r="AT913" s="2"/>
      <c r="AU913" s="2"/>
      <c r="AV913" s="2"/>
      <c r="AW913" s="2"/>
      <c r="AX913" s="2"/>
      <c r="AY913" s="253"/>
    </row>
    <row r="914" ht="15.75" customHeight="1">
      <c r="A914" s="2"/>
      <c r="B914" s="288" t="str">
        <f>Controle!B914</f>
        <v/>
      </c>
      <c r="C914" s="233" t="str">
        <f>Controle!C914</f>
        <v/>
      </c>
      <c r="D914" s="289" t="str">
        <f>Controle!D914</f>
        <v/>
      </c>
      <c r="E914" s="290"/>
      <c r="F914" s="291" t="str">
        <f>Controle!F914</f>
        <v/>
      </c>
      <c r="G914" s="289" t="str">
        <f>Controle!G914</f>
        <v/>
      </c>
      <c r="H914" s="290"/>
      <c r="I914" s="291" t="str">
        <f>Controle!I914</f>
        <v/>
      </c>
      <c r="J914" s="233" t="str">
        <f>Controle!J914</f>
        <v/>
      </c>
      <c r="K914" s="292"/>
      <c r="L914" s="233" t="str">
        <f>Controle!L914</f>
        <v/>
      </c>
      <c r="M914" s="233" t="str">
        <f>Controle!M914</f>
        <v/>
      </c>
      <c r="N914" s="235" t="str">
        <f>Controle!N914</f>
        <v/>
      </c>
      <c r="O914" s="235" t="str">
        <f>Controle!O914</f>
        <v/>
      </c>
      <c r="P914" s="235" t="str">
        <f>Controle!P914</f>
        <v/>
      </c>
      <c r="Q914" s="235" t="str">
        <f>Controle!Q914</f>
        <v/>
      </c>
      <c r="R914" s="286" t="str">
        <f>Controle!R914</f>
        <v/>
      </c>
      <c r="S914" s="286"/>
      <c r="T914" s="286"/>
      <c r="U914" s="286"/>
      <c r="V914" s="286"/>
      <c r="W914" s="286"/>
      <c r="X914" s="286"/>
      <c r="Y914" s="286"/>
      <c r="Z914" s="286"/>
      <c r="AA914" s="294"/>
      <c r="AB914" s="253"/>
      <c r="AC914" s="253"/>
      <c r="AD914" s="253"/>
      <c r="AE914" s="253"/>
      <c r="AF914" s="253"/>
      <c r="AG914" s="253"/>
      <c r="AH914" s="253"/>
      <c r="AI914" s="253"/>
      <c r="AJ914" s="253"/>
      <c r="AK914" s="253"/>
      <c r="AL914" s="253"/>
      <c r="AM914" s="253"/>
      <c r="AN914" s="253"/>
      <c r="AO914" s="253"/>
      <c r="AP914" s="253"/>
      <c r="AQ914" s="253"/>
      <c r="AR914" s="253"/>
      <c r="AS914" s="253"/>
      <c r="AT914" s="2"/>
      <c r="AU914" s="2"/>
      <c r="AV914" s="2"/>
      <c r="AW914" s="2"/>
      <c r="AX914" s="2"/>
      <c r="AY914" s="253"/>
    </row>
    <row r="915" ht="15.75" customHeight="1">
      <c r="A915" s="2"/>
      <c r="B915" s="288" t="str">
        <f>Controle!B915</f>
        <v/>
      </c>
      <c r="C915" s="233" t="str">
        <f>Controle!C915</f>
        <v/>
      </c>
      <c r="D915" s="289" t="str">
        <f>Controle!D915</f>
        <v/>
      </c>
      <c r="E915" s="290"/>
      <c r="F915" s="291" t="str">
        <f>Controle!F915</f>
        <v/>
      </c>
      <c r="G915" s="289" t="str">
        <f>Controle!G915</f>
        <v/>
      </c>
      <c r="H915" s="290"/>
      <c r="I915" s="291" t="str">
        <f>Controle!I915</f>
        <v/>
      </c>
      <c r="J915" s="233" t="str">
        <f>Controle!J915</f>
        <v/>
      </c>
      <c r="K915" s="292"/>
      <c r="L915" s="233" t="str">
        <f>Controle!L915</f>
        <v/>
      </c>
      <c r="M915" s="233" t="str">
        <f>Controle!M915</f>
        <v/>
      </c>
      <c r="N915" s="235" t="str">
        <f>Controle!N915</f>
        <v/>
      </c>
      <c r="O915" s="235" t="str">
        <f>Controle!O915</f>
        <v/>
      </c>
      <c r="P915" s="235" t="str">
        <f>Controle!P915</f>
        <v/>
      </c>
      <c r="Q915" s="235" t="str">
        <f>Controle!Q915</f>
        <v/>
      </c>
      <c r="R915" s="286" t="str">
        <f>Controle!R915</f>
        <v/>
      </c>
      <c r="S915" s="286"/>
      <c r="T915" s="286"/>
      <c r="U915" s="286"/>
      <c r="V915" s="286"/>
      <c r="W915" s="286"/>
      <c r="X915" s="286"/>
      <c r="Y915" s="286"/>
      <c r="Z915" s="286"/>
      <c r="AA915" s="294"/>
      <c r="AB915" s="253"/>
      <c r="AC915" s="253"/>
      <c r="AD915" s="253"/>
      <c r="AE915" s="253"/>
      <c r="AF915" s="253"/>
      <c r="AG915" s="253"/>
      <c r="AH915" s="253"/>
      <c r="AI915" s="253"/>
      <c r="AJ915" s="253"/>
      <c r="AK915" s="253"/>
      <c r="AL915" s="253"/>
      <c r="AM915" s="253"/>
      <c r="AN915" s="253"/>
      <c r="AO915" s="253"/>
      <c r="AP915" s="253"/>
      <c r="AQ915" s="253"/>
      <c r="AR915" s="253"/>
      <c r="AS915" s="253"/>
      <c r="AT915" s="2"/>
      <c r="AU915" s="2"/>
      <c r="AV915" s="2"/>
      <c r="AW915" s="2"/>
      <c r="AX915" s="2"/>
      <c r="AY915" s="253"/>
    </row>
    <row r="916" ht="15.75" customHeight="1">
      <c r="A916" s="2"/>
      <c r="B916" s="288" t="str">
        <f>Controle!B916</f>
        <v/>
      </c>
      <c r="C916" s="233" t="str">
        <f>Controle!C916</f>
        <v/>
      </c>
      <c r="D916" s="289" t="str">
        <f>Controle!D916</f>
        <v/>
      </c>
      <c r="E916" s="290"/>
      <c r="F916" s="291" t="str">
        <f>Controle!F916</f>
        <v/>
      </c>
      <c r="G916" s="289" t="str">
        <f>Controle!G916</f>
        <v/>
      </c>
      <c r="H916" s="290"/>
      <c r="I916" s="291" t="str">
        <f>Controle!I916</f>
        <v/>
      </c>
      <c r="J916" s="233" t="str">
        <f>Controle!J916</f>
        <v/>
      </c>
      <c r="K916" s="292"/>
      <c r="L916" s="233" t="str">
        <f>Controle!L916</f>
        <v/>
      </c>
      <c r="M916" s="233" t="str">
        <f>Controle!M916</f>
        <v/>
      </c>
      <c r="N916" s="235" t="str">
        <f>Controle!N916</f>
        <v/>
      </c>
      <c r="O916" s="235" t="str">
        <f>Controle!O916</f>
        <v/>
      </c>
      <c r="P916" s="235" t="str">
        <f>Controle!P916</f>
        <v/>
      </c>
      <c r="Q916" s="235" t="str">
        <f>Controle!Q916</f>
        <v/>
      </c>
      <c r="R916" s="286" t="str">
        <f>Controle!R916</f>
        <v/>
      </c>
      <c r="S916" s="286"/>
      <c r="T916" s="286"/>
      <c r="U916" s="286"/>
      <c r="V916" s="286"/>
      <c r="W916" s="286"/>
      <c r="X916" s="286"/>
      <c r="Y916" s="286"/>
      <c r="Z916" s="286"/>
      <c r="AA916" s="294"/>
      <c r="AB916" s="253"/>
      <c r="AC916" s="253"/>
      <c r="AD916" s="253"/>
      <c r="AE916" s="253"/>
      <c r="AF916" s="253"/>
      <c r="AG916" s="253"/>
      <c r="AH916" s="253"/>
      <c r="AI916" s="253"/>
      <c r="AJ916" s="253"/>
      <c r="AK916" s="253"/>
      <c r="AL916" s="253"/>
      <c r="AM916" s="253"/>
      <c r="AN916" s="253"/>
      <c r="AO916" s="253"/>
      <c r="AP916" s="253"/>
      <c r="AQ916" s="253"/>
      <c r="AR916" s="253"/>
      <c r="AS916" s="253"/>
      <c r="AT916" s="2"/>
      <c r="AU916" s="2"/>
      <c r="AV916" s="2"/>
      <c r="AW916" s="2"/>
      <c r="AX916" s="2"/>
      <c r="AY916" s="253"/>
    </row>
    <row r="917" ht="15.75" customHeight="1">
      <c r="A917" s="2"/>
      <c r="B917" s="288" t="str">
        <f>Controle!B917</f>
        <v/>
      </c>
      <c r="C917" s="233" t="str">
        <f>Controle!C917</f>
        <v/>
      </c>
      <c r="D917" s="289" t="str">
        <f>Controle!D917</f>
        <v/>
      </c>
      <c r="E917" s="290"/>
      <c r="F917" s="291" t="str">
        <f>Controle!F917</f>
        <v/>
      </c>
      <c r="G917" s="289" t="str">
        <f>Controle!G917</f>
        <v/>
      </c>
      <c r="H917" s="290"/>
      <c r="I917" s="291" t="str">
        <f>Controle!I917</f>
        <v/>
      </c>
      <c r="J917" s="233" t="str">
        <f>Controle!J917</f>
        <v/>
      </c>
      <c r="K917" s="292"/>
      <c r="L917" s="233" t="str">
        <f>Controle!L917</f>
        <v/>
      </c>
      <c r="M917" s="233" t="str">
        <f>Controle!M917</f>
        <v/>
      </c>
      <c r="N917" s="235" t="str">
        <f>Controle!N917</f>
        <v/>
      </c>
      <c r="O917" s="235" t="str">
        <f>Controle!O917</f>
        <v/>
      </c>
      <c r="P917" s="235" t="str">
        <f>Controle!P917</f>
        <v/>
      </c>
      <c r="Q917" s="235" t="str">
        <f>Controle!Q917</f>
        <v/>
      </c>
      <c r="R917" s="286" t="str">
        <f>Controle!R917</f>
        <v/>
      </c>
      <c r="S917" s="286"/>
      <c r="T917" s="286"/>
      <c r="U917" s="286"/>
      <c r="V917" s="286"/>
      <c r="W917" s="286"/>
      <c r="X917" s="286"/>
      <c r="Y917" s="286"/>
      <c r="Z917" s="286"/>
      <c r="AA917" s="294"/>
      <c r="AB917" s="253"/>
      <c r="AC917" s="253"/>
      <c r="AD917" s="253"/>
      <c r="AE917" s="253"/>
      <c r="AF917" s="253"/>
      <c r="AG917" s="253"/>
      <c r="AH917" s="253"/>
      <c r="AI917" s="253"/>
      <c r="AJ917" s="253"/>
      <c r="AK917" s="253"/>
      <c r="AL917" s="253"/>
      <c r="AM917" s="253"/>
      <c r="AN917" s="253"/>
      <c r="AO917" s="253"/>
      <c r="AP917" s="253"/>
      <c r="AQ917" s="253"/>
      <c r="AR917" s="253"/>
      <c r="AS917" s="253"/>
      <c r="AT917" s="2"/>
      <c r="AU917" s="2"/>
      <c r="AV917" s="2"/>
      <c r="AW917" s="2"/>
      <c r="AX917" s="2"/>
      <c r="AY917" s="253"/>
    </row>
    <row r="918" ht="15.75" customHeight="1">
      <c r="A918" s="2"/>
      <c r="B918" s="288" t="str">
        <f>Controle!B918</f>
        <v/>
      </c>
      <c r="C918" s="233" t="str">
        <f>Controle!C918</f>
        <v/>
      </c>
      <c r="D918" s="289" t="str">
        <f>Controle!D918</f>
        <v/>
      </c>
      <c r="E918" s="290"/>
      <c r="F918" s="291" t="str">
        <f>Controle!F918</f>
        <v/>
      </c>
      <c r="G918" s="289" t="str">
        <f>Controle!G918</f>
        <v/>
      </c>
      <c r="H918" s="290"/>
      <c r="I918" s="291" t="str">
        <f>Controle!I918</f>
        <v/>
      </c>
      <c r="J918" s="233" t="str">
        <f>Controle!J918</f>
        <v/>
      </c>
      <c r="K918" s="292"/>
      <c r="L918" s="233" t="str">
        <f>Controle!L918</f>
        <v/>
      </c>
      <c r="M918" s="233" t="str">
        <f>Controle!M918</f>
        <v/>
      </c>
      <c r="N918" s="235" t="str">
        <f>Controle!N918</f>
        <v/>
      </c>
      <c r="O918" s="235" t="str">
        <f>Controle!O918</f>
        <v/>
      </c>
      <c r="P918" s="235" t="str">
        <f>Controle!P918</f>
        <v/>
      </c>
      <c r="Q918" s="235" t="str">
        <f>Controle!Q918</f>
        <v/>
      </c>
      <c r="R918" s="286" t="str">
        <f>Controle!R918</f>
        <v/>
      </c>
      <c r="S918" s="286"/>
      <c r="T918" s="286"/>
      <c r="U918" s="286"/>
      <c r="V918" s="286"/>
      <c r="W918" s="286"/>
      <c r="X918" s="286"/>
      <c r="Y918" s="286"/>
      <c r="Z918" s="286"/>
      <c r="AA918" s="294"/>
      <c r="AB918" s="253"/>
      <c r="AC918" s="253"/>
      <c r="AD918" s="253"/>
      <c r="AE918" s="253"/>
      <c r="AF918" s="253"/>
      <c r="AG918" s="253"/>
      <c r="AH918" s="253"/>
      <c r="AI918" s="253"/>
      <c r="AJ918" s="253"/>
      <c r="AK918" s="253"/>
      <c r="AL918" s="253"/>
      <c r="AM918" s="253"/>
      <c r="AN918" s="253"/>
      <c r="AO918" s="253"/>
      <c r="AP918" s="253"/>
      <c r="AQ918" s="253"/>
      <c r="AR918" s="253"/>
      <c r="AS918" s="253"/>
      <c r="AT918" s="2"/>
      <c r="AU918" s="2"/>
      <c r="AV918" s="2"/>
      <c r="AW918" s="2"/>
      <c r="AX918" s="2"/>
      <c r="AY918" s="253"/>
    </row>
    <row r="919" ht="15.75" customHeight="1">
      <c r="A919" s="2"/>
      <c r="B919" s="288" t="str">
        <f>Controle!B919</f>
        <v/>
      </c>
      <c r="C919" s="233" t="str">
        <f>Controle!C919</f>
        <v/>
      </c>
      <c r="D919" s="289" t="str">
        <f>Controle!D919</f>
        <v/>
      </c>
      <c r="E919" s="290"/>
      <c r="F919" s="291" t="str">
        <f>Controle!F919</f>
        <v/>
      </c>
      <c r="G919" s="289" t="str">
        <f>Controle!G919</f>
        <v/>
      </c>
      <c r="H919" s="290"/>
      <c r="I919" s="291" t="str">
        <f>Controle!I919</f>
        <v/>
      </c>
      <c r="J919" s="233" t="str">
        <f>Controle!J919</f>
        <v/>
      </c>
      <c r="K919" s="292"/>
      <c r="L919" s="233" t="str">
        <f>Controle!L919</f>
        <v/>
      </c>
      <c r="M919" s="233" t="str">
        <f>Controle!M919</f>
        <v/>
      </c>
      <c r="N919" s="235" t="str">
        <f>Controle!N919</f>
        <v/>
      </c>
      <c r="O919" s="235" t="str">
        <f>Controle!O919</f>
        <v/>
      </c>
      <c r="P919" s="235" t="str">
        <f>Controle!P919</f>
        <v/>
      </c>
      <c r="Q919" s="235" t="str">
        <f>Controle!Q919</f>
        <v/>
      </c>
      <c r="R919" s="286" t="str">
        <f>Controle!R919</f>
        <v/>
      </c>
      <c r="S919" s="286"/>
      <c r="T919" s="286"/>
      <c r="U919" s="286"/>
      <c r="V919" s="286"/>
      <c r="W919" s="286"/>
      <c r="X919" s="286"/>
      <c r="Y919" s="286"/>
      <c r="Z919" s="286"/>
      <c r="AA919" s="294"/>
      <c r="AB919" s="253"/>
      <c r="AC919" s="253"/>
      <c r="AD919" s="253"/>
      <c r="AE919" s="253"/>
      <c r="AF919" s="253"/>
      <c r="AG919" s="253"/>
      <c r="AH919" s="253"/>
      <c r="AI919" s="253"/>
      <c r="AJ919" s="253"/>
      <c r="AK919" s="253"/>
      <c r="AL919" s="253"/>
      <c r="AM919" s="253"/>
      <c r="AN919" s="253"/>
      <c r="AO919" s="253"/>
      <c r="AP919" s="253"/>
      <c r="AQ919" s="253"/>
      <c r="AR919" s="253"/>
      <c r="AS919" s="253"/>
      <c r="AT919" s="2"/>
      <c r="AU919" s="2"/>
      <c r="AV919" s="2"/>
      <c r="AW919" s="2"/>
      <c r="AX919" s="2"/>
      <c r="AY919" s="253"/>
    </row>
    <row r="920" ht="15.75" customHeight="1">
      <c r="A920" s="2"/>
      <c r="B920" s="288" t="str">
        <f>Controle!B920</f>
        <v/>
      </c>
      <c r="C920" s="233" t="str">
        <f>Controle!C920</f>
        <v/>
      </c>
      <c r="D920" s="289" t="str">
        <f>Controle!D920</f>
        <v/>
      </c>
      <c r="E920" s="290"/>
      <c r="F920" s="291" t="str">
        <f>Controle!F920</f>
        <v/>
      </c>
      <c r="G920" s="289" t="str">
        <f>Controle!G920</f>
        <v/>
      </c>
      <c r="H920" s="290"/>
      <c r="I920" s="291" t="str">
        <f>Controle!I920</f>
        <v/>
      </c>
      <c r="J920" s="233" t="str">
        <f>Controle!J920</f>
        <v/>
      </c>
      <c r="K920" s="292"/>
      <c r="L920" s="233" t="str">
        <f>Controle!L920</f>
        <v/>
      </c>
      <c r="M920" s="233" t="str">
        <f>Controle!M920</f>
        <v/>
      </c>
      <c r="N920" s="235" t="str">
        <f>Controle!N920</f>
        <v/>
      </c>
      <c r="O920" s="235" t="str">
        <f>Controle!O920</f>
        <v/>
      </c>
      <c r="P920" s="235" t="str">
        <f>Controle!P920</f>
        <v/>
      </c>
      <c r="Q920" s="235" t="str">
        <f>Controle!Q920</f>
        <v/>
      </c>
      <c r="R920" s="286" t="str">
        <f>Controle!R920</f>
        <v/>
      </c>
      <c r="S920" s="286"/>
      <c r="T920" s="286"/>
      <c r="U920" s="286"/>
      <c r="V920" s="286"/>
      <c r="W920" s="286"/>
      <c r="X920" s="286"/>
      <c r="Y920" s="286"/>
      <c r="Z920" s="286"/>
      <c r="AA920" s="294"/>
      <c r="AB920" s="253"/>
      <c r="AC920" s="253"/>
      <c r="AD920" s="253"/>
      <c r="AE920" s="253"/>
      <c r="AF920" s="253"/>
      <c r="AG920" s="253"/>
      <c r="AH920" s="253"/>
      <c r="AI920" s="253"/>
      <c r="AJ920" s="253"/>
      <c r="AK920" s="253"/>
      <c r="AL920" s="253"/>
      <c r="AM920" s="253"/>
      <c r="AN920" s="253"/>
      <c r="AO920" s="253"/>
      <c r="AP920" s="253"/>
      <c r="AQ920" s="253"/>
      <c r="AR920" s="253"/>
      <c r="AS920" s="253"/>
      <c r="AT920" s="2"/>
      <c r="AU920" s="2"/>
      <c r="AV920" s="2"/>
      <c r="AW920" s="2"/>
      <c r="AX920" s="2"/>
      <c r="AY920" s="253"/>
    </row>
    <row r="921" ht="15.75" customHeight="1">
      <c r="A921" s="2"/>
      <c r="B921" s="288" t="str">
        <f>Controle!B921</f>
        <v/>
      </c>
      <c r="C921" s="233" t="str">
        <f>Controle!C921</f>
        <v/>
      </c>
      <c r="D921" s="289" t="str">
        <f>Controle!D921</f>
        <v/>
      </c>
      <c r="E921" s="290"/>
      <c r="F921" s="291" t="str">
        <f>Controle!F921</f>
        <v/>
      </c>
      <c r="G921" s="289" t="str">
        <f>Controle!G921</f>
        <v/>
      </c>
      <c r="H921" s="290"/>
      <c r="I921" s="291" t="str">
        <f>Controle!I921</f>
        <v/>
      </c>
      <c r="J921" s="233" t="str">
        <f>Controle!J921</f>
        <v/>
      </c>
      <c r="K921" s="292"/>
      <c r="L921" s="233" t="str">
        <f>Controle!L921</f>
        <v/>
      </c>
      <c r="M921" s="233" t="str">
        <f>Controle!M921</f>
        <v/>
      </c>
      <c r="N921" s="235" t="str">
        <f>Controle!N921</f>
        <v/>
      </c>
      <c r="O921" s="235" t="str">
        <f>Controle!O921</f>
        <v/>
      </c>
      <c r="P921" s="235" t="str">
        <f>Controle!P921</f>
        <v/>
      </c>
      <c r="Q921" s="235" t="str">
        <f>Controle!Q921</f>
        <v/>
      </c>
      <c r="R921" s="286" t="str">
        <f>Controle!R921</f>
        <v/>
      </c>
      <c r="S921" s="286"/>
      <c r="T921" s="286"/>
      <c r="U921" s="286"/>
      <c r="V921" s="286"/>
      <c r="W921" s="286"/>
      <c r="X921" s="286"/>
      <c r="Y921" s="286"/>
      <c r="Z921" s="286"/>
      <c r="AA921" s="294"/>
      <c r="AB921" s="253"/>
      <c r="AC921" s="253"/>
      <c r="AD921" s="253"/>
      <c r="AE921" s="253"/>
      <c r="AF921" s="253"/>
      <c r="AG921" s="253"/>
      <c r="AH921" s="253"/>
      <c r="AI921" s="253"/>
      <c r="AJ921" s="253"/>
      <c r="AK921" s="253"/>
      <c r="AL921" s="253"/>
      <c r="AM921" s="253"/>
      <c r="AN921" s="253"/>
      <c r="AO921" s="253"/>
      <c r="AP921" s="253"/>
      <c r="AQ921" s="253"/>
      <c r="AR921" s="253"/>
      <c r="AS921" s="253"/>
      <c r="AT921" s="2"/>
      <c r="AU921" s="2"/>
      <c r="AV921" s="2"/>
      <c r="AW921" s="2"/>
      <c r="AX921" s="2"/>
      <c r="AY921" s="253"/>
    </row>
    <row r="922" ht="15.75" customHeight="1">
      <c r="A922" s="2"/>
      <c r="B922" s="288" t="str">
        <f>Controle!B922</f>
        <v/>
      </c>
      <c r="C922" s="233" t="str">
        <f>Controle!C922</f>
        <v/>
      </c>
      <c r="D922" s="289" t="str">
        <f>Controle!D922</f>
        <v/>
      </c>
      <c r="E922" s="290"/>
      <c r="F922" s="291" t="str">
        <f>Controle!F922</f>
        <v/>
      </c>
      <c r="G922" s="289" t="str">
        <f>Controle!G922</f>
        <v/>
      </c>
      <c r="H922" s="290"/>
      <c r="I922" s="291" t="str">
        <f>Controle!I922</f>
        <v/>
      </c>
      <c r="J922" s="233" t="str">
        <f>Controle!J922</f>
        <v/>
      </c>
      <c r="K922" s="292"/>
      <c r="L922" s="233" t="str">
        <f>Controle!L922</f>
        <v/>
      </c>
      <c r="M922" s="233" t="str">
        <f>Controle!M922</f>
        <v/>
      </c>
      <c r="N922" s="235" t="str">
        <f>Controle!N922</f>
        <v/>
      </c>
      <c r="O922" s="235" t="str">
        <f>Controle!O922</f>
        <v/>
      </c>
      <c r="P922" s="235" t="str">
        <f>Controle!P922</f>
        <v/>
      </c>
      <c r="Q922" s="235" t="str">
        <f>Controle!Q922</f>
        <v/>
      </c>
      <c r="R922" s="286" t="str">
        <f>Controle!R922</f>
        <v/>
      </c>
      <c r="S922" s="286"/>
      <c r="T922" s="286"/>
      <c r="U922" s="286"/>
      <c r="V922" s="286"/>
      <c r="W922" s="286"/>
      <c r="X922" s="286"/>
      <c r="Y922" s="286"/>
      <c r="Z922" s="286"/>
      <c r="AA922" s="294"/>
      <c r="AB922" s="253"/>
      <c r="AC922" s="253"/>
      <c r="AD922" s="253"/>
      <c r="AE922" s="253"/>
      <c r="AF922" s="253"/>
      <c r="AG922" s="253"/>
      <c r="AH922" s="253"/>
      <c r="AI922" s="253"/>
      <c r="AJ922" s="253"/>
      <c r="AK922" s="253"/>
      <c r="AL922" s="253"/>
      <c r="AM922" s="253"/>
      <c r="AN922" s="253"/>
      <c r="AO922" s="253"/>
      <c r="AP922" s="253"/>
      <c r="AQ922" s="253"/>
      <c r="AR922" s="253"/>
      <c r="AS922" s="253"/>
      <c r="AT922" s="2"/>
      <c r="AU922" s="2"/>
      <c r="AV922" s="2"/>
      <c r="AW922" s="2"/>
      <c r="AX922" s="2"/>
      <c r="AY922" s="253"/>
    </row>
    <row r="923" ht="15.75" customHeight="1">
      <c r="A923" s="2"/>
      <c r="B923" s="288" t="str">
        <f>Controle!B923</f>
        <v/>
      </c>
      <c r="C923" s="233" t="str">
        <f>Controle!C923</f>
        <v/>
      </c>
      <c r="D923" s="289" t="str">
        <f>Controle!D923</f>
        <v/>
      </c>
      <c r="E923" s="290"/>
      <c r="F923" s="291" t="str">
        <f>Controle!F923</f>
        <v/>
      </c>
      <c r="G923" s="289" t="str">
        <f>Controle!G923</f>
        <v/>
      </c>
      <c r="H923" s="290"/>
      <c r="I923" s="291" t="str">
        <f>Controle!I923</f>
        <v/>
      </c>
      <c r="J923" s="233" t="str">
        <f>Controle!J923</f>
        <v/>
      </c>
      <c r="K923" s="292"/>
      <c r="L923" s="233" t="str">
        <f>Controle!L923</f>
        <v/>
      </c>
      <c r="M923" s="233" t="str">
        <f>Controle!M923</f>
        <v/>
      </c>
      <c r="N923" s="235" t="str">
        <f>Controle!N923</f>
        <v/>
      </c>
      <c r="O923" s="235" t="str">
        <f>Controle!O923</f>
        <v/>
      </c>
      <c r="P923" s="235" t="str">
        <f>Controle!P923</f>
        <v/>
      </c>
      <c r="Q923" s="235" t="str">
        <f>Controle!Q923</f>
        <v/>
      </c>
      <c r="R923" s="286" t="str">
        <f>Controle!R923</f>
        <v/>
      </c>
      <c r="S923" s="286"/>
      <c r="T923" s="286"/>
      <c r="U923" s="286"/>
      <c r="V923" s="286"/>
      <c r="W923" s="286"/>
      <c r="X923" s="286"/>
      <c r="Y923" s="286"/>
      <c r="Z923" s="286"/>
      <c r="AA923" s="294"/>
      <c r="AB923" s="253"/>
      <c r="AC923" s="253"/>
      <c r="AD923" s="253"/>
      <c r="AE923" s="253"/>
      <c r="AF923" s="253"/>
      <c r="AG923" s="253"/>
      <c r="AH923" s="253"/>
      <c r="AI923" s="253"/>
      <c r="AJ923" s="253"/>
      <c r="AK923" s="253"/>
      <c r="AL923" s="253"/>
      <c r="AM923" s="253"/>
      <c r="AN923" s="253"/>
      <c r="AO923" s="253"/>
      <c r="AP923" s="253"/>
      <c r="AQ923" s="253"/>
      <c r="AR923" s="253"/>
      <c r="AS923" s="253"/>
      <c r="AT923" s="2"/>
      <c r="AU923" s="2"/>
      <c r="AV923" s="2"/>
      <c r="AW923" s="2"/>
      <c r="AX923" s="2"/>
      <c r="AY923" s="253"/>
    </row>
    <row r="924" ht="15.75" customHeight="1">
      <c r="A924" s="2"/>
      <c r="B924" s="288" t="str">
        <f>Controle!B924</f>
        <v/>
      </c>
      <c r="C924" s="233" t="str">
        <f>Controle!C924</f>
        <v/>
      </c>
      <c r="D924" s="289" t="str">
        <f>Controle!D924</f>
        <v/>
      </c>
      <c r="E924" s="290"/>
      <c r="F924" s="291" t="str">
        <f>Controle!F924</f>
        <v/>
      </c>
      <c r="G924" s="289" t="str">
        <f>Controle!G924</f>
        <v/>
      </c>
      <c r="H924" s="290"/>
      <c r="I924" s="291" t="str">
        <f>Controle!I924</f>
        <v/>
      </c>
      <c r="J924" s="233" t="str">
        <f>Controle!J924</f>
        <v/>
      </c>
      <c r="K924" s="292"/>
      <c r="L924" s="233" t="str">
        <f>Controle!L924</f>
        <v/>
      </c>
      <c r="M924" s="233" t="str">
        <f>Controle!M924</f>
        <v/>
      </c>
      <c r="N924" s="235" t="str">
        <f>Controle!N924</f>
        <v/>
      </c>
      <c r="O924" s="235" t="str">
        <f>Controle!O924</f>
        <v/>
      </c>
      <c r="P924" s="235" t="str">
        <f>Controle!P924</f>
        <v/>
      </c>
      <c r="Q924" s="235" t="str">
        <f>Controle!Q924</f>
        <v/>
      </c>
      <c r="R924" s="286" t="str">
        <f>Controle!R924</f>
        <v/>
      </c>
      <c r="S924" s="286"/>
      <c r="T924" s="286"/>
      <c r="U924" s="286"/>
      <c r="V924" s="286"/>
      <c r="W924" s="286"/>
      <c r="X924" s="286"/>
      <c r="Y924" s="286"/>
      <c r="Z924" s="286"/>
      <c r="AA924" s="294"/>
      <c r="AB924" s="253"/>
      <c r="AC924" s="253"/>
      <c r="AD924" s="253"/>
      <c r="AE924" s="253"/>
      <c r="AF924" s="253"/>
      <c r="AG924" s="253"/>
      <c r="AH924" s="253"/>
      <c r="AI924" s="253"/>
      <c r="AJ924" s="253"/>
      <c r="AK924" s="253"/>
      <c r="AL924" s="253"/>
      <c r="AM924" s="253"/>
      <c r="AN924" s="253"/>
      <c r="AO924" s="253"/>
      <c r="AP924" s="253"/>
      <c r="AQ924" s="253"/>
      <c r="AR924" s="253"/>
      <c r="AS924" s="253"/>
      <c r="AT924" s="2"/>
      <c r="AU924" s="2"/>
      <c r="AV924" s="2"/>
      <c r="AW924" s="2"/>
      <c r="AX924" s="2"/>
      <c r="AY924" s="253"/>
    </row>
    <row r="925" ht="15.75" customHeight="1">
      <c r="A925" s="2"/>
      <c r="B925" s="288" t="str">
        <f>Controle!B925</f>
        <v/>
      </c>
      <c r="C925" s="233" t="str">
        <f>Controle!C925</f>
        <v/>
      </c>
      <c r="D925" s="289" t="str">
        <f>Controle!D925</f>
        <v/>
      </c>
      <c r="E925" s="290"/>
      <c r="F925" s="291" t="str">
        <f>Controle!F925</f>
        <v/>
      </c>
      <c r="G925" s="289" t="str">
        <f>Controle!G925</f>
        <v/>
      </c>
      <c r="H925" s="290"/>
      <c r="I925" s="291" t="str">
        <f>Controle!I925</f>
        <v/>
      </c>
      <c r="J925" s="233" t="str">
        <f>Controle!J925</f>
        <v/>
      </c>
      <c r="K925" s="292"/>
      <c r="L925" s="233" t="str">
        <f>Controle!L925</f>
        <v/>
      </c>
      <c r="M925" s="233" t="str">
        <f>Controle!M925</f>
        <v/>
      </c>
      <c r="N925" s="235" t="str">
        <f>Controle!N925</f>
        <v/>
      </c>
      <c r="O925" s="235" t="str">
        <f>Controle!O925</f>
        <v/>
      </c>
      <c r="P925" s="235" t="str">
        <f>Controle!P925</f>
        <v/>
      </c>
      <c r="Q925" s="235" t="str">
        <f>Controle!Q925</f>
        <v/>
      </c>
      <c r="R925" s="286" t="str">
        <f>Controle!R925</f>
        <v/>
      </c>
      <c r="S925" s="286"/>
      <c r="T925" s="286"/>
      <c r="U925" s="286"/>
      <c r="V925" s="286"/>
      <c r="W925" s="286"/>
      <c r="X925" s="286"/>
      <c r="Y925" s="286"/>
      <c r="Z925" s="286"/>
      <c r="AA925" s="294"/>
      <c r="AB925" s="253"/>
      <c r="AC925" s="253"/>
      <c r="AD925" s="253"/>
      <c r="AE925" s="253"/>
      <c r="AF925" s="253"/>
      <c r="AG925" s="253"/>
      <c r="AH925" s="253"/>
      <c r="AI925" s="253"/>
      <c r="AJ925" s="253"/>
      <c r="AK925" s="253"/>
      <c r="AL925" s="253"/>
      <c r="AM925" s="253"/>
      <c r="AN925" s="253"/>
      <c r="AO925" s="253"/>
      <c r="AP925" s="253"/>
      <c r="AQ925" s="253"/>
      <c r="AR925" s="253"/>
      <c r="AS925" s="253"/>
      <c r="AT925" s="2"/>
      <c r="AU925" s="2"/>
      <c r="AV925" s="2"/>
      <c r="AW925" s="2"/>
      <c r="AX925" s="2"/>
      <c r="AY925" s="253"/>
    </row>
    <row r="926" ht="15.75" customHeight="1">
      <c r="A926" s="2"/>
      <c r="B926" s="288" t="str">
        <f>Controle!B926</f>
        <v/>
      </c>
      <c r="C926" s="233" t="str">
        <f>Controle!C926</f>
        <v/>
      </c>
      <c r="D926" s="289" t="str">
        <f>Controle!D926</f>
        <v/>
      </c>
      <c r="E926" s="290"/>
      <c r="F926" s="291" t="str">
        <f>Controle!F926</f>
        <v/>
      </c>
      <c r="G926" s="289" t="str">
        <f>Controle!G926</f>
        <v/>
      </c>
      <c r="H926" s="290"/>
      <c r="I926" s="291" t="str">
        <f>Controle!I926</f>
        <v/>
      </c>
      <c r="J926" s="233" t="str">
        <f>Controle!J926</f>
        <v/>
      </c>
      <c r="K926" s="292"/>
      <c r="L926" s="233" t="str">
        <f>Controle!L926</f>
        <v/>
      </c>
      <c r="M926" s="233" t="str">
        <f>Controle!M926</f>
        <v/>
      </c>
      <c r="N926" s="235" t="str">
        <f>Controle!N926</f>
        <v/>
      </c>
      <c r="O926" s="235" t="str">
        <f>Controle!O926</f>
        <v/>
      </c>
      <c r="P926" s="235" t="str">
        <f>Controle!P926</f>
        <v/>
      </c>
      <c r="Q926" s="235" t="str">
        <f>Controle!Q926</f>
        <v/>
      </c>
      <c r="R926" s="286" t="str">
        <f>Controle!R926</f>
        <v/>
      </c>
      <c r="S926" s="286"/>
      <c r="T926" s="286"/>
      <c r="U926" s="286"/>
      <c r="V926" s="286"/>
      <c r="W926" s="286"/>
      <c r="X926" s="286"/>
      <c r="Y926" s="286"/>
      <c r="Z926" s="286"/>
      <c r="AA926" s="294"/>
      <c r="AB926" s="253"/>
      <c r="AC926" s="253"/>
      <c r="AD926" s="253"/>
      <c r="AE926" s="253"/>
      <c r="AF926" s="253"/>
      <c r="AG926" s="253"/>
      <c r="AH926" s="253"/>
      <c r="AI926" s="253"/>
      <c r="AJ926" s="253"/>
      <c r="AK926" s="253"/>
      <c r="AL926" s="253"/>
      <c r="AM926" s="253"/>
      <c r="AN926" s="253"/>
      <c r="AO926" s="253"/>
      <c r="AP926" s="253"/>
      <c r="AQ926" s="253"/>
      <c r="AR926" s="253"/>
      <c r="AS926" s="253"/>
      <c r="AT926" s="2"/>
      <c r="AU926" s="2"/>
      <c r="AV926" s="2"/>
      <c r="AW926" s="2"/>
      <c r="AX926" s="2"/>
      <c r="AY926" s="253"/>
    </row>
    <row r="927" ht="15.75" customHeight="1">
      <c r="A927" s="2"/>
      <c r="B927" s="288" t="str">
        <f>Controle!B927</f>
        <v/>
      </c>
      <c r="C927" s="233" t="str">
        <f>Controle!C927</f>
        <v/>
      </c>
      <c r="D927" s="289" t="str">
        <f>Controle!D927</f>
        <v/>
      </c>
      <c r="E927" s="290"/>
      <c r="F927" s="291" t="str">
        <f>Controle!F927</f>
        <v/>
      </c>
      <c r="G927" s="289" t="str">
        <f>Controle!G927</f>
        <v/>
      </c>
      <c r="H927" s="290"/>
      <c r="I927" s="291" t="str">
        <f>Controle!I927</f>
        <v/>
      </c>
      <c r="J927" s="233" t="str">
        <f>Controle!J927</f>
        <v/>
      </c>
      <c r="K927" s="292"/>
      <c r="L927" s="233" t="str">
        <f>Controle!L927</f>
        <v/>
      </c>
      <c r="M927" s="233" t="str">
        <f>Controle!M927</f>
        <v/>
      </c>
      <c r="N927" s="235" t="str">
        <f>Controle!N927</f>
        <v/>
      </c>
      <c r="O927" s="235" t="str">
        <f>Controle!O927</f>
        <v/>
      </c>
      <c r="P927" s="235" t="str">
        <f>Controle!P927</f>
        <v/>
      </c>
      <c r="Q927" s="235" t="str">
        <f>Controle!Q927</f>
        <v/>
      </c>
      <c r="R927" s="286" t="str">
        <f>Controle!R927</f>
        <v/>
      </c>
      <c r="S927" s="286"/>
      <c r="T927" s="286"/>
      <c r="U927" s="286"/>
      <c r="V927" s="286"/>
      <c r="W927" s="286"/>
      <c r="X927" s="286"/>
      <c r="Y927" s="286"/>
      <c r="Z927" s="286"/>
      <c r="AA927" s="294"/>
      <c r="AB927" s="253"/>
      <c r="AC927" s="253"/>
      <c r="AD927" s="253"/>
      <c r="AE927" s="253"/>
      <c r="AF927" s="253"/>
      <c r="AG927" s="253"/>
      <c r="AH927" s="253"/>
      <c r="AI927" s="253"/>
      <c r="AJ927" s="253"/>
      <c r="AK927" s="253"/>
      <c r="AL927" s="253"/>
      <c r="AM927" s="253"/>
      <c r="AN927" s="253"/>
      <c r="AO927" s="253"/>
      <c r="AP927" s="253"/>
      <c r="AQ927" s="253"/>
      <c r="AR927" s="253"/>
      <c r="AS927" s="253"/>
      <c r="AT927" s="2"/>
      <c r="AU927" s="2"/>
      <c r="AV927" s="2"/>
      <c r="AW927" s="2"/>
      <c r="AX927" s="2"/>
      <c r="AY927" s="253"/>
    </row>
    <row r="928" ht="15.75" customHeight="1">
      <c r="A928" s="2"/>
      <c r="B928" s="288" t="str">
        <f>Controle!B928</f>
        <v/>
      </c>
      <c r="C928" s="233" t="str">
        <f>Controle!C928</f>
        <v/>
      </c>
      <c r="D928" s="289" t="str">
        <f>Controle!D928</f>
        <v/>
      </c>
      <c r="E928" s="290"/>
      <c r="F928" s="291" t="str">
        <f>Controle!F928</f>
        <v/>
      </c>
      <c r="G928" s="289" t="str">
        <f>Controle!G928</f>
        <v/>
      </c>
      <c r="H928" s="290"/>
      <c r="I928" s="291" t="str">
        <f>Controle!I928</f>
        <v/>
      </c>
      <c r="J928" s="233" t="str">
        <f>Controle!J928</f>
        <v/>
      </c>
      <c r="K928" s="292"/>
      <c r="L928" s="233" t="str">
        <f>Controle!L928</f>
        <v/>
      </c>
      <c r="M928" s="233" t="str">
        <f>Controle!M928</f>
        <v/>
      </c>
      <c r="N928" s="235" t="str">
        <f>Controle!N928</f>
        <v/>
      </c>
      <c r="O928" s="235" t="str">
        <f>Controle!O928</f>
        <v/>
      </c>
      <c r="P928" s="235" t="str">
        <f>Controle!P928</f>
        <v/>
      </c>
      <c r="Q928" s="235" t="str">
        <f>Controle!Q928</f>
        <v/>
      </c>
      <c r="R928" s="286" t="str">
        <f>Controle!R928</f>
        <v/>
      </c>
      <c r="S928" s="286"/>
      <c r="T928" s="286"/>
      <c r="U928" s="286"/>
      <c r="V928" s="286"/>
      <c r="W928" s="286"/>
      <c r="X928" s="286"/>
      <c r="Y928" s="286"/>
      <c r="Z928" s="286"/>
      <c r="AA928" s="294"/>
      <c r="AB928" s="253"/>
      <c r="AC928" s="253"/>
      <c r="AD928" s="253"/>
      <c r="AE928" s="253"/>
      <c r="AF928" s="253"/>
      <c r="AG928" s="253"/>
      <c r="AH928" s="253"/>
      <c r="AI928" s="253"/>
      <c r="AJ928" s="253"/>
      <c r="AK928" s="253"/>
      <c r="AL928" s="253"/>
      <c r="AM928" s="253"/>
      <c r="AN928" s="253"/>
      <c r="AO928" s="253"/>
      <c r="AP928" s="253"/>
      <c r="AQ928" s="253"/>
      <c r="AR928" s="253"/>
      <c r="AS928" s="253"/>
      <c r="AT928" s="2"/>
      <c r="AU928" s="2"/>
      <c r="AV928" s="2"/>
      <c r="AW928" s="2"/>
      <c r="AX928" s="2"/>
      <c r="AY928" s="253"/>
    </row>
    <row r="929" ht="15.75" customHeight="1">
      <c r="A929" s="2"/>
      <c r="B929" s="288" t="str">
        <f>Controle!B929</f>
        <v/>
      </c>
      <c r="C929" s="233" t="str">
        <f>Controle!C929</f>
        <v/>
      </c>
      <c r="D929" s="289" t="str">
        <f>Controle!D929</f>
        <v/>
      </c>
      <c r="E929" s="290"/>
      <c r="F929" s="291" t="str">
        <f>Controle!F929</f>
        <v/>
      </c>
      <c r="G929" s="289" t="str">
        <f>Controle!G929</f>
        <v/>
      </c>
      <c r="H929" s="290"/>
      <c r="I929" s="291" t="str">
        <f>Controle!I929</f>
        <v/>
      </c>
      <c r="J929" s="233" t="str">
        <f>Controle!J929</f>
        <v/>
      </c>
      <c r="K929" s="292"/>
      <c r="L929" s="233" t="str">
        <f>Controle!L929</f>
        <v/>
      </c>
      <c r="M929" s="233" t="str">
        <f>Controle!M929</f>
        <v/>
      </c>
      <c r="N929" s="235" t="str">
        <f>Controle!N929</f>
        <v/>
      </c>
      <c r="O929" s="235" t="str">
        <f>Controle!O929</f>
        <v/>
      </c>
      <c r="P929" s="235" t="str">
        <f>Controle!P929</f>
        <v/>
      </c>
      <c r="Q929" s="235" t="str">
        <f>Controle!Q929</f>
        <v/>
      </c>
      <c r="R929" s="286" t="str">
        <f>Controle!R929</f>
        <v/>
      </c>
      <c r="S929" s="286"/>
      <c r="T929" s="286"/>
      <c r="U929" s="286"/>
      <c r="V929" s="286"/>
      <c r="W929" s="286"/>
      <c r="X929" s="286"/>
      <c r="Y929" s="286"/>
      <c r="Z929" s="286"/>
      <c r="AA929" s="294"/>
      <c r="AB929" s="253"/>
      <c r="AC929" s="253"/>
      <c r="AD929" s="253"/>
      <c r="AE929" s="253"/>
      <c r="AF929" s="253"/>
      <c r="AG929" s="253"/>
      <c r="AH929" s="253"/>
      <c r="AI929" s="253"/>
      <c r="AJ929" s="253"/>
      <c r="AK929" s="253"/>
      <c r="AL929" s="253"/>
      <c r="AM929" s="253"/>
      <c r="AN929" s="253"/>
      <c r="AO929" s="253"/>
      <c r="AP929" s="253"/>
      <c r="AQ929" s="253"/>
      <c r="AR929" s="253"/>
      <c r="AS929" s="253"/>
      <c r="AT929" s="2"/>
      <c r="AU929" s="2"/>
      <c r="AV929" s="2"/>
      <c r="AW929" s="2"/>
      <c r="AX929" s="2"/>
      <c r="AY929" s="253"/>
    </row>
    <row r="930" ht="15.75" customHeight="1">
      <c r="A930" s="2"/>
      <c r="B930" s="288" t="str">
        <f>Controle!B930</f>
        <v/>
      </c>
      <c r="C930" s="233" t="str">
        <f>Controle!C930</f>
        <v/>
      </c>
      <c r="D930" s="289" t="str">
        <f>Controle!D930</f>
        <v/>
      </c>
      <c r="E930" s="290"/>
      <c r="F930" s="291" t="str">
        <f>Controle!F930</f>
        <v/>
      </c>
      <c r="G930" s="289" t="str">
        <f>Controle!G930</f>
        <v/>
      </c>
      <c r="H930" s="290"/>
      <c r="I930" s="291" t="str">
        <f>Controle!I930</f>
        <v/>
      </c>
      <c r="J930" s="233" t="str">
        <f>Controle!J930</f>
        <v/>
      </c>
      <c r="K930" s="292"/>
      <c r="L930" s="233" t="str">
        <f>Controle!L930</f>
        <v/>
      </c>
      <c r="M930" s="233" t="str">
        <f>Controle!M930</f>
        <v/>
      </c>
      <c r="N930" s="235" t="str">
        <f>Controle!N930</f>
        <v/>
      </c>
      <c r="O930" s="235" t="str">
        <f>Controle!O930</f>
        <v/>
      </c>
      <c r="P930" s="235" t="str">
        <f>Controle!P930</f>
        <v/>
      </c>
      <c r="Q930" s="235" t="str">
        <f>Controle!Q930</f>
        <v/>
      </c>
      <c r="R930" s="286" t="str">
        <f>Controle!R930</f>
        <v/>
      </c>
      <c r="S930" s="286"/>
      <c r="T930" s="286"/>
      <c r="U930" s="286"/>
      <c r="V930" s="286"/>
      <c r="W930" s="286"/>
      <c r="X930" s="286"/>
      <c r="Y930" s="286"/>
      <c r="Z930" s="286"/>
      <c r="AA930" s="294"/>
      <c r="AB930" s="253"/>
      <c r="AC930" s="253"/>
      <c r="AD930" s="253"/>
      <c r="AE930" s="253"/>
      <c r="AF930" s="253"/>
      <c r="AG930" s="253"/>
      <c r="AH930" s="253"/>
      <c r="AI930" s="253"/>
      <c r="AJ930" s="253"/>
      <c r="AK930" s="253"/>
      <c r="AL930" s="253"/>
      <c r="AM930" s="253"/>
      <c r="AN930" s="253"/>
      <c r="AO930" s="253"/>
      <c r="AP930" s="253"/>
      <c r="AQ930" s="253"/>
      <c r="AR930" s="253"/>
      <c r="AS930" s="253"/>
      <c r="AT930" s="2"/>
      <c r="AU930" s="2"/>
      <c r="AV930" s="2"/>
      <c r="AW930" s="2"/>
      <c r="AX930" s="2"/>
      <c r="AY930" s="253"/>
    </row>
    <row r="931" ht="15.75" customHeight="1">
      <c r="A931" s="2"/>
      <c r="B931" s="288" t="str">
        <f>Controle!B931</f>
        <v/>
      </c>
      <c r="C931" s="233" t="str">
        <f>Controle!C931</f>
        <v/>
      </c>
      <c r="D931" s="289" t="str">
        <f>Controle!D931</f>
        <v/>
      </c>
      <c r="E931" s="290"/>
      <c r="F931" s="291" t="str">
        <f>Controle!F931</f>
        <v/>
      </c>
      <c r="G931" s="289" t="str">
        <f>Controle!G931</f>
        <v/>
      </c>
      <c r="H931" s="290"/>
      <c r="I931" s="291" t="str">
        <f>Controle!I931</f>
        <v/>
      </c>
      <c r="J931" s="233" t="str">
        <f>Controle!J931</f>
        <v/>
      </c>
      <c r="K931" s="292"/>
      <c r="L931" s="233" t="str">
        <f>Controle!L931</f>
        <v/>
      </c>
      <c r="M931" s="233" t="str">
        <f>Controle!M931</f>
        <v/>
      </c>
      <c r="N931" s="235" t="str">
        <f>Controle!N931</f>
        <v/>
      </c>
      <c r="O931" s="235" t="str">
        <f>Controle!O931</f>
        <v/>
      </c>
      <c r="P931" s="235" t="str">
        <f>Controle!P931</f>
        <v/>
      </c>
      <c r="Q931" s="235" t="str">
        <f>Controle!Q931</f>
        <v/>
      </c>
      <c r="R931" s="286" t="str">
        <f>Controle!R931</f>
        <v/>
      </c>
      <c r="S931" s="286"/>
      <c r="T931" s="286"/>
      <c r="U931" s="286"/>
      <c r="V931" s="286"/>
      <c r="W931" s="286"/>
      <c r="X931" s="286"/>
      <c r="Y931" s="286"/>
      <c r="Z931" s="286"/>
      <c r="AA931" s="294"/>
      <c r="AB931" s="253"/>
      <c r="AC931" s="253"/>
      <c r="AD931" s="253"/>
      <c r="AE931" s="253"/>
      <c r="AF931" s="253"/>
      <c r="AG931" s="253"/>
      <c r="AH931" s="253"/>
      <c r="AI931" s="253"/>
      <c r="AJ931" s="253"/>
      <c r="AK931" s="253"/>
      <c r="AL931" s="253"/>
      <c r="AM931" s="253"/>
      <c r="AN931" s="253"/>
      <c r="AO931" s="253"/>
      <c r="AP931" s="253"/>
      <c r="AQ931" s="253"/>
      <c r="AR931" s="253"/>
      <c r="AS931" s="253"/>
      <c r="AT931" s="2"/>
      <c r="AU931" s="2"/>
      <c r="AV931" s="2"/>
      <c r="AW931" s="2"/>
      <c r="AX931" s="2"/>
      <c r="AY931" s="253"/>
    </row>
    <row r="932" ht="15.75" customHeight="1">
      <c r="A932" s="2"/>
      <c r="B932" s="288" t="str">
        <f>Controle!B932</f>
        <v/>
      </c>
      <c r="C932" s="233" t="str">
        <f>Controle!C932</f>
        <v/>
      </c>
      <c r="D932" s="289" t="str">
        <f>Controle!D932</f>
        <v/>
      </c>
      <c r="E932" s="290"/>
      <c r="F932" s="291" t="str">
        <f>Controle!F932</f>
        <v/>
      </c>
      <c r="G932" s="289" t="str">
        <f>Controle!G932</f>
        <v/>
      </c>
      <c r="H932" s="290"/>
      <c r="I932" s="291" t="str">
        <f>Controle!I932</f>
        <v/>
      </c>
      <c r="J932" s="233" t="str">
        <f>Controle!J932</f>
        <v/>
      </c>
      <c r="K932" s="292"/>
      <c r="L932" s="233" t="str">
        <f>Controle!L932</f>
        <v/>
      </c>
      <c r="M932" s="233" t="str">
        <f>Controle!M932</f>
        <v/>
      </c>
      <c r="N932" s="235" t="str">
        <f>Controle!N932</f>
        <v/>
      </c>
      <c r="O932" s="235" t="str">
        <f>Controle!O932</f>
        <v/>
      </c>
      <c r="P932" s="235" t="str">
        <f>Controle!P932</f>
        <v/>
      </c>
      <c r="Q932" s="235" t="str">
        <f>Controle!Q932</f>
        <v/>
      </c>
      <c r="R932" s="286" t="str">
        <f>Controle!R932</f>
        <v/>
      </c>
      <c r="S932" s="286"/>
      <c r="T932" s="286"/>
      <c r="U932" s="286"/>
      <c r="V932" s="286"/>
      <c r="W932" s="286"/>
      <c r="X932" s="286"/>
      <c r="Y932" s="286"/>
      <c r="Z932" s="286"/>
      <c r="AA932" s="294"/>
      <c r="AB932" s="253"/>
      <c r="AC932" s="253"/>
      <c r="AD932" s="253"/>
      <c r="AE932" s="253"/>
      <c r="AF932" s="253"/>
      <c r="AG932" s="253"/>
      <c r="AH932" s="253"/>
      <c r="AI932" s="253"/>
      <c r="AJ932" s="253"/>
      <c r="AK932" s="253"/>
      <c r="AL932" s="253"/>
      <c r="AM932" s="253"/>
      <c r="AN932" s="253"/>
      <c r="AO932" s="253"/>
      <c r="AP932" s="253"/>
      <c r="AQ932" s="253"/>
      <c r="AR932" s="253"/>
      <c r="AS932" s="253"/>
      <c r="AT932" s="2"/>
      <c r="AU932" s="2"/>
      <c r="AV932" s="2"/>
      <c r="AW932" s="2"/>
      <c r="AX932" s="2"/>
      <c r="AY932" s="253"/>
    </row>
    <row r="933" ht="15.75" customHeight="1">
      <c r="A933" s="2"/>
      <c r="B933" s="288" t="str">
        <f>Controle!B933</f>
        <v/>
      </c>
      <c r="C933" s="233" t="str">
        <f>Controle!C933</f>
        <v/>
      </c>
      <c r="D933" s="289" t="str">
        <f>Controle!D933</f>
        <v/>
      </c>
      <c r="E933" s="290"/>
      <c r="F933" s="291" t="str">
        <f>Controle!F933</f>
        <v/>
      </c>
      <c r="G933" s="289" t="str">
        <f>Controle!G933</f>
        <v/>
      </c>
      <c r="H933" s="290"/>
      <c r="I933" s="291" t="str">
        <f>Controle!I933</f>
        <v/>
      </c>
      <c r="J933" s="233" t="str">
        <f>Controle!J933</f>
        <v/>
      </c>
      <c r="K933" s="292"/>
      <c r="L933" s="233" t="str">
        <f>Controle!L933</f>
        <v/>
      </c>
      <c r="M933" s="233" t="str">
        <f>Controle!M933</f>
        <v/>
      </c>
      <c r="N933" s="235" t="str">
        <f>Controle!N933</f>
        <v/>
      </c>
      <c r="O933" s="235" t="str">
        <f>Controle!O933</f>
        <v/>
      </c>
      <c r="P933" s="235" t="str">
        <f>Controle!P933</f>
        <v/>
      </c>
      <c r="Q933" s="235" t="str">
        <f>Controle!Q933</f>
        <v/>
      </c>
      <c r="R933" s="286" t="str">
        <f>Controle!R933</f>
        <v/>
      </c>
      <c r="S933" s="286"/>
      <c r="T933" s="286"/>
      <c r="U933" s="286"/>
      <c r="V933" s="286"/>
      <c r="W933" s="286"/>
      <c r="X933" s="286"/>
      <c r="Y933" s="286"/>
      <c r="Z933" s="286"/>
      <c r="AA933" s="294"/>
      <c r="AB933" s="253"/>
      <c r="AC933" s="253"/>
      <c r="AD933" s="253"/>
      <c r="AE933" s="253"/>
      <c r="AF933" s="253"/>
      <c r="AG933" s="253"/>
      <c r="AH933" s="253"/>
      <c r="AI933" s="253"/>
      <c r="AJ933" s="253"/>
      <c r="AK933" s="253"/>
      <c r="AL933" s="253"/>
      <c r="AM933" s="253"/>
      <c r="AN933" s="253"/>
      <c r="AO933" s="253"/>
      <c r="AP933" s="253"/>
      <c r="AQ933" s="253"/>
      <c r="AR933" s="253"/>
      <c r="AS933" s="253"/>
      <c r="AT933" s="2"/>
      <c r="AU933" s="2"/>
      <c r="AV933" s="2"/>
      <c r="AW933" s="2"/>
      <c r="AX933" s="2"/>
      <c r="AY933" s="253"/>
    </row>
    <row r="934" ht="15.75" customHeight="1">
      <c r="A934" s="2"/>
      <c r="B934" s="288" t="str">
        <f>Controle!B934</f>
        <v/>
      </c>
      <c r="C934" s="233" t="str">
        <f>Controle!C934</f>
        <v/>
      </c>
      <c r="D934" s="289" t="str">
        <f>Controle!D934</f>
        <v/>
      </c>
      <c r="E934" s="290"/>
      <c r="F934" s="291" t="str">
        <f>Controle!F934</f>
        <v/>
      </c>
      <c r="G934" s="289" t="str">
        <f>Controle!G934</f>
        <v/>
      </c>
      <c r="H934" s="290"/>
      <c r="I934" s="291" t="str">
        <f>Controle!I934</f>
        <v/>
      </c>
      <c r="J934" s="233" t="str">
        <f>Controle!J934</f>
        <v/>
      </c>
      <c r="K934" s="292"/>
      <c r="L934" s="233" t="str">
        <f>Controle!L934</f>
        <v/>
      </c>
      <c r="M934" s="233" t="str">
        <f>Controle!M934</f>
        <v/>
      </c>
      <c r="N934" s="235" t="str">
        <f>Controle!N934</f>
        <v/>
      </c>
      <c r="O934" s="235" t="str">
        <f>Controle!O934</f>
        <v/>
      </c>
      <c r="P934" s="235" t="str">
        <f>Controle!P934</f>
        <v/>
      </c>
      <c r="Q934" s="235" t="str">
        <f>Controle!Q934</f>
        <v/>
      </c>
      <c r="R934" s="286" t="str">
        <f>Controle!R934</f>
        <v/>
      </c>
      <c r="S934" s="286"/>
      <c r="T934" s="286"/>
      <c r="U934" s="286"/>
      <c r="V934" s="286"/>
      <c r="W934" s="286"/>
      <c r="X934" s="286"/>
      <c r="Y934" s="286"/>
      <c r="Z934" s="286"/>
      <c r="AA934" s="294"/>
      <c r="AB934" s="253"/>
      <c r="AC934" s="253"/>
      <c r="AD934" s="253"/>
      <c r="AE934" s="253"/>
      <c r="AF934" s="253"/>
      <c r="AG934" s="253"/>
      <c r="AH934" s="253"/>
      <c r="AI934" s="253"/>
      <c r="AJ934" s="253"/>
      <c r="AK934" s="253"/>
      <c r="AL934" s="253"/>
      <c r="AM934" s="253"/>
      <c r="AN934" s="253"/>
      <c r="AO934" s="253"/>
      <c r="AP934" s="253"/>
      <c r="AQ934" s="253"/>
      <c r="AR934" s="253"/>
      <c r="AS934" s="253"/>
      <c r="AT934" s="2"/>
      <c r="AU934" s="2"/>
      <c r="AV934" s="2"/>
      <c r="AW934" s="2"/>
      <c r="AX934" s="2"/>
      <c r="AY934" s="253"/>
    </row>
    <row r="935" ht="15.75" customHeight="1">
      <c r="A935" s="2"/>
      <c r="B935" s="288" t="str">
        <f>Controle!B935</f>
        <v/>
      </c>
      <c r="C935" s="233" t="str">
        <f>Controle!C935</f>
        <v/>
      </c>
      <c r="D935" s="289" t="str">
        <f>Controle!D935</f>
        <v/>
      </c>
      <c r="E935" s="290"/>
      <c r="F935" s="291" t="str">
        <f>Controle!F935</f>
        <v/>
      </c>
      <c r="G935" s="289" t="str">
        <f>Controle!G935</f>
        <v/>
      </c>
      <c r="H935" s="290"/>
      <c r="I935" s="291" t="str">
        <f>Controle!I935</f>
        <v/>
      </c>
      <c r="J935" s="233" t="str">
        <f>Controle!J935</f>
        <v/>
      </c>
      <c r="K935" s="292"/>
      <c r="L935" s="233" t="str">
        <f>Controle!L935</f>
        <v/>
      </c>
      <c r="M935" s="233" t="str">
        <f>Controle!M935</f>
        <v/>
      </c>
      <c r="N935" s="235" t="str">
        <f>Controle!N935</f>
        <v/>
      </c>
      <c r="O935" s="235" t="str">
        <f>Controle!O935</f>
        <v/>
      </c>
      <c r="P935" s="235" t="str">
        <f>Controle!P935</f>
        <v/>
      </c>
      <c r="Q935" s="235" t="str">
        <f>Controle!Q935</f>
        <v/>
      </c>
      <c r="R935" s="286" t="str">
        <f>Controle!R935</f>
        <v/>
      </c>
      <c r="S935" s="286"/>
      <c r="T935" s="286"/>
      <c r="U935" s="286"/>
      <c r="V935" s="286"/>
      <c r="W935" s="286"/>
      <c r="X935" s="286"/>
      <c r="Y935" s="286"/>
      <c r="Z935" s="286"/>
      <c r="AA935" s="294"/>
      <c r="AB935" s="253"/>
      <c r="AC935" s="253"/>
      <c r="AD935" s="253"/>
      <c r="AE935" s="253"/>
      <c r="AF935" s="253"/>
      <c r="AG935" s="253"/>
      <c r="AH935" s="253"/>
      <c r="AI935" s="253"/>
      <c r="AJ935" s="253"/>
      <c r="AK935" s="253"/>
      <c r="AL935" s="253"/>
      <c r="AM935" s="253"/>
      <c r="AN935" s="253"/>
      <c r="AO935" s="253"/>
      <c r="AP935" s="253"/>
      <c r="AQ935" s="253"/>
      <c r="AR935" s="253"/>
      <c r="AS935" s="253"/>
      <c r="AT935" s="2"/>
      <c r="AU935" s="2"/>
      <c r="AV935" s="2"/>
      <c r="AW935" s="2"/>
      <c r="AX935" s="2"/>
      <c r="AY935" s="253"/>
    </row>
    <row r="936" ht="15.75" customHeight="1">
      <c r="A936" s="2"/>
      <c r="B936" s="288" t="str">
        <f>Controle!B936</f>
        <v/>
      </c>
      <c r="C936" s="233" t="str">
        <f>Controle!C936</f>
        <v/>
      </c>
      <c r="D936" s="289" t="str">
        <f>Controle!D936</f>
        <v/>
      </c>
      <c r="E936" s="290"/>
      <c r="F936" s="291" t="str">
        <f>Controle!F936</f>
        <v/>
      </c>
      <c r="G936" s="289" t="str">
        <f>Controle!G936</f>
        <v/>
      </c>
      <c r="H936" s="290"/>
      <c r="I936" s="291" t="str">
        <f>Controle!I936</f>
        <v/>
      </c>
      <c r="J936" s="233" t="str">
        <f>Controle!J936</f>
        <v/>
      </c>
      <c r="K936" s="292"/>
      <c r="L936" s="233" t="str">
        <f>Controle!L936</f>
        <v/>
      </c>
      <c r="M936" s="233" t="str">
        <f>Controle!M936</f>
        <v/>
      </c>
      <c r="N936" s="235" t="str">
        <f>Controle!N936</f>
        <v/>
      </c>
      <c r="O936" s="235" t="str">
        <f>Controle!O936</f>
        <v/>
      </c>
      <c r="P936" s="235" t="str">
        <f>Controle!P936</f>
        <v/>
      </c>
      <c r="Q936" s="235" t="str">
        <f>Controle!Q936</f>
        <v/>
      </c>
      <c r="R936" s="286" t="str">
        <f>Controle!R936</f>
        <v/>
      </c>
      <c r="S936" s="286"/>
      <c r="T936" s="286"/>
      <c r="U936" s="286"/>
      <c r="V936" s="286"/>
      <c r="W936" s="286"/>
      <c r="X936" s="286"/>
      <c r="Y936" s="286"/>
      <c r="Z936" s="286"/>
      <c r="AA936" s="294"/>
      <c r="AB936" s="253"/>
      <c r="AC936" s="253"/>
      <c r="AD936" s="253"/>
      <c r="AE936" s="253"/>
      <c r="AF936" s="253"/>
      <c r="AG936" s="253"/>
      <c r="AH936" s="253"/>
      <c r="AI936" s="253"/>
      <c r="AJ936" s="253"/>
      <c r="AK936" s="253"/>
      <c r="AL936" s="253"/>
      <c r="AM936" s="253"/>
      <c r="AN936" s="253"/>
      <c r="AO936" s="253"/>
      <c r="AP936" s="253"/>
      <c r="AQ936" s="253"/>
      <c r="AR936" s="253"/>
      <c r="AS936" s="253"/>
      <c r="AT936" s="2"/>
      <c r="AU936" s="2"/>
      <c r="AV936" s="2"/>
      <c r="AW936" s="2"/>
      <c r="AX936" s="2"/>
      <c r="AY936" s="253"/>
    </row>
    <row r="937" ht="15.75" customHeight="1">
      <c r="A937" s="2"/>
      <c r="B937" s="288" t="str">
        <f>Controle!B937</f>
        <v/>
      </c>
      <c r="C937" s="233" t="str">
        <f>Controle!C937</f>
        <v/>
      </c>
      <c r="D937" s="289" t="str">
        <f>Controle!D937</f>
        <v/>
      </c>
      <c r="E937" s="290"/>
      <c r="F937" s="291" t="str">
        <f>Controle!F937</f>
        <v/>
      </c>
      <c r="G937" s="289" t="str">
        <f>Controle!G937</f>
        <v/>
      </c>
      <c r="H937" s="290"/>
      <c r="I937" s="291" t="str">
        <f>Controle!I937</f>
        <v/>
      </c>
      <c r="J937" s="233" t="str">
        <f>Controle!J937</f>
        <v/>
      </c>
      <c r="K937" s="292"/>
      <c r="L937" s="233" t="str">
        <f>Controle!L937</f>
        <v/>
      </c>
      <c r="M937" s="233" t="str">
        <f>Controle!M937</f>
        <v/>
      </c>
      <c r="N937" s="235" t="str">
        <f>Controle!N937</f>
        <v/>
      </c>
      <c r="O937" s="235" t="str">
        <f>Controle!O937</f>
        <v/>
      </c>
      <c r="P937" s="235" t="str">
        <f>Controle!P937</f>
        <v/>
      </c>
      <c r="Q937" s="235" t="str">
        <f>Controle!Q937</f>
        <v/>
      </c>
      <c r="R937" s="286" t="str">
        <f>Controle!R937</f>
        <v/>
      </c>
      <c r="S937" s="286"/>
      <c r="T937" s="286"/>
      <c r="U937" s="286"/>
      <c r="V937" s="286"/>
      <c r="W937" s="286"/>
      <c r="X937" s="286"/>
      <c r="Y937" s="286"/>
      <c r="Z937" s="286"/>
      <c r="AA937" s="294"/>
      <c r="AB937" s="253"/>
      <c r="AC937" s="253"/>
      <c r="AD937" s="253"/>
      <c r="AE937" s="253"/>
      <c r="AF937" s="253"/>
      <c r="AG937" s="253"/>
      <c r="AH937" s="253"/>
      <c r="AI937" s="253"/>
      <c r="AJ937" s="253"/>
      <c r="AK937" s="253"/>
      <c r="AL937" s="253"/>
      <c r="AM937" s="253"/>
      <c r="AN937" s="253"/>
      <c r="AO937" s="253"/>
      <c r="AP937" s="253"/>
      <c r="AQ937" s="253"/>
      <c r="AR937" s="253"/>
      <c r="AS937" s="253"/>
      <c r="AT937" s="2"/>
      <c r="AU937" s="2"/>
      <c r="AV937" s="2"/>
      <c r="AW937" s="2"/>
      <c r="AX937" s="2"/>
      <c r="AY937" s="253"/>
    </row>
    <row r="938" ht="15.75" customHeight="1">
      <c r="A938" s="2"/>
      <c r="B938" s="288" t="str">
        <f>Controle!B938</f>
        <v/>
      </c>
      <c r="C938" s="233" t="str">
        <f>Controle!C938</f>
        <v/>
      </c>
      <c r="D938" s="289" t="str">
        <f>Controle!D938</f>
        <v/>
      </c>
      <c r="E938" s="290"/>
      <c r="F938" s="291" t="str">
        <f>Controle!F938</f>
        <v/>
      </c>
      <c r="G938" s="289" t="str">
        <f>Controle!G938</f>
        <v/>
      </c>
      <c r="H938" s="290"/>
      <c r="I938" s="291" t="str">
        <f>Controle!I938</f>
        <v/>
      </c>
      <c r="J938" s="233" t="str">
        <f>Controle!J938</f>
        <v/>
      </c>
      <c r="K938" s="292"/>
      <c r="L938" s="233" t="str">
        <f>Controle!L938</f>
        <v/>
      </c>
      <c r="M938" s="233" t="str">
        <f>Controle!M938</f>
        <v/>
      </c>
      <c r="N938" s="235" t="str">
        <f>Controle!N938</f>
        <v/>
      </c>
      <c r="O938" s="235" t="str">
        <f>Controle!O938</f>
        <v/>
      </c>
      <c r="P938" s="235" t="str">
        <f>Controle!P938</f>
        <v/>
      </c>
      <c r="Q938" s="235" t="str">
        <f>Controle!Q938</f>
        <v/>
      </c>
      <c r="R938" s="286" t="str">
        <f>Controle!R938</f>
        <v/>
      </c>
      <c r="S938" s="286"/>
      <c r="T938" s="286"/>
      <c r="U938" s="286"/>
      <c r="V938" s="286"/>
      <c r="W938" s="286"/>
      <c r="X938" s="286"/>
      <c r="Y938" s="286"/>
      <c r="Z938" s="286"/>
      <c r="AA938" s="294"/>
      <c r="AB938" s="253"/>
      <c r="AC938" s="253"/>
      <c r="AD938" s="253"/>
      <c r="AE938" s="253"/>
      <c r="AF938" s="253"/>
      <c r="AG938" s="253"/>
      <c r="AH938" s="253"/>
      <c r="AI938" s="253"/>
      <c r="AJ938" s="253"/>
      <c r="AK938" s="253"/>
      <c r="AL938" s="253"/>
      <c r="AM938" s="253"/>
      <c r="AN938" s="253"/>
      <c r="AO938" s="253"/>
      <c r="AP938" s="253"/>
      <c r="AQ938" s="253"/>
      <c r="AR938" s="253"/>
      <c r="AS938" s="253"/>
      <c r="AT938" s="2"/>
      <c r="AU938" s="2"/>
      <c r="AV938" s="2"/>
      <c r="AW938" s="2"/>
      <c r="AX938" s="2"/>
      <c r="AY938" s="253"/>
    </row>
    <row r="939" ht="15.75" customHeight="1">
      <c r="A939" s="2"/>
      <c r="B939" s="288" t="str">
        <f>Controle!B939</f>
        <v/>
      </c>
      <c r="C939" s="233" t="str">
        <f>Controle!C939</f>
        <v/>
      </c>
      <c r="D939" s="289" t="str">
        <f>Controle!D939</f>
        <v/>
      </c>
      <c r="E939" s="290"/>
      <c r="F939" s="291" t="str">
        <f>Controle!F939</f>
        <v/>
      </c>
      <c r="G939" s="289" t="str">
        <f>Controle!G939</f>
        <v/>
      </c>
      <c r="H939" s="290"/>
      <c r="I939" s="291" t="str">
        <f>Controle!I939</f>
        <v/>
      </c>
      <c r="J939" s="233" t="str">
        <f>Controle!J939</f>
        <v/>
      </c>
      <c r="K939" s="292"/>
      <c r="L939" s="233" t="str">
        <f>Controle!L939</f>
        <v/>
      </c>
      <c r="M939" s="233" t="str">
        <f>Controle!M939</f>
        <v/>
      </c>
      <c r="N939" s="235" t="str">
        <f>Controle!N939</f>
        <v/>
      </c>
      <c r="O939" s="235" t="str">
        <f>Controle!O939</f>
        <v/>
      </c>
      <c r="P939" s="235" t="str">
        <f>Controle!P939</f>
        <v/>
      </c>
      <c r="Q939" s="235" t="str">
        <f>Controle!Q939</f>
        <v/>
      </c>
      <c r="R939" s="286" t="str">
        <f>Controle!R939</f>
        <v/>
      </c>
      <c r="S939" s="286"/>
      <c r="T939" s="286"/>
      <c r="U939" s="286"/>
      <c r="V939" s="286"/>
      <c r="W939" s="286"/>
      <c r="X939" s="286"/>
      <c r="Y939" s="286"/>
      <c r="Z939" s="286"/>
      <c r="AA939" s="294"/>
      <c r="AB939" s="253"/>
      <c r="AC939" s="253"/>
      <c r="AD939" s="253"/>
      <c r="AE939" s="253"/>
      <c r="AF939" s="253"/>
      <c r="AG939" s="253"/>
      <c r="AH939" s="253"/>
      <c r="AI939" s="253"/>
      <c r="AJ939" s="253"/>
      <c r="AK939" s="253"/>
      <c r="AL939" s="253"/>
      <c r="AM939" s="253"/>
      <c r="AN939" s="253"/>
      <c r="AO939" s="253"/>
      <c r="AP939" s="253"/>
      <c r="AQ939" s="253"/>
      <c r="AR939" s="253"/>
      <c r="AS939" s="253"/>
      <c r="AT939" s="2"/>
      <c r="AU939" s="2"/>
      <c r="AV939" s="2"/>
      <c r="AW939" s="2"/>
      <c r="AX939" s="2"/>
      <c r="AY939" s="253"/>
    </row>
    <row r="940" ht="15.75" customHeight="1">
      <c r="A940" s="2"/>
      <c r="B940" s="288" t="str">
        <f>Controle!B940</f>
        <v/>
      </c>
      <c r="C940" s="233" t="str">
        <f>Controle!C940</f>
        <v/>
      </c>
      <c r="D940" s="289" t="str">
        <f>Controle!D940</f>
        <v/>
      </c>
      <c r="E940" s="290"/>
      <c r="F940" s="291" t="str">
        <f>Controle!F940</f>
        <v/>
      </c>
      <c r="G940" s="289" t="str">
        <f>Controle!G940</f>
        <v/>
      </c>
      <c r="H940" s="290"/>
      <c r="I940" s="291" t="str">
        <f>Controle!I940</f>
        <v/>
      </c>
      <c r="J940" s="233" t="str">
        <f>Controle!J940</f>
        <v/>
      </c>
      <c r="K940" s="292"/>
      <c r="L940" s="233" t="str">
        <f>Controle!L940</f>
        <v/>
      </c>
      <c r="M940" s="233" t="str">
        <f>Controle!M940</f>
        <v/>
      </c>
      <c r="N940" s="235" t="str">
        <f>Controle!N940</f>
        <v/>
      </c>
      <c r="O940" s="235" t="str">
        <f>Controle!O940</f>
        <v/>
      </c>
      <c r="P940" s="235" t="str">
        <f>Controle!P940</f>
        <v/>
      </c>
      <c r="Q940" s="235" t="str">
        <f>Controle!Q940</f>
        <v/>
      </c>
      <c r="R940" s="286" t="str">
        <f>Controle!R940</f>
        <v/>
      </c>
      <c r="S940" s="286"/>
      <c r="T940" s="286"/>
      <c r="U940" s="286"/>
      <c r="V940" s="286"/>
      <c r="W940" s="286"/>
      <c r="X940" s="286"/>
      <c r="Y940" s="286"/>
      <c r="Z940" s="286"/>
      <c r="AA940" s="294"/>
      <c r="AB940" s="253"/>
      <c r="AC940" s="253"/>
      <c r="AD940" s="253"/>
      <c r="AE940" s="253"/>
      <c r="AF940" s="253"/>
      <c r="AG940" s="253"/>
      <c r="AH940" s="253"/>
      <c r="AI940" s="253"/>
      <c r="AJ940" s="253"/>
      <c r="AK940" s="253"/>
      <c r="AL940" s="253"/>
      <c r="AM940" s="253"/>
      <c r="AN940" s="253"/>
      <c r="AO940" s="253"/>
      <c r="AP940" s="253"/>
      <c r="AQ940" s="253"/>
      <c r="AR940" s="253"/>
      <c r="AS940" s="253"/>
      <c r="AT940" s="2"/>
      <c r="AU940" s="2"/>
      <c r="AV940" s="2"/>
      <c r="AW940" s="2"/>
      <c r="AX940" s="2"/>
      <c r="AY940" s="253"/>
    </row>
    <row r="941" ht="15.75" customHeight="1">
      <c r="A941" s="2"/>
      <c r="B941" s="288" t="str">
        <f>Controle!B941</f>
        <v/>
      </c>
      <c r="C941" s="233" t="str">
        <f>Controle!C941</f>
        <v/>
      </c>
      <c r="D941" s="289" t="str">
        <f>Controle!D941</f>
        <v/>
      </c>
      <c r="E941" s="290"/>
      <c r="F941" s="291" t="str">
        <f>Controle!F941</f>
        <v/>
      </c>
      <c r="G941" s="289" t="str">
        <f>Controle!G941</f>
        <v/>
      </c>
      <c r="H941" s="290"/>
      <c r="I941" s="291" t="str">
        <f>Controle!I941</f>
        <v/>
      </c>
      <c r="J941" s="233" t="str">
        <f>Controle!J941</f>
        <v/>
      </c>
      <c r="K941" s="292"/>
      <c r="L941" s="233" t="str">
        <f>Controle!L941</f>
        <v/>
      </c>
      <c r="M941" s="233" t="str">
        <f>Controle!M941</f>
        <v/>
      </c>
      <c r="N941" s="235" t="str">
        <f>Controle!N941</f>
        <v/>
      </c>
      <c r="O941" s="235" t="str">
        <f>Controle!O941</f>
        <v/>
      </c>
      <c r="P941" s="235" t="str">
        <f>Controle!P941</f>
        <v/>
      </c>
      <c r="Q941" s="235" t="str">
        <f>Controle!Q941</f>
        <v/>
      </c>
      <c r="R941" s="286" t="str">
        <f>Controle!R941</f>
        <v/>
      </c>
      <c r="S941" s="286"/>
      <c r="T941" s="286"/>
      <c r="U941" s="286"/>
      <c r="V941" s="286"/>
      <c r="W941" s="286"/>
      <c r="X941" s="286"/>
      <c r="Y941" s="286"/>
      <c r="Z941" s="286"/>
      <c r="AA941" s="294"/>
      <c r="AB941" s="253"/>
      <c r="AC941" s="253"/>
      <c r="AD941" s="253"/>
      <c r="AE941" s="253"/>
      <c r="AF941" s="253"/>
      <c r="AG941" s="253"/>
      <c r="AH941" s="253"/>
      <c r="AI941" s="253"/>
      <c r="AJ941" s="253"/>
      <c r="AK941" s="253"/>
      <c r="AL941" s="253"/>
      <c r="AM941" s="253"/>
      <c r="AN941" s="253"/>
      <c r="AO941" s="253"/>
      <c r="AP941" s="253"/>
      <c r="AQ941" s="253"/>
      <c r="AR941" s="253"/>
      <c r="AS941" s="253"/>
      <c r="AT941" s="2"/>
      <c r="AU941" s="2"/>
      <c r="AV941" s="2"/>
      <c r="AW941" s="2"/>
      <c r="AX941" s="2"/>
      <c r="AY941" s="253"/>
    </row>
    <row r="942" ht="15.75" customHeight="1">
      <c r="A942" s="2"/>
      <c r="B942" s="288" t="str">
        <f>Controle!B942</f>
        <v/>
      </c>
      <c r="C942" s="233" t="str">
        <f>Controle!C942</f>
        <v/>
      </c>
      <c r="D942" s="289" t="str">
        <f>Controle!D942</f>
        <v/>
      </c>
      <c r="E942" s="290"/>
      <c r="F942" s="291" t="str">
        <f>Controle!F942</f>
        <v/>
      </c>
      <c r="G942" s="289" t="str">
        <f>Controle!G942</f>
        <v/>
      </c>
      <c r="H942" s="290"/>
      <c r="I942" s="291" t="str">
        <f>Controle!I942</f>
        <v/>
      </c>
      <c r="J942" s="233" t="str">
        <f>Controle!J942</f>
        <v/>
      </c>
      <c r="K942" s="292"/>
      <c r="L942" s="233" t="str">
        <f>Controle!L942</f>
        <v/>
      </c>
      <c r="M942" s="233" t="str">
        <f>Controle!M942</f>
        <v/>
      </c>
      <c r="N942" s="235" t="str">
        <f>Controle!N942</f>
        <v/>
      </c>
      <c r="O942" s="235" t="str">
        <f>Controle!O942</f>
        <v/>
      </c>
      <c r="P942" s="235" t="str">
        <f>Controle!P942</f>
        <v/>
      </c>
      <c r="Q942" s="235" t="str">
        <f>Controle!Q942</f>
        <v/>
      </c>
      <c r="R942" s="286" t="str">
        <f>Controle!R942</f>
        <v/>
      </c>
      <c r="S942" s="286"/>
      <c r="T942" s="286"/>
      <c r="U942" s="286"/>
      <c r="V942" s="286"/>
      <c r="W942" s="286"/>
      <c r="X942" s="286"/>
      <c r="Y942" s="286"/>
      <c r="Z942" s="286"/>
      <c r="AA942" s="294"/>
      <c r="AB942" s="253"/>
      <c r="AC942" s="253"/>
      <c r="AD942" s="253"/>
      <c r="AE942" s="253"/>
      <c r="AF942" s="253"/>
      <c r="AG942" s="253"/>
      <c r="AH942" s="253"/>
      <c r="AI942" s="253"/>
      <c r="AJ942" s="253"/>
      <c r="AK942" s="253"/>
      <c r="AL942" s="253"/>
      <c r="AM942" s="253"/>
      <c r="AN942" s="253"/>
      <c r="AO942" s="253"/>
      <c r="AP942" s="253"/>
      <c r="AQ942" s="253"/>
      <c r="AR942" s="253"/>
      <c r="AS942" s="253"/>
      <c r="AT942" s="2"/>
      <c r="AU942" s="2"/>
      <c r="AV942" s="2"/>
      <c r="AW942" s="2"/>
      <c r="AX942" s="2"/>
      <c r="AY942" s="253"/>
    </row>
    <row r="943" ht="15.75" customHeight="1">
      <c r="A943" s="2"/>
      <c r="B943" s="288" t="str">
        <f>Controle!B943</f>
        <v/>
      </c>
      <c r="C943" s="233" t="str">
        <f>Controle!C943</f>
        <v/>
      </c>
      <c r="D943" s="289" t="str">
        <f>Controle!D943</f>
        <v/>
      </c>
      <c r="E943" s="290"/>
      <c r="F943" s="291" t="str">
        <f>Controle!F943</f>
        <v/>
      </c>
      <c r="G943" s="289" t="str">
        <f>Controle!G943</f>
        <v/>
      </c>
      <c r="H943" s="290"/>
      <c r="I943" s="291" t="str">
        <f>Controle!I943</f>
        <v/>
      </c>
      <c r="J943" s="233" t="str">
        <f>Controle!J943</f>
        <v/>
      </c>
      <c r="K943" s="292"/>
      <c r="L943" s="233" t="str">
        <f>Controle!L943</f>
        <v/>
      </c>
      <c r="M943" s="233" t="str">
        <f>Controle!M943</f>
        <v/>
      </c>
      <c r="N943" s="235" t="str">
        <f>Controle!N943</f>
        <v/>
      </c>
      <c r="O943" s="235" t="str">
        <f>Controle!O943</f>
        <v/>
      </c>
      <c r="P943" s="235" t="str">
        <f>Controle!P943</f>
        <v/>
      </c>
      <c r="Q943" s="235" t="str">
        <f>Controle!Q943</f>
        <v/>
      </c>
      <c r="R943" s="286" t="str">
        <f>Controle!R943</f>
        <v/>
      </c>
      <c r="S943" s="286"/>
      <c r="T943" s="286"/>
      <c r="U943" s="286"/>
      <c r="V943" s="286"/>
      <c r="W943" s="286"/>
      <c r="X943" s="286"/>
      <c r="Y943" s="286"/>
      <c r="Z943" s="286"/>
      <c r="AA943" s="294"/>
      <c r="AB943" s="253"/>
      <c r="AC943" s="253"/>
      <c r="AD943" s="253"/>
      <c r="AE943" s="253"/>
      <c r="AF943" s="253"/>
      <c r="AG943" s="253"/>
      <c r="AH943" s="253"/>
      <c r="AI943" s="253"/>
      <c r="AJ943" s="253"/>
      <c r="AK943" s="253"/>
      <c r="AL943" s="253"/>
      <c r="AM943" s="253"/>
      <c r="AN943" s="253"/>
      <c r="AO943" s="253"/>
      <c r="AP943" s="253"/>
      <c r="AQ943" s="253"/>
      <c r="AR943" s="253"/>
      <c r="AS943" s="253"/>
      <c r="AT943" s="2"/>
      <c r="AU943" s="2"/>
      <c r="AV943" s="2"/>
      <c r="AW943" s="2"/>
      <c r="AX943" s="2"/>
      <c r="AY943" s="253"/>
    </row>
    <row r="944" ht="15.75" customHeight="1">
      <c r="A944" s="2"/>
      <c r="B944" s="288" t="str">
        <f>Controle!B944</f>
        <v/>
      </c>
      <c r="C944" s="233" t="str">
        <f>Controle!C944</f>
        <v/>
      </c>
      <c r="D944" s="289" t="str">
        <f>Controle!D944</f>
        <v/>
      </c>
      <c r="E944" s="290"/>
      <c r="F944" s="291" t="str">
        <f>Controle!F944</f>
        <v/>
      </c>
      <c r="G944" s="289" t="str">
        <f>Controle!G944</f>
        <v/>
      </c>
      <c r="H944" s="290"/>
      <c r="I944" s="291" t="str">
        <f>Controle!I944</f>
        <v/>
      </c>
      <c r="J944" s="233" t="str">
        <f>Controle!J944</f>
        <v/>
      </c>
      <c r="K944" s="292"/>
      <c r="L944" s="233" t="str">
        <f>Controle!L944</f>
        <v/>
      </c>
      <c r="M944" s="233" t="str">
        <f>Controle!M944</f>
        <v/>
      </c>
      <c r="N944" s="235" t="str">
        <f>Controle!N944</f>
        <v/>
      </c>
      <c r="O944" s="235" t="str">
        <f>Controle!O944</f>
        <v/>
      </c>
      <c r="P944" s="235" t="str">
        <f>Controle!P944</f>
        <v/>
      </c>
      <c r="Q944" s="235" t="str">
        <f>Controle!Q944</f>
        <v/>
      </c>
      <c r="R944" s="286" t="str">
        <f>Controle!R944</f>
        <v/>
      </c>
      <c r="S944" s="286"/>
      <c r="T944" s="286"/>
      <c r="U944" s="286"/>
      <c r="V944" s="286"/>
      <c r="W944" s="286"/>
      <c r="X944" s="286"/>
      <c r="Y944" s="286"/>
      <c r="Z944" s="286"/>
      <c r="AA944" s="294"/>
      <c r="AB944" s="253"/>
      <c r="AC944" s="253"/>
      <c r="AD944" s="253"/>
      <c r="AE944" s="253"/>
      <c r="AF944" s="253"/>
      <c r="AG944" s="253"/>
      <c r="AH944" s="253"/>
      <c r="AI944" s="253"/>
      <c r="AJ944" s="253"/>
      <c r="AK944" s="253"/>
      <c r="AL944" s="253"/>
      <c r="AM944" s="253"/>
      <c r="AN944" s="253"/>
      <c r="AO944" s="253"/>
      <c r="AP944" s="253"/>
      <c r="AQ944" s="253"/>
      <c r="AR944" s="253"/>
      <c r="AS944" s="253"/>
      <c r="AT944" s="2"/>
      <c r="AU944" s="2"/>
      <c r="AV944" s="2"/>
      <c r="AW944" s="2"/>
      <c r="AX944" s="2"/>
      <c r="AY944" s="253"/>
    </row>
    <row r="945" ht="15.75" customHeight="1">
      <c r="A945" s="2"/>
      <c r="B945" s="288" t="str">
        <f>Controle!B945</f>
        <v/>
      </c>
      <c r="C945" s="233" t="str">
        <f>Controle!C945</f>
        <v/>
      </c>
      <c r="D945" s="289" t="str">
        <f>Controle!D945</f>
        <v/>
      </c>
      <c r="E945" s="290"/>
      <c r="F945" s="291" t="str">
        <f>Controle!F945</f>
        <v/>
      </c>
      <c r="G945" s="289" t="str">
        <f>Controle!G945</f>
        <v/>
      </c>
      <c r="H945" s="290"/>
      <c r="I945" s="291" t="str">
        <f>Controle!I945</f>
        <v/>
      </c>
      <c r="J945" s="233" t="str">
        <f>Controle!J945</f>
        <v/>
      </c>
      <c r="K945" s="292"/>
      <c r="L945" s="233" t="str">
        <f>Controle!L945</f>
        <v/>
      </c>
      <c r="M945" s="233" t="str">
        <f>Controle!M945</f>
        <v/>
      </c>
      <c r="N945" s="235" t="str">
        <f>Controle!N945</f>
        <v/>
      </c>
      <c r="O945" s="235" t="str">
        <f>Controle!O945</f>
        <v/>
      </c>
      <c r="P945" s="235" t="str">
        <f>Controle!P945</f>
        <v/>
      </c>
      <c r="Q945" s="235" t="str">
        <f>Controle!Q945</f>
        <v/>
      </c>
      <c r="R945" s="286" t="str">
        <f>Controle!R945</f>
        <v/>
      </c>
      <c r="S945" s="286"/>
      <c r="T945" s="286"/>
      <c r="U945" s="286"/>
      <c r="V945" s="286"/>
      <c r="W945" s="286"/>
      <c r="X945" s="286"/>
      <c r="Y945" s="286"/>
      <c r="Z945" s="286"/>
      <c r="AA945" s="294"/>
      <c r="AB945" s="253"/>
      <c r="AC945" s="253"/>
      <c r="AD945" s="253"/>
      <c r="AE945" s="253"/>
      <c r="AF945" s="253"/>
      <c r="AG945" s="253"/>
      <c r="AH945" s="253"/>
      <c r="AI945" s="253"/>
      <c r="AJ945" s="253"/>
      <c r="AK945" s="253"/>
      <c r="AL945" s="253"/>
      <c r="AM945" s="253"/>
      <c r="AN945" s="253"/>
      <c r="AO945" s="253"/>
      <c r="AP945" s="253"/>
      <c r="AQ945" s="253"/>
      <c r="AR945" s="253"/>
      <c r="AS945" s="253"/>
      <c r="AT945" s="2"/>
      <c r="AU945" s="2"/>
      <c r="AV945" s="2"/>
      <c r="AW945" s="2"/>
      <c r="AX945" s="2"/>
      <c r="AY945" s="253"/>
    </row>
    <row r="946" ht="15.75" customHeight="1">
      <c r="A946" s="2"/>
      <c r="B946" s="288" t="str">
        <f>Controle!B946</f>
        <v/>
      </c>
      <c r="C946" s="233" t="str">
        <f>Controle!C946</f>
        <v/>
      </c>
      <c r="D946" s="289" t="str">
        <f>Controle!D946</f>
        <v/>
      </c>
      <c r="E946" s="290"/>
      <c r="F946" s="291" t="str">
        <f>Controle!F946</f>
        <v/>
      </c>
      <c r="G946" s="289" t="str">
        <f>Controle!G946</f>
        <v/>
      </c>
      <c r="H946" s="290"/>
      <c r="I946" s="291" t="str">
        <f>Controle!I946</f>
        <v/>
      </c>
      <c r="J946" s="233" t="str">
        <f>Controle!J946</f>
        <v/>
      </c>
      <c r="K946" s="292"/>
      <c r="L946" s="233" t="str">
        <f>Controle!L946</f>
        <v/>
      </c>
      <c r="M946" s="233" t="str">
        <f>Controle!M946</f>
        <v/>
      </c>
      <c r="N946" s="235" t="str">
        <f>Controle!N946</f>
        <v/>
      </c>
      <c r="O946" s="235" t="str">
        <f>Controle!O946</f>
        <v/>
      </c>
      <c r="P946" s="235" t="str">
        <f>Controle!P946</f>
        <v/>
      </c>
      <c r="Q946" s="235" t="str">
        <f>Controle!Q946</f>
        <v/>
      </c>
      <c r="R946" s="286" t="str">
        <f>Controle!R946</f>
        <v/>
      </c>
      <c r="S946" s="286"/>
      <c r="T946" s="286"/>
      <c r="U946" s="286"/>
      <c r="V946" s="286"/>
      <c r="W946" s="286"/>
      <c r="X946" s="286"/>
      <c r="Y946" s="286"/>
      <c r="Z946" s="286"/>
      <c r="AA946" s="294"/>
      <c r="AB946" s="253"/>
      <c r="AC946" s="253"/>
      <c r="AD946" s="253"/>
      <c r="AE946" s="253"/>
      <c r="AF946" s="253"/>
      <c r="AG946" s="253"/>
      <c r="AH946" s="253"/>
      <c r="AI946" s="253"/>
      <c r="AJ946" s="253"/>
      <c r="AK946" s="253"/>
      <c r="AL946" s="253"/>
      <c r="AM946" s="253"/>
      <c r="AN946" s="253"/>
      <c r="AO946" s="253"/>
      <c r="AP946" s="253"/>
      <c r="AQ946" s="253"/>
      <c r="AR946" s="253"/>
      <c r="AS946" s="253"/>
      <c r="AT946" s="2"/>
      <c r="AU946" s="2"/>
      <c r="AV946" s="2"/>
      <c r="AW946" s="2"/>
      <c r="AX946" s="2"/>
      <c r="AY946" s="253"/>
    </row>
    <row r="947" ht="15.75" customHeight="1">
      <c r="A947" s="2"/>
      <c r="B947" s="288" t="str">
        <f>Controle!B947</f>
        <v/>
      </c>
      <c r="C947" s="233" t="str">
        <f>Controle!C947</f>
        <v/>
      </c>
      <c r="D947" s="289" t="str">
        <f>Controle!D947</f>
        <v/>
      </c>
      <c r="E947" s="290"/>
      <c r="F947" s="291" t="str">
        <f>Controle!F947</f>
        <v/>
      </c>
      <c r="G947" s="289" t="str">
        <f>Controle!G947</f>
        <v/>
      </c>
      <c r="H947" s="290"/>
      <c r="I947" s="291" t="str">
        <f>Controle!I947</f>
        <v/>
      </c>
      <c r="J947" s="233" t="str">
        <f>Controle!J947</f>
        <v/>
      </c>
      <c r="K947" s="292"/>
      <c r="L947" s="233" t="str">
        <f>Controle!L947</f>
        <v/>
      </c>
      <c r="M947" s="233" t="str">
        <f>Controle!M947</f>
        <v/>
      </c>
      <c r="N947" s="235" t="str">
        <f>Controle!N947</f>
        <v/>
      </c>
      <c r="O947" s="235" t="str">
        <f>Controle!O947</f>
        <v/>
      </c>
      <c r="P947" s="235" t="str">
        <f>Controle!P947</f>
        <v/>
      </c>
      <c r="Q947" s="235" t="str">
        <f>Controle!Q947</f>
        <v/>
      </c>
      <c r="R947" s="286" t="str">
        <f>Controle!R947</f>
        <v/>
      </c>
      <c r="S947" s="286"/>
      <c r="T947" s="286"/>
      <c r="U947" s="286"/>
      <c r="V947" s="286"/>
      <c r="W947" s="286"/>
      <c r="X947" s="286"/>
      <c r="Y947" s="286"/>
      <c r="Z947" s="286"/>
      <c r="AA947" s="294"/>
      <c r="AB947" s="253"/>
      <c r="AC947" s="253"/>
      <c r="AD947" s="253"/>
      <c r="AE947" s="253"/>
      <c r="AF947" s="253"/>
      <c r="AG947" s="253"/>
      <c r="AH947" s="253"/>
      <c r="AI947" s="253"/>
      <c r="AJ947" s="253"/>
      <c r="AK947" s="253"/>
      <c r="AL947" s="253"/>
      <c r="AM947" s="253"/>
      <c r="AN947" s="253"/>
      <c r="AO947" s="253"/>
      <c r="AP947" s="253"/>
      <c r="AQ947" s="253"/>
      <c r="AR947" s="253"/>
      <c r="AS947" s="253"/>
      <c r="AT947" s="2"/>
      <c r="AU947" s="2"/>
      <c r="AV947" s="2"/>
      <c r="AW947" s="2"/>
      <c r="AX947" s="2"/>
      <c r="AY947" s="253"/>
    </row>
    <row r="948" ht="15.75" customHeight="1">
      <c r="A948" s="2"/>
      <c r="B948" s="288" t="str">
        <f>Controle!B948</f>
        <v/>
      </c>
      <c r="C948" s="233" t="str">
        <f>Controle!C948</f>
        <v/>
      </c>
      <c r="D948" s="289" t="str">
        <f>Controle!D948</f>
        <v/>
      </c>
      <c r="E948" s="290"/>
      <c r="F948" s="291" t="str">
        <f>Controle!F948</f>
        <v/>
      </c>
      <c r="G948" s="289" t="str">
        <f>Controle!G948</f>
        <v/>
      </c>
      <c r="H948" s="290"/>
      <c r="I948" s="291" t="str">
        <f>Controle!I948</f>
        <v/>
      </c>
      <c r="J948" s="233" t="str">
        <f>Controle!J948</f>
        <v/>
      </c>
      <c r="K948" s="292"/>
      <c r="L948" s="233" t="str">
        <f>Controle!L948</f>
        <v/>
      </c>
      <c r="M948" s="233" t="str">
        <f>Controle!M948</f>
        <v/>
      </c>
      <c r="N948" s="235" t="str">
        <f>Controle!N948</f>
        <v/>
      </c>
      <c r="O948" s="235" t="str">
        <f>Controle!O948</f>
        <v/>
      </c>
      <c r="P948" s="235" t="str">
        <f>Controle!P948</f>
        <v/>
      </c>
      <c r="Q948" s="235" t="str">
        <f>Controle!Q948</f>
        <v/>
      </c>
      <c r="R948" s="286" t="str">
        <f>Controle!R948</f>
        <v/>
      </c>
      <c r="S948" s="286"/>
      <c r="T948" s="286"/>
      <c r="U948" s="286"/>
      <c r="V948" s="286"/>
      <c r="W948" s="286"/>
      <c r="X948" s="286"/>
      <c r="Y948" s="286"/>
      <c r="Z948" s="286"/>
      <c r="AA948" s="294"/>
      <c r="AB948" s="253"/>
      <c r="AC948" s="253"/>
      <c r="AD948" s="253"/>
      <c r="AE948" s="253"/>
      <c r="AF948" s="253"/>
      <c r="AG948" s="253"/>
      <c r="AH948" s="253"/>
      <c r="AI948" s="253"/>
      <c r="AJ948" s="253"/>
      <c r="AK948" s="253"/>
      <c r="AL948" s="253"/>
      <c r="AM948" s="253"/>
      <c r="AN948" s="253"/>
      <c r="AO948" s="253"/>
      <c r="AP948" s="253"/>
      <c r="AQ948" s="253"/>
      <c r="AR948" s="253"/>
      <c r="AS948" s="253"/>
      <c r="AT948" s="2"/>
      <c r="AU948" s="2"/>
      <c r="AV948" s="2"/>
      <c r="AW948" s="2"/>
      <c r="AX948" s="2"/>
      <c r="AY948" s="253"/>
    </row>
    <row r="949" ht="15.75" customHeight="1">
      <c r="A949" s="2"/>
      <c r="B949" s="288" t="str">
        <f>Controle!B949</f>
        <v/>
      </c>
      <c r="C949" s="233" t="str">
        <f>Controle!C949</f>
        <v/>
      </c>
      <c r="D949" s="289" t="str">
        <f>Controle!D949</f>
        <v/>
      </c>
      <c r="E949" s="290"/>
      <c r="F949" s="291" t="str">
        <f>Controle!F949</f>
        <v/>
      </c>
      <c r="G949" s="289" t="str">
        <f>Controle!G949</f>
        <v/>
      </c>
      <c r="H949" s="290"/>
      <c r="I949" s="291" t="str">
        <f>Controle!I949</f>
        <v/>
      </c>
      <c r="J949" s="233" t="str">
        <f>Controle!J949</f>
        <v/>
      </c>
      <c r="K949" s="292"/>
      <c r="L949" s="233" t="str">
        <f>Controle!L949</f>
        <v/>
      </c>
      <c r="M949" s="233" t="str">
        <f>Controle!M949</f>
        <v/>
      </c>
      <c r="N949" s="235" t="str">
        <f>Controle!N949</f>
        <v/>
      </c>
      <c r="O949" s="235" t="str">
        <f>Controle!O949</f>
        <v/>
      </c>
      <c r="P949" s="235" t="str">
        <f>Controle!P949</f>
        <v/>
      </c>
      <c r="Q949" s="235" t="str">
        <f>Controle!Q949</f>
        <v/>
      </c>
      <c r="R949" s="286" t="str">
        <f>Controle!R949</f>
        <v/>
      </c>
      <c r="S949" s="286"/>
      <c r="T949" s="286"/>
      <c r="U949" s="286"/>
      <c r="V949" s="286"/>
      <c r="W949" s="286"/>
      <c r="X949" s="286"/>
      <c r="Y949" s="286"/>
      <c r="Z949" s="286"/>
      <c r="AA949" s="294"/>
      <c r="AB949" s="253"/>
      <c r="AC949" s="253"/>
      <c r="AD949" s="253"/>
      <c r="AE949" s="253"/>
      <c r="AF949" s="253"/>
      <c r="AG949" s="253"/>
      <c r="AH949" s="253"/>
      <c r="AI949" s="253"/>
      <c r="AJ949" s="253"/>
      <c r="AK949" s="253"/>
      <c r="AL949" s="253"/>
      <c r="AM949" s="253"/>
      <c r="AN949" s="253"/>
      <c r="AO949" s="253"/>
      <c r="AP949" s="253"/>
      <c r="AQ949" s="253"/>
      <c r="AR949" s="253"/>
      <c r="AS949" s="253"/>
      <c r="AT949" s="2"/>
      <c r="AU949" s="2"/>
      <c r="AV949" s="2"/>
      <c r="AW949" s="2"/>
      <c r="AX949" s="2"/>
      <c r="AY949" s="253"/>
    </row>
    <row r="950" ht="15.75" customHeight="1">
      <c r="A950" s="2"/>
      <c r="B950" s="288" t="str">
        <f>Controle!B950</f>
        <v/>
      </c>
      <c r="C950" s="233" t="str">
        <f>Controle!C950</f>
        <v/>
      </c>
      <c r="D950" s="289" t="str">
        <f>Controle!D950</f>
        <v/>
      </c>
      <c r="E950" s="290"/>
      <c r="F950" s="291" t="str">
        <f>Controle!F950</f>
        <v/>
      </c>
      <c r="G950" s="289" t="str">
        <f>Controle!G950</f>
        <v/>
      </c>
      <c r="H950" s="290"/>
      <c r="I950" s="291" t="str">
        <f>Controle!I950</f>
        <v/>
      </c>
      <c r="J950" s="233" t="str">
        <f>Controle!J950</f>
        <v/>
      </c>
      <c r="K950" s="292"/>
      <c r="L950" s="233" t="str">
        <f>Controle!L950</f>
        <v/>
      </c>
      <c r="M950" s="233" t="str">
        <f>Controle!M950</f>
        <v/>
      </c>
      <c r="N950" s="235" t="str">
        <f>Controle!N950</f>
        <v/>
      </c>
      <c r="O950" s="235" t="str">
        <f>Controle!O950</f>
        <v/>
      </c>
      <c r="P950" s="235" t="str">
        <f>Controle!P950</f>
        <v/>
      </c>
      <c r="Q950" s="235" t="str">
        <f>Controle!Q950</f>
        <v/>
      </c>
      <c r="R950" s="286" t="str">
        <f>Controle!R950</f>
        <v/>
      </c>
      <c r="S950" s="286"/>
      <c r="T950" s="286"/>
      <c r="U950" s="286"/>
      <c r="V950" s="286"/>
      <c r="W950" s="286"/>
      <c r="X950" s="286"/>
      <c r="Y950" s="286"/>
      <c r="Z950" s="286"/>
      <c r="AA950" s="294"/>
      <c r="AB950" s="253"/>
      <c r="AC950" s="253"/>
      <c r="AD950" s="253"/>
      <c r="AE950" s="253"/>
      <c r="AF950" s="253"/>
      <c r="AG950" s="253"/>
      <c r="AH950" s="253"/>
      <c r="AI950" s="253"/>
      <c r="AJ950" s="253"/>
      <c r="AK950" s="253"/>
      <c r="AL950" s="253"/>
      <c r="AM950" s="253"/>
      <c r="AN950" s="253"/>
      <c r="AO950" s="253"/>
      <c r="AP950" s="253"/>
      <c r="AQ950" s="253"/>
      <c r="AR950" s="253"/>
      <c r="AS950" s="253"/>
      <c r="AT950" s="2"/>
      <c r="AU950" s="2"/>
      <c r="AV950" s="2"/>
      <c r="AW950" s="2"/>
      <c r="AX950" s="2"/>
      <c r="AY950" s="253"/>
    </row>
    <row r="951" ht="15.75" customHeight="1">
      <c r="A951" s="2"/>
      <c r="B951" s="288" t="str">
        <f>Controle!B951</f>
        <v/>
      </c>
      <c r="C951" s="233" t="str">
        <f>Controle!C951</f>
        <v/>
      </c>
      <c r="D951" s="289" t="str">
        <f>Controle!D951</f>
        <v/>
      </c>
      <c r="E951" s="290"/>
      <c r="F951" s="291" t="str">
        <f>Controle!F951</f>
        <v/>
      </c>
      <c r="G951" s="289" t="str">
        <f>Controle!G951</f>
        <v/>
      </c>
      <c r="H951" s="290"/>
      <c r="I951" s="291" t="str">
        <f>Controle!I951</f>
        <v/>
      </c>
      <c r="J951" s="233" t="str">
        <f>Controle!J951</f>
        <v/>
      </c>
      <c r="K951" s="292"/>
      <c r="L951" s="233" t="str">
        <f>Controle!L951</f>
        <v/>
      </c>
      <c r="M951" s="233" t="str">
        <f>Controle!M951</f>
        <v/>
      </c>
      <c r="N951" s="235" t="str">
        <f>Controle!N951</f>
        <v/>
      </c>
      <c r="O951" s="235" t="str">
        <f>Controle!O951</f>
        <v/>
      </c>
      <c r="P951" s="235" t="str">
        <f>Controle!P951</f>
        <v/>
      </c>
      <c r="Q951" s="235" t="str">
        <f>Controle!Q951</f>
        <v/>
      </c>
      <c r="R951" s="286" t="str">
        <f>Controle!R951</f>
        <v/>
      </c>
      <c r="S951" s="286"/>
      <c r="T951" s="286"/>
      <c r="U951" s="286"/>
      <c r="V951" s="286"/>
      <c r="W951" s="286"/>
      <c r="X951" s="286"/>
      <c r="Y951" s="286"/>
      <c r="Z951" s="286"/>
      <c r="AA951" s="294"/>
      <c r="AB951" s="253"/>
      <c r="AC951" s="253"/>
      <c r="AD951" s="253"/>
      <c r="AE951" s="253"/>
      <c r="AF951" s="253"/>
      <c r="AG951" s="253"/>
      <c r="AH951" s="253"/>
      <c r="AI951" s="253"/>
      <c r="AJ951" s="253"/>
      <c r="AK951" s="253"/>
      <c r="AL951" s="253"/>
      <c r="AM951" s="253"/>
      <c r="AN951" s="253"/>
      <c r="AO951" s="253"/>
      <c r="AP951" s="253"/>
      <c r="AQ951" s="253"/>
      <c r="AR951" s="253"/>
      <c r="AS951" s="253"/>
      <c r="AT951" s="2"/>
      <c r="AU951" s="2"/>
      <c r="AV951" s="2"/>
      <c r="AW951" s="2"/>
      <c r="AX951" s="2"/>
      <c r="AY951" s="253"/>
    </row>
    <row r="952" ht="15.75" customHeight="1">
      <c r="A952" s="2"/>
      <c r="B952" s="288" t="str">
        <f>Controle!B952</f>
        <v/>
      </c>
      <c r="C952" s="233" t="str">
        <f>Controle!C952</f>
        <v/>
      </c>
      <c r="D952" s="289" t="str">
        <f>Controle!D952</f>
        <v/>
      </c>
      <c r="E952" s="290"/>
      <c r="F952" s="291" t="str">
        <f>Controle!F952</f>
        <v/>
      </c>
      <c r="G952" s="289" t="str">
        <f>Controle!G952</f>
        <v/>
      </c>
      <c r="H952" s="290"/>
      <c r="I952" s="291" t="str">
        <f>Controle!I952</f>
        <v/>
      </c>
      <c r="J952" s="233" t="str">
        <f>Controle!J952</f>
        <v/>
      </c>
      <c r="K952" s="292"/>
      <c r="L952" s="233" t="str">
        <f>Controle!L952</f>
        <v/>
      </c>
      <c r="M952" s="233" t="str">
        <f>Controle!M952</f>
        <v/>
      </c>
      <c r="N952" s="235" t="str">
        <f>Controle!N952</f>
        <v/>
      </c>
      <c r="O952" s="235" t="str">
        <f>Controle!O952</f>
        <v/>
      </c>
      <c r="P952" s="235" t="str">
        <f>Controle!P952</f>
        <v/>
      </c>
      <c r="Q952" s="235" t="str">
        <f>Controle!Q952</f>
        <v/>
      </c>
      <c r="R952" s="286" t="str">
        <f>Controle!R952</f>
        <v/>
      </c>
      <c r="S952" s="286"/>
      <c r="T952" s="286"/>
      <c r="U952" s="286"/>
      <c r="V952" s="286"/>
      <c r="W952" s="286"/>
      <c r="X952" s="286"/>
      <c r="Y952" s="286"/>
      <c r="Z952" s="286"/>
      <c r="AA952" s="294"/>
      <c r="AB952" s="253"/>
      <c r="AC952" s="253"/>
      <c r="AD952" s="253"/>
      <c r="AE952" s="253"/>
      <c r="AF952" s="253"/>
      <c r="AG952" s="253"/>
      <c r="AH952" s="253"/>
      <c r="AI952" s="253"/>
      <c r="AJ952" s="253"/>
      <c r="AK952" s="253"/>
      <c r="AL952" s="253"/>
      <c r="AM952" s="253"/>
      <c r="AN952" s="253"/>
      <c r="AO952" s="253"/>
      <c r="AP952" s="253"/>
      <c r="AQ952" s="253"/>
      <c r="AR952" s="253"/>
      <c r="AS952" s="253"/>
      <c r="AT952" s="2"/>
      <c r="AU952" s="2"/>
      <c r="AV952" s="2"/>
      <c r="AW952" s="2"/>
      <c r="AX952" s="2"/>
      <c r="AY952" s="253"/>
    </row>
    <row r="953" ht="15.75" customHeight="1">
      <c r="A953" s="2"/>
      <c r="B953" s="288" t="str">
        <f>Controle!B953</f>
        <v/>
      </c>
      <c r="C953" s="233" t="str">
        <f>Controle!C953</f>
        <v/>
      </c>
      <c r="D953" s="289" t="str">
        <f>Controle!D953</f>
        <v/>
      </c>
      <c r="E953" s="290"/>
      <c r="F953" s="291" t="str">
        <f>Controle!F953</f>
        <v/>
      </c>
      <c r="G953" s="289" t="str">
        <f>Controle!G953</f>
        <v/>
      </c>
      <c r="H953" s="290"/>
      <c r="I953" s="291" t="str">
        <f>Controle!I953</f>
        <v/>
      </c>
      <c r="J953" s="233" t="str">
        <f>Controle!J953</f>
        <v/>
      </c>
      <c r="K953" s="292"/>
      <c r="L953" s="233" t="str">
        <f>Controle!L953</f>
        <v/>
      </c>
      <c r="M953" s="233" t="str">
        <f>Controle!M953</f>
        <v/>
      </c>
      <c r="N953" s="235" t="str">
        <f>Controle!N953</f>
        <v/>
      </c>
      <c r="O953" s="235" t="str">
        <f>Controle!O953</f>
        <v/>
      </c>
      <c r="P953" s="235" t="str">
        <f>Controle!P953</f>
        <v/>
      </c>
      <c r="Q953" s="235" t="str">
        <f>Controle!Q953</f>
        <v/>
      </c>
      <c r="R953" s="286" t="str">
        <f>Controle!R953</f>
        <v/>
      </c>
      <c r="S953" s="286"/>
      <c r="T953" s="286"/>
      <c r="U953" s="286"/>
      <c r="V953" s="286"/>
      <c r="W953" s="286"/>
      <c r="X953" s="286"/>
      <c r="Y953" s="286"/>
      <c r="Z953" s="286"/>
      <c r="AA953" s="294"/>
      <c r="AB953" s="253"/>
      <c r="AC953" s="253"/>
      <c r="AD953" s="253"/>
      <c r="AE953" s="253"/>
      <c r="AF953" s="253"/>
      <c r="AG953" s="253"/>
      <c r="AH953" s="253"/>
      <c r="AI953" s="253"/>
      <c r="AJ953" s="253"/>
      <c r="AK953" s="253"/>
      <c r="AL953" s="253"/>
      <c r="AM953" s="253"/>
      <c r="AN953" s="253"/>
      <c r="AO953" s="253"/>
      <c r="AP953" s="253"/>
      <c r="AQ953" s="253"/>
      <c r="AR953" s="253"/>
      <c r="AS953" s="253"/>
      <c r="AT953" s="2"/>
      <c r="AU953" s="2"/>
      <c r="AV953" s="2"/>
      <c r="AW953" s="2"/>
      <c r="AX953" s="2"/>
      <c r="AY953" s="253"/>
    </row>
    <row r="954" ht="15.75" customHeight="1">
      <c r="A954" s="2"/>
      <c r="B954" s="288" t="str">
        <f>Controle!B954</f>
        <v/>
      </c>
      <c r="C954" s="233" t="str">
        <f>Controle!C954</f>
        <v/>
      </c>
      <c r="D954" s="289" t="str">
        <f>Controle!D954</f>
        <v/>
      </c>
      <c r="E954" s="290"/>
      <c r="F954" s="291" t="str">
        <f>Controle!F954</f>
        <v/>
      </c>
      <c r="G954" s="289" t="str">
        <f>Controle!G954</f>
        <v/>
      </c>
      <c r="H954" s="290"/>
      <c r="I954" s="291" t="str">
        <f>Controle!I954</f>
        <v/>
      </c>
      <c r="J954" s="233" t="str">
        <f>Controle!J954</f>
        <v/>
      </c>
      <c r="K954" s="292"/>
      <c r="L954" s="233" t="str">
        <f>Controle!L954</f>
        <v/>
      </c>
      <c r="M954" s="233" t="str">
        <f>Controle!M954</f>
        <v/>
      </c>
      <c r="N954" s="235" t="str">
        <f>Controle!N954</f>
        <v/>
      </c>
      <c r="O954" s="235" t="str">
        <f>Controle!O954</f>
        <v/>
      </c>
      <c r="P954" s="235" t="str">
        <f>Controle!P954</f>
        <v/>
      </c>
      <c r="Q954" s="235" t="str">
        <f>Controle!Q954</f>
        <v/>
      </c>
      <c r="R954" s="286" t="str">
        <f>Controle!R954</f>
        <v/>
      </c>
      <c r="S954" s="286"/>
      <c r="T954" s="286"/>
      <c r="U954" s="286"/>
      <c r="V954" s="286"/>
      <c r="W954" s="286"/>
      <c r="X954" s="286"/>
      <c r="Y954" s="286"/>
      <c r="Z954" s="286"/>
      <c r="AA954" s="294"/>
      <c r="AB954" s="253"/>
      <c r="AC954" s="253"/>
      <c r="AD954" s="253"/>
      <c r="AE954" s="253"/>
      <c r="AF954" s="253"/>
      <c r="AG954" s="253"/>
      <c r="AH954" s="253"/>
      <c r="AI954" s="253"/>
      <c r="AJ954" s="253"/>
      <c r="AK954" s="253"/>
      <c r="AL954" s="253"/>
      <c r="AM954" s="253"/>
      <c r="AN954" s="253"/>
      <c r="AO954" s="253"/>
      <c r="AP954" s="253"/>
      <c r="AQ954" s="253"/>
      <c r="AR954" s="253"/>
      <c r="AS954" s="253"/>
      <c r="AT954" s="2"/>
      <c r="AU954" s="2"/>
      <c r="AV954" s="2"/>
      <c r="AW954" s="2"/>
      <c r="AX954" s="2"/>
      <c r="AY954" s="253"/>
    </row>
    <row r="955" ht="15.75" customHeight="1">
      <c r="A955" s="2"/>
      <c r="B955" s="288" t="str">
        <f>Controle!B955</f>
        <v/>
      </c>
      <c r="C955" s="233" t="str">
        <f>Controle!C955</f>
        <v/>
      </c>
      <c r="D955" s="289" t="str">
        <f>Controle!D955</f>
        <v/>
      </c>
      <c r="E955" s="290"/>
      <c r="F955" s="291" t="str">
        <f>Controle!F955</f>
        <v/>
      </c>
      <c r="G955" s="289" t="str">
        <f>Controle!G955</f>
        <v/>
      </c>
      <c r="H955" s="290"/>
      <c r="I955" s="291" t="str">
        <f>Controle!I955</f>
        <v/>
      </c>
      <c r="J955" s="233" t="str">
        <f>Controle!J955</f>
        <v/>
      </c>
      <c r="K955" s="292"/>
      <c r="L955" s="233" t="str">
        <f>Controle!L955</f>
        <v/>
      </c>
      <c r="M955" s="233" t="str">
        <f>Controle!M955</f>
        <v/>
      </c>
      <c r="N955" s="235" t="str">
        <f>Controle!N955</f>
        <v/>
      </c>
      <c r="O955" s="235" t="str">
        <f>Controle!O955</f>
        <v/>
      </c>
      <c r="P955" s="235" t="str">
        <f>Controle!P955</f>
        <v/>
      </c>
      <c r="Q955" s="235" t="str">
        <f>Controle!Q955</f>
        <v/>
      </c>
      <c r="R955" s="286" t="str">
        <f>Controle!R955</f>
        <v/>
      </c>
      <c r="S955" s="286"/>
      <c r="T955" s="286"/>
      <c r="U955" s="286"/>
      <c r="V955" s="286"/>
      <c r="W955" s="286"/>
      <c r="X955" s="286"/>
      <c r="Y955" s="286"/>
      <c r="Z955" s="286"/>
      <c r="AA955" s="294"/>
      <c r="AB955" s="253"/>
      <c r="AC955" s="253"/>
      <c r="AD955" s="253"/>
      <c r="AE955" s="253"/>
      <c r="AF955" s="253"/>
      <c r="AG955" s="253"/>
      <c r="AH955" s="253"/>
      <c r="AI955" s="253"/>
      <c r="AJ955" s="253"/>
      <c r="AK955" s="253"/>
      <c r="AL955" s="253"/>
      <c r="AM955" s="253"/>
      <c r="AN955" s="253"/>
      <c r="AO955" s="253"/>
      <c r="AP955" s="253"/>
      <c r="AQ955" s="253"/>
      <c r="AR955" s="253"/>
      <c r="AS955" s="253"/>
      <c r="AT955" s="2"/>
      <c r="AU955" s="2"/>
      <c r="AV955" s="2"/>
      <c r="AW955" s="2"/>
      <c r="AX955" s="2"/>
      <c r="AY955" s="253"/>
    </row>
    <row r="956" ht="15.75" customHeight="1">
      <c r="A956" s="2"/>
      <c r="B956" s="288" t="str">
        <f>Controle!B956</f>
        <v/>
      </c>
      <c r="C956" s="233" t="str">
        <f>Controle!C956</f>
        <v/>
      </c>
      <c r="D956" s="289" t="str">
        <f>Controle!D956</f>
        <v/>
      </c>
      <c r="E956" s="290"/>
      <c r="F956" s="291" t="str">
        <f>Controle!F956</f>
        <v/>
      </c>
      <c r="G956" s="289" t="str">
        <f>Controle!G956</f>
        <v/>
      </c>
      <c r="H956" s="290"/>
      <c r="I956" s="291" t="str">
        <f>Controle!I956</f>
        <v/>
      </c>
      <c r="J956" s="233" t="str">
        <f>Controle!J956</f>
        <v/>
      </c>
      <c r="K956" s="292"/>
      <c r="L956" s="233" t="str">
        <f>Controle!L956</f>
        <v/>
      </c>
      <c r="M956" s="233" t="str">
        <f>Controle!M956</f>
        <v/>
      </c>
      <c r="N956" s="235" t="str">
        <f>Controle!N956</f>
        <v/>
      </c>
      <c r="O956" s="235" t="str">
        <f>Controle!O956</f>
        <v/>
      </c>
      <c r="P956" s="235" t="str">
        <f>Controle!P956</f>
        <v/>
      </c>
      <c r="Q956" s="235" t="str">
        <f>Controle!Q956</f>
        <v/>
      </c>
      <c r="R956" s="286" t="str">
        <f>Controle!R956</f>
        <v/>
      </c>
      <c r="S956" s="286"/>
      <c r="T956" s="286"/>
      <c r="U956" s="286"/>
      <c r="V956" s="286"/>
      <c r="W956" s="286"/>
      <c r="X956" s="286"/>
      <c r="Y956" s="286"/>
      <c r="Z956" s="286"/>
      <c r="AA956" s="294"/>
      <c r="AB956" s="253"/>
      <c r="AC956" s="253"/>
      <c r="AD956" s="253"/>
      <c r="AE956" s="253"/>
      <c r="AF956" s="253"/>
      <c r="AG956" s="253"/>
      <c r="AH956" s="253"/>
      <c r="AI956" s="253"/>
      <c r="AJ956" s="253"/>
      <c r="AK956" s="253"/>
      <c r="AL956" s="253"/>
      <c r="AM956" s="253"/>
      <c r="AN956" s="253"/>
      <c r="AO956" s="253"/>
      <c r="AP956" s="253"/>
      <c r="AQ956" s="253"/>
      <c r="AR956" s="253"/>
      <c r="AS956" s="253"/>
      <c r="AT956" s="2"/>
      <c r="AU956" s="2"/>
      <c r="AV956" s="2"/>
      <c r="AW956" s="2"/>
      <c r="AX956" s="2"/>
      <c r="AY956" s="253"/>
    </row>
    <row r="957" ht="15.75" customHeight="1">
      <c r="A957" s="2"/>
      <c r="B957" s="288" t="str">
        <f>Controle!B957</f>
        <v/>
      </c>
      <c r="C957" s="233" t="str">
        <f>Controle!C957</f>
        <v/>
      </c>
      <c r="D957" s="289" t="str">
        <f>Controle!D957</f>
        <v/>
      </c>
      <c r="E957" s="290"/>
      <c r="F957" s="291" t="str">
        <f>Controle!F957</f>
        <v/>
      </c>
      <c r="G957" s="289" t="str">
        <f>Controle!G957</f>
        <v/>
      </c>
      <c r="H957" s="290"/>
      <c r="I957" s="291" t="str">
        <f>Controle!I957</f>
        <v/>
      </c>
      <c r="J957" s="233" t="str">
        <f>Controle!J957</f>
        <v/>
      </c>
      <c r="K957" s="292"/>
      <c r="L957" s="233" t="str">
        <f>Controle!L957</f>
        <v/>
      </c>
      <c r="M957" s="233" t="str">
        <f>Controle!M957</f>
        <v/>
      </c>
      <c r="N957" s="235" t="str">
        <f>Controle!N957</f>
        <v/>
      </c>
      <c r="O957" s="235" t="str">
        <f>Controle!O957</f>
        <v/>
      </c>
      <c r="P957" s="235" t="str">
        <f>Controle!P957</f>
        <v/>
      </c>
      <c r="Q957" s="235" t="str">
        <f>Controle!Q957</f>
        <v/>
      </c>
      <c r="R957" s="286" t="str">
        <f>Controle!R957</f>
        <v/>
      </c>
      <c r="S957" s="286"/>
      <c r="T957" s="286"/>
      <c r="U957" s="286"/>
      <c r="V957" s="286"/>
      <c r="W957" s="286"/>
      <c r="X957" s="286"/>
      <c r="Y957" s="286"/>
      <c r="Z957" s="286"/>
      <c r="AA957" s="294"/>
      <c r="AB957" s="253"/>
      <c r="AC957" s="253"/>
      <c r="AD957" s="253"/>
      <c r="AE957" s="253"/>
      <c r="AF957" s="253"/>
      <c r="AG957" s="253"/>
      <c r="AH957" s="253"/>
      <c r="AI957" s="253"/>
      <c r="AJ957" s="253"/>
      <c r="AK957" s="253"/>
      <c r="AL957" s="253"/>
      <c r="AM957" s="253"/>
      <c r="AN957" s="253"/>
      <c r="AO957" s="253"/>
      <c r="AP957" s="253"/>
      <c r="AQ957" s="253"/>
      <c r="AR957" s="253"/>
      <c r="AS957" s="253"/>
      <c r="AT957" s="2"/>
      <c r="AU957" s="2"/>
      <c r="AV957" s="2"/>
      <c r="AW957" s="2"/>
      <c r="AX957" s="2"/>
      <c r="AY957" s="253"/>
    </row>
    <row r="958" ht="15.75" customHeight="1">
      <c r="A958" s="2"/>
      <c r="B958" s="288" t="str">
        <f>Controle!B958</f>
        <v/>
      </c>
      <c r="C958" s="233" t="str">
        <f>Controle!C958</f>
        <v/>
      </c>
      <c r="D958" s="289" t="str">
        <f>Controle!D958</f>
        <v/>
      </c>
      <c r="E958" s="290"/>
      <c r="F958" s="291" t="str">
        <f>Controle!F958</f>
        <v/>
      </c>
      <c r="G958" s="289" t="str">
        <f>Controle!G958</f>
        <v/>
      </c>
      <c r="H958" s="290"/>
      <c r="I958" s="291" t="str">
        <f>Controle!I958</f>
        <v/>
      </c>
      <c r="J958" s="233" t="str">
        <f>Controle!J958</f>
        <v/>
      </c>
      <c r="K958" s="292"/>
      <c r="L958" s="233" t="str">
        <f>Controle!L958</f>
        <v/>
      </c>
      <c r="M958" s="233" t="str">
        <f>Controle!M958</f>
        <v/>
      </c>
      <c r="N958" s="235" t="str">
        <f>Controle!N958</f>
        <v/>
      </c>
      <c r="O958" s="235" t="str">
        <f>Controle!O958</f>
        <v/>
      </c>
      <c r="P958" s="235" t="str">
        <f>Controle!P958</f>
        <v/>
      </c>
      <c r="Q958" s="235" t="str">
        <f>Controle!Q958</f>
        <v/>
      </c>
      <c r="R958" s="286" t="str">
        <f>Controle!R958</f>
        <v/>
      </c>
      <c r="S958" s="286"/>
      <c r="T958" s="286"/>
      <c r="U958" s="286"/>
      <c r="V958" s="286"/>
      <c r="W958" s="286"/>
      <c r="X958" s="286"/>
      <c r="Y958" s="286"/>
      <c r="Z958" s="286"/>
      <c r="AA958" s="294"/>
      <c r="AB958" s="253"/>
      <c r="AC958" s="253"/>
      <c r="AD958" s="253"/>
      <c r="AE958" s="253"/>
      <c r="AF958" s="253"/>
      <c r="AG958" s="253"/>
      <c r="AH958" s="253"/>
      <c r="AI958" s="253"/>
      <c r="AJ958" s="253"/>
      <c r="AK958" s="253"/>
      <c r="AL958" s="253"/>
      <c r="AM958" s="253"/>
      <c r="AN958" s="253"/>
      <c r="AO958" s="253"/>
      <c r="AP958" s="253"/>
      <c r="AQ958" s="253"/>
      <c r="AR958" s="253"/>
      <c r="AS958" s="253"/>
      <c r="AT958" s="2"/>
      <c r="AU958" s="2"/>
      <c r="AV958" s="2"/>
      <c r="AW958" s="2"/>
      <c r="AX958" s="2"/>
      <c r="AY958" s="253"/>
    </row>
    <row r="959" ht="15.75" customHeight="1">
      <c r="A959" s="2"/>
      <c r="B959" s="288" t="str">
        <f>Controle!B959</f>
        <v/>
      </c>
      <c r="C959" s="233" t="str">
        <f>Controle!C959</f>
        <v/>
      </c>
      <c r="D959" s="289" t="str">
        <f>Controle!D959</f>
        <v/>
      </c>
      <c r="E959" s="290"/>
      <c r="F959" s="291" t="str">
        <f>Controle!F959</f>
        <v/>
      </c>
      <c r="G959" s="289" t="str">
        <f>Controle!G959</f>
        <v/>
      </c>
      <c r="H959" s="290"/>
      <c r="I959" s="291" t="str">
        <f>Controle!I959</f>
        <v/>
      </c>
      <c r="J959" s="233" t="str">
        <f>Controle!J959</f>
        <v/>
      </c>
      <c r="K959" s="292"/>
      <c r="L959" s="233" t="str">
        <f>Controle!L959</f>
        <v/>
      </c>
      <c r="M959" s="233" t="str">
        <f>Controle!M959</f>
        <v/>
      </c>
      <c r="N959" s="235" t="str">
        <f>Controle!N959</f>
        <v/>
      </c>
      <c r="O959" s="235" t="str">
        <f>Controle!O959</f>
        <v/>
      </c>
      <c r="P959" s="235" t="str">
        <f>Controle!P959</f>
        <v/>
      </c>
      <c r="Q959" s="235" t="str">
        <f>Controle!Q959</f>
        <v/>
      </c>
      <c r="R959" s="286" t="str">
        <f>Controle!R959</f>
        <v/>
      </c>
      <c r="S959" s="286"/>
      <c r="T959" s="286"/>
      <c r="U959" s="286"/>
      <c r="V959" s="286"/>
      <c r="W959" s="286"/>
      <c r="X959" s="286"/>
      <c r="Y959" s="286"/>
      <c r="Z959" s="286"/>
      <c r="AA959" s="294"/>
      <c r="AB959" s="253"/>
      <c r="AC959" s="253"/>
      <c r="AD959" s="253"/>
      <c r="AE959" s="253"/>
      <c r="AF959" s="253"/>
      <c r="AG959" s="253"/>
      <c r="AH959" s="253"/>
      <c r="AI959" s="253"/>
      <c r="AJ959" s="253"/>
      <c r="AK959" s="253"/>
      <c r="AL959" s="253"/>
      <c r="AM959" s="253"/>
      <c r="AN959" s="253"/>
      <c r="AO959" s="253"/>
      <c r="AP959" s="253"/>
      <c r="AQ959" s="253"/>
      <c r="AR959" s="253"/>
      <c r="AS959" s="253"/>
      <c r="AT959" s="2"/>
      <c r="AU959" s="2"/>
      <c r="AV959" s="2"/>
      <c r="AW959" s="2"/>
      <c r="AX959" s="2"/>
      <c r="AY959" s="253"/>
    </row>
    <row r="960" ht="15.75" customHeight="1">
      <c r="A960" s="2"/>
      <c r="B960" s="288" t="str">
        <f>Controle!B960</f>
        <v/>
      </c>
      <c r="C960" s="233" t="str">
        <f>Controle!C960</f>
        <v/>
      </c>
      <c r="D960" s="289" t="str">
        <f>Controle!D960</f>
        <v/>
      </c>
      <c r="E960" s="290"/>
      <c r="F960" s="291" t="str">
        <f>Controle!F960</f>
        <v/>
      </c>
      <c r="G960" s="289" t="str">
        <f>Controle!G960</f>
        <v/>
      </c>
      <c r="H960" s="290"/>
      <c r="I960" s="291" t="str">
        <f>Controle!I960</f>
        <v/>
      </c>
      <c r="J960" s="233" t="str">
        <f>Controle!J960</f>
        <v/>
      </c>
      <c r="K960" s="292"/>
      <c r="L960" s="233" t="str">
        <f>Controle!L960</f>
        <v/>
      </c>
      <c r="M960" s="233" t="str">
        <f>Controle!M960</f>
        <v/>
      </c>
      <c r="N960" s="235" t="str">
        <f>Controle!N960</f>
        <v/>
      </c>
      <c r="O960" s="235" t="str">
        <f>Controle!O960</f>
        <v/>
      </c>
      <c r="P960" s="235" t="str">
        <f>Controle!P960</f>
        <v/>
      </c>
      <c r="Q960" s="235" t="str">
        <f>Controle!Q960</f>
        <v/>
      </c>
      <c r="R960" s="286" t="str">
        <f>Controle!R960</f>
        <v/>
      </c>
      <c r="S960" s="286"/>
      <c r="T960" s="286"/>
      <c r="U960" s="286"/>
      <c r="V960" s="286"/>
      <c r="W960" s="286"/>
      <c r="X960" s="286"/>
      <c r="Y960" s="286"/>
      <c r="Z960" s="286"/>
      <c r="AA960" s="294"/>
      <c r="AB960" s="253"/>
      <c r="AC960" s="253"/>
      <c r="AD960" s="253"/>
      <c r="AE960" s="253"/>
      <c r="AF960" s="253"/>
      <c r="AG960" s="253"/>
      <c r="AH960" s="253"/>
      <c r="AI960" s="253"/>
      <c r="AJ960" s="253"/>
      <c r="AK960" s="253"/>
      <c r="AL960" s="253"/>
      <c r="AM960" s="253"/>
      <c r="AN960" s="253"/>
      <c r="AO960" s="253"/>
      <c r="AP960" s="253"/>
      <c r="AQ960" s="253"/>
      <c r="AR960" s="253"/>
      <c r="AS960" s="253"/>
      <c r="AT960" s="2"/>
      <c r="AU960" s="2"/>
      <c r="AV960" s="2"/>
      <c r="AW960" s="2"/>
      <c r="AX960" s="2"/>
      <c r="AY960" s="253"/>
    </row>
    <row r="961" ht="15.75" customHeight="1">
      <c r="A961" s="2"/>
      <c r="B961" s="288" t="str">
        <f>Controle!B961</f>
        <v/>
      </c>
      <c r="C961" s="233" t="str">
        <f>Controle!C961</f>
        <v/>
      </c>
      <c r="D961" s="289" t="str">
        <f>Controle!D961</f>
        <v/>
      </c>
      <c r="E961" s="290"/>
      <c r="F961" s="291" t="str">
        <f>Controle!F961</f>
        <v/>
      </c>
      <c r="G961" s="289" t="str">
        <f>Controle!G961</f>
        <v/>
      </c>
      <c r="H961" s="290"/>
      <c r="I961" s="291" t="str">
        <f>Controle!I961</f>
        <v/>
      </c>
      <c r="J961" s="233" t="str">
        <f>Controle!J961</f>
        <v/>
      </c>
      <c r="K961" s="292"/>
      <c r="L961" s="233" t="str">
        <f>Controle!L961</f>
        <v/>
      </c>
      <c r="M961" s="233" t="str">
        <f>Controle!M961</f>
        <v/>
      </c>
      <c r="N961" s="235" t="str">
        <f>Controle!N961</f>
        <v/>
      </c>
      <c r="O961" s="235" t="str">
        <f>Controle!O961</f>
        <v/>
      </c>
      <c r="P961" s="235" t="str">
        <f>Controle!P961</f>
        <v/>
      </c>
      <c r="Q961" s="235" t="str">
        <f>Controle!Q961</f>
        <v/>
      </c>
      <c r="R961" s="286" t="str">
        <f>Controle!R961</f>
        <v/>
      </c>
      <c r="S961" s="286"/>
      <c r="T961" s="286"/>
      <c r="U961" s="286"/>
      <c r="V961" s="286"/>
      <c r="W961" s="286"/>
      <c r="X961" s="286"/>
      <c r="Y961" s="286"/>
      <c r="Z961" s="286"/>
      <c r="AA961" s="294"/>
      <c r="AB961" s="253"/>
      <c r="AC961" s="253"/>
      <c r="AD961" s="253"/>
      <c r="AE961" s="253"/>
      <c r="AF961" s="253"/>
      <c r="AG961" s="253"/>
      <c r="AH961" s="253"/>
      <c r="AI961" s="253"/>
      <c r="AJ961" s="253"/>
      <c r="AK961" s="253"/>
      <c r="AL961" s="253"/>
      <c r="AM961" s="253"/>
      <c r="AN961" s="253"/>
      <c r="AO961" s="253"/>
      <c r="AP961" s="253"/>
      <c r="AQ961" s="253"/>
      <c r="AR961" s="253"/>
      <c r="AS961" s="253"/>
      <c r="AT961" s="2"/>
      <c r="AU961" s="2"/>
      <c r="AV961" s="2"/>
      <c r="AW961" s="2"/>
      <c r="AX961" s="2"/>
      <c r="AY961" s="253"/>
    </row>
    <row r="962" ht="15.75" customHeight="1">
      <c r="A962" s="2"/>
      <c r="B962" s="288" t="str">
        <f>Controle!B962</f>
        <v/>
      </c>
      <c r="C962" s="233" t="str">
        <f>Controle!C962</f>
        <v/>
      </c>
      <c r="D962" s="289" t="str">
        <f>Controle!D962</f>
        <v/>
      </c>
      <c r="E962" s="290"/>
      <c r="F962" s="291" t="str">
        <f>Controle!F962</f>
        <v/>
      </c>
      <c r="G962" s="289" t="str">
        <f>Controle!G962</f>
        <v/>
      </c>
      <c r="H962" s="290"/>
      <c r="I962" s="291" t="str">
        <f>Controle!I962</f>
        <v/>
      </c>
      <c r="J962" s="233" t="str">
        <f>Controle!J962</f>
        <v/>
      </c>
      <c r="K962" s="292"/>
      <c r="L962" s="233" t="str">
        <f>Controle!L962</f>
        <v/>
      </c>
      <c r="M962" s="233" t="str">
        <f>Controle!M962</f>
        <v/>
      </c>
      <c r="N962" s="235" t="str">
        <f>Controle!N962</f>
        <v/>
      </c>
      <c r="O962" s="235" t="str">
        <f>Controle!O962</f>
        <v/>
      </c>
      <c r="P962" s="235" t="str">
        <f>Controle!P962</f>
        <v/>
      </c>
      <c r="Q962" s="235" t="str">
        <f>Controle!Q962</f>
        <v/>
      </c>
      <c r="R962" s="286" t="str">
        <f>Controle!R962</f>
        <v/>
      </c>
      <c r="S962" s="286"/>
      <c r="T962" s="286"/>
      <c r="U962" s="286"/>
      <c r="V962" s="286"/>
      <c r="W962" s="286"/>
      <c r="X962" s="286"/>
      <c r="Y962" s="286"/>
      <c r="Z962" s="286"/>
      <c r="AA962" s="294"/>
      <c r="AB962" s="253"/>
      <c r="AC962" s="253"/>
      <c r="AD962" s="253"/>
      <c r="AE962" s="253"/>
      <c r="AF962" s="253"/>
      <c r="AG962" s="253"/>
      <c r="AH962" s="253"/>
      <c r="AI962" s="253"/>
      <c r="AJ962" s="253"/>
      <c r="AK962" s="253"/>
      <c r="AL962" s="253"/>
      <c r="AM962" s="253"/>
      <c r="AN962" s="253"/>
      <c r="AO962" s="253"/>
      <c r="AP962" s="253"/>
      <c r="AQ962" s="253"/>
      <c r="AR962" s="253"/>
      <c r="AS962" s="253"/>
      <c r="AT962" s="2"/>
      <c r="AU962" s="2"/>
      <c r="AV962" s="2"/>
      <c r="AW962" s="2"/>
      <c r="AX962" s="2"/>
      <c r="AY962" s="253"/>
    </row>
    <row r="963" ht="15.75" customHeight="1">
      <c r="A963" s="2"/>
      <c r="B963" s="288" t="str">
        <f>Controle!B963</f>
        <v/>
      </c>
      <c r="C963" s="233" t="str">
        <f>Controle!C963</f>
        <v/>
      </c>
      <c r="D963" s="289" t="str">
        <f>Controle!D963</f>
        <v/>
      </c>
      <c r="E963" s="290"/>
      <c r="F963" s="291" t="str">
        <f>Controle!F963</f>
        <v/>
      </c>
      <c r="G963" s="289" t="str">
        <f>Controle!G963</f>
        <v/>
      </c>
      <c r="H963" s="290"/>
      <c r="I963" s="291" t="str">
        <f>Controle!I963</f>
        <v/>
      </c>
      <c r="J963" s="233" t="str">
        <f>Controle!J963</f>
        <v/>
      </c>
      <c r="K963" s="292"/>
      <c r="L963" s="233" t="str">
        <f>Controle!L963</f>
        <v/>
      </c>
      <c r="M963" s="233" t="str">
        <f>Controle!M963</f>
        <v/>
      </c>
      <c r="N963" s="235" t="str">
        <f>Controle!N963</f>
        <v/>
      </c>
      <c r="O963" s="235" t="str">
        <f>Controle!O963</f>
        <v/>
      </c>
      <c r="P963" s="235" t="str">
        <f>Controle!P963</f>
        <v/>
      </c>
      <c r="Q963" s="235" t="str">
        <f>Controle!Q963</f>
        <v/>
      </c>
      <c r="R963" s="286" t="str">
        <f>Controle!R963</f>
        <v/>
      </c>
      <c r="S963" s="286"/>
      <c r="T963" s="286"/>
      <c r="U963" s="286"/>
      <c r="V963" s="286"/>
      <c r="W963" s="286"/>
      <c r="X963" s="286"/>
      <c r="Y963" s="286"/>
      <c r="Z963" s="286"/>
      <c r="AA963" s="294"/>
      <c r="AB963" s="253"/>
      <c r="AC963" s="253"/>
      <c r="AD963" s="253"/>
      <c r="AE963" s="253"/>
      <c r="AF963" s="253"/>
      <c r="AG963" s="253"/>
      <c r="AH963" s="253"/>
      <c r="AI963" s="253"/>
      <c r="AJ963" s="253"/>
      <c r="AK963" s="253"/>
      <c r="AL963" s="253"/>
      <c r="AM963" s="253"/>
      <c r="AN963" s="253"/>
      <c r="AO963" s="253"/>
      <c r="AP963" s="253"/>
      <c r="AQ963" s="253"/>
      <c r="AR963" s="253"/>
      <c r="AS963" s="253"/>
      <c r="AT963" s="2"/>
      <c r="AU963" s="2"/>
      <c r="AV963" s="2"/>
      <c r="AW963" s="2"/>
      <c r="AX963" s="2"/>
      <c r="AY963" s="253"/>
    </row>
    <row r="964" ht="15.75" customHeight="1">
      <c r="A964" s="2"/>
      <c r="B964" s="288" t="str">
        <f>Controle!B964</f>
        <v/>
      </c>
      <c r="C964" s="233" t="str">
        <f>Controle!C964</f>
        <v/>
      </c>
      <c r="D964" s="289" t="str">
        <f>Controle!D964</f>
        <v/>
      </c>
      <c r="E964" s="290"/>
      <c r="F964" s="291" t="str">
        <f>Controle!F964</f>
        <v/>
      </c>
      <c r="G964" s="289" t="str">
        <f>Controle!G964</f>
        <v/>
      </c>
      <c r="H964" s="290"/>
      <c r="I964" s="291" t="str">
        <f>Controle!I964</f>
        <v/>
      </c>
      <c r="J964" s="233" t="str">
        <f>Controle!J964</f>
        <v/>
      </c>
      <c r="K964" s="292"/>
      <c r="L964" s="233" t="str">
        <f>Controle!L964</f>
        <v/>
      </c>
      <c r="M964" s="233" t="str">
        <f>Controle!M964</f>
        <v/>
      </c>
      <c r="N964" s="235" t="str">
        <f>Controle!N964</f>
        <v/>
      </c>
      <c r="O964" s="235" t="str">
        <f>Controle!O964</f>
        <v/>
      </c>
      <c r="P964" s="235" t="str">
        <f>Controle!P964</f>
        <v/>
      </c>
      <c r="Q964" s="235" t="str">
        <f>Controle!Q964</f>
        <v/>
      </c>
      <c r="R964" s="286" t="str">
        <f>Controle!R964</f>
        <v/>
      </c>
      <c r="S964" s="286"/>
      <c r="T964" s="286"/>
      <c r="U964" s="286"/>
      <c r="V964" s="286"/>
      <c r="W964" s="286"/>
      <c r="X964" s="286"/>
      <c r="Y964" s="286"/>
      <c r="Z964" s="286"/>
      <c r="AA964" s="294"/>
      <c r="AB964" s="253"/>
      <c r="AC964" s="253"/>
      <c r="AD964" s="253"/>
      <c r="AE964" s="253"/>
      <c r="AF964" s="253"/>
      <c r="AG964" s="253"/>
      <c r="AH964" s="253"/>
      <c r="AI964" s="253"/>
      <c r="AJ964" s="253"/>
      <c r="AK964" s="253"/>
      <c r="AL964" s="253"/>
      <c r="AM964" s="253"/>
      <c r="AN964" s="253"/>
      <c r="AO964" s="253"/>
      <c r="AP964" s="253"/>
      <c r="AQ964" s="253"/>
      <c r="AR964" s="253"/>
      <c r="AS964" s="253"/>
      <c r="AT964" s="2"/>
      <c r="AU964" s="2"/>
      <c r="AV964" s="2"/>
      <c r="AW964" s="2"/>
      <c r="AX964" s="2"/>
      <c r="AY964" s="253"/>
    </row>
    <row r="965" ht="15.75" customHeight="1">
      <c r="A965" s="2"/>
      <c r="B965" s="288" t="str">
        <f>Controle!B965</f>
        <v/>
      </c>
      <c r="C965" s="233" t="str">
        <f>Controle!C965</f>
        <v/>
      </c>
      <c r="D965" s="289" t="str">
        <f>Controle!D965</f>
        <v/>
      </c>
      <c r="E965" s="290"/>
      <c r="F965" s="291" t="str">
        <f>Controle!F965</f>
        <v/>
      </c>
      <c r="G965" s="289" t="str">
        <f>Controle!G965</f>
        <v/>
      </c>
      <c r="H965" s="290"/>
      <c r="I965" s="291" t="str">
        <f>Controle!I965</f>
        <v/>
      </c>
      <c r="J965" s="233" t="str">
        <f>Controle!J965</f>
        <v/>
      </c>
      <c r="K965" s="292"/>
      <c r="L965" s="233" t="str">
        <f>Controle!L965</f>
        <v/>
      </c>
      <c r="M965" s="233" t="str">
        <f>Controle!M965</f>
        <v/>
      </c>
      <c r="N965" s="235" t="str">
        <f>Controle!N965</f>
        <v/>
      </c>
      <c r="O965" s="235" t="str">
        <f>Controle!O965</f>
        <v/>
      </c>
      <c r="P965" s="235" t="str">
        <f>Controle!P965</f>
        <v/>
      </c>
      <c r="Q965" s="235" t="str">
        <f>Controle!Q965</f>
        <v/>
      </c>
      <c r="R965" s="286" t="str">
        <f>Controle!R965</f>
        <v/>
      </c>
      <c r="S965" s="286"/>
      <c r="T965" s="286"/>
      <c r="U965" s="286"/>
      <c r="V965" s="286"/>
      <c r="W965" s="286"/>
      <c r="X965" s="286"/>
      <c r="Y965" s="286"/>
      <c r="Z965" s="286"/>
      <c r="AA965" s="294"/>
      <c r="AB965" s="253"/>
      <c r="AC965" s="253"/>
      <c r="AD965" s="253"/>
      <c r="AE965" s="253"/>
      <c r="AF965" s="253"/>
      <c r="AG965" s="253"/>
      <c r="AH965" s="253"/>
      <c r="AI965" s="253"/>
      <c r="AJ965" s="253"/>
      <c r="AK965" s="253"/>
      <c r="AL965" s="253"/>
      <c r="AM965" s="253"/>
      <c r="AN965" s="253"/>
      <c r="AO965" s="253"/>
      <c r="AP965" s="253"/>
      <c r="AQ965" s="253"/>
      <c r="AR965" s="253"/>
      <c r="AS965" s="253"/>
      <c r="AT965" s="2"/>
      <c r="AU965" s="2"/>
      <c r="AV965" s="2"/>
      <c r="AW965" s="2"/>
      <c r="AX965" s="2"/>
      <c r="AY965" s="253"/>
    </row>
    <row r="966" ht="15.75" customHeight="1">
      <c r="A966" s="2"/>
      <c r="B966" s="288" t="str">
        <f>Controle!B966</f>
        <v/>
      </c>
      <c r="C966" s="233" t="str">
        <f>Controle!C966</f>
        <v/>
      </c>
      <c r="D966" s="289" t="str">
        <f>Controle!D966</f>
        <v/>
      </c>
      <c r="E966" s="290"/>
      <c r="F966" s="291" t="str">
        <f>Controle!F966</f>
        <v/>
      </c>
      <c r="G966" s="289" t="str">
        <f>Controle!G966</f>
        <v/>
      </c>
      <c r="H966" s="290"/>
      <c r="I966" s="291" t="str">
        <f>Controle!I966</f>
        <v/>
      </c>
      <c r="J966" s="233" t="str">
        <f>Controle!J966</f>
        <v/>
      </c>
      <c r="K966" s="292"/>
      <c r="L966" s="233" t="str">
        <f>Controle!L966</f>
        <v/>
      </c>
      <c r="M966" s="233" t="str">
        <f>Controle!M966</f>
        <v/>
      </c>
      <c r="N966" s="235" t="str">
        <f>Controle!N966</f>
        <v/>
      </c>
      <c r="O966" s="235" t="str">
        <f>Controle!O966</f>
        <v/>
      </c>
      <c r="P966" s="235" t="str">
        <f>Controle!P966</f>
        <v/>
      </c>
      <c r="Q966" s="235" t="str">
        <f>Controle!Q966</f>
        <v/>
      </c>
      <c r="R966" s="286" t="str">
        <f>Controle!R966</f>
        <v/>
      </c>
      <c r="S966" s="286"/>
      <c r="T966" s="286"/>
      <c r="U966" s="286"/>
      <c r="V966" s="286"/>
      <c r="W966" s="286"/>
      <c r="X966" s="286"/>
      <c r="Y966" s="286"/>
      <c r="Z966" s="286"/>
      <c r="AA966" s="294"/>
      <c r="AB966" s="253"/>
      <c r="AC966" s="253"/>
      <c r="AD966" s="253"/>
      <c r="AE966" s="253"/>
      <c r="AF966" s="253"/>
      <c r="AG966" s="253"/>
      <c r="AH966" s="253"/>
      <c r="AI966" s="253"/>
      <c r="AJ966" s="253"/>
      <c r="AK966" s="253"/>
      <c r="AL966" s="253"/>
      <c r="AM966" s="253"/>
      <c r="AN966" s="253"/>
      <c r="AO966" s="253"/>
      <c r="AP966" s="253"/>
      <c r="AQ966" s="253"/>
      <c r="AR966" s="253"/>
      <c r="AS966" s="253"/>
      <c r="AT966" s="2"/>
      <c r="AU966" s="2"/>
      <c r="AV966" s="2"/>
      <c r="AW966" s="2"/>
      <c r="AX966" s="2"/>
      <c r="AY966" s="253"/>
    </row>
    <row r="967" ht="15.75" customHeight="1">
      <c r="A967" s="2"/>
      <c r="B967" s="288" t="str">
        <f>Controle!B967</f>
        <v/>
      </c>
      <c r="C967" s="233" t="str">
        <f>Controle!C967</f>
        <v/>
      </c>
      <c r="D967" s="289" t="str">
        <f>Controle!D967</f>
        <v/>
      </c>
      <c r="E967" s="290"/>
      <c r="F967" s="291" t="str">
        <f>Controle!F967</f>
        <v/>
      </c>
      <c r="G967" s="289" t="str">
        <f>Controle!G967</f>
        <v/>
      </c>
      <c r="H967" s="290"/>
      <c r="I967" s="291" t="str">
        <f>Controle!I967</f>
        <v/>
      </c>
      <c r="J967" s="233" t="str">
        <f>Controle!J967</f>
        <v/>
      </c>
      <c r="K967" s="292"/>
      <c r="L967" s="233" t="str">
        <f>Controle!L967</f>
        <v/>
      </c>
      <c r="M967" s="233" t="str">
        <f>Controle!M967</f>
        <v/>
      </c>
      <c r="N967" s="235" t="str">
        <f>Controle!N967</f>
        <v/>
      </c>
      <c r="O967" s="235" t="str">
        <f>Controle!O967</f>
        <v/>
      </c>
      <c r="P967" s="235" t="str">
        <f>Controle!P967</f>
        <v/>
      </c>
      <c r="Q967" s="235" t="str">
        <f>Controle!Q967</f>
        <v/>
      </c>
      <c r="R967" s="286" t="str">
        <f>Controle!R967</f>
        <v/>
      </c>
      <c r="S967" s="286"/>
      <c r="T967" s="286"/>
      <c r="U967" s="286"/>
      <c r="V967" s="286"/>
      <c r="W967" s="286"/>
      <c r="X967" s="286"/>
      <c r="Y967" s="286"/>
      <c r="Z967" s="286"/>
      <c r="AA967" s="294"/>
      <c r="AB967" s="253"/>
      <c r="AC967" s="253"/>
      <c r="AD967" s="253"/>
      <c r="AE967" s="253"/>
      <c r="AF967" s="253"/>
      <c r="AG967" s="253"/>
      <c r="AH967" s="253"/>
      <c r="AI967" s="253"/>
      <c r="AJ967" s="253"/>
      <c r="AK967" s="253"/>
      <c r="AL967" s="253"/>
      <c r="AM967" s="253"/>
      <c r="AN967" s="253"/>
      <c r="AO967" s="253"/>
      <c r="AP967" s="253"/>
      <c r="AQ967" s="253"/>
      <c r="AR967" s="253"/>
      <c r="AS967" s="253"/>
      <c r="AT967" s="2"/>
      <c r="AU967" s="2"/>
      <c r="AV967" s="2"/>
      <c r="AW967" s="2"/>
      <c r="AX967" s="2"/>
      <c r="AY967" s="253"/>
    </row>
    <row r="968" ht="15.75" customHeight="1">
      <c r="A968" s="2"/>
      <c r="B968" s="288" t="str">
        <f>Controle!B968</f>
        <v/>
      </c>
      <c r="C968" s="233" t="str">
        <f>Controle!C968</f>
        <v/>
      </c>
      <c r="D968" s="289" t="str">
        <f>Controle!D968</f>
        <v/>
      </c>
      <c r="E968" s="290"/>
      <c r="F968" s="291" t="str">
        <f>Controle!F968</f>
        <v/>
      </c>
      <c r="G968" s="289" t="str">
        <f>Controle!G968</f>
        <v/>
      </c>
      <c r="H968" s="290"/>
      <c r="I968" s="291" t="str">
        <f>Controle!I968</f>
        <v/>
      </c>
      <c r="J968" s="233" t="str">
        <f>Controle!J968</f>
        <v/>
      </c>
      <c r="K968" s="292"/>
      <c r="L968" s="233" t="str">
        <f>Controle!L968</f>
        <v/>
      </c>
      <c r="M968" s="233" t="str">
        <f>Controle!M968</f>
        <v/>
      </c>
      <c r="N968" s="235" t="str">
        <f>Controle!N968</f>
        <v/>
      </c>
      <c r="O968" s="235" t="str">
        <f>Controle!O968</f>
        <v/>
      </c>
      <c r="P968" s="235" t="str">
        <f>Controle!P968</f>
        <v/>
      </c>
      <c r="Q968" s="235" t="str">
        <f>Controle!Q968</f>
        <v/>
      </c>
      <c r="R968" s="286" t="str">
        <f>Controle!R968</f>
        <v/>
      </c>
      <c r="S968" s="286"/>
      <c r="T968" s="286"/>
      <c r="U968" s="286"/>
      <c r="V968" s="286"/>
      <c r="W968" s="286"/>
      <c r="X968" s="286"/>
      <c r="Y968" s="286"/>
      <c r="Z968" s="286"/>
      <c r="AA968" s="294"/>
      <c r="AB968" s="253"/>
      <c r="AC968" s="253"/>
      <c r="AD968" s="253"/>
      <c r="AE968" s="253"/>
      <c r="AF968" s="253"/>
      <c r="AG968" s="253"/>
      <c r="AH968" s="253"/>
      <c r="AI968" s="253"/>
      <c r="AJ968" s="253"/>
      <c r="AK968" s="253"/>
      <c r="AL968" s="253"/>
      <c r="AM968" s="253"/>
      <c r="AN968" s="253"/>
      <c r="AO968" s="253"/>
      <c r="AP968" s="253"/>
      <c r="AQ968" s="253"/>
      <c r="AR968" s="253"/>
      <c r="AS968" s="253"/>
      <c r="AT968" s="2"/>
      <c r="AU968" s="2"/>
      <c r="AV968" s="2"/>
      <c r="AW968" s="2"/>
      <c r="AX968" s="2"/>
      <c r="AY968" s="253"/>
    </row>
    <row r="969" ht="15.75" customHeight="1">
      <c r="A969" s="2"/>
      <c r="B969" s="288" t="str">
        <f>Controle!B969</f>
        <v/>
      </c>
      <c r="C969" s="233" t="str">
        <f>Controle!C969</f>
        <v/>
      </c>
      <c r="D969" s="289" t="str">
        <f>Controle!D969</f>
        <v/>
      </c>
      <c r="E969" s="290"/>
      <c r="F969" s="291" t="str">
        <f>Controle!F969</f>
        <v/>
      </c>
      <c r="G969" s="289" t="str">
        <f>Controle!G969</f>
        <v/>
      </c>
      <c r="H969" s="290"/>
      <c r="I969" s="291" t="str">
        <f>Controle!I969</f>
        <v/>
      </c>
      <c r="J969" s="233" t="str">
        <f>Controle!J969</f>
        <v/>
      </c>
      <c r="K969" s="292"/>
      <c r="L969" s="233" t="str">
        <f>Controle!L969</f>
        <v/>
      </c>
      <c r="M969" s="233" t="str">
        <f>Controle!M969</f>
        <v/>
      </c>
      <c r="N969" s="235" t="str">
        <f>Controle!N969</f>
        <v/>
      </c>
      <c r="O969" s="235" t="str">
        <f>Controle!O969</f>
        <v/>
      </c>
      <c r="P969" s="235" t="str">
        <f>Controle!P969</f>
        <v/>
      </c>
      <c r="Q969" s="235" t="str">
        <f>Controle!Q969</f>
        <v/>
      </c>
      <c r="R969" s="286" t="str">
        <f>Controle!R969</f>
        <v/>
      </c>
      <c r="S969" s="286"/>
      <c r="T969" s="286"/>
      <c r="U969" s="286"/>
      <c r="V969" s="286"/>
      <c r="W969" s="286"/>
      <c r="X969" s="286"/>
      <c r="Y969" s="286"/>
      <c r="Z969" s="286"/>
      <c r="AA969" s="294"/>
      <c r="AB969" s="253"/>
      <c r="AC969" s="253"/>
      <c r="AD969" s="253"/>
      <c r="AE969" s="253"/>
      <c r="AF969" s="253"/>
      <c r="AG969" s="253"/>
      <c r="AH969" s="253"/>
      <c r="AI969" s="253"/>
      <c r="AJ969" s="253"/>
      <c r="AK969" s="253"/>
      <c r="AL969" s="253"/>
      <c r="AM969" s="253"/>
      <c r="AN969" s="253"/>
      <c r="AO969" s="253"/>
      <c r="AP969" s="253"/>
      <c r="AQ969" s="253"/>
      <c r="AR969" s="253"/>
      <c r="AS969" s="253"/>
      <c r="AT969" s="2"/>
      <c r="AU969" s="2"/>
      <c r="AV969" s="2"/>
      <c r="AW969" s="2"/>
      <c r="AX969" s="2"/>
      <c r="AY969" s="253"/>
    </row>
    <row r="970" ht="15.75" customHeight="1">
      <c r="A970" s="2"/>
      <c r="B970" s="288" t="str">
        <f>Controle!B970</f>
        <v/>
      </c>
      <c r="C970" s="233" t="str">
        <f>Controle!C970</f>
        <v/>
      </c>
      <c r="D970" s="289" t="str">
        <f>Controle!D970</f>
        <v/>
      </c>
      <c r="E970" s="290"/>
      <c r="F970" s="291" t="str">
        <f>Controle!F970</f>
        <v/>
      </c>
      <c r="G970" s="289" t="str">
        <f>Controle!G970</f>
        <v/>
      </c>
      <c r="H970" s="290"/>
      <c r="I970" s="291" t="str">
        <f>Controle!I970</f>
        <v/>
      </c>
      <c r="J970" s="233" t="str">
        <f>Controle!J970</f>
        <v/>
      </c>
      <c r="K970" s="292"/>
      <c r="L970" s="233" t="str">
        <f>Controle!L970</f>
        <v/>
      </c>
      <c r="M970" s="233" t="str">
        <f>Controle!M970</f>
        <v/>
      </c>
      <c r="N970" s="235" t="str">
        <f>Controle!N970</f>
        <v/>
      </c>
      <c r="O970" s="235" t="str">
        <f>Controle!O970</f>
        <v/>
      </c>
      <c r="P970" s="235" t="str">
        <f>Controle!P970</f>
        <v/>
      </c>
      <c r="Q970" s="235" t="str">
        <f>Controle!Q970</f>
        <v/>
      </c>
      <c r="R970" s="286" t="str">
        <f>Controle!R970</f>
        <v/>
      </c>
      <c r="S970" s="286"/>
      <c r="T970" s="286"/>
      <c r="U970" s="286"/>
      <c r="V970" s="286"/>
      <c r="W970" s="286"/>
      <c r="X970" s="286"/>
      <c r="Y970" s="286"/>
      <c r="Z970" s="286"/>
      <c r="AA970" s="294"/>
      <c r="AB970" s="253"/>
      <c r="AC970" s="253"/>
      <c r="AD970" s="253"/>
      <c r="AE970" s="253"/>
      <c r="AF970" s="253"/>
      <c r="AG970" s="253"/>
      <c r="AH970" s="253"/>
      <c r="AI970" s="253"/>
      <c r="AJ970" s="253"/>
      <c r="AK970" s="253"/>
      <c r="AL970" s="253"/>
      <c r="AM970" s="253"/>
      <c r="AN970" s="253"/>
      <c r="AO970" s="253"/>
      <c r="AP970" s="253"/>
      <c r="AQ970" s="253"/>
      <c r="AR970" s="253"/>
      <c r="AS970" s="253"/>
      <c r="AT970" s="2"/>
      <c r="AU970" s="2"/>
      <c r="AV970" s="2"/>
      <c r="AW970" s="2"/>
      <c r="AX970" s="2"/>
      <c r="AY970" s="253"/>
    </row>
    <row r="971" ht="15.75" customHeight="1">
      <c r="A971" s="2"/>
      <c r="B971" s="288" t="str">
        <f>Controle!B971</f>
        <v/>
      </c>
      <c r="C971" s="233" t="str">
        <f>Controle!C971</f>
        <v/>
      </c>
      <c r="D971" s="289" t="str">
        <f>Controle!D971</f>
        <v/>
      </c>
      <c r="E971" s="290"/>
      <c r="F971" s="291" t="str">
        <f>Controle!F971</f>
        <v/>
      </c>
      <c r="G971" s="289" t="str">
        <f>Controle!G971</f>
        <v/>
      </c>
      <c r="H971" s="290"/>
      <c r="I971" s="291" t="str">
        <f>Controle!I971</f>
        <v/>
      </c>
      <c r="J971" s="233" t="str">
        <f>Controle!J971</f>
        <v/>
      </c>
      <c r="K971" s="292"/>
      <c r="L971" s="233" t="str">
        <f>Controle!L971</f>
        <v/>
      </c>
      <c r="M971" s="233" t="str">
        <f>Controle!M971</f>
        <v/>
      </c>
      <c r="N971" s="235" t="str">
        <f>Controle!N971</f>
        <v/>
      </c>
      <c r="O971" s="235" t="str">
        <f>Controle!O971</f>
        <v/>
      </c>
      <c r="P971" s="235" t="str">
        <f>Controle!P971</f>
        <v/>
      </c>
      <c r="Q971" s="235" t="str">
        <f>Controle!Q971</f>
        <v/>
      </c>
      <c r="R971" s="286" t="str">
        <f>Controle!R971</f>
        <v/>
      </c>
      <c r="S971" s="286"/>
      <c r="T971" s="286"/>
      <c r="U971" s="286"/>
      <c r="V971" s="286"/>
      <c r="W971" s="286"/>
      <c r="X971" s="286"/>
      <c r="Y971" s="286"/>
      <c r="Z971" s="286"/>
      <c r="AA971" s="294"/>
      <c r="AB971" s="253"/>
      <c r="AC971" s="253"/>
      <c r="AD971" s="253"/>
      <c r="AE971" s="253"/>
      <c r="AF971" s="253"/>
      <c r="AG971" s="253"/>
      <c r="AH971" s="253"/>
      <c r="AI971" s="253"/>
      <c r="AJ971" s="253"/>
      <c r="AK971" s="253"/>
      <c r="AL971" s="253"/>
      <c r="AM971" s="253"/>
      <c r="AN971" s="253"/>
      <c r="AO971" s="253"/>
      <c r="AP971" s="253"/>
      <c r="AQ971" s="253"/>
      <c r="AR971" s="253"/>
      <c r="AS971" s="253"/>
      <c r="AT971" s="2"/>
      <c r="AU971" s="2"/>
      <c r="AV971" s="2"/>
      <c r="AW971" s="2"/>
      <c r="AX971" s="2"/>
      <c r="AY971" s="253"/>
    </row>
    <row r="972" ht="15.75" customHeight="1">
      <c r="A972" s="2"/>
      <c r="B972" s="288" t="str">
        <f>Controle!B972</f>
        <v/>
      </c>
      <c r="C972" s="233" t="str">
        <f>Controle!C972</f>
        <v/>
      </c>
      <c r="D972" s="289" t="str">
        <f>Controle!D972</f>
        <v/>
      </c>
      <c r="E972" s="290"/>
      <c r="F972" s="291" t="str">
        <f>Controle!F972</f>
        <v/>
      </c>
      <c r="G972" s="289" t="str">
        <f>Controle!G972</f>
        <v/>
      </c>
      <c r="H972" s="290"/>
      <c r="I972" s="291" t="str">
        <f>Controle!I972</f>
        <v/>
      </c>
      <c r="J972" s="233" t="str">
        <f>Controle!J972</f>
        <v/>
      </c>
      <c r="K972" s="292"/>
      <c r="L972" s="233" t="str">
        <f>Controle!L972</f>
        <v/>
      </c>
      <c r="M972" s="233" t="str">
        <f>Controle!M972</f>
        <v/>
      </c>
      <c r="N972" s="235" t="str">
        <f>Controle!N972</f>
        <v/>
      </c>
      <c r="O972" s="235" t="str">
        <f>Controle!O972</f>
        <v/>
      </c>
      <c r="P972" s="235" t="str">
        <f>Controle!P972</f>
        <v/>
      </c>
      <c r="Q972" s="235" t="str">
        <f>Controle!Q972</f>
        <v/>
      </c>
      <c r="R972" s="286" t="str">
        <f>Controle!R972</f>
        <v/>
      </c>
      <c r="S972" s="286"/>
      <c r="T972" s="286"/>
      <c r="U972" s="286"/>
      <c r="V972" s="286"/>
      <c r="W972" s="286"/>
      <c r="X972" s="286"/>
      <c r="Y972" s="286"/>
      <c r="Z972" s="286"/>
      <c r="AA972" s="294"/>
      <c r="AB972" s="253"/>
      <c r="AC972" s="253"/>
      <c r="AD972" s="253"/>
      <c r="AE972" s="253"/>
      <c r="AF972" s="253"/>
      <c r="AG972" s="253"/>
      <c r="AH972" s="253"/>
      <c r="AI972" s="253"/>
      <c r="AJ972" s="253"/>
      <c r="AK972" s="253"/>
      <c r="AL972" s="253"/>
      <c r="AM972" s="253"/>
      <c r="AN972" s="253"/>
      <c r="AO972" s="253"/>
      <c r="AP972" s="253"/>
      <c r="AQ972" s="253"/>
      <c r="AR972" s="253"/>
      <c r="AS972" s="253"/>
      <c r="AT972" s="2"/>
      <c r="AU972" s="2"/>
      <c r="AV972" s="2"/>
      <c r="AW972" s="2"/>
      <c r="AX972" s="2"/>
      <c r="AY972" s="253"/>
    </row>
    <row r="973" ht="15.75" customHeight="1">
      <c r="A973" s="2"/>
      <c r="B973" s="288" t="str">
        <f>Controle!B973</f>
        <v/>
      </c>
      <c r="C973" s="233" t="str">
        <f>Controle!C973</f>
        <v/>
      </c>
      <c r="D973" s="289" t="str">
        <f>Controle!D973</f>
        <v/>
      </c>
      <c r="E973" s="290"/>
      <c r="F973" s="291" t="str">
        <f>Controle!F973</f>
        <v/>
      </c>
      <c r="G973" s="289" t="str">
        <f>Controle!G973</f>
        <v/>
      </c>
      <c r="H973" s="290"/>
      <c r="I973" s="291" t="str">
        <f>Controle!I973</f>
        <v/>
      </c>
      <c r="J973" s="233" t="str">
        <f>Controle!J973</f>
        <v/>
      </c>
      <c r="K973" s="292"/>
      <c r="L973" s="233" t="str">
        <f>Controle!L973</f>
        <v/>
      </c>
      <c r="M973" s="233" t="str">
        <f>Controle!M973</f>
        <v/>
      </c>
      <c r="N973" s="235" t="str">
        <f>Controle!N973</f>
        <v/>
      </c>
      <c r="O973" s="235" t="str">
        <f>Controle!O973</f>
        <v/>
      </c>
      <c r="P973" s="235" t="str">
        <f>Controle!P973</f>
        <v/>
      </c>
      <c r="Q973" s="235" t="str">
        <f>Controle!Q973</f>
        <v/>
      </c>
      <c r="R973" s="286" t="str">
        <f>Controle!R973</f>
        <v/>
      </c>
      <c r="S973" s="286"/>
      <c r="T973" s="286"/>
      <c r="U973" s="286"/>
      <c r="V973" s="286"/>
      <c r="W973" s="286"/>
      <c r="X973" s="286"/>
      <c r="Y973" s="286"/>
      <c r="Z973" s="286"/>
      <c r="AA973" s="294"/>
      <c r="AB973" s="253"/>
      <c r="AC973" s="253"/>
      <c r="AD973" s="253"/>
      <c r="AE973" s="253"/>
      <c r="AF973" s="253"/>
      <c r="AG973" s="253"/>
      <c r="AH973" s="253"/>
      <c r="AI973" s="253"/>
      <c r="AJ973" s="253"/>
      <c r="AK973" s="253"/>
      <c r="AL973" s="253"/>
      <c r="AM973" s="253"/>
      <c r="AN973" s="253"/>
      <c r="AO973" s="253"/>
      <c r="AP973" s="253"/>
      <c r="AQ973" s="253"/>
      <c r="AR973" s="253"/>
      <c r="AS973" s="253"/>
      <c r="AT973" s="2"/>
      <c r="AU973" s="2"/>
      <c r="AV973" s="2"/>
      <c r="AW973" s="2"/>
      <c r="AX973" s="2"/>
      <c r="AY973" s="253"/>
    </row>
    <row r="974" ht="15.75" customHeight="1">
      <c r="A974" s="2"/>
      <c r="B974" s="288" t="str">
        <f>Controle!B974</f>
        <v/>
      </c>
      <c r="C974" s="233" t="str">
        <f>Controle!C974</f>
        <v/>
      </c>
      <c r="D974" s="289" t="str">
        <f>Controle!D974</f>
        <v/>
      </c>
      <c r="E974" s="290"/>
      <c r="F974" s="291" t="str">
        <f>Controle!F974</f>
        <v/>
      </c>
      <c r="G974" s="289" t="str">
        <f>Controle!G974</f>
        <v/>
      </c>
      <c r="H974" s="290"/>
      <c r="I974" s="291" t="str">
        <f>Controle!I974</f>
        <v/>
      </c>
      <c r="J974" s="233" t="str">
        <f>Controle!J974</f>
        <v/>
      </c>
      <c r="K974" s="292"/>
      <c r="L974" s="233" t="str">
        <f>Controle!L974</f>
        <v/>
      </c>
      <c r="M974" s="233" t="str">
        <f>Controle!M974</f>
        <v/>
      </c>
      <c r="N974" s="235" t="str">
        <f>Controle!N974</f>
        <v/>
      </c>
      <c r="O974" s="235" t="str">
        <f>Controle!O974</f>
        <v/>
      </c>
      <c r="P974" s="235" t="str">
        <f>Controle!P974</f>
        <v/>
      </c>
      <c r="Q974" s="235" t="str">
        <f>Controle!Q974</f>
        <v/>
      </c>
      <c r="R974" s="286" t="str">
        <f>Controle!R974</f>
        <v/>
      </c>
      <c r="S974" s="286"/>
      <c r="T974" s="286"/>
      <c r="U974" s="286"/>
      <c r="V974" s="286"/>
      <c r="W974" s="286"/>
      <c r="X974" s="286"/>
      <c r="Y974" s="286"/>
      <c r="Z974" s="286"/>
      <c r="AA974" s="294"/>
      <c r="AB974" s="253"/>
      <c r="AC974" s="253"/>
      <c r="AD974" s="253"/>
      <c r="AE974" s="253"/>
      <c r="AF974" s="253"/>
      <c r="AG974" s="253"/>
      <c r="AH974" s="253"/>
      <c r="AI974" s="253"/>
      <c r="AJ974" s="253"/>
      <c r="AK974" s="253"/>
      <c r="AL974" s="253"/>
      <c r="AM974" s="253"/>
      <c r="AN974" s="253"/>
      <c r="AO974" s="253"/>
      <c r="AP974" s="253"/>
      <c r="AQ974" s="253"/>
      <c r="AR974" s="253"/>
      <c r="AS974" s="253"/>
      <c r="AT974" s="2"/>
      <c r="AU974" s="2"/>
      <c r="AV974" s="2"/>
      <c r="AW974" s="2"/>
      <c r="AX974" s="2"/>
      <c r="AY974" s="253"/>
    </row>
    <row r="975" ht="15.75" customHeight="1">
      <c r="A975" s="2"/>
      <c r="B975" s="288" t="str">
        <f>Controle!B975</f>
        <v/>
      </c>
      <c r="C975" s="233" t="str">
        <f>Controle!C975</f>
        <v/>
      </c>
      <c r="D975" s="289" t="str">
        <f>Controle!D975</f>
        <v/>
      </c>
      <c r="E975" s="290"/>
      <c r="F975" s="291" t="str">
        <f>Controle!F975</f>
        <v/>
      </c>
      <c r="G975" s="289" t="str">
        <f>Controle!G975</f>
        <v/>
      </c>
      <c r="H975" s="290"/>
      <c r="I975" s="291" t="str">
        <f>Controle!I975</f>
        <v/>
      </c>
      <c r="J975" s="233" t="str">
        <f>Controle!J975</f>
        <v/>
      </c>
      <c r="K975" s="292"/>
      <c r="L975" s="233" t="str">
        <f>Controle!L975</f>
        <v/>
      </c>
      <c r="M975" s="233" t="str">
        <f>Controle!M975</f>
        <v/>
      </c>
      <c r="N975" s="235" t="str">
        <f>Controle!N975</f>
        <v/>
      </c>
      <c r="O975" s="235" t="str">
        <f>Controle!O975</f>
        <v/>
      </c>
      <c r="P975" s="235" t="str">
        <f>Controle!P975</f>
        <v/>
      </c>
      <c r="Q975" s="235" t="str">
        <f>Controle!Q975</f>
        <v/>
      </c>
      <c r="R975" s="286" t="str">
        <f>Controle!R975</f>
        <v/>
      </c>
      <c r="S975" s="286"/>
      <c r="T975" s="286"/>
      <c r="U975" s="286"/>
      <c r="V975" s="286"/>
      <c r="W975" s="286"/>
      <c r="X975" s="286"/>
      <c r="Y975" s="286"/>
      <c r="Z975" s="286"/>
      <c r="AA975" s="294"/>
      <c r="AB975" s="253"/>
      <c r="AC975" s="253"/>
      <c r="AD975" s="253"/>
      <c r="AE975" s="253"/>
      <c r="AF975" s="253"/>
      <c r="AG975" s="253"/>
      <c r="AH975" s="253"/>
      <c r="AI975" s="253"/>
      <c r="AJ975" s="253"/>
      <c r="AK975" s="253"/>
      <c r="AL975" s="253"/>
      <c r="AM975" s="253"/>
      <c r="AN975" s="253"/>
      <c r="AO975" s="253"/>
      <c r="AP975" s="253"/>
      <c r="AQ975" s="253"/>
      <c r="AR975" s="253"/>
      <c r="AS975" s="253"/>
      <c r="AT975" s="2"/>
      <c r="AU975" s="2"/>
      <c r="AV975" s="2"/>
      <c r="AW975" s="2"/>
      <c r="AX975" s="2"/>
      <c r="AY975" s="253"/>
    </row>
    <row r="976" ht="15.75" customHeight="1">
      <c r="A976" s="2"/>
      <c r="B976" s="288" t="str">
        <f>Controle!B976</f>
        <v/>
      </c>
      <c r="C976" s="233" t="str">
        <f>Controle!C976</f>
        <v/>
      </c>
      <c r="D976" s="289" t="str">
        <f>Controle!D976</f>
        <v/>
      </c>
      <c r="E976" s="290"/>
      <c r="F976" s="291" t="str">
        <f>Controle!F976</f>
        <v/>
      </c>
      <c r="G976" s="289" t="str">
        <f>Controle!G976</f>
        <v/>
      </c>
      <c r="H976" s="290"/>
      <c r="I976" s="291" t="str">
        <f>Controle!I976</f>
        <v/>
      </c>
      <c r="J976" s="233" t="str">
        <f>Controle!J976</f>
        <v/>
      </c>
      <c r="K976" s="292"/>
      <c r="L976" s="233" t="str">
        <f>Controle!L976</f>
        <v/>
      </c>
      <c r="M976" s="233" t="str">
        <f>Controle!M976</f>
        <v/>
      </c>
      <c r="N976" s="235" t="str">
        <f>Controle!N976</f>
        <v/>
      </c>
      <c r="O976" s="235" t="str">
        <f>Controle!O976</f>
        <v/>
      </c>
      <c r="P976" s="235" t="str">
        <f>Controle!P976</f>
        <v/>
      </c>
      <c r="Q976" s="235" t="str">
        <f>Controle!Q976</f>
        <v/>
      </c>
      <c r="R976" s="286" t="str">
        <f>Controle!R976</f>
        <v/>
      </c>
      <c r="S976" s="286"/>
      <c r="T976" s="286"/>
      <c r="U976" s="286"/>
      <c r="V976" s="286"/>
      <c r="W976" s="286"/>
      <c r="X976" s="286"/>
      <c r="Y976" s="286"/>
      <c r="Z976" s="286"/>
      <c r="AA976" s="294"/>
      <c r="AB976" s="253"/>
      <c r="AC976" s="253"/>
      <c r="AD976" s="253"/>
      <c r="AE976" s="253"/>
      <c r="AF976" s="253"/>
      <c r="AG976" s="253"/>
      <c r="AH976" s="253"/>
      <c r="AI976" s="253"/>
      <c r="AJ976" s="253"/>
      <c r="AK976" s="253"/>
      <c r="AL976" s="253"/>
      <c r="AM976" s="253"/>
      <c r="AN976" s="253"/>
      <c r="AO976" s="253"/>
      <c r="AP976" s="253"/>
      <c r="AQ976" s="253"/>
      <c r="AR976" s="253"/>
      <c r="AS976" s="253"/>
      <c r="AT976" s="2"/>
      <c r="AU976" s="2"/>
      <c r="AV976" s="2"/>
      <c r="AW976" s="2"/>
      <c r="AX976" s="2"/>
      <c r="AY976" s="253"/>
    </row>
    <row r="977" ht="15.75" customHeight="1">
      <c r="A977" s="2"/>
      <c r="B977" s="288" t="str">
        <f>Controle!B977</f>
        <v/>
      </c>
      <c r="C977" s="233" t="str">
        <f>Controle!C977</f>
        <v/>
      </c>
      <c r="D977" s="289" t="str">
        <f>Controle!D977</f>
        <v/>
      </c>
      <c r="E977" s="290"/>
      <c r="F977" s="291" t="str">
        <f>Controle!F977</f>
        <v/>
      </c>
      <c r="G977" s="289" t="str">
        <f>Controle!G977</f>
        <v/>
      </c>
      <c r="H977" s="290"/>
      <c r="I977" s="291" t="str">
        <f>Controle!I977</f>
        <v/>
      </c>
      <c r="J977" s="233" t="str">
        <f>Controle!J977</f>
        <v/>
      </c>
      <c r="K977" s="292"/>
      <c r="L977" s="233" t="str">
        <f>Controle!L977</f>
        <v/>
      </c>
      <c r="M977" s="233" t="str">
        <f>Controle!M977</f>
        <v/>
      </c>
      <c r="N977" s="235" t="str">
        <f>Controle!N977</f>
        <v/>
      </c>
      <c r="O977" s="235" t="str">
        <f>Controle!O977</f>
        <v/>
      </c>
      <c r="P977" s="235" t="str">
        <f>Controle!P977</f>
        <v/>
      </c>
      <c r="Q977" s="235" t="str">
        <f>Controle!Q977</f>
        <v/>
      </c>
      <c r="R977" s="286" t="str">
        <f>Controle!R977</f>
        <v/>
      </c>
      <c r="S977" s="286"/>
      <c r="T977" s="286"/>
      <c r="U977" s="286"/>
      <c r="V977" s="286"/>
      <c r="W977" s="286"/>
      <c r="X977" s="286"/>
      <c r="Y977" s="286"/>
      <c r="Z977" s="286"/>
      <c r="AA977" s="294"/>
      <c r="AB977" s="253"/>
      <c r="AC977" s="253"/>
      <c r="AD977" s="253"/>
      <c r="AE977" s="253"/>
      <c r="AF977" s="253"/>
      <c r="AG977" s="253"/>
      <c r="AH977" s="253"/>
      <c r="AI977" s="253"/>
      <c r="AJ977" s="253"/>
      <c r="AK977" s="253"/>
      <c r="AL977" s="253"/>
      <c r="AM977" s="253"/>
      <c r="AN977" s="253"/>
      <c r="AO977" s="253"/>
      <c r="AP977" s="253"/>
      <c r="AQ977" s="253"/>
      <c r="AR977" s="253"/>
      <c r="AS977" s="253"/>
      <c r="AT977" s="2"/>
      <c r="AU977" s="2"/>
      <c r="AV977" s="2"/>
      <c r="AW977" s="2"/>
      <c r="AX977" s="2"/>
      <c r="AY977" s="253"/>
    </row>
    <row r="978" ht="15.75" customHeight="1">
      <c r="A978" s="2"/>
      <c r="B978" s="288" t="str">
        <f>Controle!B978</f>
        <v/>
      </c>
      <c r="C978" s="233" t="str">
        <f>Controle!C978</f>
        <v/>
      </c>
      <c r="D978" s="289" t="str">
        <f>Controle!D978</f>
        <v/>
      </c>
      <c r="E978" s="290"/>
      <c r="F978" s="291" t="str">
        <f>Controle!F978</f>
        <v/>
      </c>
      <c r="G978" s="289" t="str">
        <f>Controle!G978</f>
        <v/>
      </c>
      <c r="H978" s="290"/>
      <c r="I978" s="291" t="str">
        <f>Controle!I978</f>
        <v/>
      </c>
      <c r="J978" s="233" t="str">
        <f>Controle!J978</f>
        <v/>
      </c>
      <c r="K978" s="292"/>
      <c r="L978" s="233" t="str">
        <f>Controle!L978</f>
        <v/>
      </c>
      <c r="M978" s="233" t="str">
        <f>Controle!M978</f>
        <v/>
      </c>
      <c r="N978" s="235" t="str">
        <f>Controle!N978</f>
        <v/>
      </c>
      <c r="O978" s="235" t="str">
        <f>Controle!O978</f>
        <v/>
      </c>
      <c r="P978" s="235" t="str">
        <f>Controle!P978</f>
        <v/>
      </c>
      <c r="Q978" s="235" t="str">
        <f>Controle!Q978</f>
        <v/>
      </c>
      <c r="R978" s="286" t="str">
        <f>Controle!R978</f>
        <v/>
      </c>
      <c r="S978" s="286"/>
      <c r="T978" s="286"/>
      <c r="U978" s="286"/>
      <c r="V978" s="286"/>
      <c r="W978" s="286"/>
      <c r="X978" s="286"/>
      <c r="Y978" s="286"/>
      <c r="Z978" s="286"/>
      <c r="AA978" s="294"/>
      <c r="AB978" s="253"/>
      <c r="AC978" s="253"/>
      <c r="AD978" s="253"/>
      <c r="AE978" s="253"/>
      <c r="AF978" s="253"/>
      <c r="AG978" s="253"/>
      <c r="AH978" s="253"/>
      <c r="AI978" s="253"/>
      <c r="AJ978" s="253"/>
      <c r="AK978" s="253"/>
      <c r="AL978" s="253"/>
      <c r="AM978" s="253"/>
      <c r="AN978" s="253"/>
      <c r="AO978" s="253"/>
      <c r="AP978" s="253"/>
      <c r="AQ978" s="253"/>
      <c r="AR978" s="253"/>
      <c r="AS978" s="253"/>
      <c r="AT978" s="2"/>
      <c r="AU978" s="2"/>
      <c r="AV978" s="2"/>
      <c r="AW978" s="2"/>
      <c r="AX978" s="2"/>
      <c r="AY978" s="253"/>
    </row>
    <row r="979" ht="15.75" customHeight="1">
      <c r="A979" s="2"/>
      <c r="B979" s="288" t="str">
        <f>Controle!B979</f>
        <v/>
      </c>
      <c r="C979" s="233" t="str">
        <f>Controle!C979</f>
        <v/>
      </c>
      <c r="D979" s="289" t="str">
        <f>Controle!D979</f>
        <v/>
      </c>
      <c r="E979" s="290"/>
      <c r="F979" s="291" t="str">
        <f>Controle!F979</f>
        <v/>
      </c>
      <c r="G979" s="289" t="str">
        <f>Controle!G979</f>
        <v/>
      </c>
      <c r="H979" s="290"/>
      <c r="I979" s="291" t="str">
        <f>Controle!I979</f>
        <v/>
      </c>
      <c r="J979" s="233" t="str">
        <f>Controle!J979</f>
        <v/>
      </c>
      <c r="K979" s="292"/>
      <c r="L979" s="233" t="str">
        <f>Controle!L979</f>
        <v/>
      </c>
      <c r="M979" s="233" t="str">
        <f>Controle!M979</f>
        <v/>
      </c>
      <c r="N979" s="235" t="str">
        <f>Controle!N979</f>
        <v/>
      </c>
      <c r="O979" s="235" t="str">
        <f>Controle!O979</f>
        <v/>
      </c>
      <c r="P979" s="235" t="str">
        <f>Controle!P979</f>
        <v/>
      </c>
      <c r="Q979" s="235" t="str">
        <f>Controle!Q979</f>
        <v/>
      </c>
      <c r="R979" s="286" t="str">
        <f>Controle!R979</f>
        <v/>
      </c>
      <c r="S979" s="286"/>
      <c r="T979" s="286"/>
      <c r="U979" s="286"/>
      <c r="V979" s="286"/>
      <c r="W979" s="286"/>
      <c r="X979" s="286"/>
      <c r="Y979" s="286"/>
      <c r="Z979" s="286"/>
      <c r="AA979" s="294"/>
      <c r="AB979" s="253"/>
      <c r="AC979" s="253"/>
      <c r="AD979" s="253"/>
      <c r="AE979" s="253"/>
      <c r="AF979" s="253"/>
      <c r="AG979" s="253"/>
      <c r="AH979" s="253"/>
      <c r="AI979" s="253"/>
      <c r="AJ979" s="253"/>
      <c r="AK979" s="253"/>
      <c r="AL979" s="253"/>
      <c r="AM979" s="253"/>
      <c r="AN979" s="253"/>
      <c r="AO979" s="253"/>
      <c r="AP979" s="253"/>
      <c r="AQ979" s="253"/>
      <c r="AR979" s="253"/>
      <c r="AS979" s="253"/>
      <c r="AT979" s="2"/>
      <c r="AU979" s="2"/>
      <c r="AV979" s="2"/>
      <c r="AW979" s="2"/>
      <c r="AX979" s="2"/>
      <c r="AY979" s="253"/>
    </row>
    <row r="980" ht="15.75" customHeight="1">
      <c r="A980" s="2"/>
      <c r="B980" s="288" t="str">
        <f>Controle!B980</f>
        <v/>
      </c>
      <c r="C980" s="233" t="str">
        <f>Controle!C980</f>
        <v/>
      </c>
      <c r="D980" s="289" t="str">
        <f>Controle!D980</f>
        <v/>
      </c>
      <c r="E980" s="290"/>
      <c r="F980" s="291" t="str">
        <f>Controle!F980</f>
        <v/>
      </c>
      <c r="G980" s="289" t="str">
        <f>Controle!G980</f>
        <v/>
      </c>
      <c r="H980" s="290"/>
      <c r="I980" s="291" t="str">
        <f>Controle!I980</f>
        <v/>
      </c>
      <c r="J980" s="233" t="str">
        <f>Controle!J980</f>
        <v/>
      </c>
      <c r="K980" s="292"/>
      <c r="L980" s="233" t="str">
        <f>Controle!L980</f>
        <v/>
      </c>
      <c r="M980" s="233" t="str">
        <f>Controle!M980</f>
        <v/>
      </c>
      <c r="N980" s="235" t="str">
        <f>Controle!N980</f>
        <v/>
      </c>
      <c r="O980" s="235" t="str">
        <f>Controle!O980</f>
        <v/>
      </c>
      <c r="P980" s="235" t="str">
        <f>Controle!P980</f>
        <v/>
      </c>
      <c r="Q980" s="235" t="str">
        <f>Controle!Q980</f>
        <v/>
      </c>
      <c r="R980" s="286" t="str">
        <f>Controle!R980</f>
        <v/>
      </c>
      <c r="S980" s="286"/>
      <c r="T980" s="286"/>
      <c r="U980" s="286"/>
      <c r="V980" s="286"/>
      <c r="W980" s="286"/>
      <c r="X980" s="286"/>
      <c r="Y980" s="286"/>
      <c r="Z980" s="286"/>
      <c r="AA980" s="294"/>
      <c r="AB980" s="253"/>
      <c r="AC980" s="253"/>
      <c r="AD980" s="253"/>
      <c r="AE980" s="253"/>
      <c r="AF980" s="253"/>
      <c r="AG980" s="253"/>
      <c r="AH980" s="253"/>
      <c r="AI980" s="253"/>
      <c r="AJ980" s="253"/>
      <c r="AK980" s="253"/>
      <c r="AL980" s="253"/>
      <c r="AM980" s="253"/>
      <c r="AN980" s="253"/>
      <c r="AO980" s="253"/>
      <c r="AP980" s="253"/>
      <c r="AQ980" s="253"/>
      <c r="AR980" s="253"/>
      <c r="AS980" s="253"/>
      <c r="AT980" s="2"/>
      <c r="AU980" s="2"/>
      <c r="AV980" s="2"/>
      <c r="AW980" s="2"/>
      <c r="AX980" s="2"/>
      <c r="AY980" s="253"/>
    </row>
    <row r="981" ht="15.75" customHeight="1">
      <c r="A981" s="2"/>
      <c r="B981" s="288" t="str">
        <f>Controle!B981</f>
        <v/>
      </c>
      <c r="C981" s="233" t="str">
        <f>Controle!C981</f>
        <v/>
      </c>
      <c r="D981" s="289" t="str">
        <f>Controle!D981</f>
        <v/>
      </c>
      <c r="E981" s="290"/>
      <c r="F981" s="291" t="str">
        <f>Controle!F981</f>
        <v/>
      </c>
      <c r="G981" s="289" t="str">
        <f>Controle!G981</f>
        <v/>
      </c>
      <c r="H981" s="290"/>
      <c r="I981" s="291" t="str">
        <f>Controle!I981</f>
        <v/>
      </c>
      <c r="J981" s="233" t="str">
        <f>Controle!J981</f>
        <v/>
      </c>
      <c r="K981" s="292"/>
      <c r="L981" s="233" t="str">
        <f>Controle!L981</f>
        <v/>
      </c>
      <c r="M981" s="233" t="str">
        <f>Controle!M981</f>
        <v/>
      </c>
      <c r="N981" s="235" t="str">
        <f>Controle!N981</f>
        <v/>
      </c>
      <c r="O981" s="235" t="str">
        <f>Controle!O981</f>
        <v/>
      </c>
      <c r="P981" s="235" t="str">
        <f>Controle!P981</f>
        <v/>
      </c>
      <c r="Q981" s="235" t="str">
        <f>Controle!Q981</f>
        <v/>
      </c>
      <c r="R981" s="286" t="str">
        <f>Controle!R981</f>
        <v/>
      </c>
      <c r="S981" s="286"/>
      <c r="T981" s="286"/>
      <c r="U981" s="286"/>
      <c r="V981" s="286"/>
      <c r="W981" s="286"/>
      <c r="X981" s="286"/>
      <c r="Y981" s="286"/>
      <c r="Z981" s="286"/>
      <c r="AA981" s="294"/>
      <c r="AB981" s="253"/>
      <c r="AC981" s="253"/>
      <c r="AD981" s="253"/>
      <c r="AE981" s="253"/>
      <c r="AF981" s="253"/>
      <c r="AG981" s="253"/>
      <c r="AH981" s="253"/>
      <c r="AI981" s="253"/>
      <c r="AJ981" s="253"/>
      <c r="AK981" s="253"/>
      <c r="AL981" s="253"/>
      <c r="AM981" s="253"/>
      <c r="AN981" s="253"/>
      <c r="AO981" s="253"/>
      <c r="AP981" s="253"/>
      <c r="AQ981" s="253"/>
      <c r="AR981" s="253"/>
      <c r="AS981" s="253"/>
      <c r="AT981" s="2"/>
      <c r="AU981" s="2"/>
      <c r="AV981" s="2"/>
      <c r="AW981" s="2"/>
      <c r="AX981" s="2"/>
      <c r="AY981" s="253"/>
    </row>
    <row r="982" ht="15.75" customHeight="1">
      <c r="A982" s="2"/>
      <c r="B982" s="288" t="str">
        <f>Controle!B982</f>
        <v/>
      </c>
      <c r="C982" s="233" t="str">
        <f>Controle!C982</f>
        <v/>
      </c>
      <c r="D982" s="289" t="str">
        <f>Controle!D982</f>
        <v/>
      </c>
      <c r="E982" s="290"/>
      <c r="F982" s="291" t="str">
        <f>Controle!F982</f>
        <v/>
      </c>
      <c r="G982" s="289" t="str">
        <f>Controle!G982</f>
        <v/>
      </c>
      <c r="H982" s="290"/>
      <c r="I982" s="291" t="str">
        <f>Controle!I982</f>
        <v/>
      </c>
      <c r="J982" s="233" t="str">
        <f>Controle!J982</f>
        <v/>
      </c>
      <c r="K982" s="292"/>
      <c r="L982" s="233" t="str">
        <f>Controle!L982</f>
        <v/>
      </c>
      <c r="M982" s="233" t="str">
        <f>Controle!M982</f>
        <v/>
      </c>
      <c r="N982" s="235" t="str">
        <f>Controle!N982</f>
        <v/>
      </c>
      <c r="O982" s="235" t="str">
        <f>Controle!O982</f>
        <v/>
      </c>
      <c r="P982" s="235" t="str">
        <f>Controle!P982</f>
        <v/>
      </c>
      <c r="Q982" s="235" t="str">
        <f>Controle!Q982</f>
        <v/>
      </c>
      <c r="R982" s="286" t="str">
        <f>Controle!R982</f>
        <v/>
      </c>
      <c r="S982" s="286"/>
      <c r="T982" s="286"/>
      <c r="U982" s="286"/>
      <c r="V982" s="286"/>
      <c r="W982" s="286"/>
      <c r="X982" s="286"/>
      <c r="Y982" s="286"/>
      <c r="Z982" s="286"/>
      <c r="AA982" s="294"/>
      <c r="AB982" s="253"/>
      <c r="AC982" s="253"/>
      <c r="AD982" s="253"/>
      <c r="AE982" s="253"/>
      <c r="AF982" s="253"/>
      <c r="AG982" s="253"/>
      <c r="AH982" s="253"/>
      <c r="AI982" s="253"/>
      <c r="AJ982" s="253"/>
      <c r="AK982" s="253"/>
      <c r="AL982" s="253"/>
      <c r="AM982" s="253"/>
      <c r="AN982" s="253"/>
      <c r="AO982" s="253"/>
      <c r="AP982" s="253"/>
      <c r="AQ982" s="253"/>
      <c r="AR982" s="253"/>
      <c r="AS982" s="253"/>
      <c r="AT982" s="2"/>
      <c r="AU982" s="2"/>
      <c r="AV982" s="2"/>
      <c r="AW982" s="2"/>
      <c r="AX982" s="2"/>
      <c r="AY982" s="253"/>
    </row>
    <row r="983" ht="15.75" customHeight="1">
      <c r="A983" s="2"/>
      <c r="B983" s="288" t="str">
        <f>Controle!B983</f>
        <v/>
      </c>
      <c r="C983" s="233" t="str">
        <f>Controle!C983</f>
        <v/>
      </c>
      <c r="D983" s="289" t="str">
        <f>Controle!D983</f>
        <v/>
      </c>
      <c r="E983" s="290"/>
      <c r="F983" s="291" t="str">
        <f>Controle!F983</f>
        <v/>
      </c>
      <c r="G983" s="289" t="str">
        <f>Controle!G983</f>
        <v/>
      </c>
      <c r="H983" s="290"/>
      <c r="I983" s="291" t="str">
        <f>Controle!I983</f>
        <v/>
      </c>
      <c r="J983" s="233" t="str">
        <f>Controle!J983</f>
        <v/>
      </c>
      <c r="K983" s="292"/>
      <c r="L983" s="233" t="str">
        <f>Controle!L983</f>
        <v/>
      </c>
      <c r="M983" s="233" t="str">
        <f>Controle!M983</f>
        <v/>
      </c>
      <c r="N983" s="235" t="str">
        <f>Controle!N983</f>
        <v/>
      </c>
      <c r="O983" s="235" t="str">
        <f>Controle!O983</f>
        <v/>
      </c>
      <c r="P983" s="235" t="str">
        <f>Controle!P983</f>
        <v/>
      </c>
      <c r="Q983" s="235" t="str">
        <f>Controle!Q983</f>
        <v/>
      </c>
      <c r="R983" s="286" t="str">
        <f>Controle!R983</f>
        <v/>
      </c>
      <c r="S983" s="286"/>
      <c r="T983" s="286"/>
      <c r="U983" s="286"/>
      <c r="V983" s="286"/>
      <c r="W983" s="286"/>
      <c r="X983" s="286"/>
      <c r="Y983" s="286"/>
      <c r="Z983" s="286"/>
      <c r="AA983" s="294"/>
      <c r="AB983" s="253"/>
      <c r="AC983" s="253"/>
      <c r="AD983" s="253"/>
      <c r="AE983" s="253"/>
      <c r="AF983" s="253"/>
      <c r="AG983" s="253"/>
      <c r="AH983" s="253"/>
      <c r="AI983" s="253"/>
      <c r="AJ983" s="253"/>
      <c r="AK983" s="253"/>
      <c r="AL983" s="253"/>
      <c r="AM983" s="253"/>
      <c r="AN983" s="253"/>
      <c r="AO983" s="253"/>
      <c r="AP983" s="253"/>
      <c r="AQ983" s="253"/>
      <c r="AR983" s="253"/>
      <c r="AS983" s="253"/>
      <c r="AT983" s="2"/>
      <c r="AU983" s="2"/>
      <c r="AV983" s="2"/>
      <c r="AW983" s="2"/>
      <c r="AX983" s="2"/>
      <c r="AY983" s="253"/>
    </row>
    <row r="984" ht="15.75" customHeight="1">
      <c r="A984" s="2"/>
      <c r="B984" s="288" t="str">
        <f>Controle!B984</f>
        <v/>
      </c>
      <c r="C984" s="233" t="str">
        <f>Controle!C984</f>
        <v/>
      </c>
      <c r="D984" s="289" t="str">
        <f>Controle!D984</f>
        <v/>
      </c>
      <c r="E984" s="290"/>
      <c r="F984" s="291" t="str">
        <f>Controle!F984</f>
        <v/>
      </c>
      <c r="G984" s="289" t="str">
        <f>Controle!G984</f>
        <v/>
      </c>
      <c r="H984" s="290"/>
      <c r="I984" s="291" t="str">
        <f>Controle!I984</f>
        <v/>
      </c>
      <c r="J984" s="233" t="str">
        <f>Controle!J984</f>
        <v/>
      </c>
      <c r="K984" s="292"/>
      <c r="L984" s="233" t="str">
        <f>Controle!L984</f>
        <v/>
      </c>
      <c r="M984" s="233" t="str">
        <f>Controle!M984</f>
        <v/>
      </c>
      <c r="N984" s="235" t="str">
        <f>Controle!N984</f>
        <v/>
      </c>
      <c r="O984" s="235" t="str">
        <f>Controle!O984</f>
        <v/>
      </c>
      <c r="P984" s="235" t="str">
        <f>Controle!P984</f>
        <v/>
      </c>
      <c r="Q984" s="235" t="str">
        <f>Controle!Q984</f>
        <v/>
      </c>
      <c r="R984" s="286" t="str">
        <f>Controle!R984</f>
        <v/>
      </c>
      <c r="S984" s="286"/>
      <c r="T984" s="286"/>
      <c r="U984" s="286"/>
      <c r="V984" s="286"/>
      <c r="W984" s="286"/>
      <c r="X984" s="286"/>
      <c r="Y984" s="286"/>
      <c r="Z984" s="286"/>
      <c r="AA984" s="294"/>
      <c r="AB984" s="253"/>
      <c r="AC984" s="253"/>
      <c r="AD984" s="253"/>
      <c r="AE984" s="253"/>
      <c r="AF984" s="253"/>
      <c r="AG984" s="253"/>
      <c r="AH984" s="253"/>
      <c r="AI984" s="253"/>
      <c r="AJ984" s="253"/>
      <c r="AK984" s="253"/>
      <c r="AL984" s="253"/>
      <c r="AM984" s="253"/>
      <c r="AN984" s="253"/>
      <c r="AO984" s="253"/>
      <c r="AP984" s="253"/>
      <c r="AQ984" s="253"/>
      <c r="AR984" s="253"/>
      <c r="AS984" s="253"/>
      <c r="AT984" s="2"/>
      <c r="AU984" s="2"/>
      <c r="AV984" s="2"/>
      <c r="AW984" s="2"/>
      <c r="AX984" s="2"/>
      <c r="AY984" s="253"/>
    </row>
    <row r="985" ht="15.75" customHeight="1">
      <c r="A985" s="2"/>
      <c r="B985" s="288" t="str">
        <f>Controle!B985</f>
        <v/>
      </c>
      <c r="C985" s="233" t="str">
        <f>Controle!C985</f>
        <v/>
      </c>
      <c r="D985" s="289" t="str">
        <f>Controle!D985</f>
        <v/>
      </c>
      <c r="E985" s="290"/>
      <c r="F985" s="291" t="str">
        <f>Controle!F985</f>
        <v/>
      </c>
      <c r="G985" s="289" t="str">
        <f>Controle!G985</f>
        <v/>
      </c>
      <c r="H985" s="290"/>
      <c r="I985" s="291" t="str">
        <f>Controle!I985</f>
        <v/>
      </c>
      <c r="J985" s="233" t="str">
        <f>Controle!J985</f>
        <v/>
      </c>
      <c r="K985" s="292"/>
      <c r="L985" s="233" t="str">
        <f>Controle!L985</f>
        <v/>
      </c>
      <c r="M985" s="233" t="str">
        <f>Controle!M985</f>
        <v/>
      </c>
      <c r="N985" s="235" t="str">
        <f>Controle!N985</f>
        <v/>
      </c>
      <c r="O985" s="235" t="str">
        <f>Controle!O985</f>
        <v/>
      </c>
      <c r="P985" s="235" t="str">
        <f>Controle!P985</f>
        <v/>
      </c>
      <c r="Q985" s="235" t="str">
        <f>Controle!Q985</f>
        <v/>
      </c>
      <c r="R985" s="286" t="str">
        <f>Controle!R985</f>
        <v/>
      </c>
      <c r="S985" s="286"/>
      <c r="T985" s="286"/>
      <c r="U985" s="286"/>
      <c r="V985" s="286"/>
      <c r="W985" s="286"/>
      <c r="X985" s="286"/>
      <c r="Y985" s="286"/>
      <c r="Z985" s="286"/>
      <c r="AA985" s="294"/>
      <c r="AB985" s="253"/>
      <c r="AC985" s="253"/>
      <c r="AD985" s="253"/>
      <c r="AE985" s="253"/>
      <c r="AF985" s="253"/>
      <c r="AG985" s="253"/>
      <c r="AH985" s="253"/>
      <c r="AI985" s="253"/>
      <c r="AJ985" s="253"/>
      <c r="AK985" s="253"/>
      <c r="AL985" s="253"/>
      <c r="AM985" s="253"/>
      <c r="AN985" s="253"/>
      <c r="AO985" s="253"/>
      <c r="AP985" s="253"/>
      <c r="AQ985" s="253"/>
      <c r="AR985" s="253"/>
      <c r="AS985" s="253"/>
      <c r="AT985" s="2"/>
      <c r="AU985" s="2"/>
      <c r="AV985" s="2"/>
      <c r="AW985" s="2"/>
      <c r="AX985" s="2"/>
      <c r="AY985" s="253"/>
    </row>
    <row r="986" ht="15.75" customHeight="1">
      <c r="A986" s="2"/>
      <c r="B986" s="288" t="str">
        <f>Controle!B986</f>
        <v/>
      </c>
      <c r="C986" s="233" t="str">
        <f>Controle!C986</f>
        <v/>
      </c>
      <c r="D986" s="289" t="str">
        <f>Controle!D986</f>
        <v/>
      </c>
      <c r="E986" s="290"/>
      <c r="F986" s="291" t="str">
        <f>Controle!F986</f>
        <v/>
      </c>
      <c r="G986" s="289" t="str">
        <f>Controle!G986</f>
        <v/>
      </c>
      <c r="H986" s="290"/>
      <c r="I986" s="291" t="str">
        <f>Controle!I986</f>
        <v/>
      </c>
      <c r="J986" s="233" t="str">
        <f>Controle!J986</f>
        <v/>
      </c>
      <c r="K986" s="292"/>
      <c r="L986" s="233" t="str">
        <f>Controle!L986</f>
        <v/>
      </c>
      <c r="M986" s="233" t="str">
        <f>Controle!M986</f>
        <v/>
      </c>
      <c r="N986" s="235" t="str">
        <f>Controle!N986</f>
        <v/>
      </c>
      <c r="O986" s="235" t="str">
        <f>Controle!O986</f>
        <v/>
      </c>
      <c r="P986" s="235" t="str">
        <f>Controle!P986</f>
        <v/>
      </c>
      <c r="Q986" s="235" t="str">
        <f>Controle!Q986</f>
        <v/>
      </c>
      <c r="R986" s="286" t="str">
        <f>Controle!R986</f>
        <v/>
      </c>
      <c r="S986" s="286"/>
      <c r="T986" s="286"/>
      <c r="U986" s="286"/>
      <c r="V986" s="286"/>
      <c r="W986" s="286"/>
      <c r="X986" s="286"/>
      <c r="Y986" s="286"/>
      <c r="Z986" s="286"/>
      <c r="AA986" s="294"/>
      <c r="AB986" s="253"/>
      <c r="AC986" s="253"/>
      <c r="AD986" s="253"/>
      <c r="AE986" s="253"/>
      <c r="AF986" s="253"/>
      <c r="AG986" s="253"/>
      <c r="AH986" s="253"/>
      <c r="AI986" s="253"/>
      <c r="AJ986" s="253"/>
      <c r="AK986" s="253"/>
      <c r="AL986" s="253"/>
      <c r="AM986" s="253"/>
      <c r="AN986" s="253"/>
      <c r="AO986" s="253"/>
      <c r="AP986" s="253"/>
      <c r="AQ986" s="253"/>
      <c r="AR986" s="253"/>
      <c r="AS986" s="253"/>
      <c r="AT986" s="2"/>
      <c r="AU986" s="2"/>
      <c r="AV986" s="2"/>
      <c r="AW986" s="2"/>
      <c r="AX986" s="2"/>
      <c r="AY986" s="253"/>
    </row>
    <row r="987" ht="15.75" customHeight="1">
      <c r="A987" s="2"/>
      <c r="B987" s="288" t="str">
        <f>Controle!B987</f>
        <v/>
      </c>
      <c r="C987" s="233" t="str">
        <f>Controle!C987</f>
        <v/>
      </c>
      <c r="D987" s="289" t="str">
        <f>Controle!D987</f>
        <v/>
      </c>
      <c r="E987" s="290"/>
      <c r="F987" s="291" t="str">
        <f>Controle!F987</f>
        <v/>
      </c>
      <c r="G987" s="289" t="str">
        <f>Controle!G987</f>
        <v/>
      </c>
      <c r="H987" s="290"/>
      <c r="I987" s="291" t="str">
        <f>Controle!I987</f>
        <v/>
      </c>
      <c r="J987" s="233" t="str">
        <f>Controle!J987</f>
        <v/>
      </c>
      <c r="K987" s="292"/>
      <c r="L987" s="233" t="str">
        <f>Controle!L987</f>
        <v/>
      </c>
      <c r="M987" s="233" t="str">
        <f>Controle!M987</f>
        <v/>
      </c>
      <c r="N987" s="235" t="str">
        <f>Controle!N987</f>
        <v/>
      </c>
      <c r="O987" s="235" t="str">
        <f>Controle!O987</f>
        <v/>
      </c>
      <c r="P987" s="235" t="str">
        <f>Controle!P987</f>
        <v/>
      </c>
      <c r="Q987" s="235" t="str">
        <f>Controle!Q987</f>
        <v/>
      </c>
      <c r="R987" s="286" t="str">
        <f>Controle!R987</f>
        <v/>
      </c>
      <c r="S987" s="286"/>
      <c r="T987" s="286"/>
      <c r="U987" s="286"/>
      <c r="V987" s="286"/>
      <c r="W987" s="286"/>
      <c r="X987" s="286"/>
      <c r="Y987" s="286"/>
      <c r="Z987" s="286"/>
      <c r="AA987" s="294"/>
      <c r="AB987" s="253"/>
      <c r="AC987" s="253"/>
      <c r="AD987" s="253"/>
      <c r="AE987" s="253"/>
      <c r="AF987" s="253"/>
      <c r="AG987" s="253"/>
      <c r="AH987" s="253"/>
      <c r="AI987" s="253"/>
      <c r="AJ987" s="253"/>
      <c r="AK987" s="253"/>
      <c r="AL987" s="253"/>
      <c r="AM987" s="253"/>
      <c r="AN987" s="253"/>
      <c r="AO987" s="253"/>
      <c r="AP987" s="253"/>
      <c r="AQ987" s="253"/>
      <c r="AR987" s="253"/>
      <c r="AS987" s="253"/>
      <c r="AT987" s="2"/>
      <c r="AU987" s="2"/>
      <c r="AV987" s="2"/>
      <c r="AW987" s="2"/>
      <c r="AX987" s="2"/>
      <c r="AY987" s="253"/>
    </row>
    <row r="988" ht="15.75" customHeight="1">
      <c r="A988" s="2"/>
      <c r="B988" s="288" t="str">
        <f>Controle!B988</f>
        <v/>
      </c>
      <c r="C988" s="233" t="str">
        <f>Controle!C988</f>
        <v/>
      </c>
      <c r="D988" s="289" t="str">
        <f>Controle!D988</f>
        <v/>
      </c>
      <c r="E988" s="290"/>
      <c r="F988" s="291" t="str">
        <f>Controle!F988</f>
        <v/>
      </c>
      <c r="G988" s="289" t="str">
        <f>Controle!G988</f>
        <v/>
      </c>
      <c r="H988" s="290"/>
      <c r="I988" s="291" t="str">
        <f>Controle!I988</f>
        <v/>
      </c>
      <c r="J988" s="233" t="str">
        <f>Controle!J988</f>
        <v/>
      </c>
      <c r="K988" s="292"/>
      <c r="L988" s="233" t="str">
        <f>Controle!L988</f>
        <v/>
      </c>
      <c r="M988" s="233" t="str">
        <f>Controle!M988</f>
        <v/>
      </c>
      <c r="N988" s="235" t="str">
        <f>Controle!N988</f>
        <v/>
      </c>
      <c r="O988" s="235" t="str">
        <f>Controle!O988</f>
        <v/>
      </c>
      <c r="P988" s="235" t="str">
        <f>Controle!P988</f>
        <v/>
      </c>
      <c r="Q988" s="235" t="str">
        <f>Controle!Q988</f>
        <v/>
      </c>
      <c r="R988" s="286" t="str">
        <f>Controle!R988</f>
        <v/>
      </c>
      <c r="S988" s="286"/>
      <c r="T988" s="286"/>
      <c r="U988" s="286"/>
      <c r="V988" s="286"/>
      <c r="W988" s="286"/>
      <c r="X988" s="286"/>
      <c r="Y988" s="286"/>
      <c r="Z988" s="286"/>
      <c r="AA988" s="294"/>
      <c r="AB988" s="253"/>
      <c r="AC988" s="253"/>
      <c r="AD988" s="253"/>
      <c r="AE988" s="253"/>
      <c r="AF988" s="253"/>
      <c r="AG988" s="253"/>
      <c r="AH988" s="253"/>
      <c r="AI988" s="253"/>
      <c r="AJ988" s="253"/>
      <c r="AK988" s="253"/>
      <c r="AL988" s="253"/>
      <c r="AM988" s="253"/>
      <c r="AN988" s="253"/>
      <c r="AO988" s="253"/>
      <c r="AP988" s="253"/>
      <c r="AQ988" s="253"/>
      <c r="AR988" s="253"/>
      <c r="AS988" s="253"/>
      <c r="AT988" s="2"/>
      <c r="AU988" s="2"/>
      <c r="AV988" s="2"/>
      <c r="AW988" s="2"/>
      <c r="AX988" s="2"/>
      <c r="AY988" s="253"/>
    </row>
    <row r="989" ht="15.75" customHeight="1">
      <c r="A989" s="2"/>
      <c r="B989" s="288" t="str">
        <f>Controle!B989</f>
        <v/>
      </c>
      <c r="C989" s="233" t="str">
        <f>Controle!C989</f>
        <v/>
      </c>
      <c r="D989" s="289" t="str">
        <f>Controle!D989</f>
        <v/>
      </c>
      <c r="E989" s="290"/>
      <c r="F989" s="291" t="str">
        <f>Controle!F989</f>
        <v/>
      </c>
      <c r="G989" s="289" t="str">
        <f>Controle!G989</f>
        <v/>
      </c>
      <c r="H989" s="290"/>
      <c r="I989" s="291" t="str">
        <f>Controle!I989</f>
        <v/>
      </c>
      <c r="J989" s="233" t="str">
        <f>Controle!J989</f>
        <v/>
      </c>
      <c r="K989" s="292"/>
      <c r="L989" s="233" t="str">
        <f>Controle!L989</f>
        <v/>
      </c>
      <c r="M989" s="233" t="str">
        <f>Controle!M989</f>
        <v/>
      </c>
      <c r="N989" s="235" t="str">
        <f>Controle!N989</f>
        <v/>
      </c>
      <c r="O989" s="235" t="str">
        <f>Controle!O989</f>
        <v/>
      </c>
      <c r="P989" s="235" t="str">
        <f>Controle!P989</f>
        <v/>
      </c>
      <c r="Q989" s="235" t="str">
        <f>Controle!Q989</f>
        <v/>
      </c>
      <c r="R989" s="286" t="str">
        <f>Controle!R989</f>
        <v/>
      </c>
      <c r="S989" s="286"/>
      <c r="T989" s="286"/>
      <c r="U989" s="286"/>
      <c r="V989" s="286"/>
      <c r="W989" s="286"/>
      <c r="X989" s="286"/>
      <c r="Y989" s="286"/>
      <c r="Z989" s="286"/>
      <c r="AA989" s="294"/>
      <c r="AB989" s="253"/>
      <c r="AC989" s="253"/>
      <c r="AD989" s="253"/>
      <c r="AE989" s="253"/>
      <c r="AF989" s="253"/>
      <c r="AG989" s="253"/>
      <c r="AH989" s="253"/>
      <c r="AI989" s="253"/>
      <c r="AJ989" s="253"/>
      <c r="AK989" s="253"/>
      <c r="AL989" s="253"/>
      <c r="AM989" s="253"/>
      <c r="AN989" s="253"/>
      <c r="AO989" s="253"/>
      <c r="AP989" s="253"/>
      <c r="AQ989" s="253"/>
      <c r="AR989" s="253"/>
      <c r="AS989" s="253"/>
      <c r="AT989" s="2"/>
      <c r="AU989" s="2"/>
      <c r="AV989" s="2"/>
      <c r="AW989" s="2"/>
      <c r="AX989" s="2"/>
      <c r="AY989" s="253"/>
    </row>
    <row r="990" ht="15.75" customHeight="1">
      <c r="A990" s="2"/>
      <c r="B990" s="288" t="str">
        <f>Controle!B990</f>
        <v/>
      </c>
      <c r="C990" s="233" t="str">
        <f>Controle!C990</f>
        <v/>
      </c>
      <c r="D990" s="289" t="str">
        <f>Controle!D990</f>
        <v/>
      </c>
      <c r="E990" s="290"/>
      <c r="F990" s="291" t="str">
        <f>Controle!F990</f>
        <v/>
      </c>
      <c r="G990" s="289" t="str">
        <f>Controle!G990</f>
        <v/>
      </c>
      <c r="H990" s="290"/>
      <c r="I990" s="291" t="str">
        <f>Controle!I990</f>
        <v/>
      </c>
      <c r="J990" s="233" t="str">
        <f>Controle!J990</f>
        <v/>
      </c>
      <c r="K990" s="292"/>
      <c r="L990" s="233" t="str">
        <f>Controle!L990</f>
        <v/>
      </c>
      <c r="M990" s="233" t="str">
        <f>Controle!M990</f>
        <v/>
      </c>
      <c r="N990" s="235" t="str">
        <f>Controle!N990</f>
        <v/>
      </c>
      <c r="O990" s="235" t="str">
        <f>Controle!O990</f>
        <v/>
      </c>
      <c r="P990" s="235" t="str">
        <f>Controle!P990</f>
        <v/>
      </c>
      <c r="Q990" s="235" t="str">
        <f>Controle!Q990</f>
        <v/>
      </c>
      <c r="R990" s="286" t="str">
        <f>Controle!R990</f>
        <v/>
      </c>
      <c r="S990" s="286"/>
      <c r="T990" s="286"/>
      <c r="U990" s="286"/>
      <c r="V990" s="286"/>
      <c r="W990" s="286"/>
      <c r="X990" s="286"/>
      <c r="Y990" s="286"/>
      <c r="Z990" s="286"/>
      <c r="AA990" s="294"/>
      <c r="AB990" s="253"/>
      <c r="AC990" s="253"/>
      <c r="AD990" s="253"/>
      <c r="AE990" s="253"/>
      <c r="AF990" s="253"/>
      <c r="AG990" s="253"/>
      <c r="AH990" s="253"/>
      <c r="AI990" s="253"/>
      <c r="AJ990" s="253"/>
      <c r="AK990" s="253"/>
      <c r="AL990" s="253"/>
      <c r="AM990" s="253"/>
      <c r="AN990" s="253"/>
      <c r="AO990" s="253"/>
      <c r="AP990" s="253"/>
      <c r="AQ990" s="253"/>
      <c r="AR990" s="253"/>
      <c r="AS990" s="253"/>
      <c r="AT990" s="2"/>
      <c r="AU990" s="2"/>
      <c r="AV990" s="2"/>
      <c r="AW990" s="2"/>
      <c r="AX990" s="2"/>
      <c r="AY990" s="253"/>
    </row>
    <row r="991" ht="15.75" customHeight="1">
      <c r="A991" s="2"/>
      <c r="B991" s="288" t="str">
        <f>Controle!B991</f>
        <v/>
      </c>
      <c r="C991" s="233" t="str">
        <f>Controle!C991</f>
        <v/>
      </c>
      <c r="D991" s="289" t="str">
        <f>Controle!D991</f>
        <v/>
      </c>
      <c r="E991" s="290"/>
      <c r="F991" s="291" t="str">
        <f>Controle!F991</f>
        <v/>
      </c>
      <c r="G991" s="289" t="str">
        <f>Controle!G991</f>
        <v/>
      </c>
      <c r="H991" s="290"/>
      <c r="I991" s="291" t="str">
        <f>Controle!I991</f>
        <v/>
      </c>
      <c r="J991" s="233" t="str">
        <f>Controle!J991</f>
        <v/>
      </c>
      <c r="K991" s="292"/>
      <c r="L991" s="233" t="str">
        <f>Controle!L991</f>
        <v/>
      </c>
      <c r="M991" s="233" t="str">
        <f>Controle!M991</f>
        <v/>
      </c>
      <c r="N991" s="235" t="str">
        <f>Controle!N991</f>
        <v/>
      </c>
      <c r="O991" s="235" t="str">
        <f>Controle!O991</f>
        <v/>
      </c>
      <c r="P991" s="235" t="str">
        <f>Controle!P991</f>
        <v/>
      </c>
      <c r="Q991" s="235" t="str">
        <f>Controle!Q991</f>
        <v/>
      </c>
      <c r="R991" s="286" t="str">
        <f>Controle!R991</f>
        <v/>
      </c>
      <c r="S991" s="286"/>
      <c r="T991" s="286"/>
      <c r="U991" s="286"/>
      <c r="V991" s="286"/>
      <c r="W991" s="286"/>
      <c r="X991" s="286"/>
      <c r="Y991" s="286"/>
      <c r="Z991" s="286"/>
      <c r="AA991" s="294"/>
      <c r="AB991" s="253"/>
      <c r="AC991" s="253"/>
      <c r="AD991" s="253"/>
      <c r="AE991" s="253"/>
      <c r="AF991" s="253"/>
      <c r="AG991" s="253"/>
      <c r="AH991" s="253"/>
      <c r="AI991" s="253"/>
      <c r="AJ991" s="253"/>
      <c r="AK991" s="253"/>
      <c r="AL991" s="253"/>
      <c r="AM991" s="253"/>
      <c r="AN991" s="253"/>
      <c r="AO991" s="253"/>
      <c r="AP991" s="253"/>
      <c r="AQ991" s="253"/>
      <c r="AR991" s="253"/>
      <c r="AS991" s="253"/>
      <c r="AT991" s="2"/>
      <c r="AU991" s="2"/>
      <c r="AV991" s="2"/>
      <c r="AW991" s="2"/>
      <c r="AX991" s="2"/>
      <c r="AY991" s="253"/>
    </row>
    <row r="992" ht="15.75" customHeight="1">
      <c r="A992" s="2"/>
      <c r="B992" s="288" t="str">
        <f>Controle!B992</f>
        <v/>
      </c>
      <c r="C992" s="233" t="str">
        <f>Controle!C992</f>
        <v/>
      </c>
      <c r="D992" s="289" t="str">
        <f>Controle!D992</f>
        <v/>
      </c>
      <c r="E992" s="290"/>
      <c r="F992" s="291" t="str">
        <f>Controle!F992</f>
        <v/>
      </c>
      <c r="G992" s="289" t="str">
        <f>Controle!G992</f>
        <v/>
      </c>
      <c r="H992" s="290"/>
      <c r="I992" s="291" t="str">
        <f>Controle!I992</f>
        <v/>
      </c>
      <c r="J992" s="233" t="str">
        <f>Controle!J992</f>
        <v/>
      </c>
      <c r="K992" s="292"/>
      <c r="L992" s="233" t="str">
        <f>Controle!L992</f>
        <v/>
      </c>
      <c r="M992" s="233" t="str">
        <f>Controle!M992</f>
        <v/>
      </c>
      <c r="N992" s="235" t="str">
        <f>Controle!N992</f>
        <v/>
      </c>
      <c r="O992" s="235" t="str">
        <f>Controle!O992</f>
        <v/>
      </c>
      <c r="P992" s="235" t="str">
        <f>Controle!P992</f>
        <v/>
      </c>
      <c r="Q992" s="235" t="str">
        <f>Controle!Q992</f>
        <v/>
      </c>
      <c r="R992" s="286" t="str">
        <f>Controle!R992</f>
        <v/>
      </c>
      <c r="S992" s="286"/>
      <c r="T992" s="286"/>
      <c r="U992" s="286"/>
      <c r="V992" s="286"/>
      <c r="W992" s="286"/>
      <c r="X992" s="286"/>
      <c r="Y992" s="286"/>
      <c r="Z992" s="286"/>
      <c r="AA992" s="294"/>
      <c r="AB992" s="253"/>
      <c r="AC992" s="253"/>
      <c r="AD992" s="253"/>
      <c r="AE992" s="253"/>
      <c r="AF992" s="253"/>
      <c r="AG992" s="253"/>
      <c r="AH992" s="253"/>
      <c r="AI992" s="253"/>
      <c r="AJ992" s="253"/>
      <c r="AK992" s="253"/>
      <c r="AL992" s="253"/>
      <c r="AM992" s="253"/>
      <c r="AN992" s="253"/>
      <c r="AO992" s="253"/>
      <c r="AP992" s="253"/>
      <c r="AQ992" s="253"/>
      <c r="AR992" s="253"/>
      <c r="AS992" s="253"/>
      <c r="AT992" s="2"/>
      <c r="AU992" s="2"/>
      <c r="AV992" s="2"/>
      <c r="AW992" s="2"/>
      <c r="AX992" s="2"/>
      <c r="AY992" s="253"/>
    </row>
    <row r="993" ht="15.75" customHeight="1">
      <c r="A993" s="2"/>
      <c r="B993" s="288" t="str">
        <f>Controle!B993</f>
        <v/>
      </c>
      <c r="C993" s="233" t="str">
        <f>Controle!C993</f>
        <v/>
      </c>
      <c r="D993" s="289" t="str">
        <f>Controle!D993</f>
        <v/>
      </c>
      <c r="E993" s="290"/>
      <c r="F993" s="291" t="str">
        <f>Controle!F993</f>
        <v/>
      </c>
      <c r="G993" s="289" t="str">
        <f>Controle!G993</f>
        <v/>
      </c>
      <c r="H993" s="290"/>
      <c r="I993" s="291" t="str">
        <f>Controle!I993</f>
        <v/>
      </c>
      <c r="J993" s="233" t="str">
        <f>Controle!J993</f>
        <v/>
      </c>
      <c r="K993" s="292"/>
      <c r="L993" s="233" t="str">
        <f>Controle!L993</f>
        <v/>
      </c>
      <c r="M993" s="233" t="str">
        <f>Controle!M993</f>
        <v/>
      </c>
      <c r="N993" s="235" t="str">
        <f>Controle!N993</f>
        <v/>
      </c>
      <c r="O993" s="235" t="str">
        <f>Controle!O993</f>
        <v/>
      </c>
      <c r="P993" s="235" t="str">
        <f>Controle!P993</f>
        <v/>
      </c>
      <c r="Q993" s="235" t="str">
        <f>Controle!Q993</f>
        <v/>
      </c>
      <c r="R993" s="286" t="str">
        <f>Controle!R993</f>
        <v/>
      </c>
      <c r="S993" s="286"/>
      <c r="T993" s="286"/>
      <c r="U993" s="286"/>
      <c r="V993" s="286"/>
      <c r="W993" s="286"/>
      <c r="X993" s="286"/>
      <c r="Y993" s="286"/>
      <c r="Z993" s="286"/>
      <c r="AA993" s="294"/>
      <c r="AB993" s="253"/>
      <c r="AC993" s="253"/>
      <c r="AD993" s="253"/>
      <c r="AE993" s="253"/>
      <c r="AF993" s="253"/>
      <c r="AG993" s="253"/>
      <c r="AH993" s="253"/>
      <c r="AI993" s="253"/>
      <c r="AJ993" s="253"/>
      <c r="AK993" s="253"/>
      <c r="AL993" s="253"/>
      <c r="AM993" s="253"/>
      <c r="AN993" s="253"/>
      <c r="AO993" s="253"/>
      <c r="AP993" s="253"/>
      <c r="AQ993" s="253"/>
      <c r="AR993" s="253"/>
      <c r="AS993" s="253"/>
      <c r="AT993" s="2"/>
      <c r="AU993" s="2"/>
      <c r="AV993" s="2"/>
      <c r="AW993" s="2"/>
      <c r="AX993" s="2"/>
      <c r="AY993" s="253"/>
    </row>
    <row r="994" ht="15.75" customHeight="1">
      <c r="A994" s="2"/>
      <c r="B994" s="288" t="str">
        <f>Controle!B994</f>
        <v/>
      </c>
      <c r="C994" s="233" t="str">
        <f>Controle!C994</f>
        <v/>
      </c>
      <c r="D994" s="289" t="str">
        <f>Controle!D994</f>
        <v/>
      </c>
      <c r="E994" s="290"/>
      <c r="F994" s="291" t="str">
        <f>Controle!F994</f>
        <v/>
      </c>
      <c r="G994" s="289" t="str">
        <f>Controle!G994</f>
        <v/>
      </c>
      <c r="H994" s="290"/>
      <c r="I994" s="291" t="str">
        <f>Controle!I994</f>
        <v/>
      </c>
      <c r="J994" s="233" t="str">
        <f>Controle!J994</f>
        <v/>
      </c>
      <c r="K994" s="292"/>
      <c r="L994" s="233" t="str">
        <f>Controle!L994</f>
        <v/>
      </c>
      <c r="M994" s="233" t="str">
        <f>Controle!M994</f>
        <v/>
      </c>
      <c r="N994" s="235" t="str">
        <f>Controle!N994</f>
        <v/>
      </c>
      <c r="O994" s="235" t="str">
        <f>Controle!O994</f>
        <v/>
      </c>
      <c r="P994" s="235" t="str">
        <f>Controle!P994</f>
        <v/>
      </c>
      <c r="Q994" s="235" t="str">
        <f>Controle!Q994</f>
        <v/>
      </c>
      <c r="R994" s="286" t="str">
        <f>Controle!R994</f>
        <v/>
      </c>
      <c r="S994" s="286"/>
      <c r="T994" s="286"/>
      <c r="U994" s="286"/>
      <c r="V994" s="286"/>
      <c r="W994" s="286"/>
      <c r="X994" s="286"/>
      <c r="Y994" s="286"/>
      <c r="Z994" s="286"/>
      <c r="AA994" s="294"/>
      <c r="AB994" s="253"/>
      <c r="AC994" s="253"/>
      <c r="AD994" s="253"/>
      <c r="AE994" s="253"/>
      <c r="AF994" s="253"/>
      <c r="AG994" s="253"/>
      <c r="AH994" s="253"/>
      <c r="AI994" s="253"/>
      <c r="AJ994" s="253"/>
      <c r="AK994" s="253"/>
      <c r="AL994" s="253"/>
      <c r="AM994" s="253"/>
      <c r="AN994" s="253"/>
      <c r="AO994" s="253"/>
      <c r="AP994" s="253"/>
      <c r="AQ994" s="253"/>
      <c r="AR994" s="253"/>
      <c r="AS994" s="253"/>
      <c r="AT994" s="2"/>
      <c r="AU994" s="2"/>
      <c r="AV994" s="2"/>
      <c r="AW994" s="2"/>
      <c r="AX994" s="2"/>
      <c r="AY994" s="253"/>
    </row>
    <row r="995" ht="15.75" customHeight="1">
      <c r="A995" s="2"/>
      <c r="B995" s="288" t="str">
        <f>Controle!B995</f>
        <v/>
      </c>
      <c r="C995" s="233" t="str">
        <f>Controle!C995</f>
        <v/>
      </c>
      <c r="D995" s="289" t="str">
        <f>Controle!D995</f>
        <v/>
      </c>
      <c r="E995" s="290"/>
      <c r="F995" s="291" t="str">
        <f>Controle!F995</f>
        <v/>
      </c>
      <c r="G995" s="289" t="str">
        <f>Controle!G995</f>
        <v/>
      </c>
      <c r="H995" s="290"/>
      <c r="I995" s="291" t="str">
        <f>Controle!I995</f>
        <v/>
      </c>
      <c r="J995" s="233" t="str">
        <f>Controle!J995</f>
        <v/>
      </c>
      <c r="K995" s="292"/>
      <c r="L995" s="233" t="str">
        <f>Controle!L995</f>
        <v/>
      </c>
      <c r="M995" s="233" t="str">
        <f>Controle!M995</f>
        <v/>
      </c>
      <c r="N995" s="235" t="str">
        <f>Controle!N995</f>
        <v/>
      </c>
      <c r="O995" s="235" t="str">
        <f>Controle!O995</f>
        <v/>
      </c>
      <c r="P995" s="235" t="str">
        <f>Controle!P995</f>
        <v/>
      </c>
      <c r="Q995" s="235" t="str">
        <f>Controle!Q995</f>
        <v/>
      </c>
      <c r="R995" s="286" t="str">
        <f>Controle!R995</f>
        <v/>
      </c>
      <c r="S995" s="286"/>
      <c r="T995" s="286"/>
      <c r="U995" s="286"/>
      <c r="V995" s="286"/>
      <c r="W995" s="286"/>
      <c r="X995" s="286"/>
      <c r="Y995" s="286"/>
      <c r="Z995" s="286"/>
      <c r="AA995" s="294"/>
      <c r="AB995" s="253"/>
      <c r="AC995" s="253"/>
      <c r="AD995" s="253"/>
      <c r="AE995" s="253"/>
      <c r="AF995" s="253"/>
      <c r="AG995" s="253"/>
      <c r="AH995" s="253"/>
      <c r="AI995" s="253"/>
      <c r="AJ995" s="253"/>
      <c r="AK995" s="253"/>
      <c r="AL995" s="253"/>
      <c r="AM995" s="253"/>
      <c r="AN995" s="253"/>
      <c r="AO995" s="253"/>
      <c r="AP995" s="253"/>
      <c r="AQ995" s="253"/>
      <c r="AR995" s="253"/>
      <c r="AS995" s="253"/>
      <c r="AT995" s="2"/>
      <c r="AU995" s="2"/>
      <c r="AV995" s="2"/>
      <c r="AW995" s="2"/>
      <c r="AX995" s="2"/>
      <c r="AY995" s="253"/>
    </row>
    <row r="996" ht="15.75" customHeight="1">
      <c r="A996" s="2"/>
      <c r="B996" s="288" t="str">
        <f>Controle!B996</f>
        <v/>
      </c>
      <c r="C996" s="233" t="str">
        <f>Controle!C996</f>
        <v/>
      </c>
      <c r="D996" s="289" t="str">
        <f>Controle!D996</f>
        <v/>
      </c>
      <c r="E996" s="290"/>
      <c r="F996" s="291" t="str">
        <f>Controle!F996</f>
        <v/>
      </c>
      <c r="G996" s="289" t="str">
        <f>Controle!G996</f>
        <v/>
      </c>
      <c r="H996" s="290"/>
      <c r="I996" s="291" t="str">
        <f>Controle!I996</f>
        <v/>
      </c>
      <c r="J996" s="233" t="str">
        <f>Controle!J996</f>
        <v/>
      </c>
      <c r="K996" s="292"/>
      <c r="L996" s="233" t="str">
        <f>Controle!L996</f>
        <v/>
      </c>
      <c r="M996" s="233" t="str">
        <f>Controle!M996</f>
        <v/>
      </c>
      <c r="N996" s="235" t="str">
        <f>Controle!N996</f>
        <v/>
      </c>
      <c r="O996" s="235" t="str">
        <f>Controle!O996</f>
        <v/>
      </c>
      <c r="P996" s="235" t="str">
        <f>Controle!P996</f>
        <v/>
      </c>
      <c r="Q996" s="235" t="str">
        <f>Controle!Q996</f>
        <v/>
      </c>
      <c r="R996" s="286" t="str">
        <f>Controle!R996</f>
        <v/>
      </c>
      <c r="S996" s="286"/>
      <c r="T996" s="286"/>
      <c r="U996" s="286"/>
      <c r="V996" s="286"/>
      <c r="W996" s="286"/>
      <c r="X996" s="286"/>
      <c r="Y996" s="286"/>
      <c r="Z996" s="286"/>
      <c r="AA996" s="294"/>
      <c r="AB996" s="253"/>
      <c r="AC996" s="253"/>
      <c r="AD996" s="253"/>
      <c r="AE996" s="253"/>
      <c r="AF996" s="253"/>
      <c r="AG996" s="253"/>
      <c r="AH996" s="253"/>
      <c r="AI996" s="253"/>
      <c r="AJ996" s="253"/>
      <c r="AK996" s="253"/>
      <c r="AL996" s="253"/>
      <c r="AM996" s="253"/>
      <c r="AN996" s="253"/>
      <c r="AO996" s="253"/>
      <c r="AP996" s="253"/>
      <c r="AQ996" s="253"/>
      <c r="AR996" s="253"/>
      <c r="AS996" s="253"/>
      <c r="AT996" s="2"/>
      <c r="AU996" s="2"/>
      <c r="AV996" s="2"/>
      <c r="AW996" s="2"/>
      <c r="AX996" s="2"/>
      <c r="AY996" s="253"/>
    </row>
    <row r="997" ht="15.75" customHeight="1">
      <c r="A997" s="2"/>
      <c r="B997" s="288" t="str">
        <f>Controle!B997</f>
        <v/>
      </c>
      <c r="C997" s="233" t="str">
        <f>Controle!C997</f>
        <v/>
      </c>
      <c r="D997" s="289" t="str">
        <f>Controle!D997</f>
        <v/>
      </c>
      <c r="E997" s="290"/>
      <c r="F997" s="291" t="str">
        <f>Controle!F997</f>
        <v/>
      </c>
      <c r="G997" s="289" t="str">
        <f>Controle!G997</f>
        <v/>
      </c>
      <c r="H997" s="290"/>
      <c r="I997" s="291" t="str">
        <f>Controle!I997</f>
        <v/>
      </c>
      <c r="J997" s="233" t="str">
        <f>Controle!J997</f>
        <v/>
      </c>
      <c r="K997" s="292"/>
      <c r="L997" s="233" t="str">
        <f>Controle!L997</f>
        <v/>
      </c>
      <c r="M997" s="233" t="str">
        <f>Controle!M997</f>
        <v/>
      </c>
      <c r="N997" s="235" t="str">
        <f>Controle!N997</f>
        <v/>
      </c>
      <c r="O997" s="235" t="str">
        <f>Controle!O997</f>
        <v/>
      </c>
      <c r="P997" s="235" t="str">
        <f>Controle!P997</f>
        <v/>
      </c>
      <c r="Q997" s="235" t="str">
        <f>Controle!Q997</f>
        <v/>
      </c>
      <c r="R997" s="286" t="str">
        <f>Controle!R997</f>
        <v/>
      </c>
      <c r="S997" s="286"/>
      <c r="T997" s="286"/>
      <c r="U997" s="286"/>
      <c r="V997" s="286"/>
      <c r="W997" s="286"/>
      <c r="X997" s="286"/>
      <c r="Y997" s="286"/>
      <c r="Z997" s="286"/>
      <c r="AA997" s="294"/>
      <c r="AB997" s="253"/>
      <c r="AC997" s="253"/>
      <c r="AD997" s="253"/>
      <c r="AE997" s="253"/>
      <c r="AF997" s="253"/>
      <c r="AG997" s="253"/>
      <c r="AH997" s="253"/>
      <c r="AI997" s="253"/>
      <c r="AJ997" s="253"/>
      <c r="AK997" s="253"/>
      <c r="AL997" s="253"/>
      <c r="AM997" s="253"/>
      <c r="AN997" s="253"/>
      <c r="AO997" s="253"/>
      <c r="AP997" s="253"/>
      <c r="AQ997" s="253"/>
      <c r="AR997" s="253"/>
      <c r="AS997" s="253"/>
      <c r="AT997" s="2"/>
      <c r="AU997" s="2"/>
      <c r="AV997" s="2"/>
      <c r="AW997" s="2"/>
      <c r="AX997" s="2"/>
      <c r="AY997" s="253"/>
    </row>
    <row r="998" ht="15.75" customHeight="1">
      <c r="A998" s="2"/>
      <c r="B998" s="288" t="str">
        <f>Controle!B998</f>
        <v/>
      </c>
      <c r="C998" s="233" t="str">
        <f>Controle!C998</f>
        <v/>
      </c>
      <c r="D998" s="289" t="str">
        <f>Controle!D998</f>
        <v/>
      </c>
      <c r="E998" s="290"/>
      <c r="F998" s="291" t="str">
        <f>Controle!F998</f>
        <v/>
      </c>
      <c r="G998" s="289" t="str">
        <f>Controle!G998</f>
        <v/>
      </c>
      <c r="H998" s="290"/>
      <c r="I998" s="291" t="str">
        <f>Controle!I998</f>
        <v/>
      </c>
      <c r="J998" s="233" t="str">
        <f>Controle!J998</f>
        <v/>
      </c>
      <c r="K998" s="292"/>
      <c r="L998" s="233" t="str">
        <f>Controle!L998</f>
        <v/>
      </c>
      <c r="M998" s="233" t="str">
        <f>Controle!M998</f>
        <v/>
      </c>
      <c r="N998" s="235" t="str">
        <f>Controle!N998</f>
        <v/>
      </c>
      <c r="O998" s="235" t="str">
        <f>Controle!O998</f>
        <v/>
      </c>
      <c r="P998" s="235" t="str">
        <f>Controle!P998</f>
        <v/>
      </c>
      <c r="Q998" s="235" t="str">
        <f>Controle!Q998</f>
        <v/>
      </c>
      <c r="R998" s="286" t="str">
        <f>Controle!R998</f>
        <v/>
      </c>
      <c r="S998" s="286"/>
      <c r="T998" s="286"/>
      <c r="U998" s="286"/>
      <c r="V998" s="286"/>
      <c r="W998" s="286"/>
      <c r="X998" s="286"/>
      <c r="Y998" s="286"/>
      <c r="Z998" s="286"/>
      <c r="AA998" s="294"/>
      <c r="AB998" s="253"/>
      <c r="AC998" s="253"/>
      <c r="AD998" s="253"/>
      <c r="AE998" s="253"/>
      <c r="AF998" s="253"/>
      <c r="AG998" s="253"/>
      <c r="AH998" s="253"/>
      <c r="AI998" s="253"/>
      <c r="AJ998" s="253"/>
      <c r="AK998" s="253"/>
      <c r="AL998" s="253"/>
      <c r="AM998" s="253"/>
      <c r="AN998" s="253"/>
      <c r="AO998" s="253"/>
      <c r="AP998" s="253"/>
      <c r="AQ998" s="253"/>
      <c r="AR998" s="253"/>
      <c r="AS998" s="253"/>
      <c r="AT998" s="2"/>
      <c r="AU998" s="2"/>
      <c r="AV998" s="2"/>
      <c r="AW998" s="2"/>
      <c r="AX998" s="2"/>
      <c r="AY998" s="253"/>
    </row>
    <row r="999" ht="15.75" customHeight="1">
      <c r="A999" s="2"/>
      <c r="B999" s="288" t="str">
        <f>Controle!B999</f>
        <v/>
      </c>
      <c r="C999" s="233" t="str">
        <f>Controle!C999</f>
        <v/>
      </c>
      <c r="D999" s="289" t="str">
        <f>Controle!D999</f>
        <v/>
      </c>
      <c r="E999" s="290"/>
      <c r="F999" s="291" t="str">
        <f>Controle!F999</f>
        <v/>
      </c>
      <c r="G999" s="289" t="str">
        <f>Controle!G999</f>
        <v/>
      </c>
      <c r="H999" s="290"/>
      <c r="I999" s="291" t="str">
        <f>Controle!I999</f>
        <v/>
      </c>
      <c r="J999" s="233" t="str">
        <f>Controle!J999</f>
        <v/>
      </c>
      <c r="K999" s="292"/>
      <c r="L999" s="233" t="str">
        <f>Controle!L999</f>
        <v/>
      </c>
      <c r="M999" s="233" t="str">
        <f>Controle!M999</f>
        <v/>
      </c>
      <c r="N999" s="235" t="str">
        <f>Controle!N999</f>
        <v/>
      </c>
      <c r="O999" s="235" t="str">
        <f>Controle!O999</f>
        <v/>
      </c>
      <c r="P999" s="235" t="str">
        <f>Controle!P999</f>
        <v/>
      </c>
      <c r="Q999" s="235" t="str">
        <f>Controle!Q999</f>
        <v/>
      </c>
      <c r="R999" s="286" t="str">
        <f>Controle!R999</f>
        <v/>
      </c>
      <c r="S999" s="286"/>
      <c r="T999" s="286"/>
      <c r="U999" s="286"/>
      <c r="V999" s="286"/>
      <c r="W999" s="286"/>
      <c r="X999" s="286"/>
      <c r="Y999" s="286"/>
      <c r="Z999" s="286"/>
      <c r="AA999" s="294"/>
      <c r="AB999" s="253"/>
      <c r="AC999" s="253"/>
      <c r="AD999" s="253"/>
      <c r="AE999" s="253"/>
      <c r="AF999" s="253"/>
      <c r="AG999" s="253"/>
      <c r="AH999" s="253"/>
      <c r="AI999" s="253"/>
      <c r="AJ999" s="253"/>
      <c r="AK999" s="253"/>
      <c r="AL999" s="253"/>
      <c r="AM999" s="253"/>
      <c r="AN999" s="253"/>
      <c r="AO999" s="253"/>
      <c r="AP999" s="253"/>
      <c r="AQ999" s="253"/>
      <c r="AR999" s="253"/>
      <c r="AS999" s="253"/>
      <c r="AT999" s="2"/>
      <c r="AU999" s="2"/>
      <c r="AV999" s="2"/>
      <c r="AW999" s="2"/>
      <c r="AX999" s="2"/>
      <c r="AY999" s="253"/>
    </row>
    <row r="1000" ht="15.75" customHeight="1">
      <c r="A1000" s="2"/>
      <c r="B1000" s="288" t="str">
        <f>Controle!B1000</f>
        <v/>
      </c>
      <c r="C1000" s="233" t="str">
        <f>Controle!C1000</f>
        <v/>
      </c>
      <c r="D1000" s="289" t="str">
        <f>Controle!D1000</f>
        <v/>
      </c>
      <c r="E1000" s="290"/>
      <c r="F1000" s="291" t="str">
        <f>Controle!F1000</f>
        <v/>
      </c>
      <c r="G1000" s="289" t="str">
        <f>Controle!G1000</f>
        <v/>
      </c>
      <c r="H1000" s="290"/>
      <c r="I1000" s="291" t="str">
        <f>Controle!I1000</f>
        <v/>
      </c>
      <c r="J1000" s="233" t="str">
        <f>Controle!J1000</f>
        <v/>
      </c>
      <c r="K1000" s="292"/>
      <c r="L1000" s="233" t="str">
        <f>Controle!L1000</f>
        <v/>
      </c>
      <c r="M1000" s="233" t="str">
        <f>Controle!M1000</f>
        <v/>
      </c>
      <c r="N1000" s="235" t="str">
        <f>Controle!N1000</f>
        <v/>
      </c>
      <c r="O1000" s="235" t="str">
        <f>Controle!O1000</f>
        <v/>
      </c>
      <c r="P1000" s="235" t="str">
        <f>Controle!P1000</f>
        <v/>
      </c>
      <c r="Q1000" s="235" t="str">
        <f>Controle!Q1000</f>
        <v/>
      </c>
      <c r="R1000" s="286" t="str">
        <f>Controle!R1000</f>
        <v/>
      </c>
      <c r="S1000" s="286"/>
      <c r="T1000" s="286"/>
      <c r="U1000" s="286"/>
      <c r="V1000" s="286"/>
      <c r="W1000" s="286"/>
      <c r="X1000" s="286"/>
      <c r="Y1000" s="286"/>
      <c r="Z1000" s="286"/>
      <c r="AA1000" s="294"/>
      <c r="AB1000" s="253"/>
      <c r="AC1000" s="253"/>
      <c r="AD1000" s="253"/>
      <c r="AE1000" s="253"/>
      <c r="AF1000" s="253"/>
      <c r="AG1000" s="253"/>
      <c r="AH1000" s="253"/>
      <c r="AI1000" s="253"/>
      <c r="AJ1000" s="253"/>
      <c r="AK1000" s="253"/>
      <c r="AL1000" s="253"/>
      <c r="AM1000" s="253"/>
      <c r="AN1000" s="253"/>
      <c r="AO1000" s="253"/>
      <c r="AP1000" s="253"/>
      <c r="AQ1000" s="253"/>
      <c r="AR1000" s="253"/>
      <c r="AS1000" s="253"/>
      <c r="AT1000" s="2"/>
      <c r="AU1000" s="2"/>
      <c r="AV1000" s="2"/>
      <c r="AW1000" s="2"/>
      <c r="AX1000" s="2"/>
      <c r="AY1000" s="253"/>
    </row>
    <row r="1001" ht="15.75" customHeight="1">
      <c r="A1001" s="2"/>
      <c r="B1001" s="288" t="str">
        <f>Controle!B1001</f>
        <v/>
      </c>
      <c r="C1001" s="233" t="str">
        <f>Controle!C1001</f>
        <v/>
      </c>
      <c r="D1001" s="289" t="str">
        <f>Controle!D1001</f>
        <v/>
      </c>
      <c r="E1001" s="290"/>
      <c r="F1001" s="291" t="str">
        <f>Controle!F1001</f>
        <v/>
      </c>
      <c r="G1001" s="289" t="str">
        <f>Controle!G1001</f>
        <v/>
      </c>
      <c r="H1001" s="290"/>
      <c r="I1001" s="291" t="str">
        <f>Controle!I1001</f>
        <v/>
      </c>
      <c r="J1001" s="233" t="str">
        <f>Controle!J1001</f>
        <v/>
      </c>
      <c r="K1001" s="292"/>
      <c r="L1001" s="233" t="str">
        <f>Controle!L1001</f>
        <v/>
      </c>
      <c r="M1001" s="233" t="str">
        <f>Controle!M1001</f>
        <v/>
      </c>
      <c r="N1001" s="235" t="str">
        <f>Controle!N1001</f>
        <v/>
      </c>
      <c r="O1001" s="235" t="str">
        <f>Controle!O1001</f>
        <v/>
      </c>
      <c r="P1001" s="235" t="str">
        <f>Controle!P1001</f>
        <v/>
      </c>
      <c r="Q1001" s="235" t="str">
        <f>Controle!Q1001</f>
        <v/>
      </c>
      <c r="R1001" s="233" t="str">
        <f>Controle!R1001</f>
        <v/>
      </c>
      <c r="S1001" s="294"/>
      <c r="T1001" s="234"/>
      <c r="U1001" s="234"/>
      <c r="V1001" s="234"/>
      <c r="W1001" s="294"/>
      <c r="X1001" s="294"/>
      <c r="Y1001" s="294"/>
      <c r="Z1001" s="294"/>
      <c r="AA1001" s="294"/>
      <c r="AB1001" s="253"/>
      <c r="AC1001" s="253"/>
      <c r="AD1001" s="253"/>
      <c r="AE1001" s="253"/>
      <c r="AF1001" s="253"/>
      <c r="AG1001" s="253"/>
      <c r="AH1001" s="253"/>
      <c r="AI1001" s="253"/>
      <c r="AJ1001" s="253"/>
      <c r="AK1001" s="253"/>
      <c r="AL1001" s="253"/>
      <c r="AM1001" s="253"/>
      <c r="AN1001" s="253"/>
      <c r="AO1001" s="253"/>
      <c r="AP1001" s="253"/>
      <c r="AQ1001" s="253"/>
      <c r="AR1001" s="253"/>
      <c r="AS1001" s="253"/>
      <c r="AT1001" s="253"/>
      <c r="AU1001" s="253"/>
      <c r="AV1001" s="253"/>
      <c r="AW1001" s="253"/>
      <c r="AX1001" s="253"/>
      <c r="AY1001" s="253"/>
    </row>
  </sheetData>
  <mergeCells count="10">
    <mergeCell ref="AH9:AL9"/>
    <mergeCell ref="AN9:AR9"/>
    <mergeCell ref="AT9:AX9"/>
    <mergeCell ref="C2:D2"/>
    <mergeCell ref="F2:G2"/>
    <mergeCell ref="I2:J2"/>
    <mergeCell ref="L2:M2"/>
    <mergeCell ref="T2:U2"/>
    <mergeCell ref="AD3:AD4"/>
    <mergeCell ref="AB9:AF9"/>
  </mergeCells>
  <printOptions/>
  <pageMargins bottom="1.0" footer="0.0" header="0.0" left="0.75" right="0.75" top="1.0"/>
  <pageSetup orientation="landscape"/>
  <drawing r:id="rId1"/>
  <tableParts count="11"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 outlineLevelCol="1"/>
  <cols>
    <col customWidth="1" min="1" max="1" width="7.63"/>
    <col customWidth="1" min="2" max="2" width="16.13"/>
    <col customWidth="1" min="3" max="3" width="18.88" outlineLevel="1"/>
    <col customWidth="1" min="4" max="4" width="18.5"/>
    <col customWidth="1" min="5" max="5" width="18.63"/>
    <col customWidth="1" hidden="1" min="6" max="6" width="18.88"/>
    <col customWidth="1" min="7" max="7" width="12.0"/>
    <col customWidth="1" min="8" max="8" width="15.5"/>
    <col customWidth="1" min="9" max="9" width="16.13"/>
    <col customWidth="1" min="10" max="10" width="2.75"/>
    <col customWidth="1" min="11" max="11" width="14.13"/>
    <col customWidth="1" min="12" max="12" width="11.38"/>
    <col customWidth="1" min="13" max="13" width="3.75"/>
    <col customWidth="1" min="14" max="14" width="20.5"/>
    <col customWidth="1" min="15" max="15" width="17.5"/>
    <col customWidth="1" min="16" max="16" width="15.5"/>
    <col customWidth="1" min="18" max="18" width="11.5"/>
    <col customWidth="1" min="19" max="19" width="15.5"/>
    <col customWidth="1" min="20" max="20" width="21.38"/>
    <col customWidth="1" min="21" max="21" width="21.0"/>
    <col customWidth="1" min="22" max="22" width="15.0"/>
    <col customWidth="1" min="23" max="23" width="9.13"/>
    <col customWidth="1" min="24" max="24" width="18.5"/>
    <col customWidth="1" min="25" max="27" width="14.63"/>
  </cols>
  <sheetData>
    <row r="1" ht="15.75" customHeight="1">
      <c r="A1" s="305"/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307"/>
      <c r="M1" s="307"/>
      <c r="N1" s="307"/>
      <c r="O1" s="307"/>
      <c r="P1" s="307"/>
      <c r="Q1" s="307"/>
      <c r="R1" s="307"/>
      <c r="S1" s="307"/>
      <c r="T1" s="307"/>
      <c r="U1" s="307"/>
      <c r="V1" s="307"/>
      <c r="W1" s="307"/>
      <c r="X1" s="307"/>
      <c r="Y1" s="307"/>
      <c r="Z1" s="307"/>
      <c r="AA1" s="307"/>
      <c r="AB1" s="307"/>
      <c r="AC1" s="307"/>
      <c r="AD1" s="307"/>
    </row>
    <row r="2" ht="15.75" customHeight="1">
      <c r="A2" s="306"/>
      <c r="B2" s="308" t="s">
        <v>329</v>
      </c>
      <c r="C2" s="306"/>
      <c r="D2" s="306"/>
      <c r="E2" s="309" t="s">
        <v>330</v>
      </c>
      <c r="F2" s="306"/>
      <c r="G2" s="306"/>
      <c r="H2" s="306"/>
      <c r="I2" s="306"/>
      <c r="J2" s="306"/>
      <c r="K2" s="310"/>
      <c r="L2" s="311"/>
      <c r="M2" s="307"/>
      <c r="N2" s="307"/>
      <c r="O2" s="307"/>
      <c r="P2" s="312"/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  <c r="AC2" s="307"/>
      <c r="AD2" s="307"/>
    </row>
    <row r="3" ht="15.75" customHeight="1">
      <c r="A3" s="306"/>
      <c r="B3" s="313">
        <f>Controle!$B$6</f>
        <v>45170</v>
      </c>
      <c r="C3" s="313">
        <f>Controle!$B$4</f>
        <v>45169</v>
      </c>
      <c r="D3" s="306"/>
      <c r="E3" s="314">
        <f>($B$8/100)-1</f>
        <v>0.01567907886</v>
      </c>
      <c r="F3" s="306"/>
      <c r="G3" s="306"/>
      <c r="H3" s="306"/>
      <c r="I3" s="306"/>
      <c r="J3" s="306"/>
      <c r="K3" s="315"/>
      <c r="L3" s="316"/>
      <c r="M3" s="307"/>
      <c r="N3" s="317" t="s">
        <v>331</v>
      </c>
      <c r="O3" s="307"/>
      <c r="P3" s="307"/>
      <c r="Q3" s="307"/>
      <c r="R3" s="307"/>
      <c r="S3" s="307"/>
      <c r="T3" s="307"/>
      <c r="U3" s="307"/>
      <c r="V3" s="307"/>
      <c r="W3" s="307"/>
      <c r="X3" s="307"/>
      <c r="Y3" s="307"/>
      <c r="Z3" s="307"/>
      <c r="AA3" s="307"/>
      <c r="AB3" s="307"/>
      <c r="AC3" s="307"/>
      <c r="AD3" s="307"/>
    </row>
    <row r="4" ht="15.75" customHeight="1">
      <c r="A4" s="306"/>
      <c r="B4" s="306"/>
      <c r="C4" s="306"/>
      <c r="D4" s="306"/>
      <c r="E4" s="306"/>
      <c r="F4" s="306"/>
      <c r="G4" s="306"/>
      <c r="H4" s="306"/>
      <c r="I4" s="306"/>
      <c r="J4" s="306"/>
      <c r="K4" s="306"/>
      <c r="L4" s="307"/>
      <c r="M4" s="307"/>
      <c r="N4" s="318" t="str">
        <f>Controle!$F$2</f>
        <v>Polaris</v>
      </c>
      <c r="O4" s="307"/>
      <c r="P4" s="307"/>
      <c r="Q4" s="307"/>
      <c r="R4" s="307"/>
      <c r="S4" s="307"/>
      <c r="T4" s="307"/>
      <c r="U4" s="307"/>
      <c r="V4" s="307"/>
      <c r="W4" s="307"/>
      <c r="X4" s="307"/>
      <c r="Y4" s="307"/>
      <c r="Z4" s="307"/>
      <c r="AA4" s="307"/>
      <c r="AB4" s="307"/>
      <c r="AC4" s="307"/>
      <c r="AD4" s="307"/>
    </row>
    <row r="5" ht="15.75" customHeight="1">
      <c r="A5" s="306"/>
      <c r="B5" s="319" t="s">
        <v>332</v>
      </c>
      <c r="C5" s="320" t="s">
        <v>333</v>
      </c>
      <c r="D5" s="321" t="s">
        <v>312</v>
      </c>
      <c r="E5" s="322" t="s">
        <v>334</v>
      </c>
      <c r="F5" s="231"/>
      <c r="G5" s="306"/>
      <c r="H5" s="323" t="s">
        <v>335</v>
      </c>
      <c r="I5" s="89"/>
      <c r="J5" s="306"/>
      <c r="K5" s="323" t="s">
        <v>336</v>
      </c>
      <c r="L5" s="89"/>
      <c r="M5" s="307"/>
      <c r="N5" s="307"/>
      <c r="O5" s="307"/>
      <c r="P5" s="307"/>
      <c r="Q5" s="307"/>
      <c r="R5" s="307"/>
      <c r="S5" s="307"/>
      <c r="T5" s="307"/>
      <c r="U5" s="307"/>
      <c r="V5" s="307"/>
      <c r="W5" s="307"/>
      <c r="X5" s="307"/>
      <c r="Y5" s="307"/>
      <c r="Z5" s="307"/>
      <c r="AA5" s="307"/>
      <c r="AB5" s="307"/>
      <c r="AC5" s="307"/>
      <c r="AD5" s="307"/>
    </row>
    <row r="6" ht="15.75" customHeight="1">
      <c r="A6" s="306"/>
      <c r="B6" s="324">
        <f>Controle!$F$4</f>
        <v>112433871.9</v>
      </c>
      <c r="C6" s="325">
        <f t="array" ref="C6">xlookup($C$3,Controle!$B$10:$B$1000,Controle!$F$10:$F$1000)</f>
        <v>112467432.2</v>
      </c>
      <c r="D6" s="326">
        <f>Controle!$F$6</f>
        <v>8068985.314</v>
      </c>
      <c r="E6" s="327">
        <f>Controle!$G$4</f>
        <v>104364886.6</v>
      </c>
      <c r="F6" s="328"/>
      <c r="G6" s="306"/>
      <c r="H6" s="329" t="s">
        <v>337</v>
      </c>
      <c r="I6" s="330" t="s">
        <v>338</v>
      </c>
      <c r="J6" s="331"/>
      <c r="K6" s="329" t="s">
        <v>337</v>
      </c>
      <c r="L6" s="330" t="s">
        <v>338</v>
      </c>
      <c r="M6" s="307"/>
      <c r="N6" s="332" t="s">
        <v>306</v>
      </c>
      <c r="O6" s="89"/>
      <c r="P6" s="307"/>
      <c r="Q6" s="307"/>
      <c r="R6" s="307"/>
      <c r="S6" s="307"/>
      <c r="T6" s="307"/>
      <c r="U6" s="307"/>
      <c r="V6" s="307"/>
      <c r="W6" s="307"/>
      <c r="X6" s="307"/>
      <c r="Y6" s="307"/>
      <c r="Z6" s="307"/>
      <c r="AA6" s="307"/>
      <c r="AB6" s="307"/>
      <c r="AC6" s="307"/>
      <c r="AD6" s="307"/>
    </row>
    <row r="7" ht="15.75" customHeight="1">
      <c r="A7" s="306"/>
      <c r="B7" s="333" t="s">
        <v>339</v>
      </c>
      <c r="C7" s="334"/>
      <c r="D7" s="309" t="s">
        <v>340</v>
      </c>
      <c r="E7" s="335" t="s">
        <v>341</v>
      </c>
      <c r="F7" s="231"/>
      <c r="G7" s="306"/>
      <c r="H7" s="115"/>
      <c r="I7" s="123"/>
      <c r="J7" s="331"/>
      <c r="K7" s="115"/>
      <c r="L7" s="123"/>
      <c r="M7" s="307"/>
      <c r="N7" s="336" t="s">
        <v>342</v>
      </c>
      <c r="O7" s="337" t="s">
        <v>343</v>
      </c>
      <c r="P7" s="307"/>
      <c r="Q7" s="307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  <c r="AC7" s="307"/>
      <c r="AD7" s="307"/>
    </row>
    <row r="8" ht="15.75" customHeight="1">
      <c r="A8" s="306"/>
      <c r="B8" s="338">
        <f t="array" ref="B8">XLOOKUP($B$3,Controle!$B$10:$B$242,Controle!$F$10:$F$242)/1106982.2566</f>
        <v>101.5679079</v>
      </c>
      <c r="C8" s="339"/>
      <c r="D8" s="314">
        <f>Controle!$G$6</f>
        <v>-0.0002984001501</v>
      </c>
      <c r="E8" s="340">
        <f>Controle!$AC$6</f>
        <v>0.00049037</v>
      </c>
      <c r="F8" s="341"/>
      <c r="G8" s="342">
        <v>1.0</v>
      </c>
      <c r="H8" s="343" t="str">
        <f t="shared" ref="H8:H12" si="1">IFERROR(INDEX($B$18:$B$36,MATCH(G8,$T$18:$T$56,0),""))</f>
        <v>AZUL4</v>
      </c>
      <c r="I8" s="344">
        <f t="shared" ref="I8:I12" si="2">IFERROR(INDEX($R$18:$R$37,MATCH(G8,$T$18:$T$55,0)),"")</f>
        <v>0.03036580683</v>
      </c>
      <c r="J8" s="306"/>
      <c r="K8" s="343" t="str">
        <f t="shared" ref="K8:K12" si="3">IFERROR(INDEX($B$18:$B$36,MATCH(M8,$T$18:$T$56,0),""))</f>
        <v>DIVO11</v>
      </c>
      <c r="L8" s="344">
        <f t="shared" ref="L8:L12" si="4">IFERROR(INDEX($R$18:$R$37,MATCH(M8,$T$18:$T$55,0)),"")</f>
        <v>0.0162468626</v>
      </c>
      <c r="M8" s="345">
        <f>MAX($T$18:$T$55)</f>
        <v>2</v>
      </c>
      <c r="N8" s="346">
        <f t="array" ref="N8">XLOOKUP($C$3,Controle!$B$10:$B$901,Controle!$G$10:$G$901,"",0)*$E$8</f>
        <v>51257.12394</v>
      </c>
      <c r="O8" s="347">
        <f>$N$8/$C$6</f>
        <v>0.0004557508156</v>
      </c>
      <c r="P8" s="307"/>
      <c r="R8" s="346">
        <f>E8*Controle!G60</f>
        <v>56427.48686</v>
      </c>
      <c r="S8" s="307"/>
      <c r="T8" s="307"/>
      <c r="U8" s="307"/>
      <c r="V8" s="307"/>
      <c r="W8" s="307"/>
      <c r="X8" s="307"/>
      <c r="Y8" s="307"/>
      <c r="Z8" s="307"/>
      <c r="AA8" s="307"/>
      <c r="AB8" s="307"/>
      <c r="AC8" s="307"/>
      <c r="AD8" s="307"/>
    </row>
    <row r="9" ht="15.75" customHeight="1">
      <c r="A9" s="306"/>
      <c r="B9" s="348"/>
      <c r="C9" s="349"/>
      <c r="D9" s="350"/>
      <c r="E9" s="306">
        <f>POWER(1+E8,252)</f>
        <v>1.131498603</v>
      </c>
      <c r="F9" s="306"/>
      <c r="G9" s="342">
        <v>2.0</v>
      </c>
      <c r="H9" s="343" t="str">
        <f t="shared" si="1"/>
        <v>DIVO11</v>
      </c>
      <c r="I9" s="344">
        <f t="shared" si="2"/>
        <v>0.0162468626</v>
      </c>
      <c r="J9" s="306"/>
      <c r="K9" s="343" t="str">
        <f t="shared" si="3"/>
        <v>AZUL4</v>
      </c>
      <c r="L9" s="344">
        <f t="shared" si="4"/>
        <v>0.03036580683</v>
      </c>
      <c r="M9" s="345">
        <f t="shared" ref="M9:M12" si="5">M8-1</f>
        <v>1</v>
      </c>
      <c r="N9" s="351"/>
      <c r="O9" s="352"/>
      <c r="P9" s="307"/>
      <c r="Q9" s="307"/>
      <c r="R9" s="307"/>
      <c r="S9" s="307"/>
      <c r="T9" s="307"/>
      <c r="U9" s="307"/>
      <c r="V9" s="307"/>
      <c r="W9" s="307"/>
      <c r="X9" s="307"/>
      <c r="Y9" s="307"/>
      <c r="Z9" s="307"/>
      <c r="AA9" s="307"/>
      <c r="AB9" s="307"/>
      <c r="AC9" s="307"/>
      <c r="AD9" s="307"/>
    </row>
    <row r="10" ht="15.75" customHeight="1">
      <c r="A10" s="306"/>
      <c r="B10" s="306"/>
      <c r="C10" s="306"/>
      <c r="D10" s="306"/>
      <c r="E10" s="306"/>
      <c r="F10" s="306"/>
      <c r="G10" s="342">
        <v>3.0</v>
      </c>
      <c r="H10" s="343" t="str">
        <f t="shared" si="1"/>
        <v/>
      </c>
      <c r="I10" s="344" t="str">
        <f t="shared" si="2"/>
        <v/>
      </c>
      <c r="J10" s="306"/>
      <c r="K10" s="343" t="str">
        <f t="shared" si="3"/>
        <v/>
      </c>
      <c r="L10" s="344" t="str">
        <f t="shared" si="4"/>
        <v/>
      </c>
      <c r="M10" s="345">
        <f t="shared" si="5"/>
        <v>0</v>
      </c>
      <c r="N10" s="353" t="s">
        <v>344</v>
      </c>
      <c r="O10" s="123"/>
      <c r="P10" s="307"/>
      <c r="Q10" s="307"/>
      <c r="R10" s="307"/>
      <c r="S10" s="307"/>
      <c r="T10" s="307"/>
      <c r="U10" s="307"/>
      <c r="V10" s="307"/>
      <c r="W10" s="307"/>
      <c r="X10" s="307"/>
      <c r="Y10" s="307"/>
      <c r="Z10" s="307"/>
      <c r="AA10" s="307"/>
      <c r="AB10" s="307"/>
      <c r="AC10" s="307"/>
      <c r="AD10" s="307"/>
    </row>
    <row r="11" ht="15.75" customHeight="1">
      <c r="A11" s="306"/>
      <c r="B11" s="354" t="s">
        <v>307</v>
      </c>
      <c r="C11" s="355"/>
      <c r="D11" s="356" t="s">
        <v>308</v>
      </c>
      <c r="E11" s="357" t="s">
        <v>345</v>
      </c>
      <c r="F11" s="358"/>
      <c r="G11" s="342">
        <v>4.0</v>
      </c>
      <c r="H11" s="343" t="str">
        <f t="shared" si="1"/>
        <v/>
      </c>
      <c r="I11" s="344" t="str">
        <f t="shared" si="2"/>
        <v/>
      </c>
      <c r="J11" s="306"/>
      <c r="K11" s="343" t="str">
        <f t="shared" si="3"/>
        <v/>
      </c>
      <c r="L11" s="344" t="str">
        <f t="shared" si="4"/>
        <v/>
      </c>
      <c r="M11" s="345">
        <f t="shared" si="5"/>
        <v>-1</v>
      </c>
      <c r="N11" s="336" t="s">
        <v>342</v>
      </c>
      <c r="O11" s="337" t="s">
        <v>343</v>
      </c>
      <c r="P11" s="307"/>
      <c r="Q11" s="359"/>
      <c r="R11" s="360"/>
      <c r="S11" s="307" t="s">
        <v>346</v>
      </c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</row>
    <row r="12" ht="15.75" customHeight="1">
      <c r="A12" s="306"/>
      <c r="B12" s="361">
        <f>VLOOKUP(Controle!$B$4,Controle!$B$10:$G$1000,6,0)*(1+$E$8)</f>
        <v>104578703.6</v>
      </c>
      <c r="C12" s="362"/>
      <c r="D12" s="363">
        <f t="array" ref="D12">-XLOOKUP($C$3,Controle!$B$10:$B$901,Controle!$F$10:$F$901)*((1+Controle!$AC$4)^(1/252)-1)</f>
        <v>-6644.974137</v>
      </c>
      <c r="E12" s="364">
        <f>0</f>
        <v>0</v>
      </c>
      <c r="F12" s="365"/>
      <c r="G12" s="342">
        <v>5.0</v>
      </c>
      <c r="H12" s="343" t="str">
        <f t="shared" si="1"/>
        <v/>
      </c>
      <c r="I12" s="344" t="str">
        <f t="shared" si="2"/>
        <v/>
      </c>
      <c r="J12" s="306"/>
      <c r="K12" s="343" t="str">
        <f t="shared" si="3"/>
        <v/>
      </c>
      <c r="L12" s="344" t="str">
        <f t="shared" si="4"/>
        <v/>
      </c>
      <c r="M12" s="345">
        <f t="shared" si="5"/>
        <v>-2</v>
      </c>
      <c r="N12" s="346">
        <f>SUM($G$18:$G$900)</f>
        <v>-78172.44845</v>
      </c>
      <c r="O12" s="347">
        <f>$N$12/$C$6</f>
        <v>-0.0006950674248</v>
      </c>
      <c r="P12" s="307"/>
      <c r="Q12" s="307"/>
      <c r="R12" s="307"/>
      <c r="S12" s="307"/>
      <c r="T12" s="307"/>
      <c r="U12" s="81" t="str">
        <f>IFERROR(__xludf.DUMMYFUNCTION("unique('Controle D-1'!AH11:AH46)"),"AZUL4")</f>
        <v>AZUL4</v>
      </c>
      <c r="V12" s="307"/>
      <c r="W12" s="307"/>
      <c r="X12" s="307"/>
      <c r="Y12" s="366">
        <f t="array" ref="Y12">XLOOKUP($W24, Controle!$AH$11:$AH$1001,Controle!$AL$11:$AL$1001)</f>
        <v>-77250</v>
      </c>
      <c r="Z12" s="366">
        <f t="array" ref="Z12">XLOOKUP($W24, 'Controle D-1'!$AH$11:$AH$1001,'Controle D-1'!$AL$11:$AL$1001)</f>
        <v>420650</v>
      </c>
      <c r="AA12" s="307"/>
      <c r="AB12" s="307"/>
      <c r="AC12" s="307"/>
      <c r="AD12" s="307"/>
    </row>
    <row r="13" ht="15.75" customHeight="1">
      <c r="A13" s="306"/>
      <c r="B13" s="367" t="s">
        <v>314</v>
      </c>
      <c r="C13" s="368"/>
      <c r="D13" s="369" t="s">
        <v>347</v>
      </c>
      <c r="E13" s="367" t="s">
        <v>348</v>
      </c>
      <c r="F13" s="231"/>
      <c r="G13" s="306"/>
      <c r="H13" s="306"/>
      <c r="I13" s="306"/>
      <c r="J13" s="306"/>
      <c r="K13" s="306"/>
      <c r="L13" s="307"/>
      <c r="M13" s="307"/>
      <c r="N13" s="352"/>
      <c r="O13" s="370"/>
      <c r="P13" s="307"/>
      <c r="Q13" s="307"/>
      <c r="R13" s="307"/>
      <c r="S13" s="307"/>
      <c r="T13" s="307"/>
      <c r="U13" s="307" t="str">
        <f>IFERROR(__xludf.DUMMYFUNCTION("""COMPUTED_VALUE"""),"DIVO11")</f>
        <v>DIVO11</v>
      </c>
      <c r="V13" s="307"/>
      <c r="W13" s="307"/>
      <c r="X13" s="307"/>
      <c r="Y13" s="307"/>
      <c r="Z13" s="307"/>
      <c r="AA13" s="307"/>
      <c r="AB13" s="307"/>
      <c r="AC13" s="307"/>
      <c r="AD13" s="307"/>
    </row>
    <row r="14" ht="15.75" customHeight="1">
      <c r="A14" s="306"/>
      <c r="B14" s="371">
        <f>SUMIFS('Alocação'!$M:$M, 'Alocação'!$B:$B, Controle!$B$6,'Alocação'!$D:$D,"&lt;&gt;"&amp;"Futuros",'Alocação'!$F:$F,"="&amp;$N$4)</f>
        <v>0</v>
      </c>
      <c r="C14" s="372"/>
      <c r="D14" s="373">
        <f>0</f>
        <v>0</v>
      </c>
      <c r="E14" s="374">
        <f> SUMIFS(Controle!$AL$11:$AL$1000,Controle!$AI$11:$AI$1000,"="&amp;"Futuros")</f>
        <v>-207172.1</v>
      </c>
      <c r="F14" s="365"/>
      <c r="G14" s="306"/>
      <c r="H14" s="306"/>
      <c r="I14" s="306"/>
      <c r="J14" s="306"/>
      <c r="K14" s="375" t="s">
        <v>349</v>
      </c>
      <c r="L14" s="375" t="s">
        <v>350</v>
      </c>
      <c r="M14" s="307"/>
      <c r="N14" s="353" t="s">
        <v>351</v>
      </c>
      <c r="O14" s="123"/>
      <c r="P14" s="307"/>
      <c r="Q14" s="307"/>
      <c r="R14" s="307"/>
      <c r="S14" s="307"/>
      <c r="T14" s="307"/>
      <c r="U14" s="307" t="str">
        <f>IFERROR(__xludf.DUMMYFUNCTION("""COMPUTED_VALUE"""),"CNH-V23")</f>
        <v>CNH-V23</v>
      </c>
      <c r="V14" s="307"/>
      <c r="W14" s="307"/>
      <c r="X14" s="307"/>
      <c r="Y14" s="307"/>
      <c r="Z14" s="307"/>
      <c r="AA14" s="307"/>
      <c r="AB14" s="307"/>
      <c r="AC14" s="307"/>
      <c r="AD14" s="307"/>
    </row>
    <row r="15" ht="15.75" customHeight="1">
      <c r="A15" s="306"/>
      <c r="B15" s="306"/>
      <c r="C15" s="306"/>
      <c r="D15" s="306"/>
      <c r="E15" s="306"/>
      <c r="F15" s="306"/>
      <c r="G15" s="81"/>
      <c r="H15" s="306"/>
      <c r="I15" s="306"/>
      <c r="J15" s="306"/>
      <c r="K15" s="376">
        <f>SUM($F$18:$F$999)</f>
        <v>1.277842719</v>
      </c>
      <c r="L15" s="376">
        <f>SUM($E$18:$E$999)</f>
        <v>0.7992434771</v>
      </c>
      <c r="M15" s="307"/>
      <c r="N15" s="336" t="s">
        <v>352</v>
      </c>
      <c r="O15" s="337" t="s">
        <v>343</v>
      </c>
      <c r="P15" s="307"/>
      <c r="Q15" s="307"/>
      <c r="R15" s="307"/>
      <c r="S15" s="307"/>
      <c r="T15" s="307"/>
      <c r="U15" s="307" t="str">
        <f>IFERROR(__xludf.DUMMYFUNCTION("""COMPUTED_VALUE"""),"DI1-J24")</f>
        <v>DI1-J24</v>
      </c>
      <c r="V15" s="307"/>
      <c r="W15" s="377"/>
      <c r="X15" s="377"/>
      <c r="Y15" s="377"/>
      <c r="Z15" s="377"/>
      <c r="AA15" s="377"/>
      <c r="AB15" s="307"/>
      <c r="AC15" s="307"/>
      <c r="AD15" s="307"/>
    </row>
    <row r="16" ht="15.75" customHeight="1">
      <c r="A16" s="306"/>
      <c r="B16" s="306"/>
      <c r="C16" s="306"/>
      <c r="D16" s="306"/>
      <c r="E16" s="306"/>
      <c r="F16" s="306"/>
      <c r="G16" s="365"/>
      <c r="H16" s="306"/>
      <c r="I16" s="306"/>
      <c r="J16" s="306"/>
      <c r="K16" s="311"/>
      <c r="L16" s="311"/>
      <c r="M16" s="348"/>
      <c r="N16" s="346">
        <f>$D$12</f>
        <v>-6644.974137</v>
      </c>
      <c r="O16" s="347">
        <f>$N$16/$C$6</f>
        <v>-0.00005908354097</v>
      </c>
      <c r="P16" s="307"/>
      <c r="Q16" s="307"/>
      <c r="R16" s="348"/>
      <c r="S16" s="348"/>
      <c r="T16" s="348"/>
      <c r="U16" s="307" t="str">
        <f>IFERROR(__xludf.DUMMYFUNCTION("""COMPUTED_VALUE"""),"DI1-F24")</f>
        <v>DI1-F24</v>
      </c>
      <c r="V16" s="209">
        <f t="array" ref="V16">XLOOKUP($W18,Controle!$AH$11:$AH$1001,Controle!$AL$11:$AL$1001)</f>
        <v>-14.93000031</v>
      </c>
      <c r="W16" s="378" t="s">
        <v>353</v>
      </c>
      <c r="X16" s="122"/>
      <c r="Y16" s="122"/>
      <c r="Z16" s="122"/>
      <c r="AA16" s="123"/>
      <c r="AB16" s="307"/>
      <c r="AC16" s="307"/>
      <c r="AD16" s="307"/>
    </row>
    <row r="17" ht="15.75" customHeight="1">
      <c r="A17" s="348"/>
      <c r="B17" s="379" t="s">
        <v>183</v>
      </c>
      <c r="C17" s="379" t="s">
        <v>324</v>
      </c>
      <c r="D17" s="380" t="s">
        <v>354</v>
      </c>
      <c r="E17" s="381" t="s">
        <v>355</v>
      </c>
      <c r="F17" s="381" t="s">
        <v>356</v>
      </c>
      <c r="G17" s="381" t="s">
        <v>357</v>
      </c>
      <c r="H17" s="382" t="s">
        <v>343</v>
      </c>
      <c r="I17" s="379" t="s">
        <v>358</v>
      </c>
      <c r="J17" s="383"/>
      <c r="K17" s="384"/>
      <c r="L17" s="385" t="s">
        <v>359</v>
      </c>
      <c r="M17" s="383"/>
      <c r="N17" s="352"/>
      <c r="O17" s="386"/>
      <c r="P17" s="387"/>
      <c r="Q17" s="247"/>
      <c r="R17" s="307" t="s">
        <v>360</v>
      </c>
      <c r="S17" s="307" t="s">
        <v>361</v>
      </c>
      <c r="T17" s="307" t="s">
        <v>362</v>
      </c>
      <c r="U17" s="247" t="str">
        <f>IFERROR(__xludf.DUMMYFUNCTION("""COMPUTED_VALUE"""),"T10-Z23")</f>
        <v>T10-Z23</v>
      </c>
      <c r="V17" s="366">
        <f t="array" ref="V17">XLOOKUP($W18, 'Controle D-1'!$AH$11:$AH$1001,'Controle D-1'!$AL$11:$AL$1001)</f>
        <v>-14.48999977</v>
      </c>
      <c r="W17" s="388" t="s">
        <v>183</v>
      </c>
      <c r="X17" s="389" t="s">
        <v>354</v>
      </c>
      <c r="Y17" s="389" t="s">
        <v>363</v>
      </c>
      <c r="Z17" s="389" t="s">
        <v>364</v>
      </c>
      <c r="AA17" s="389" t="s">
        <v>365</v>
      </c>
      <c r="AB17" s="348"/>
      <c r="AC17" s="348"/>
      <c r="AD17" s="348"/>
    </row>
    <row r="18" ht="15.75" customHeight="1">
      <c r="A18" s="348"/>
      <c r="B18" s="390" t="str">
        <f>IFERROR(__xludf.DUMMYFUNCTION("IFERROR(UNIQUE(filter(VSTACK('Controle D-1'!AH11:AH46,Controle!AH11:AH46),VSTACK('Controle D-1'!AH11:AH46,Controle!AH11:AH46)&lt;&gt;0),""""))"),"AZUL4")</f>
        <v>AZUL4</v>
      </c>
      <c r="C18" s="391">
        <f>IF($B18 &lt;&gt; "",SUMIFS('Alocação'!$O$3:$O$1002,'Alocação'!$C$3:$C$1002,$B18,'Alocação'!$F$3:$F$1002,$N$4,'Alocação'!$B$3:$B$1002,"&lt;="&amp;$B$3), "")</f>
        <v>-1</v>
      </c>
      <c r="D18" s="391" t="str">
        <f>IFERROR(VLOOKUP($B18, 'Cadastro dos Ativos'!$A$1:$C$217, 3, FALSE), "")</f>
        <v>Ações Listadas na B3</v>
      </c>
      <c r="E18" s="392">
        <f>IFS($D18="Ações Listadas na B3", (($C18 * HLOOKUP($B18, 'Histórico'!$A$1:$FI$296, MATCH($B$3,'Histórico'!$A:$A),0)) / $B$6),
$D18="Ações Americanas",(($C18 * HLOOKUP($B18, 'Histórico'!$A$1:$FI$296, MATCH($B$3,'Histórico'!$A:$A),0)) * HLOOKUP("PTAX", 'Histórico'!$A$1:$FI$296, MATCH($B$3,'Histórico'!$A:$A),0) / $B$6),
$D18="Ações Europeias",(($C18 * HLOOKUP($B18, 'Histórico'!$A$1:$FI$296, MATCH($B$3,'Histórico'!$A:$A),0)) * HLOOKUP("EUR/BRL", 'Histórico'!$A$1:$FI$296, MATCH($B$3,'Histórico'!$A:$A),0) / $B$6),
$D18="Futuros",(SUMIFS('Alocação'!$N:$N,'Alocação'!$C:$C,$B18,'Alocação'!$F:$F,$N$4,'Alocação'!$B:$B,"&lt;="&amp;$B$3))/($B$6)+($C18*SUMPRODUCT(('Histórico T'!$A:$A=$B18)*('Histórico T'!$B:$AAW)))/($B$6),$D18="Moedas",(($C18 * HLOOKUP($B18, 'Histórico'!$A$1:$FI$296, MATCH($B$3,'Histórico'!$A:$A),0)) / $B$6),$D18="Títulos", (($C18 * HLOOKUP($B18, 'Histórico'!$A$1:$FI$296, MATCH($B$3,'Histórico'!$A:$A),0)) / $B$6),$B18="","")</f>
        <v>-0.000000132789168</v>
      </c>
      <c r="F18" s="393">
        <f t="shared" ref="F18:F37" si="7">IF($E18="","", ABS($E18))</f>
        <v>0.000000132789168</v>
      </c>
      <c r="G18" s="394">
        <f>IFS(OR($D18="Ações Listadas na B3",$D18="Ações Americanas",$D18="Moedas",$D18="Ações Europeias",$D18="Títulos"),$AA18,
$D18="Futuros",
(SUMIFS('Alocação'!$O$3:$O$1002,'Alocação'!$C$3:$C$1002,B18,'Alocação'!$F$3:$F$1002,N$4,'Alocação'!$B$3:$B$1002,"&lt;="&amp;$C$3))*HLOOKUP(B18,'Histórico'!$A$1:$DD$990,MATCH($B$3,'Histórico'!$A:$A),FALSE),
$D18="",""
)</f>
        <v>-0.4400005341</v>
      </c>
      <c r="H18" s="395">
        <f t="shared" ref="H18:H37" si="8">if(and(IF(($G18)/$C$6 &lt;&gt; 0 , ($G18)/$C$6 , "")="",B18&lt;&gt;""),"Movimentado",IF(($G18)/$C$6 &lt;&gt; 0 , ($G18)/$C$6 , ""))</f>
        <v>-0.000000003912248422</v>
      </c>
      <c r="I18" s="396">
        <f t="shared" ref="I18:I37" si="9">iferror(if(B18&lt;&gt;0,(H18/E18),""),"Movimentado")</f>
        <v>0.02946210508</v>
      </c>
      <c r="J18" s="383"/>
      <c r="K18" s="397" t="s">
        <v>366</v>
      </c>
      <c r="L18" s="344">
        <f>STDEV(Controle!$O$91:$O$242)</f>
        <v>0.001117777573</v>
      </c>
      <c r="M18" s="383"/>
      <c r="N18" s="353" t="s">
        <v>367</v>
      </c>
      <c r="O18" s="398">
        <f t="shared" ref="O18:P18" si="6">SUM(N$8,N$12,N$16)</f>
        <v>-33560.29864</v>
      </c>
      <c r="P18" s="399">
        <f t="shared" si="6"/>
        <v>-0.0002984001501</v>
      </c>
      <c r="Q18" s="247"/>
      <c r="R18" s="400">
        <f t="array" ref="R18">IFERROR(IF(D18&lt;&gt;"Futuros",
(INDEX('Histórico'!$B$1:$ADT983, MATCH($B$3, 'Histórico'!$A$1:$A983, 0), MATCH(B18, 'Histórico'!$1:$1, 0)-1)/INDEX('Histórico'!$B$1:$ADT983, MATCH($C$3, 'Histórico'!$A$1:$A983, 0), MATCH(B18, 'Histórico'!$1:$1, 0)-1)-1),
""),"")</f>
        <v>0.03036580683</v>
      </c>
      <c r="S18" s="401">
        <f t="shared" ref="S18:S26" si="10">IF(R18&lt;&gt;"",R18*(RANDBETWEEN(1,1.2)/1000000000),"")</f>
        <v>0</v>
      </c>
      <c r="T18" s="402">
        <f t="shared" ref="T18:T35" si="11">IF(S18&lt;&gt;"", RANK(S18,$S$18:$S$37),"")</f>
        <v>1</v>
      </c>
      <c r="U18" s="247" t="str">
        <f>IFERROR(__xludf.DUMMYFUNCTION("""COMPUTED_VALUE"""),"DOL-Z23")</f>
        <v>DOL-Z23</v>
      </c>
      <c r="V18" s="307"/>
      <c r="W18" s="403" t="str">
        <f>IFERROR(__xludf.DUMMYFUNCTION("IFERROR(UNIQUE(filter(VSTACK('Controle D-1'!AH11:AH46,Controle!AH11:AH46),VSTACK('Controle D-1'!AH11:AH46,Controle!AH11:AH46)&lt;&gt;0),""""))"),"AZUL4")</f>
        <v>AZUL4</v>
      </c>
      <c r="X18" s="404" t="str">
        <f>IFERROR(VLOOKUP(W18, 'Cadastro dos Ativos'!$A$1:$C$216, 3, FALSE), "")</f>
        <v>Ações Listadas na B3</v>
      </c>
      <c r="Y18" s="405">
        <f t="array" ref="Y18">IFERROR(IFERROR(IF($X18&lt;&gt;"Futuros",
iferror(XLOOKUP($W18,Controle!$AH$11:$AH$1001,Controle!$AL$11:$AL$1001),0)-XLOOKUP($W18, 'Controle D-1'!$AH$11:$AH$1001,'Controle D-1'!$AL$11:$AL$1001),
""),XLOOKUP($W18, Controle!$AH$11:$AH$1001,Controle!$AL$11:$AL$1001)),"")</f>
        <v>-0.4400005341</v>
      </c>
      <c r="Z18" s="405">
        <f>IFS($X18&lt;&gt;"Futuros", SUMIFS('Alocação'!$M$2:$M$1003,'Alocação'!$C$2:$C$1003,$W18,'Alocação'!$B$2:$B$1003,$B$3,'Alocação'!$F$2:$F$1003,$N$4),
$X18="","",
$X18="Futuros","")</f>
        <v>0</v>
      </c>
      <c r="AA18" s="405">
        <f t="shared" ref="AA18:AA28" si="12">if(Y18="","",if(Y18=0,0,($Y18+$Z18)))</f>
        <v>-0.4400005341</v>
      </c>
      <c r="AB18" s="81" t="str">
        <f>IFERROR(__xludf.DUMMYFUNCTION("IFERROR(UNIQUE(FILTER('Alocação'!$C$3:$C$1002,'Alocação'!$R$3:$R$1002&lt;&gt;0,'Alocação'!$F$3:$F$1002=$N$4)),"""")"),"AZUL4")</f>
        <v>AZUL4</v>
      </c>
      <c r="AC18" s="282">
        <f t="shared" ref="AC18:AC27" si="13">H18/E18</f>
        <v>0.02946210508</v>
      </c>
      <c r="AD18" s="282">
        <f t="shared" ref="AD18:AD27" si="14">H18/abs(E18)</f>
        <v>-0.02946210508</v>
      </c>
    </row>
    <row r="19" ht="15.75" customHeight="1">
      <c r="A19" s="348"/>
      <c r="B19" s="406" t="str">
        <f>IFERROR(__xludf.DUMMYFUNCTION("""COMPUTED_VALUE"""),"DIVO11")</f>
        <v>DIVO11</v>
      </c>
      <c r="C19" s="4">
        <f>IF($B19 &lt;&gt; "",SUMIFS('Alocação'!$O$3:$O$1002,'Alocação'!$C$3:$C$1002,$B19,'Alocação'!$F$3:$F$1002,$N$4,'Alocação'!$B$3:$B$1002,"&lt;="&amp;$B$3), "")</f>
        <v>100000</v>
      </c>
      <c r="D19" s="4" t="str">
        <f>IFERROR(VLOOKUP($B19, 'Cadastro dos Ativos'!$A$1:$C$217, 3, FALSE), "")</f>
        <v>Ações Listadas na B3</v>
      </c>
      <c r="E19" s="407">
        <f>IFS($D19="Ações Listadas na B3", (($C19 * HLOOKUP($B19, 'Histórico'!$A$1:$FI$296, MATCH($B$3,'Histórico'!$A:$A),0)) / $B$6),
$D19="Ações Americanas",(($C19 * HLOOKUP($B19, 'Histórico'!$A$1:$FI$296, MATCH($B$3,'Histórico'!$A:$A),0)) * HLOOKUP("PTAX", 'Histórico'!$A$1:$FI$296, MATCH($B$3,'Histórico'!$A:$A),0) / $B$6),
$D19="Ações Europeias",(($C19 * HLOOKUP($B19, 'Histórico'!$A$1:$FI$296, MATCH($B$3,'Histórico'!$A:$A),0)) * HLOOKUP("EUR/BRL", 'Histórico'!$A$1:$FI$296, MATCH($B$3,'Histórico'!$A:$A),0) / $B$6),
$D19="Futuros",(SUMIFS('Alocação'!$N:$N,'Alocação'!$C:$C,$B19,'Alocação'!$F:$F,$N$4,'Alocação'!$B:$B,"&lt;="&amp;$B$3))/($B$6)+($C19*SUMPRODUCT(('Histórico T'!$A:$A=$B19)*('Histórico T'!$B:$AAW)))/($B$6),$D19="Moedas",(($C19 * HLOOKUP($B19, 'Histórico'!$A$1:$FI$296, MATCH($B$3,'Histórico'!$A:$A),0)) / $B$6),$D19="Títulos", (($C19 * HLOOKUP($B19, 'Histórico'!$A$1:$FI$296, MATCH($B$3,'Histórico'!$A:$A),0)) / $B$6),$B19="","")</f>
        <v>0.07176663144</v>
      </c>
      <c r="F19" s="408">
        <f t="shared" si="7"/>
        <v>0.07176663144</v>
      </c>
      <c r="G19" s="394">
        <f>IFS(OR($D19="Ações Listadas na B3",$D19="Ações Americanas",$D19="Moedas",$D19="Ações Europeias",$D19="Títulos"),$AA19,
$D19="Futuros",
(SUMIFS('Alocação'!$O$3:$O$1002,'Alocação'!$C$3:$C$1002,B19,'Alocação'!$F$3:$F$1002,N$4,'Alocação'!$B$3:$B$1002,"&lt;="&amp;$C$3))*HLOOKUP(B19,'Histórico'!$A$1:$DD$990,MATCH($B$3,'Histórico'!$A:$A),FALSE),
$D19="",""
)</f>
        <v>129000.0916</v>
      </c>
      <c r="H19" s="395">
        <f t="shared" si="8"/>
        <v>0.001146999527</v>
      </c>
      <c r="I19" s="396">
        <f t="shared" si="9"/>
        <v>0.01598235147</v>
      </c>
      <c r="J19" s="383"/>
      <c r="K19" s="397" t="s">
        <v>368</v>
      </c>
      <c r="L19" s="344">
        <f>$L$18*(252^0.5)</f>
        <v>0.01774416887</v>
      </c>
      <c r="M19" s="383"/>
      <c r="N19" s="336" t="s">
        <v>369</v>
      </c>
      <c r="O19" s="409">
        <f>B6-C6</f>
        <v>-33560.29864</v>
      </c>
      <c r="P19" s="410">
        <f>B6/C6-1</f>
        <v>-0.0002984001501</v>
      </c>
      <c r="Q19" s="247"/>
      <c r="R19" s="400">
        <f t="array" ref="R19">IFERROR(IF(D19&lt;&gt;"Futuros",
(INDEX('Histórico'!$B$1:$ADT984, MATCH($B$3, 'Histórico'!$A$1:$A984, 0), MATCH(B19, 'Histórico'!$1:$1, 0)-1)/INDEX('Histórico'!$B$1:$ADT984, MATCH($C$3, 'Histórico'!$A$1:$A984, 0), MATCH(B19, 'Histórico'!$1:$1, 0)-1)-1),
""),"")</f>
        <v>0.0162468626</v>
      </c>
      <c r="S19" s="401">
        <f t="shared" si="10"/>
        <v>0</v>
      </c>
      <c r="T19" s="402">
        <f t="shared" si="11"/>
        <v>2</v>
      </c>
      <c r="U19" s="247"/>
      <c r="V19" s="307"/>
      <c r="W19" s="403" t="str">
        <f>IFERROR(__xludf.DUMMYFUNCTION("""COMPUTED_VALUE"""),"DIVO11")</f>
        <v>DIVO11</v>
      </c>
      <c r="X19" s="404" t="str">
        <f>IFERROR(VLOOKUP(W19, 'Cadastro dos Ativos'!$A$1:$C$216, 3, FALSE), "")</f>
        <v>Ações Listadas na B3</v>
      </c>
      <c r="Y19" s="405">
        <f t="array" ref="Y19">IFERROR(IFERROR(IF($X19&lt;&gt;"Futuros",
iferror(XLOOKUP($W19, Controle!$AH$11:$AH$1001,Controle!$AL$11:$AL$1001),0)-XLOOKUP($W19, 'Controle D-1'!$AH$11:$AH$1001,'Controle D-1'!$AL$11:$AL$1001),
""),XLOOKUP($W19, Controle!$AH$11:$AH$1001,Controle!$AL$11:$AL$1001)),"")</f>
        <v>129000.0916</v>
      </c>
      <c r="Z19" s="405">
        <f>IFS($X19&lt;&gt;"Futuros", SUMIFS('Alocação'!$M$2:$M$1003,'Alocação'!$C$2:$C$1003,$W19,'Alocação'!$B$2:$B$1003,$B$3,'Alocação'!$F$2:$F$1003,$N$4),
$X19="","",
$X19="Futuros","")</f>
        <v>0</v>
      </c>
      <c r="AA19" s="405">
        <f t="shared" si="12"/>
        <v>129000.0916</v>
      </c>
      <c r="AB19" s="411" t="str">
        <f>IFERROR(__xludf.DUMMYFUNCTION("""COMPUTED_VALUE"""),"DIVO11")</f>
        <v>DIVO11</v>
      </c>
      <c r="AC19" s="282">
        <f t="shared" si="13"/>
        <v>0.01598235147</v>
      </c>
      <c r="AD19" s="282">
        <f t="shared" si="14"/>
        <v>0.01598235147</v>
      </c>
    </row>
    <row r="20" ht="15.75" customHeight="1">
      <c r="A20" s="348"/>
      <c r="B20" s="406" t="str">
        <f>IFERROR(__xludf.DUMMYFUNCTION("""COMPUTED_VALUE"""),"CNH-V23")</f>
        <v>CNH-V23</v>
      </c>
      <c r="C20" s="4">
        <f>IF($B20 &lt;&gt; "",SUMIFS('Alocação'!$O$3:$O$1002,'Alocação'!$C$3:$C$1002,$B20,'Alocação'!$F$3:$F$1002,$N$4,'Alocação'!$B$3:$B$1002,"&lt;="&amp;$B$3), "")</f>
        <v>600</v>
      </c>
      <c r="D20" s="4" t="str">
        <f>IFERROR(VLOOKUP($B20, 'Cadastro dos Ativos'!$A$1:$C$217, 3, FALSE), "")</f>
        <v>Futuros</v>
      </c>
      <c r="E20" s="407">
        <f>IFS($D20="Ações Listadas na B3", (($C20 * HLOOKUP($B20, 'Histórico'!$A$1:$FI$296, MATCH($B$3,'Histórico'!$A:$A),0)) / $B$6),
$D20="Ações Americanas",(($C20 * HLOOKUP($B20, 'Histórico'!$A$1:$FI$296, MATCH($B$3,'Histórico'!$A:$A),0)) * HLOOKUP("PTAX", 'Histórico'!$A$1:$FI$296, MATCH($B$3,'Histórico'!$A:$A),0) / $B$6),
$D20="Ações Europeias",(($C20 * HLOOKUP($B20, 'Histórico'!$A$1:$FI$296, MATCH($B$3,'Histórico'!$A:$A),0)) * HLOOKUP("EUR/BRL", 'Histórico'!$A$1:$FI$296, MATCH($B$3,'Histórico'!$A:$A),0) / $B$6),
$D20="Futuros",(SUMIFS('Alocação'!$N:$N,'Alocação'!$C:$C,$B20,'Alocação'!$F:$F,$N$4,'Alocação'!$B:$B,"&lt;="&amp;$B$3))/($B$6)+($C20*SUMPRODUCT(('Histórico T'!$A:$A=$B20)*('Histórico T'!$B:$AAW)))/($B$6),$D20="Moedas",(($C20 * HLOOKUP($B20, 'Histórico'!$A$1:$FI$296, MATCH($B$3,'Histórico'!$A:$A),0)) / $B$6),$D20="Títulos", (($C20 * HLOOKUP($B20, 'Histórico'!$A$1:$FI$296, MATCH($B$3,'Histórico'!$A:$A),0)) / $B$6),$B20="","")</f>
        <v>0.2595286672</v>
      </c>
      <c r="F20" s="408">
        <f t="shared" si="7"/>
        <v>0.2595286672</v>
      </c>
      <c r="G20" s="394">
        <f>IFS(OR($D20="Ações Listadas na B3",$D20="Ações Americanas",$D20="Moedas",$D20="Ações Europeias",$D20="Títulos"),$AA20,
$D20="Futuros",
(SUMIFS('Alocação'!$O$3:$O$1002,'Alocação'!$C$3:$C$1002,B20,'Alocação'!$F$3:$F$1002,N$4,'Alocação'!$B$3:$B$1002,"&lt;="&amp;$C$3))*HLOOKUP(B20,'Histórico'!$A$1:$DD$990,MATCH($B$3,'Histórico'!$A:$A),FALSE),
$D20="",""
)</f>
        <v>-15510</v>
      </c>
      <c r="H20" s="395">
        <f t="shared" si="8"/>
        <v>-0.0001379065895</v>
      </c>
      <c r="I20" s="396">
        <f t="shared" si="9"/>
        <v>-0.0005313732429</v>
      </c>
      <c r="J20" s="383"/>
      <c r="K20" s="386"/>
      <c r="L20" s="412"/>
      <c r="M20" s="383"/>
      <c r="N20" s="336" t="s">
        <v>370</v>
      </c>
      <c r="O20" s="413" t="str">
        <f>IF(ABS($O$21)&lt;0.0001,"Verdade","Falso")</f>
        <v>Verdade</v>
      </c>
      <c r="P20" s="413" t="str">
        <f>IF(ABS($P$21)&lt;0.0001,"Verdade","Falso")</f>
        <v>Verdade</v>
      </c>
      <c r="Q20" s="247"/>
      <c r="R20" s="400" t="str">
        <f t="array" ref="R20">IFERROR(IF(D20&lt;&gt;"Futuros",
(INDEX('Histórico'!$B$1:$ADT985, MATCH($B$3, 'Histórico'!$A$1:$A985, 0), MATCH(B20, 'Histórico'!$1:$1, 0)-1)/INDEX('Histórico'!$B$1:$ADT985, MATCH($C$3, 'Histórico'!$A$1:$A985, 0), MATCH(B20, 'Histórico'!$1:$1, 0)-1)-1),
""),"")</f>
        <v/>
      </c>
      <c r="S20" s="401" t="str">
        <f t="shared" si="10"/>
        <v/>
      </c>
      <c r="T20" s="402" t="str">
        <f t="shared" si="11"/>
        <v/>
      </c>
      <c r="U20" s="247"/>
      <c r="V20" s="307"/>
      <c r="W20" s="403" t="str">
        <f>IFERROR(__xludf.DUMMYFUNCTION("""COMPUTED_VALUE"""),"CNH-V23")</f>
        <v>CNH-V23</v>
      </c>
      <c r="X20" s="404" t="str">
        <f>IFERROR(VLOOKUP(W20, 'Cadastro dos Ativos'!$A$1:$C$216, 3, FALSE), "")</f>
        <v>Futuros</v>
      </c>
      <c r="Y20" s="405" t="str">
        <f t="array" ref="Y20">IFERROR(IFERROR(IF($X20&lt;&gt;"Futuros",
iferror(XLOOKUP($W20, Controle!$AH$11:$AH$1001,Controle!$AL$11:$AL$1001),0)-XLOOKUP($W20, 'Controle D-1'!$AH$11:$AH$1001,'Controle D-1'!$AL$11:$AL$1001),
""),XLOOKUP($W20, Controle!$AH$11:$AH$1001,Controle!$AL$11:$AL$1001)),"")</f>
        <v/>
      </c>
      <c r="Z20" s="405" t="str">
        <f>IFS($X20&lt;&gt;"Futuros", SUMIFS('Alocação'!$M$2:$M$1003,'Alocação'!$C$2:$C$1003,$W20,'Alocação'!$B$2:$B$1003,$B$3,'Alocação'!$F$2:$F$1003,$N$4),
$X20="","",
$X20="Futuros","")</f>
        <v/>
      </c>
      <c r="AA20" s="405" t="str">
        <f t="shared" si="12"/>
        <v/>
      </c>
      <c r="AB20" s="411" t="str">
        <f>IFERROR(__xludf.DUMMYFUNCTION("""COMPUTED_VALUE"""),"CNH-V23")</f>
        <v>CNH-V23</v>
      </c>
      <c r="AC20" s="282">
        <f t="shared" si="13"/>
        <v>-0.0005313732429</v>
      </c>
      <c r="AD20" s="282">
        <f t="shared" si="14"/>
        <v>-0.0005313732429</v>
      </c>
    </row>
    <row r="21" ht="15.75" customHeight="1">
      <c r="A21" s="348"/>
      <c r="B21" s="406" t="str">
        <f>IFERROR(__xludf.DUMMYFUNCTION("""COMPUTED_VALUE"""),"DI1-J24")</f>
        <v>DI1-J24</v>
      </c>
      <c r="C21" s="4">
        <f>IF($B21 &lt;&gt; "",SUMIFS('Alocação'!$O$3:$O$1002,'Alocação'!$C$3:$C$1002,$B21,'Alocação'!$F$3:$F$1002,$N$4,'Alocação'!$B$3:$B$1002,"&lt;="&amp;$B$3), "")</f>
        <v>300</v>
      </c>
      <c r="D21" s="4" t="str">
        <f>IFERROR(VLOOKUP($B21, 'Cadastro dos Ativos'!$A$1:$C$217, 3, FALSE), "")</f>
        <v>Futuros</v>
      </c>
      <c r="E21" s="407">
        <f>IFS($D21="Ações Listadas na B3", (($C21 * HLOOKUP($B21, 'Histórico'!$A$1:$FI$296, MATCH($B$3,'Histórico'!$A:$A),0)) / $B$6),
$D21="Ações Americanas",(($C21 * HLOOKUP($B21, 'Histórico'!$A$1:$FI$296, MATCH($B$3,'Histórico'!$A:$A),0)) * HLOOKUP("PTAX", 'Histórico'!$A$1:$FI$296, MATCH($B$3,'Histórico'!$A:$A),0) / $B$6),
$D21="Ações Europeias",(($C21 * HLOOKUP($B21, 'Histórico'!$A$1:$FI$296, MATCH($B$3,'Histórico'!$A:$A),0)) * HLOOKUP("EUR/BRL", 'Histórico'!$A$1:$FI$296, MATCH($B$3,'Histórico'!$A:$A),0) / $B$6),
$D21="Futuros",(SUMIFS('Alocação'!$N:$N,'Alocação'!$C:$C,$B21,'Alocação'!$F:$F,$N$4,'Alocação'!$B:$B,"&lt;="&amp;$B$3))/($B$6)+($C21*SUMPRODUCT(('Histórico T'!$A:$A=$B21)*('Histórico T'!$B:$AAW)))/($B$6),$D21="Moedas",(($C21 * HLOOKUP($B21, 'Histórico'!$A$1:$FI$296, MATCH($B$3,'Histórico'!$A:$A),0)) / $B$6),$D21="Títulos", (($C21 * HLOOKUP($B21, 'Histórico'!$A$1:$FI$296, MATCH($B$3,'Histórico'!$A:$A),0)) / $B$6),$B21="","")</f>
        <v>0.2499802465</v>
      </c>
      <c r="F21" s="408">
        <f t="shared" si="7"/>
        <v>0.2499802465</v>
      </c>
      <c r="G21" s="394">
        <f>IFS(OR($D21="Ações Listadas na B3",$D21="Ações Americanas",$D21="Moedas",$D21="Ações Europeias",$D21="Títulos"),$AA21,
$D21="Futuros",
(SUMIFS('Alocação'!$O$3:$O$1002,'Alocação'!$C$3:$C$1002,B21,'Alocação'!$F$3:$F$1002,N$4,'Alocação'!$B$3:$B$1002,"&lt;="&amp;$C$3))*HLOOKUP(B21,'Histórico'!$A$1:$DD$990,MATCH($B$3,'Histórico'!$A:$A),FALSE),
$D21="",""
)</f>
        <v>-2859</v>
      </c>
      <c r="H21" s="395">
        <f t="shared" si="8"/>
        <v>-0.00002542069242</v>
      </c>
      <c r="I21" s="396">
        <f t="shared" si="9"/>
        <v>-0.0001016908047</v>
      </c>
      <c r="J21" s="383"/>
      <c r="K21" s="384"/>
      <c r="L21" s="414" t="s">
        <v>371</v>
      </c>
      <c r="M21" s="383"/>
      <c r="N21" s="336" t="s">
        <v>372</v>
      </c>
      <c r="O21" s="409">
        <f>trunc(O18-O19,2)</f>
        <v>0</v>
      </c>
      <c r="P21" s="347">
        <f>$P$18-$D$8</f>
        <v>0</v>
      </c>
      <c r="Q21" s="247"/>
      <c r="R21" s="400" t="str">
        <f t="array" ref="R21">IFERROR(IF(D21&lt;&gt;"Futuros",
(INDEX('Histórico'!$B$1:$ADT986, MATCH($B$3, 'Histórico'!$A$1:$A986, 0), MATCH(B21, 'Histórico'!$1:$1, 0)-1)/INDEX('Histórico'!$B$1:$ADT986, MATCH($C$3, 'Histórico'!$A$1:$A986, 0), MATCH(B21, 'Histórico'!$1:$1, 0)-1)-1),
""),"")</f>
        <v/>
      </c>
      <c r="S21" s="401" t="str">
        <f t="shared" si="10"/>
        <v/>
      </c>
      <c r="T21" s="402" t="str">
        <f t="shared" si="11"/>
        <v/>
      </c>
      <c r="U21" s="247"/>
      <c r="V21" s="307"/>
      <c r="W21" s="403" t="str">
        <f>IFERROR(__xludf.DUMMYFUNCTION("""COMPUTED_VALUE"""),"DI1-J24")</f>
        <v>DI1-J24</v>
      </c>
      <c r="X21" s="404" t="str">
        <f>IFERROR(VLOOKUP(W21, 'Cadastro dos Ativos'!$A$1:$C$216, 3, FALSE), "")</f>
        <v>Futuros</v>
      </c>
      <c r="Y21" s="405" t="str">
        <f t="array" ref="Y21">IFERROR(IFERROR(IF($X21&lt;&gt;"Futuros",
iferror(XLOOKUP($W21, Controle!$AH$11:$AH$1001,Controle!$AL$11:$AL$1001),0)-XLOOKUP($W21, 'Controle D-1'!$AH$11:$AH$1001,'Controle D-1'!$AL$11:$AL$1001),
""),XLOOKUP($W21, Controle!$AH$11:$AH$1001,Controle!$AL$11:$AL$1001)),"")</f>
        <v/>
      </c>
      <c r="Z21" s="405" t="str">
        <f>IFS($X21&lt;&gt;"Futuros", SUMIFS('Alocação'!$M$2:$M$1003,'Alocação'!$C$2:$C$1003,$W21,'Alocação'!$B$2:$B$1003,$B$3,'Alocação'!$F$2:$F$1003,$N$4),
$X21="","",
$X21="Futuros","")</f>
        <v/>
      </c>
      <c r="AA21" s="405" t="str">
        <f t="shared" si="12"/>
        <v/>
      </c>
      <c r="AB21" s="411" t="str">
        <f>IFERROR(__xludf.DUMMYFUNCTION("""COMPUTED_VALUE"""),"DI1-J24")</f>
        <v>DI1-J24</v>
      </c>
      <c r="AC21" s="282">
        <f t="shared" si="13"/>
        <v>-0.0001016908047</v>
      </c>
      <c r="AD21" s="282">
        <f t="shared" si="14"/>
        <v>-0.0001016908047</v>
      </c>
    </row>
    <row r="22" ht="15.75" customHeight="1">
      <c r="A22" s="348"/>
      <c r="B22" s="406" t="str">
        <f>IFERROR(__xludf.DUMMYFUNCTION("""COMPUTED_VALUE"""),"DI1-F24")</f>
        <v>DI1-F24</v>
      </c>
      <c r="C22" s="4">
        <f>IF($B22 &lt;&gt; "",SUMIFS('Alocação'!$O$3:$O$1002,'Alocação'!$C$3:$C$1002,$B22,'Alocação'!$F$3:$F$1002,$N$4,'Alocação'!$B$3:$B$1002,"&lt;="&amp;$B$3), "")</f>
        <v>-280</v>
      </c>
      <c r="D22" s="4" t="str">
        <f>IFERROR(VLOOKUP($B22, 'Cadastro dos Ativos'!$A$1:$C$217, 3, FALSE), "")</f>
        <v>Futuros</v>
      </c>
      <c r="E22" s="407">
        <f>IFS($D22="Ações Listadas na B3", (($C22 * HLOOKUP($B22, 'Histórico'!$A$1:$FI$296, MATCH($B$3,'Histórico'!$A:$A),0)) / $B$6),
$D22="Ações Americanas",(($C22 * HLOOKUP($B22, 'Histórico'!$A$1:$FI$296, MATCH($B$3,'Histórico'!$A:$A),0)) * HLOOKUP("PTAX", 'Histórico'!$A$1:$FI$296, MATCH($B$3,'Histórico'!$A:$A),0) / $B$6),
$D22="Ações Europeias",(($C22 * HLOOKUP($B22, 'Histórico'!$A$1:$FI$296, MATCH($B$3,'Histórico'!$A:$A),0)) * HLOOKUP("EUR/BRL", 'Histórico'!$A$1:$FI$296, MATCH($B$3,'Histórico'!$A:$A),0) / $B$6),
$D22="Futuros",(SUMIFS('Alocação'!$N:$N,'Alocação'!$C:$C,$B22,'Alocação'!$F:$F,$N$4,'Alocação'!$B:$B,"&lt;="&amp;$B$3))/($B$6)+($C22*SUMPRODUCT(('Histórico T'!$A:$A=$B22)*('Histórico T'!$B:$AAW)))/($B$6),$D22="Moedas",(($C22 * HLOOKUP($B22, 'Histórico'!$A$1:$FI$296, MATCH($B$3,'Histórico'!$A:$A),0)) / $B$6),$D22="Títulos", (($C22 * HLOOKUP($B22, 'Histórico'!$A$1:$FI$296, MATCH($B$3,'Histórico'!$A:$A),0)) / $B$6),$B22="","")</f>
        <v>-0.2392994882</v>
      </c>
      <c r="F22" s="408">
        <f t="shared" si="7"/>
        <v>0.2392994882</v>
      </c>
      <c r="G22" s="394">
        <f>IFS(OR($D22="Ações Listadas na B3",$D22="Ações Americanas",$D22="Moedas",$D22="Ações Europeias",$D22="Títulos"),$AA22,
$D22="Futuros",
(SUMIFS('Alocação'!$O$3:$O$1002,'Alocação'!$C$3:$C$1002,B22,'Alocação'!$F$3:$F$1002,N$4,'Alocação'!$B$3:$B$1002,"&lt;="&amp;$C$3))*HLOOKUP(B22,'Histórico'!$A$1:$DD$990,MATCH($B$3,'Histórico'!$A:$A),FALSE),
$D22="",""
)</f>
        <v>176.4</v>
      </c>
      <c r="H22" s="395">
        <f t="shared" si="8"/>
        <v>0.000001568454055</v>
      </c>
      <c r="I22" s="396">
        <f t="shared" si="9"/>
        <v>-0.000006554356075</v>
      </c>
      <c r="J22" s="383"/>
      <c r="K22" s="415">
        <v>0.95</v>
      </c>
      <c r="L22" s="344">
        <f>PERCENTILE(Controle!$O$91:$O$242,0.05)</f>
        <v>-0.000895347341</v>
      </c>
      <c r="M22" s="383"/>
      <c r="N22" s="348"/>
      <c r="O22" s="348"/>
      <c r="P22" s="247"/>
      <c r="Q22" s="247"/>
      <c r="R22" s="400" t="str">
        <f t="array" ref="R22">IFERROR(IF(D22&lt;&gt;"Futuros",
(INDEX('Histórico'!$B$1:$ADT987, MATCH($B$3, 'Histórico'!$A$1:$A987, 0), MATCH(B22, 'Histórico'!$1:$1, 0)-1)/INDEX('Histórico'!$B$1:$ADT987, MATCH($C$3, 'Histórico'!$A$1:$A987, 0), MATCH(B22, 'Histórico'!$1:$1, 0)-1)-1),
""),"")</f>
        <v/>
      </c>
      <c r="S22" s="401" t="str">
        <f t="shared" si="10"/>
        <v/>
      </c>
      <c r="T22" s="402" t="str">
        <f t="shared" si="11"/>
        <v/>
      </c>
      <c r="U22" s="247"/>
      <c r="V22" s="348"/>
      <c r="W22" s="403" t="str">
        <f>IFERROR(__xludf.DUMMYFUNCTION("""COMPUTED_VALUE"""),"DI1-F24")</f>
        <v>DI1-F24</v>
      </c>
      <c r="X22" s="404" t="str">
        <f>IFERROR(VLOOKUP(W22, 'Cadastro dos Ativos'!$A$1:$C$216, 3, FALSE), "")</f>
        <v>Futuros</v>
      </c>
      <c r="Y22" s="405" t="str">
        <f t="array" ref="Y22">IFERROR(IFERROR(IF($X22&lt;&gt;"Futuros",
iferror(XLOOKUP($W22, Controle!$AH$11:$AH$1001,Controle!$AL$11:$AL$1001),0)-XLOOKUP($W22, 'Controle D-1'!$AH$11:$AH$1001,'Controle D-1'!$AL$11:$AL$1001),
""),XLOOKUP($W22, Controle!$AH$11:$AH$1001,Controle!$AL$11:$AL$1001)),"")</f>
        <v/>
      </c>
      <c r="Z22" s="405" t="str">
        <f>IFS($X22&lt;&gt;"Futuros", SUMIFS('Alocação'!$M$2:$M$1003,'Alocação'!$C$2:$C$1003,$W22,'Alocação'!$B$2:$B$1003,$B$3,'Alocação'!$F$2:$F$1003,$N$4),
$X22="","",
$X22="Futuros","")</f>
        <v/>
      </c>
      <c r="AA22" s="405" t="str">
        <f t="shared" si="12"/>
        <v/>
      </c>
      <c r="AB22" s="411" t="str">
        <f>IFERROR(__xludf.DUMMYFUNCTION("""COMPUTED_VALUE"""),"DI1-F24")</f>
        <v>DI1-F24</v>
      </c>
      <c r="AC22" s="282">
        <f t="shared" si="13"/>
        <v>-0.000006554356075</v>
      </c>
      <c r="AD22" s="282">
        <f t="shared" si="14"/>
        <v>0.000006554356075</v>
      </c>
    </row>
    <row r="23" ht="15.75" customHeight="1">
      <c r="A23" s="348"/>
      <c r="B23" s="406" t="str">
        <f>IFERROR(__xludf.DUMMYFUNCTION("""COMPUTED_VALUE"""),"T10-Z23")</f>
        <v>T10-Z23</v>
      </c>
      <c r="C23" s="4">
        <f>IF($B23 &lt;&gt; "",SUMIFS('Alocação'!$O$3:$O$1002,'Alocação'!$C$3:$C$1002,$B23,'Alocação'!$F$3:$F$1002,$N$4,'Alocação'!$B$3:$B$1002,"&lt;="&amp;$B$3), "")</f>
        <v>50</v>
      </c>
      <c r="D23" s="4" t="str">
        <f>IFERROR(VLOOKUP($B23, 'Cadastro dos Ativos'!$A$1:$C$217, 3, FALSE), "")</f>
        <v>Futuros</v>
      </c>
      <c r="E23" s="407">
        <f>IFS($D23="Ações Listadas na B3", (($C23 * HLOOKUP($B23, 'Histórico'!$A$1:$FI$296, MATCH($B$3,'Histórico'!$A:$A),0)) / $B$6),
$D23="Ações Americanas",(($C23 * HLOOKUP($B23, 'Histórico'!$A$1:$FI$296, MATCH($B$3,'Histórico'!$A:$A),0)) * HLOOKUP("PTAX", 'Histórico'!$A$1:$FI$296, MATCH($B$3,'Histórico'!$A:$A),0) / $B$6),
$D23="Ações Europeias",(($C23 * HLOOKUP($B23, 'Histórico'!$A$1:$FI$296, MATCH($B$3,'Histórico'!$A:$A),0)) * HLOOKUP("EUR/BRL", 'Histórico'!$A$1:$FI$296, MATCH($B$3,'Histórico'!$A:$A),0) / $B$6),
$D23="Futuros",(SUMIFS('Alocação'!$N:$N,'Alocação'!$C:$C,$B23,'Alocação'!$F:$F,$N$4,'Alocação'!$B:$B,"&lt;="&amp;$B$3))/($B$6)+($C23*SUMPRODUCT(('Histórico T'!$A:$A=$B23)*('Histórico T'!$B:$AAW)))/($B$6),$D23="Moedas",(($C23 * HLOOKUP($B23, 'Histórico'!$A$1:$FI$296, MATCH($B$3,'Histórico'!$A:$A),0)) / $B$6),$D23="Títulos", (($C23 * HLOOKUP($B23, 'Histórico'!$A$1:$FI$296, MATCH($B$3,'Histórico'!$A:$A),0)) / $B$6),$B23="","")</f>
        <v>0.2380791129</v>
      </c>
      <c r="F23" s="408">
        <f t="shared" si="7"/>
        <v>0.2380791129</v>
      </c>
      <c r="G23" s="394">
        <f>IFS(OR($D23="Ações Listadas na B3",$D23="Ações Americanas",$D23="Moedas",$D23="Ações Europeias",$D23="Títulos"),$AA23,
$D23="Futuros",
(SUMIFS('Alocação'!$O$3:$O$1002,'Alocação'!$C$3:$C$1002,B23,'Alocação'!$F$3:$F$1002,N$4,'Alocação'!$B$3:$B$1002,"&lt;="&amp;$C$3))*HLOOKUP(B23,'Histórico'!$A$1:$DD$990,MATCH($B$3,'Histórico'!$A:$A),FALSE),
$D23="",""
)</f>
        <v>-111729.5</v>
      </c>
      <c r="H23" s="395">
        <f t="shared" si="8"/>
        <v>-0.0009934387035</v>
      </c>
      <c r="I23" s="396">
        <f t="shared" si="9"/>
        <v>-0.004172725156</v>
      </c>
      <c r="J23" s="383"/>
      <c r="K23" s="415">
        <v>0.99</v>
      </c>
      <c r="L23" s="344">
        <f>PERCENTILE(Controle!$O$91:$O$242,0.01)</f>
        <v>-0.002374265573</v>
      </c>
      <c r="M23" s="383"/>
      <c r="N23" s="353" t="s">
        <v>364</v>
      </c>
      <c r="O23" s="123"/>
      <c r="P23" s="247"/>
      <c r="Q23" s="247"/>
      <c r="R23" s="400" t="str">
        <f t="array" ref="R23">IFERROR(IF(D23&lt;&gt;"Futuros",
(INDEX('Histórico'!$B$1:$ADT988, MATCH($B$3, 'Histórico'!$A$1:$A988, 0), MATCH(B23, 'Histórico'!$1:$1, 0)-1)/INDEX('Histórico'!$B$1:$ADT988, MATCH($C$3, 'Histórico'!$A$1:$A988, 0), MATCH(B23, 'Histórico'!$1:$1, 0)-1)-1),
""),"")</f>
        <v/>
      </c>
      <c r="S23" s="401" t="str">
        <f t="shared" si="10"/>
        <v/>
      </c>
      <c r="T23" s="402" t="str">
        <f t="shared" si="11"/>
        <v/>
      </c>
      <c r="U23" s="416">
        <f t="array" ref="U23">XLOOKUP($W24, Controle!$AH$11:$AH$1001,Controle!$AL$11:$AL$1001)</f>
        <v>-77250</v>
      </c>
      <c r="V23" s="348"/>
      <c r="W23" s="417" t="str">
        <f>IFERROR(__xludf.DUMMYFUNCTION("""COMPUTED_VALUE"""),"T10-Z23")</f>
        <v>T10-Z23</v>
      </c>
      <c r="X23" s="404" t="str">
        <f>IFERROR(VLOOKUP(W23, 'Cadastro dos Ativos'!$A$1:$C$216, 3, FALSE), "")</f>
        <v>Futuros</v>
      </c>
      <c r="Y23" s="405" t="str">
        <f t="array" ref="Y23">IFERROR(IFERROR(IF($X23&lt;&gt;"Futuros",
iferror(XLOOKUP($W23, Controle!$AH$11:$AH$1001,Controle!$AL$11:$AL$1001),0)-XLOOKUP($W23, 'Controle D-1'!$AH$11:$AH$1001,'Controle D-1'!$AL$11:$AL$1001),
""),XLOOKUP($W23, Controle!$AH$11:$AH$1001,Controle!$AL$11:$AL$1001)),"")</f>
        <v/>
      </c>
      <c r="Z23" s="405" t="str">
        <f>IFS($X23&lt;&gt;"Futuros", SUMIFS('Alocação'!$M$2:$M$1003,'Alocação'!$C$2:$C$1003,$W23,'Alocação'!$B$2:$B$1003,$B$3,'Alocação'!$F$2:$F$1003,$N$4),
$X23="","",
$X23="Futuros","")</f>
        <v/>
      </c>
      <c r="AA23" s="405" t="str">
        <f t="shared" si="12"/>
        <v/>
      </c>
      <c r="AB23" s="411" t="str">
        <f>IFERROR(__xludf.DUMMYFUNCTION("""COMPUTED_VALUE"""),"T10-Z23")</f>
        <v>T10-Z23</v>
      </c>
      <c r="AC23" s="282">
        <f t="shared" si="13"/>
        <v>-0.004172725156</v>
      </c>
      <c r="AD23" s="282">
        <f t="shared" si="14"/>
        <v>-0.004172725156</v>
      </c>
    </row>
    <row r="24" ht="15.75" customHeight="1">
      <c r="A24" s="348"/>
      <c r="B24" s="406" t="str">
        <f>IFERROR(__xludf.DUMMYFUNCTION("""COMPUTED_VALUE"""),"DOL-Z23")</f>
        <v>DOL-Z23</v>
      </c>
      <c r="C24" s="4">
        <f>IF($B24 &lt;&gt; "",SUMIFS('Alocação'!$O$3:$O$1002,'Alocação'!$C$3:$C$1002,$B24,'Alocação'!$F$3:$F$1002,$N$4,'Alocação'!$B$3:$B$1002,"&lt;="&amp;$B$3), "")</f>
        <v>100</v>
      </c>
      <c r="D24" s="4" t="str">
        <f>IFERROR(VLOOKUP($B24, 'Cadastro dos Ativos'!$A$1:$C$217, 3, FALSE), "")</f>
        <v>Futuros</v>
      </c>
      <c r="E24" s="407">
        <f>IFS($D24="Ações Listadas na B3", (($C24 * HLOOKUP($B24, 'Histórico'!$A$1:$FI$296, MATCH($B$3,'Histórico'!$A:$A),0)) / $B$6),
$D24="Ações Americanas",(($C24 * HLOOKUP($B24, 'Histórico'!$A$1:$FI$296, MATCH($B$3,'Histórico'!$A:$A),0)) * HLOOKUP("PTAX", 'Histórico'!$A$1:$FI$296, MATCH($B$3,'Histórico'!$A:$A),0) / $B$6),
$D24="Ações Europeias",(($C24 * HLOOKUP($B24, 'Histórico'!$A$1:$FI$296, MATCH($B$3,'Histórico'!$A:$A),0)) * HLOOKUP("EUR/BRL", 'Histórico'!$A$1:$FI$296, MATCH($B$3,'Histórico'!$A:$A),0) / $B$6),
$D24="Futuros",(SUMIFS('Alocação'!$N:$N,'Alocação'!$C:$C,$B24,'Alocação'!$F:$F,$N$4,'Alocação'!$B:$B,"&lt;="&amp;$B$3))/($B$6)+($C24*SUMPRODUCT(('Histórico T'!$A:$A=$B24)*('Histórico T'!$B:$AAW)))/($B$6),$D24="Moedas",(($C24 * HLOOKUP($B24, 'Histórico'!$A$1:$FI$296, MATCH($B$3,'Histórico'!$A:$A),0)) / $B$6),$D24="Títulos", (($C24 * HLOOKUP($B24, 'Histórico'!$A$1:$FI$296, MATCH($B$3,'Histórico'!$A:$A),0)) / $B$6),$B24="","")</f>
        <v>0.2191884402</v>
      </c>
      <c r="F24" s="408">
        <f t="shared" si="7"/>
        <v>0.2191884402</v>
      </c>
      <c r="G24" s="394">
        <f>IFS(OR($D24="Ações Listadas na B3",$D24="Ações Americanas",$D24="Moedas",$D24="Ações Europeias",$D24="Títulos"),$AA24,
$D24="Futuros",
(SUMIFS('Alocação'!$O$3:$O$1002,'Alocação'!$C$3:$C$1002,B24,'Alocação'!$F$3:$F$1002,N$4,'Alocação'!$B$3:$B$1002,"&lt;="&amp;$C$3))*HLOOKUP(B24,'Histórico'!$A$1:$DD$990,MATCH($B$3,'Histórico'!$A:$A),FALSE),
$D24="",""
)</f>
        <v>-77250</v>
      </c>
      <c r="H24" s="395">
        <f t="shared" si="8"/>
        <v>-0.0006868655086</v>
      </c>
      <c r="I24" s="396">
        <f t="shared" si="9"/>
        <v>-0.003133675791</v>
      </c>
      <c r="J24" s="383"/>
      <c r="K24" s="383"/>
      <c r="L24" s="383"/>
      <c r="M24" s="383"/>
      <c r="N24" s="336" t="s">
        <v>342</v>
      </c>
      <c r="O24" s="337" t="s">
        <v>373</v>
      </c>
      <c r="P24" s="247"/>
      <c r="Q24" s="247"/>
      <c r="R24" s="400" t="str">
        <f t="array" ref="R24">IFERROR(IF(D24&lt;&gt;"Futuros",
(INDEX('Histórico'!$B$1:$ADT989, MATCH($B$3, 'Histórico'!$A$1:$A989, 0), MATCH(B24, 'Histórico'!$1:$1, 0)-1)/INDEX('Histórico'!$B$1:$ADT989, MATCH($C$3, 'Histórico'!$A$1:$A989, 0), MATCH(B24, 'Histórico'!$1:$1, 0)-1)-1),
""),"")</f>
        <v/>
      </c>
      <c r="S24" s="401" t="str">
        <f t="shared" si="10"/>
        <v/>
      </c>
      <c r="T24" s="402" t="str">
        <f t="shared" si="11"/>
        <v/>
      </c>
      <c r="U24" s="247"/>
      <c r="V24" s="348"/>
      <c r="W24" s="417" t="str">
        <f>IFERROR(__xludf.DUMMYFUNCTION("""COMPUTED_VALUE"""),"DOL-Z23")</f>
        <v>DOL-Z23</v>
      </c>
      <c r="X24" s="404" t="str">
        <f>IFERROR(VLOOKUP(W24, 'Cadastro dos Ativos'!$A$1:$C$216, 3, FALSE), "")</f>
        <v>Futuros</v>
      </c>
      <c r="Y24" s="405" t="str">
        <f t="array" ref="Y24">IFERROR(IFERROR(IF($X24&lt;&gt;"Futuros",
iferror(XLOOKUP($W24, Controle!$AH$11:$AH$1001,Controle!$AL$11:$AL$1001),0)-XLOOKUP($W24, 'Controle D-1'!$AH$11:$AH$1001,'Controle D-1'!$AL$11:$AL$1001),
""),XLOOKUP($W24, Controle!$AH$11:$AH$1001,Controle!$AL$11:$AL$1001)),"")</f>
        <v/>
      </c>
      <c r="Z24" s="405" t="str">
        <f>IFS($X24&lt;&gt;"Futuros", SUMIFS('Alocação'!$M$2:$M$1003,'Alocação'!$C$2:$C$1003,$W24,'Alocação'!$B$2:$B$1003,$B$3,'Alocação'!$F$2:$F$1003,$N$4),
$X24="","",
$X24="Futuros","")</f>
        <v/>
      </c>
      <c r="AA24" s="405" t="str">
        <f t="shared" si="12"/>
        <v/>
      </c>
      <c r="AB24" s="411" t="str">
        <f>IFERROR(__xludf.DUMMYFUNCTION("""COMPUTED_VALUE"""),"DOL-Z23")</f>
        <v>DOL-Z23</v>
      </c>
      <c r="AC24" s="282">
        <f t="shared" si="13"/>
        <v>-0.003133675791</v>
      </c>
      <c r="AD24" s="282">
        <f t="shared" si="14"/>
        <v>-0.003133675791</v>
      </c>
    </row>
    <row r="25" ht="15.75" customHeight="1">
      <c r="A25" s="348"/>
      <c r="B25" s="406"/>
      <c r="C25" s="4" t="str">
        <f>IF($B25 &lt;&gt; "",SUMIFS('Alocação'!$O$3:$O$1002,'Alocação'!$C$3:$C$1002,$B25,'Alocação'!$F$3:$F$1002,$N$4,'Alocação'!$B$3:$B$1002,"&lt;="&amp;$B$3), "")</f>
        <v/>
      </c>
      <c r="D25" s="4" t="str">
        <f>IFERROR(VLOOKUP($B25, 'Cadastro dos Ativos'!$A$1:$C$217, 3, FALSE), "")</f>
        <v/>
      </c>
      <c r="E25" s="407" t="str">
        <f>IFS($D25="Ações Listadas na B3", (($C25 * HLOOKUP($B25, 'Histórico'!$A$1:$FI$296, MATCH($B$3,'Histórico'!$A:$A),0)) / $B$6),
$D25="Ações Americanas",(($C25 * HLOOKUP($B25, 'Histórico'!$A$1:$FI$296, MATCH($B$3,'Histórico'!$A:$A),0)) * HLOOKUP("PTAX", 'Histórico'!$A$1:$FI$296, MATCH($B$3,'Histórico'!$A:$A),0) / $B$6),
$D25="Ações Europeias",(($C25 * HLOOKUP($B25, 'Histórico'!$A$1:$FI$296, MATCH($B$3,'Histórico'!$A:$A),0)) * HLOOKUP("EUR/BRL", 'Histórico'!$A$1:$FI$296, MATCH($B$3,'Histórico'!$A:$A),0) / $B$6),
$D25="Futuros",(SUMIFS('Alocação'!$N:$N,'Alocação'!$C:$C,$B25,'Alocação'!$F:$F,$N$4,'Alocação'!$B:$B,"&lt;="&amp;$B$3))/($B$6)+($C25*SUMPRODUCT(('Histórico T'!$A:$A=$B25)*('Histórico T'!$B:$AAW)))/($B$6),$D25="Moedas",(($C25 * HLOOKUP($B25, 'Histórico'!$A$1:$FI$296, MATCH($B$3,'Histórico'!$A:$A),0)) / $B$6),$D25="Títulos", (($C25 * HLOOKUP($B25, 'Histórico'!$A$1:$FI$296, MATCH($B$3,'Histórico'!$A:$A),0)) / $B$6),$B25="","")</f>
        <v/>
      </c>
      <c r="F25" s="408" t="str">
        <f t="shared" si="7"/>
        <v/>
      </c>
      <c r="G25" s="394" t="str">
        <f>IFS(OR($D25="Ações Listadas na B3",$D25="Ações Americanas",$D25="Moedas",$D25="Ações Europeias",$D25="Títulos"),$AA25,
$D25="Futuros",
(SUMIFS('Alocação'!$O$3:$O$1002,'Alocação'!$C$3:$C$1002,B25,'Alocação'!$F$3:$F$1002,N$4,'Alocação'!$B$3:$B$1002,"&lt;="&amp;$C$3))*HLOOKUP(B25,'Histórico'!$A$1:$DD$990,MATCH($B$3,'Histórico'!$A:$A),FALSE),
$D25="",""
)</f>
        <v/>
      </c>
      <c r="H25" s="395" t="str">
        <f t="shared" si="8"/>
        <v/>
      </c>
      <c r="I25" s="396" t="str">
        <f t="shared" si="9"/>
        <v/>
      </c>
      <c r="J25" s="383"/>
      <c r="K25" s="383"/>
      <c r="L25" s="383"/>
      <c r="M25" s="383"/>
      <c r="N25" s="346">
        <f>$B$14</f>
        <v>0</v>
      </c>
      <c r="O25" s="347">
        <f>$N$25/$C$6</f>
        <v>0</v>
      </c>
      <c r="P25" s="418"/>
      <c r="Q25" s="247"/>
      <c r="R25" s="400" t="str">
        <f t="array" ref="R25">IFERROR(IF(D25&lt;&gt;"Futuros",
(INDEX('Histórico'!$B$1:$ADT990, MATCH($B$3, 'Histórico'!$A$1:$A990, 0), MATCH(B25, 'Histórico'!$1:$1, 0)-1)/INDEX('Histórico'!$B$1:$ADT990, MATCH($C$3, 'Histórico'!$A$1:$A990, 0), MATCH(B25, 'Histórico'!$1:$1, 0)-1)-1),
""),"")</f>
        <v/>
      </c>
      <c r="S25" s="401" t="str">
        <f t="shared" si="10"/>
        <v/>
      </c>
      <c r="T25" s="402" t="str">
        <f t="shared" si="11"/>
        <v/>
      </c>
      <c r="U25" s="247"/>
      <c r="V25" s="348"/>
      <c r="W25" s="417"/>
      <c r="X25" s="404" t="str">
        <f>IFERROR(VLOOKUP(W25, 'Cadastro dos Ativos'!$A$1:$C$216, 3, FALSE), "")</f>
        <v/>
      </c>
      <c r="Y25" s="405" t="str">
        <f t="array" ref="Y25">IFERROR(IFERROR(IF($X25&lt;&gt;"Futuros",
iferror(XLOOKUP($W25, Controle!$AH$11:$AH$1001,Controle!$AL$11:$AL$1001),0)-XLOOKUP($W25, 'Controle D-1'!$AH$11:$AH$1001,'Controle D-1'!$AL$11:$AL$1001),
""),XLOOKUP($W25, Controle!$AH$11:$AH$1001,Controle!$AL$11:$AL$1001)),"")</f>
        <v/>
      </c>
      <c r="Z25" s="405">
        <f>IFS($X25&lt;&gt;"Futuros", SUMIFS('Alocação'!$M$2:$M$1003,'Alocação'!$C$2:$C$1003,$W25,'Alocação'!$B$2:$B$1003,$B$3,'Alocação'!$F$2:$F$1003,$N$4),
$X25="","",
$X25="Futuros","")</f>
        <v>0</v>
      </c>
      <c r="AA25" s="405" t="str">
        <f t="shared" si="12"/>
        <v/>
      </c>
      <c r="AB25" s="411"/>
      <c r="AC25" s="282" t="str">
        <f t="shared" si="13"/>
        <v>#DIV/0!</v>
      </c>
      <c r="AD25" s="282" t="str">
        <f t="shared" si="14"/>
        <v>#DIV/0!</v>
      </c>
    </row>
    <row r="26" ht="15.75" customHeight="1">
      <c r="A26" s="348"/>
      <c r="B26" s="406"/>
      <c r="C26" s="4" t="str">
        <f>IF($B26 &lt;&gt; "",SUMIFS('Alocação'!$O$3:$O$1002,'Alocação'!$C$3:$C$1002,$B26,'Alocação'!$F$3:$F$1002,$N$4,'Alocação'!$B$3:$B$1002,"&lt;="&amp;$B$3), "")</f>
        <v/>
      </c>
      <c r="D26" s="4" t="str">
        <f>IFERROR(VLOOKUP($B26, 'Cadastro dos Ativos'!$A$1:$C$217, 3, FALSE), "")</f>
        <v/>
      </c>
      <c r="E26" s="408" t="str">
        <f>IFS($D26="Ações Listadas na B3", (($C26 * HLOOKUP($B26, 'Histórico'!$A$1:$FI$296, MATCH($B$3,'Histórico'!$A:$A),0)) / $B$6),
$D26="Ações Americanas",(($C26 * HLOOKUP($B26, 'Histórico'!$A$1:$FI$296, MATCH($B$3,'Histórico'!$A:$A),0)) * HLOOKUP("PTAX", 'Histórico'!$A$1:$FI$296, MATCH($B$3,'Histórico'!$A:$A),0) / $B$6),
$D26="Ações Europeias",(($C26 * HLOOKUP($B26, 'Histórico'!$A$1:$FI$296, MATCH($B$3,'Histórico'!$A:$A),0)) * HLOOKUP("EUR/BRL", 'Histórico'!$A$1:$FI$296, MATCH($B$3,'Histórico'!$A:$A),0) / $B$6),
$D26="Futuros",(SUMIFS('Alocação'!$N:$N,'Alocação'!$C:$C,$B26,'Alocação'!$F:$F,$N$4,'Alocação'!$B:$B,"&lt;="&amp;$B$3))/($B$6)+($C26*SUMPRODUCT(('Histórico T'!$A:$A=$B26)*('Histórico T'!$B:$AAW)))/($B$6),$D26="Moedas",(($C26 * HLOOKUP($B26, 'Histórico'!$A$1:$FI$296, MATCH($B$3,'Histórico'!$A:$A),0)) / $B$6),$B26="","")</f>
        <v/>
      </c>
      <c r="F26" s="408" t="str">
        <f t="shared" si="7"/>
        <v/>
      </c>
      <c r="G26" s="394" t="str">
        <f>IFS(OR($D26="Ações Listadas na B3",$D26="Ações Americanas",$D26="Moedas",$D26="Ações Europeias",$D26="Títulos"),$AA26,
$D26="Futuros",
(SUMIFS('Alocação'!$O$3:$O$1002,'Alocação'!$C$3:$C$1002,B26,'Alocação'!$F$3:$F$1002,N$4,'Alocação'!$B$3:$B$1002,"&lt;="&amp;$C$3))*HLOOKUP(B26,'Histórico'!$A$1:$DD$990,MATCH($B$3,'Histórico'!$A:$A),FALSE),
$D26="",""
)</f>
        <v/>
      </c>
      <c r="H26" s="395" t="str">
        <f t="shared" si="8"/>
        <v/>
      </c>
      <c r="I26" s="396" t="str">
        <f t="shared" si="9"/>
        <v/>
      </c>
      <c r="J26" s="383"/>
      <c r="K26" s="383"/>
      <c r="L26" s="383"/>
      <c r="M26" s="383"/>
      <c r="N26" s="247"/>
      <c r="O26" s="247"/>
      <c r="P26" s="247"/>
      <c r="Q26" s="247"/>
      <c r="R26" s="400" t="str">
        <f t="array" ref="R26">IFERROR(IF(D26&lt;&gt;"Futuros",
(INDEX('Histórico'!$B$1:$ADT991, MATCH($B$3, 'Histórico'!$A$1:$A991, 0), MATCH(B26, 'Histórico'!$1:$1, 0)-1)/INDEX('Histórico'!$B$1:$ADT991, MATCH($C$3, 'Histórico'!$A$1:$A991, 0), MATCH(B26, 'Histórico'!$1:$1, 0)-1)-1),
""),"")</f>
        <v/>
      </c>
      <c r="S26" s="401" t="str">
        <f t="shared" si="10"/>
        <v/>
      </c>
      <c r="T26" s="402" t="str">
        <f t="shared" si="11"/>
        <v/>
      </c>
      <c r="U26" s="247"/>
      <c r="V26" s="348"/>
      <c r="W26" s="419"/>
      <c r="X26" s="404" t="str">
        <f>IFERROR(VLOOKUP(W26, 'Cadastro dos Ativos'!$A$1:$C$216, 3, FALSE), "")</f>
        <v/>
      </c>
      <c r="Y26" s="405" t="str">
        <f t="array" ref="Y26">IFERROR(IFERROR(IF($X26&lt;&gt;"Futuros",
iferror(XLOOKUP($W26, Controle!$AH$11:$AH$1001,Controle!$AL$11:$AL$1001),0)-XLOOKUP($W26, 'Controle D-1'!$AH$11:$AH$1001,'Controle D-1'!$AL$11:$AL$1001),
""),XLOOKUP($W26, Controle!$AH$11:$AH$1001,Controle!$AL$11:$AL$1001)),"")</f>
        <v/>
      </c>
      <c r="Z26" s="405">
        <f>IFS($X26&lt;&gt;"Futuros", SUMIFS('Alocação'!$M$2:$M$1003,'Alocação'!$C$2:$C$1003,$W26,'Alocação'!$B$2:$B$1003,$B$3,'Alocação'!$F$2:$F$1003,$N$4),
$X26="","",
$X26="Futuros","")</f>
        <v>0</v>
      </c>
      <c r="AA26" s="405" t="str">
        <f t="shared" si="12"/>
        <v/>
      </c>
      <c r="AB26" s="411"/>
      <c r="AC26" s="282" t="str">
        <f t="shared" si="13"/>
        <v>#DIV/0!</v>
      </c>
      <c r="AD26" s="282" t="str">
        <f t="shared" si="14"/>
        <v>#DIV/0!</v>
      </c>
    </row>
    <row r="27" ht="15.75" customHeight="1">
      <c r="A27" s="348"/>
      <c r="B27" s="406"/>
      <c r="C27" s="4" t="str">
        <f>IF($B27 &lt;&gt; "",SUMIFS('Alocação'!$O$3:$O$1002,'Alocação'!$C$3:$C$1002,$B27,'Alocação'!$F$3:$F$1002,$N$4,'Alocação'!$B$3:$B$1002,"&lt;="&amp;$B$3), "")</f>
        <v/>
      </c>
      <c r="D27" s="4" t="str">
        <f>IFERROR(VLOOKUP($B27, 'Cadastro dos Ativos'!$A$1:$C$217, 3, FALSE), "")</f>
        <v/>
      </c>
      <c r="E27" s="408" t="str">
        <f>IFS($D27="Ações Listadas na B3", (($C27 * HLOOKUP($B27, 'Histórico'!$A$1:$FI$296, MATCH($B$3,'Histórico'!$A:$A),0)) / $B$6),
$D27="Ações Americanas",(($C27 * HLOOKUP($B27, 'Histórico'!$A$1:$FI$296, MATCH($B$3,'Histórico'!$A:$A),0)) * HLOOKUP("PTAX", 'Histórico'!$A$1:$FI$296, MATCH($B$3,'Histórico'!$A:$A),0) / $B$6),
$D27="Ações Europeias",(($C27 * HLOOKUP($B27, 'Histórico'!$A$1:$FI$296, MATCH($B$3,'Histórico'!$A:$A),0)) * HLOOKUP("EUR/BRL", 'Histórico'!$A$1:$FI$296, MATCH($B$3,'Histórico'!$A:$A),0) / $B$6),
$D27="Futuros",(SUMIFS('Alocação'!$N:$N,'Alocação'!$C:$C,$B27,'Alocação'!$F:$F,$N$4,'Alocação'!$B:$B,"&lt;="&amp;$B$3))/($B$6)+($C27*SUMPRODUCT(('Histórico T'!$A:$A=$B27)*('Histórico T'!$B:$AAW)))/($B$6),$D27="Moedas",(($C27 * HLOOKUP($B27, 'Histórico'!$A$1:$FI$296, MATCH($B$3,'Histórico'!$A:$A),0)) / $B$6),$B27="","")</f>
        <v/>
      </c>
      <c r="F27" s="408" t="str">
        <f t="shared" si="7"/>
        <v/>
      </c>
      <c r="G27" s="394" t="str">
        <f>IFS(OR($D27="Ações Listadas na B3",$D27="Ações Americanas",$D27="Moedas",$D27="Ações Europeias",$D27="Títulos"),$AA27,
$D27="Futuros",
(SUMIFS('Alocação'!$O$3:$O$1002,'Alocação'!$C$3:$C$1002,B27,'Alocação'!$F$3:$F$1002,N$4,'Alocação'!$B$3:$B$1002,"&lt;="&amp;$C$3))*HLOOKUP(B27,'Histórico'!$A$1:$DD$990,MATCH($B$3,'Histórico'!$A:$A),FALSE),
$D27="",""
)</f>
        <v/>
      </c>
      <c r="H27" s="395" t="str">
        <f t="shared" si="8"/>
        <v/>
      </c>
      <c r="I27" s="396" t="str">
        <f t="shared" si="9"/>
        <v/>
      </c>
      <c r="J27" s="383"/>
      <c r="K27" s="383"/>
      <c r="L27" s="383"/>
      <c r="M27" s="383"/>
      <c r="N27" s="332" t="s">
        <v>374</v>
      </c>
      <c r="O27" s="89"/>
      <c r="P27" s="247"/>
      <c r="Q27" s="247"/>
      <c r="R27" s="400" t="str">
        <f t="array" ref="R27">IFERROR(IF(D27&lt;&gt;"Futuros",
(INDEX('Histórico'!$B$1:$ADT992, MATCH($B$3, 'Histórico'!$A$1:$A992, 0), MATCH(B27, 'Histórico'!$1:$1, 0)-1)/INDEX('Histórico'!$B$1:$ADT992, MATCH($C$3, 'Histórico'!$A$1:$A992, 0), MATCH(B27, 'Histórico'!$1:$1, 0)-1)-1),
""),"")</f>
        <v/>
      </c>
      <c r="S27" s="401"/>
      <c r="T27" s="402" t="str">
        <f t="shared" si="11"/>
        <v/>
      </c>
      <c r="U27" s="247"/>
      <c r="V27" s="348"/>
      <c r="W27" s="403"/>
      <c r="X27" s="420" t="str">
        <f>IFERROR(VLOOKUP(W27, 'Cadastro dos Ativos'!$A$1:$C$216, 3, FALSE), "")</f>
        <v/>
      </c>
      <c r="Y27" s="405" t="str">
        <f t="array" ref="Y27">IFERROR(IFERROR(IF($X27&lt;&gt;"Futuros",
iferror(XLOOKUP($W27, Controle!$AH$11:$AH$1001,Controle!$AL$11:$AL$1001),0)-XLOOKUP($W27, 'Controle D-1'!$AH$11:$AH$1001,'Controle D-1'!$AL$11:$AL$1001),
""),XLOOKUP($W27, Controle!$AH$11:$AH$1001,Controle!$AL$11:$AL$1001)),"")</f>
        <v/>
      </c>
      <c r="Z27" s="405">
        <f>IFS($X27&lt;&gt;"Futuros", SUMIFS('Alocação'!$M$2:$M$1003,'Alocação'!$C$2:$C$1003,$W27,'Alocação'!$B$2:$B$1003,$B$3,'Alocação'!$F$2:$F$1003,$N$4),
$X27="","",
$X27="Futuros","")</f>
        <v>0</v>
      </c>
      <c r="AA27" s="405" t="str">
        <f t="shared" si="12"/>
        <v/>
      </c>
      <c r="AB27" s="411"/>
      <c r="AC27" s="282" t="str">
        <f t="shared" si="13"/>
        <v>#DIV/0!</v>
      </c>
      <c r="AD27" s="282" t="str">
        <f t="shared" si="14"/>
        <v>#DIV/0!</v>
      </c>
    </row>
    <row r="28" ht="15.75" customHeight="1">
      <c r="A28" s="348"/>
      <c r="B28" s="406"/>
      <c r="C28" s="4" t="str">
        <f>IF($B28 &lt;&gt; "",SUMIFS('Alocação'!$O$3:$O$1002,'Alocação'!$C$3:$C$1002,$B28,'Alocação'!$F$3:$F$1002,$N$4,'Alocação'!$B$3:$B$1002,"&lt;="&amp;$B$3), "")</f>
        <v/>
      </c>
      <c r="D28" s="4" t="str">
        <f>IFERROR(VLOOKUP($B28, 'Cadastro dos Ativos'!$A$1:$C$217, 3, FALSE), "")</f>
        <v/>
      </c>
      <c r="E28" s="408" t="str">
        <f>IFS($D28="Ações Listadas na B3", (($C28 * HLOOKUP($B28, 'Histórico'!$A$1:$FI$296, MATCH($B$3,'Histórico'!$A:$A),0)) / $B$6),
$D28="Ações Americanas",(($C28 * HLOOKUP($B28, 'Histórico'!$A$1:$FI$296, MATCH($B$3,'Histórico'!$A:$A),0)) * HLOOKUP("PTAX", 'Histórico'!$A$1:$FI$296, MATCH($B$3,'Histórico'!$A:$A),0) / $B$6),
$D28="Ações Europeias",(($C28 * HLOOKUP($B28, 'Histórico'!$A$1:$FI$296, MATCH($B$3,'Histórico'!$A:$A),0)) * HLOOKUP("EUR/BRL", 'Histórico'!$A$1:$FI$296, MATCH($B$3,'Histórico'!$A:$A),0) / $B$6),
$D28="Futuros",(SUMIFS('Alocação'!$N:$N,'Alocação'!$C:$C,$B28,'Alocação'!$F:$F,$N$4,'Alocação'!$B:$B,"&lt;="&amp;$B$3))/($B$6)+($C28*SUMPRODUCT(('Histórico T'!$A:$A=$B28)*('Histórico T'!$B:$AAW)))/($B$6),$D28="Moedas",(($C28 * HLOOKUP($B28, 'Histórico'!$A$1:$FI$296, MATCH($B$3,'Histórico'!$A:$A),0)) / $B$6),$B28="","")</f>
        <v/>
      </c>
      <c r="F28" s="408" t="str">
        <f t="shared" si="7"/>
        <v/>
      </c>
      <c r="G28" s="394" t="str">
        <f>IFS(OR($D28="Ações Listadas na B3",$D28="Ações Americanas",$D28="Moedas",$D28="Ações Europeias",$D28="Títulos"),$AA28,
$D28="Futuros",
(SUMIFS('Alocação'!$O$3:$O$1002,'Alocação'!$C$3:$C$1002,B28,'Alocação'!$F$3:$F$1002,N$4,'Alocação'!$B$3:$B$1002,"&lt;="&amp;$C$3))*HLOOKUP(B28,'Histórico'!$A$1:$DD$990,MATCH($B$3,'Histórico'!$A:$A),FALSE),
$D28="",""
)</f>
        <v/>
      </c>
      <c r="H28" s="395" t="str">
        <f t="shared" si="8"/>
        <v/>
      </c>
      <c r="I28" s="396" t="str">
        <f t="shared" si="9"/>
        <v/>
      </c>
      <c r="J28" s="383"/>
      <c r="K28" s="383"/>
      <c r="L28" s="383"/>
      <c r="M28" s="383"/>
      <c r="N28" s="336" t="s">
        <v>375</v>
      </c>
      <c r="O28" s="337" t="s">
        <v>376</v>
      </c>
      <c r="P28" s="247"/>
      <c r="Q28" s="247"/>
      <c r="R28" s="400" t="str">
        <f t="array" ref="R28">IFERROR(IF(D28&lt;&gt;"Futuros",
(INDEX('Histórico'!$B$1:$ADT993, MATCH($B$3, 'Histórico'!$A$1:$A993, 0), MATCH(B28, 'Histórico'!$1:$1, 0)-1)/INDEX('Histórico'!$B$1:$ADT993, MATCH($C$3, 'Histórico'!$A$1:$A993, 0), MATCH(B28, 'Histórico'!$1:$1, 0)-1)-1),
""),"")</f>
        <v/>
      </c>
      <c r="S28" s="401" t="str">
        <f t="shared" ref="S28:S35" si="15">IF(R28&lt;&gt;"",R28*(RANDBETWEEN(1,1.2)/1000000000),"")</f>
        <v/>
      </c>
      <c r="T28" s="402" t="str">
        <f t="shared" si="11"/>
        <v/>
      </c>
      <c r="U28" s="247"/>
      <c r="V28" s="348"/>
      <c r="W28" s="421"/>
      <c r="X28" s="422" t="str">
        <f>IFERROR(VLOOKUP(W28, 'Cadastro dos Ativos'!$A$1:$C$216, 3, FALSE), "")</f>
        <v/>
      </c>
      <c r="Y28" s="405" t="str">
        <f t="array" ref="Y28">IFERROR(IFERROR(IF($X28&lt;&gt;"Futuros",
iferror(XLOOKUP($W28, Controle!$AH$11:$AH$1001,Controle!$AL$11:$AL$1001),0)-XLOOKUP($W28, 'Controle D-1'!$AH$11:$AH$1001,'Controle D-1'!$AL$11:$AL$1001),
""),XLOOKUP($W28, Controle!$AH$11:$AH$1001,Controle!$AL$11:$AL$1001)),"")</f>
        <v/>
      </c>
      <c r="Z28" s="405">
        <f>IFS($X28&lt;&gt;"Futuros", SUMIFS('Alocação'!$M$2:$M$1003,'Alocação'!$C$2:$C$1003,$W28,'Alocação'!$B$2:$B$1003,$B$3,'Alocação'!$F$2:$F$1003,$N$4),
$X28="","",
$X28="Futuros","")</f>
        <v>0</v>
      </c>
      <c r="AA28" s="405" t="str">
        <f t="shared" si="12"/>
        <v/>
      </c>
      <c r="AB28" s="348"/>
      <c r="AC28" s="348"/>
      <c r="AD28" s="348"/>
    </row>
    <row r="29" ht="15.75" customHeight="1">
      <c r="A29" s="348"/>
      <c r="B29" s="406"/>
      <c r="C29" s="4" t="str">
        <f>IF($B29 &lt;&gt; "",SUMIFS('Alocação'!$O$3:$O$1002,'Alocação'!$C$3:$C$1002,$B29,'Alocação'!$F$3:$F$1002,$N$4,'Alocação'!$B$3:$B$1002,"&lt;="&amp;$B$3), "")</f>
        <v/>
      </c>
      <c r="D29" s="4" t="str">
        <f>IFERROR(VLOOKUP($B29, 'Cadastro dos Ativos'!$A$1:$C$217, 3, FALSE), "")</f>
        <v/>
      </c>
      <c r="E29" s="408" t="str">
        <f>IFS($D29="Ações Listadas na B3", (($C29 * HLOOKUP($B29, 'Histórico'!$A$1:$FI$296, MATCH($B$3,'Histórico'!$A:$A),0)) / $B$6),
$D29="Ações Americanas",(($C29 * HLOOKUP($B29, 'Histórico'!$A$1:$FI$296, MATCH($B$3,'Histórico'!$A:$A),0)) * HLOOKUP("PTAX", 'Histórico'!$A$1:$FI$296, MATCH($B$3,'Histórico'!$A:$A),0) / $B$6),
$D29="Ações Europeias",(($C29 * HLOOKUP($B29, 'Histórico'!$A$1:$FI$296, MATCH($B$3,'Histórico'!$A:$A),0)) * HLOOKUP("EUR/BRL", 'Histórico'!$A$1:$FI$296, MATCH($B$3,'Histórico'!$A:$A),0) / $B$6),
$D29="Futuros",(SUMIFS('Alocação'!$N:$N,'Alocação'!$C:$C,$B29,'Alocação'!$F:$F,$N$4,'Alocação'!$B:$B,"&lt;="&amp;$B$3))/($B$6)+($C29*SUMPRODUCT(('Histórico T'!$A:$A=$B29)*('Histórico T'!$B:$AAW)))/($B$6),$D29="Moedas",(($C29 * HLOOKUP($B29, 'Histórico'!$A$1:$FI$296, MATCH($B$3,'Histórico'!$A:$A),0)) / $B$6),$B29="","")</f>
        <v/>
      </c>
      <c r="F29" s="408" t="str">
        <f t="shared" si="7"/>
        <v/>
      </c>
      <c r="G29" s="394" t="str">
        <f>IFS(OR($D29="Ações Listadas na B3",$D29="Ações Americanas",$D29="Moedas",$D29="Ações Europeias",$D29="Títulos"),$AA29,
$D29="Futuros",
(SUMIFS('Alocação'!$O$3:$O$1002,'Alocação'!$C$3:$C$1002,B29,'Alocação'!$F$3:$F$1002,N$4,'Alocação'!$B$3:$B$1002,"&lt;="&amp;$C$3))*HLOOKUP(B29,'Histórico'!$A$1:$DD$990,MATCH($B$3,'Histórico'!$A:$A),FALSE),
$D29="",""
)</f>
        <v/>
      </c>
      <c r="H29" s="395" t="str">
        <f t="shared" si="8"/>
        <v/>
      </c>
      <c r="I29" s="396" t="str">
        <f t="shared" si="9"/>
        <v/>
      </c>
      <c r="J29" s="383"/>
      <c r="K29" s="383"/>
      <c r="L29" s="383"/>
      <c r="M29" s="383"/>
      <c r="N29" s="346">
        <f>SUM($N$8,$N$12,$N$16)</f>
        <v>-33560.29864</v>
      </c>
      <c r="O29" s="423">
        <f>$N$29/$C$6</f>
        <v>-0.0002984001501</v>
      </c>
      <c r="P29" s="247"/>
      <c r="Q29" s="247"/>
      <c r="R29" s="400" t="str">
        <f t="array" ref="R29">IFERROR(IF(D29&lt;&gt;"Futuros",
(INDEX('Histórico'!$B$1:$ADT994, MATCH($B$3, 'Histórico'!$A$1:$A994, 0), MATCH(B29, 'Histórico'!$1:$1, 0)-1)/INDEX('Histórico'!$B$1:$ADT994, MATCH($C$3, 'Histórico'!$A$1:$A994, 0), MATCH(B29, 'Histórico'!$1:$1, 0)-1)-1),
""),"")</f>
        <v/>
      </c>
      <c r="S29" s="401" t="str">
        <f t="shared" si="15"/>
        <v/>
      </c>
      <c r="T29" s="402" t="str">
        <f t="shared" si="11"/>
        <v/>
      </c>
      <c r="U29" s="247"/>
      <c r="V29" s="348"/>
      <c r="W29" s="348"/>
      <c r="X29" s="348"/>
      <c r="Y29" s="348"/>
      <c r="Z29" s="424"/>
      <c r="AA29" s="425"/>
      <c r="AB29" s="307"/>
      <c r="AC29" s="307"/>
      <c r="AD29" s="307"/>
    </row>
    <row r="30" ht="15.75" customHeight="1">
      <c r="A30" s="348"/>
      <c r="B30" s="406"/>
      <c r="C30" s="4" t="str">
        <f>IF($B30 &lt;&gt; "",SUMIFS('Alocação'!$O$3:$O$1002,'Alocação'!$C$3:$C$1002,$B30,'Alocação'!$F$3:$F$1002,$N$4,'Alocação'!$B$3:$B$1002,"&lt;="&amp;$B$3), "")</f>
        <v/>
      </c>
      <c r="D30" s="4" t="str">
        <f>IFERROR(VLOOKUP($B30, 'Cadastro dos Ativos'!$A$1:$C$217, 3, FALSE), "")</f>
        <v/>
      </c>
      <c r="E30" s="408" t="str">
        <f>IFS($D30="Ações Listadas na B3", (($C30 * HLOOKUP($B30, 'Histórico'!$A$1:$FI$296, MATCH($B$3,'Histórico'!$A:$A),0)) / $B$6),
$D30="Ações Americanas",(($C30 * HLOOKUP($B30, 'Histórico'!$A$1:$FI$296, MATCH($B$3,'Histórico'!$A:$A),0)) * HLOOKUP("PTAX", 'Histórico'!$A$1:$FI$296, MATCH($B$3,'Histórico'!$A:$A),0) / $B$6),
$D30="Ações Europeias",(($C30 * HLOOKUP($B30, 'Histórico'!$A$1:$FI$296, MATCH($B$3,'Histórico'!$A:$A),0)) * HLOOKUP("EUR/BRL", 'Histórico'!$A$1:$FI$296, MATCH($B$3,'Histórico'!$A:$A),0) / $B$6),
$D30="Futuros",(SUMIFS('Alocação'!$N:$N,'Alocação'!$C:$C,$B30,'Alocação'!$F:$F,$N$4,'Alocação'!$B:$B,"&lt;="&amp;$B$3))/($B$6)+($C30*SUMPRODUCT(('Histórico T'!$A:$A=$B30)*('Histórico T'!$B:$AAW)))/($B$6),$D30="Moedas",(($C30 * HLOOKUP($B30, 'Histórico'!$A$1:$FI$296, MATCH($B$3,'Histórico'!$A:$A),0)) / $B$6),$B30="","")</f>
        <v/>
      </c>
      <c r="F30" s="408" t="str">
        <f t="shared" si="7"/>
        <v/>
      </c>
      <c r="G30" s="394" t="str">
        <f>IFS(OR($D30="Ações Listadas na B3",$D30="Ações Americanas",$D30="Moedas",$D30="Ações Europeias",$D30="Títulos"),$AA30,
$D30="Futuros",
(SUMIFS('Alocação'!$O$3:$O$1002,'Alocação'!$C$3:$C$1002,B30,'Alocação'!$F$3:$F$1002,N$4,'Alocação'!$B$3:$B$1002,"&lt;="&amp;$C$3))*HLOOKUP(B30,'Histórico'!$A$1:$DD$990,MATCH($B$3,'Histórico'!$A:$A),FALSE),
$D30="",""
)</f>
        <v/>
      </c>
      <c r="H30" s="395" t="str">
        <f t="shared" si="8"/>
        <v/>
      </c>
      <c r="I30" s="396" t="str">
        <f t="shared" si="9"/>
        <v/>
      </c>
      <c r="J30" s="383"/>
      <c r="K30" s="383"/>
      <c r="L30" s="383"/>
      <c r="M30" s="383"/>
      <c r="N30" s="348"/>
      <c r="O30" s="348"/>
      <c r="P30" s="247"/>
      <c r="Q30" s="247"/>
      <c r="R30" s="400" t="str">
        <f t="array" ref="R30">IFERROR(IF(D30&lt;&gt;"Futuros",
(INDEX('Histórico'!$B$1:$ADT995, MATCH($B$3, 'Histórico'!$A$1:$A995, 0), MATCH(B30, 'Histórico'!$1:$1, 0)-1)/INDEX('Histórico'!$B$1:$ADT995, MATCH($C$3, 'Histórico'!$A$1:$A995, 0), MATCH(B30, 'Histórico'!$1:$1, 0)-1)-1),
""),"")</f>
        <v/>
      </c>
      <c r="S30" s="401" t="str">
        <f t="shared" si="15"/>
        <v/>
      </c>
      <c r="T30" s="402" t="str">
        <f t="shared" si="11"/>
        <v/>
      </c>
      <c r="U30" s="247"/>
      <c r="V30" s="348"/>
      <c r="W30" s="348"/>
      <c r="X30" s="348"/>
      <c r="Y30" s="348"/>
      <c r="Z30" s="348"/>
      <c r="AA30" s="348"/>
      <c r="AB30" s="307"/>
      <c r="AC30" s="307"/>
      <c r="AD30" s="307"/>
    </row>
    <row r="31" ht="15.75" customHeight="1">
      <c r="A31" s="348"/>
      <c r="B31" s="406"/>
      <c r="C31" s="4" t="str">
        <f>IF($B31 &lt;&gt; "",SUMIFS('Alocação'!$O$3:$O$1002,'Alocação'!$C$3:$C$1002,$B31,'Alocação'!$F$3:$F$1002,$N$4,'Alocação'!$B$3:$B$1002,"&lt;="&amp;$B$3), "")</f>
        <v/>
      </c>
      <c r="D31" s="4" t="str">
        <f>IFERROR(VLOOKUP($B31, 'Cadastro dos Ativos'!$A$1:$C$217, 3, FALSE), "")</f>
        <v/>
      </c>
      <c r="E31" s="408" t="str">
        <f>IFS($D31="Ações Listadas na B3", (($C31 * HLOOKUP($B31, 'Histórico'!$A$1:$FI$296, MATCH($B$3,'Histórico'!$A:$A),0)) / $B$6),
$D31="Ações Americanas",(($C31 * HLOOKUP($B31, 'Histórico'!$A$1:$FI$296, MATCH($B$3,'Histórico'!$A:$A),0)) * HLOOKUP("PTAX", 'Histórico'!$A$1:$FI$296, MATCH($B$3,'Histórico'!$A:$A),0) / $B$6),
$D31="Ações Europeias",(($C31 * HLOOKUP($B31, 'Histórico'!$A$1:$FI$296, MATCH($B$3,'Histórico'!$A:$A),0)) * HLOOKUP("EUR/BRL", 'Histórico'!$A$1:$FI$296, MATCH($B$3,'Histórico'!$A:$A),0) / $B$6),
$D31="Futuros",(SUMIFS('Alocação'!$N:$N,'Alocação'!$C:$C,$B31,'Alocação'!$F:$F,$N$4,'Alocação'!$B:$B,"&lt;="&amp;$B$3))/($B$6)+($C31*SUMPRODUCT(('Histórico T'!$A:$A=$B31)*('Histórico T'!$B:$AAW)))/($B$6),$D31="Moedas",(($C31 * HLOOKUP($B31, 'Histórico'!$A$1:$FI$296, MATCH($B$3,'Histórico'!$A:$A),0)) / $B$6),$B31="","")</f>
        <v/>
      </c>
      <c r="F31" s="408" t="str">
        <f t="shared" si="7"/>
        <v/>
      </c>
      <c r="G31" s="394" t="str">
        <f>IFS(OR($D31="Ações Listadas na B3",$D31="Ações Americanas",$D31="Moedas",$D31="Ações Europeias",$D31="Títulos"),$AA31,
$D31="Futuros",
(SUMIFS('Alocação'!$O$3:$O$1002,'Alocação'!$C$3:$C$1002,B31,'Alocação'!$F$3:$F$1002,N$4,'Alocação'!$B$3:$B$1002,"&lt;="&amp;$C$3))*HLOOKUP(B31,'Histórico'!$A$1:$DD$990,MATCH($B$3,'Histórico'!$A:$A),FALSE),
$D31="",""
)</f>
        <v/>
      </c>
      <c r="H31" s="395" t="str">
        <f t="shared" si="8"/>
        <v/>
      </c>
      <c r="I31" s="396" t="str">
        <f t="shared" si="9"/>
        <v/>
      </c>
      <c r="J31" s="383"/>
      <c r="K31" s="213"/>
      <c r="L31" s="383"/>
      <c r="M31" s="383"/>
      <c r="N31" s="348"/>
      <c r="O31" s="348"/>
      <c r="P31" s="247"/>
      <c r="Q31" s="247"/>
      <c r="R31" s="400" t="str">
        <f t="array" ref="R31">IFERROR(IF(D31&lt;&gt;"Futuros",
(INDEX('Histórico'!$B$1:$ADT996, MATCH($B$3, 'Histórico'!$A$1:$A996, 0), MATCH(B31, 'Histórico'!$1:$1, 0)-1)/INDEX('Histórico'!$B$1:$ADT996, MATCH($C$3, 'Histórico'!$A$1:$A996, 0), MATCH(B31, 'Histórico'!$1:$1, 0)-1)-1),
""),"")</f>
        <v/>
      </c>
      <c r="S31" s="401" t="str">
        <f t="shared" si="15"/>
        <v/>
      </c>
      <c r="T31" s="402" t="str">
        <f t="shared" si="11"/>
        <v/>
      </c>
      <c r="U31" s="247"/>
      <c r="V31" s="348"/>
      <c r="W31" s="348"/>
      <c r="X31" s="348"/>
      <c r="Y31" s="348"/>
      <c r="Z31" s="348"/>
      <c r="AA31" s="348"/>
      <c r="AB31" s="307"/>
      <c r="AC31" s="307"/>
      <c r="AD31" s="307"/>
    </row>
    <row r="32" ht="15.75" customHeight="1">
      <c r="A32" s="348"/>
      <c r="B32" s="406"/>
      <c r="C32" s="4" t="str">
        <f>IF($B32 &lt;&gt; "",SUMIFS('Alocação'!$O$3:$O$1002,'Alocação'!$C$3:$C$1002,$B32,'Alocação'!$F$3:$F$1002,$N$4,'Alocação'!$B$3:$B$1002,"&lt;="&amp;$B$3), "")</f>
        <v/>
      </c>
      <c r="D32" s="4" t="str">
        <f>IFERROR(VLOOKUP($B32, 'Cadastro dos Ativos'!$A$1:$C$217, 3, FALSE), "")</f>
        <v/>
      </c>
      <c r="E32" s="408" t="str">
        <f>IFS($D32="Ações Listadas na B3", (($C32 * HLOOKUP($B32, 'Histórico'!$A$1:$FI$296, MATCH($B$3,'Histórico'!$A:$A),0)) / $B$6),
$D32="Ações Americanas",(($C32 * HLOOKUP($B32, 'Histórico'!$A$1:$FI$296, MATCH($B$3,'Histórico'!$A:$A),0)) * HLOOKUP("PTAX", 'Histórico'!$A$1:$FI$296, MATCH($B$3,'Histórico'!$A:$A),0) / $B$6),
$D32="Ações Europeias",(($C32 * HLOOKUP($B32, 'Histórico'!$A$1:$FI$296, MATCH($B$3,'Histórico'!$A:$A),0)) * HLOOKUP("EUR/BRL", 'Histórico'!$A$1:$FI$296, MATCH($B$3,'Histórico'!$A:$A),0) / $B$6),
$D32="Futuros",(SUMIFS('Alocação'!$N:$N,'Alocação'!$C:$C,$B32,'Alocação'!$F:$F,$N$4,'Alocação'!$B:$B,"&lt;="&amp;$B$3))/($B$6)+($C32*SUMPRODUCT(('Histórico T'!$A:$A=$B32)*('Histórico T'!$B:$AAW)))/($B$6),$D32="Moedas",(($C32 * HLOOKUP($B32, 'Histórico'!$A$1:$FI$296, MATCH($B$3,'Histórico'!$A:$A),0)) / $B$6),$B32="","")</f>
        <v/>
      </c>
      <c r="F32" s="408" t="str">
        <f t="shared" si="7"/>
        <v/>
      </c>
      <c r="G32" s="394" t="str">
        <f>IFS(OR($D32="Ações Listadas na B3",$D32="Ações Americanas",$D32="Moedas",$D32="Ações Europeias",$D32="Títulos"),$AA32,
$D32="Futuros",
(SUMIFS('Alocação'!$O$3:$O$1002,'Alocação'!$C$3:$C$1002,B32,'Alocação'!$F$3:$F$1002,N$4,'Alocação'!$B$3:$B$1002,"&lt;="&amp;$C$3))*HLOOKUP(B32,'Histórico'!$A$1:$DD$990,MATCH($B$3,'Histórico'!$A:$A),FALSE),
$D32="",""
)</f>
        <v/>
      </c>
      <c r="H32" s="395" t="str">
        <f t="shared" si="8"/>
        <v/>
      </c>
      <c r="I32" s="396" t="str">
        <f t="shared" si="9"/>
        <v/>
      </c>
      <c r="J32" s="383"/>
      <c r="K32" s="196"/>
      <c r="L32" s="426"/>
      <c r="M32" s="383"/>
      <c r="N32" s="348"/>
      <c r="O32" s="348"/>
      <c r="P32" s="247"/>
      <c r="Q32" s="247"/>
      <c r="R32" s="400" t="str">
        <f t="array" ref="R32">IFERROR(IF(D32&lt;&gt;"Futuros",
(INDEX('Histórico'!$B$1:$ADT997, MATCH($B$3, 'Histórico'!$A$1:$A997, 0), MATCH(B32, 'Histórico'!$1:$1, 0)-1)/INDEX('Histórico'!$B$1:$ADT997, MATCH($C$3, 'Histórico'!$A$1:$A997, 0), MATCH(B32, 'Histórico'!$1:$1, 0)-1)-1),
""),"")</f>
        <v/>
      </c>
      <c r="S32" s="401" t="str">
        <f t="shared" si="15"/>
        <v/>
      </c>
      <c r="T32" s="402" t="str">
        <f t="shared" si="11"/>
        <v/>
      </c>
      <c r="U32" s="247"/>
      <c r="V32" s="247"/>
      <c r="W32" s="247"/>
      <c r="X32" s="247"/>
      <c r="Y32" s="348"/>
      <c r="Z32" s="427" t="str">
        <f>IF(D32&lt;&gt;"Futuros","",HLOOKUP(B32,'Preços Futuros'!$A$1:$Z$1000,$B$3))</f>
        <v/>
      </c>
      <c r="AA32" s="311"/>
      <c r="AB32" s="307"/>
      <c r="AC32" s="307"/>
      <c r="AD32" s="307"/>
    </row>
    <row r="33" ht="15.75" customHeight="1">
      <c r="A33" s="348"/>
      <c r="B33" s="406"/>
      <c r="C33" s="4" t="str">
        <f>IF($B33 &lt;&gt; "",SUMIFS('Alocação'!$O$3:$O$1002,'Alocação'!$C$3:$C$1002,$B33,'Alocação'!$F$3:$F$1002,$N$4,'Alocação'!$B$3:$B$1002,"&lt;="&amp;$B$3), "")</f>
        <v/>
      </c>
      <c r="D33" s="4" t="str">
        <f>IFERROR(VLOOKUP($B33, 'Cadastro dos Ativos'!$A$1:$C$217, 3, FALSE), "")</f>
        <v/>
      </c>
      <c r="E33" s="408" t="str">
        <f>IFS($D33="Ações Listadas na B3", (($C33 * HLOOKUP($B33, 'Histórico'!$A$1:$FI$296, MATCH($B$3,'Histórico'!$A:$A),0)) / $B$6),
$D33="Ações Americanas",(($C33 * HLOOKUP($B33, 'Histórico'!$A$1:$FI$296, MATCH($B$3,'Histórico'!$A:$A),0)) * HLOOKUP("PTAX", 'Histórico'!$A$1:$FI$296, MATCH($B$3,'Histórico'!$A:$A),0) / $B$6),
$D33="Ações Europeias",(($C33 * HLOOKUP($B33, 'Histórico'!$A$1:$FI$296, MATCH($B$3,'Histórico'!$A:$A),0)) * HLOOKUP("EUR/BRL", 'Histórico'!$A$1:$FI$296, MATCH($B$3,'Histórico'!$A:$A),0) / $B$6),
$D33="Futuros",(SUMIFS('Alocação'!$N:$N,'Alocação'!$C:$C,$B33,'Alocação'!$F:$F,$N$4,'Alocação'!$B:$B,"&lt;="&amp;$B$3))/($B$6)+($C33*SUMPRODUCT(('Histórico T'!$A:$A=$B33)*('Histórico T'!$B:$AAW)))/($B$6),$D33="Moedas",(($C33 * HLOOKUP($B33, 'Histórico'!$A$1:$FI$296, MATCH($B$3,'Histórico'!$A:$A),0)) / $B$6),$B33="","")</f>
        <v/>
      </c>
      <c r="F33" s="408" t="str">
        <f t="shared" si="7"/>
        <v/>
      </c>
      <c r="G33" s="394" t="str">
        <f>IFS(OR($D33="Ações Listadas na B3",$D33="Ações Americanas",$D33="Moedas",$D33="Ações Europeias",$D33="Títulos"),$AA33,
$D33="Futuros",
(SUMIFS('Alocação'!$O$3:$O$1002,'Alocação'!$C$3:$C$1002,B33,'Alocação'!$F$3:$F$1002,N$4,'Alocação'!$B$3:$B$1002,"&lt;="&amp;$C$3))*HLOOKUP(B33,'Histórico'!$A$1:$DD$990,MATCH($B$3,'Histórico'!$A:$A),FALSE),
$D33="",""
)</f>
        <v/>
      </c>
      <c r="H33" s="395" t="str">
        <f t="shared" si="8"/>
        <v/>
      </c>
      <c r="I33" s="396" t="str">
        <f t="shared" si="9"/>
        <v/>
      </c>
      <c r="J33" s="383"/>
      <c r="K33" s="213"/>
      <c r="L33" s="428"/>
      <c r="M33" s="383"/>
      <c r="N33" s="348"/>
      <c r="O33" s="348"/>
      <c r="P33" s="247"/>
      <c r="Q33" s="247"/>
      <c r="R33" s="400" t="str">
        <f t="array" ref="R33">IFERROR(IF(D33&lt;&gt;"Futuros",
(INDEX('Histórico'!$B$1:$ADT998, MATCH($B$3, 'Histórico'!$A$1:$A998, 0), MATCH(B33, 'Histórico'!$1:$1, 0)-1)/INDEX('Histórico'!$B$1:$ADT998, MATCH($C$3, 'Histórico'!$A$1:$A998, 0), MATCH(B33, 'Histórico'!$1:$1, 0)-1)-1),
""),"")</f>
        <v/>
      </c>
      <c r="S33" s="401" t="str">
        <f t="shared" si="15"/>
        <v/>
      </c>
      <c r="T33" s="402" t="str">
        <f t="shared" si="11"/>
        <v/>
      </c>
      <c r="U33" s="247"/>
      <c r="V33" s="247"/>
      <c r="W33" s="247"/>
      <c r="X33" s="247"/>
      <c r="Y33" s="348"/>
      <c r="Z33" s="427" t="str">
        <f>IF(D33&lt;&gt;"Futuros","",HLOOKUP(B33,'Preços Futuros'!$A$1:$Z$1000,$B$3))</f>
        <v/>
      </c>
      <c r="AA33" s="311"/>
      <c r="AB33" s="307"/>
      <c r="AC33" s="307"/>
      <c r="AD33" s="307"/>
    </row>
    <row r="34" ht="15.75" customHeight="1">
      <c r="A34" s="348"/>
      <c r="B34" s="406"/>
      <c r="C34" s="4" t="str">
        <f>IF($B34 &lt;&gt; "",SUMIFS('Alocação'!$O$3:$O$1002,'Alocação'!$C$3:$C$1002,$B34,'Alocação'!$F$3:$F$1002,$N$4,'Alocação'!$B$3:$B$1002,"&lt;="&amp;$B$3), "")</f>
        <v/>
      </c>
      <c r="D34" s="4" t="str">
        <f>IFERROR(VLOOKUP($B34, 'Cadastro dos Ativos'!$A$1:$C$217, 3, FALSE), "")</f>
        <v/>
      </c>
      <c r="E34" s="408" t="str">
        <f>IFS($D34="Ações Listadas na B3", (($C34 * HLOOKUP($B34, 'Histórico'!$A$1:$FI$296, MATCH($B$3,'Histórico'!$A:$A),0)) / $B$6),
$D34="Ações Americanas",(($C34 * HLOOKUP($B34, 'Histórico'!$A$1:$FI$296, MATCH($B$3,'Histórico'!$A:$A),0)) * HLOOKUP("PTAX", 'Histórico'!$A$1:$FI$296, MATCH($B$3,'Histórico'!$A:$A),0) / $B$6),
$D34="Ações Europeias",(($C34 * HLOOKUP($B34, 'Histórico'!$A$1:$FI$296, MATCH($B$3,'Histórico'!$A:$A),0)) * HLOOKUP("EUR/BRL", 'Histórico'!$A$1:$FI$296, MATCH($B$3,'Histórico'!$A:$A),0) / $B$6),
$D34="Futuros",(SUMIFS('Alocação'!$N:$N,'Alocação'!$C:$C,$B34,'Alocação'!$F:$F,$N$4,'Alocação'!$B:$B,"&lt;="&amp;$B$3))/($B$6)+($C34*SUMPRODUCT(('Histórico T'!$A:$A=$B34)*('Histórico T'!$B:$AAW)))/($B$6),$D34="Moedas",(($C34 * HLOOKUP($B34, 'Histórico'!$A$1:$FI$296, MATCH($B$3,'Histórico'!$A:$A),0)) / $B$6),$B34="","")</f>
        <v/>
      </c>
      <c r="F34" s="408" t="str">
        <f t="shared" si="7"/>
        <v/>
      </c>
      <c r="G34" s="394" t="str">
        <f>IFS(OR($D34="Ações Listadas na B3",$D34="Ações Americanas",$D34="Moedas",$D34="Ações Europeias",$D34="Títulos"),$AA34,
$D34="Futuros",
(SUMIFS('Alocação'!$O$3:$O$1002,'Alocação'!$C$3:$C$1002,B34,'Alocação'!$F$3:$F$1002,N$4,'Alocação'!$B$3:$B$1002,"&lt;="&amp;$C$3))*HLOOKUP(B34,'Histórico'!$A$1:$DD$990,MATCH($B$3,'Histórico'!$A:$A),FALSE),
$D34="",""
)</f>
        <v/>
      </c>
      <c r="H34" s="395" t="str">
        <f t="shared" si="8"/>
        <v/>
      </c>
      <c r="I34" s="396" t="str">
        <f t="shared" si="9"/>
        <v/>
      </c>
      <c r="J34" s="383"/>
      <c r="K34" s="383"/>
      <c r="L34" s="213"/>
      <c r="M34" s="383"/>
      <c r="N34" s="348"/>
      <c r="O34" s="348"/>
      <c r="P34" s="247"/>
      <c r="Q34" s="247"/>
      <c r="R34" s="400" t="str">
        <f t="array" ref="R34">IFERROR(IF(D34&lt;&gt;"Futuros",
(INDEX('Histórico'!$B$1:$ADT999, MATCH($B$3, 'Histórico'!$A$1:$A999, 0), MATCH(B34, 'Histórico'!$1:$1, 0)-1)/INDEX('Histórico'!$B$1:$ADT999, MATCH($C$3, 'Histórico'!$A$1:$A999, 0), MATCH(B34, 'Histórico'!$1:$1, 0)-1)-1),
""),"")</f>
        <v/>
      </c>
      <c r="S34" s="401" t="str">
        <f t="shared" si="15"/>
        <v/>
      </c>
      <c r="T34" s="402" t="str">
        <f t="shared" si="11"/>
        <v/>
      </c>
      <c r="U34" s="247"/>
      <c r="V34" s="247"/>
      <c r="W34" s="247"/>
      <c r="X34" s="247"/>
      <c r="Y34" s="348"/>
      <c r="Z34" s="427" t="str">
        <f>IF(D34&lt;&gt;"Futuros","",HLOOKUP(B34,'Preços Futuros'!$A$1:$Z$1000,$B$3))</f>
        <v/>
      </c>
      <c r="AA34" s="311"/>
      <c r="AB34" s="307"/>
      <c r="AC34" s="307"/>
      <c r="AD34" s="307"/>
    </row>
    <row r="35" ht="15.75" customHeight="1">
      <c r="A35" s="348"/>
      <c r="B35" s="406"/>
      <c r="C35" s="4" t="str">
        <f>IF($B35 &lt;&gt; "",SUMIFS('Alocação'!$O$3:$O$1002,'Alocação'!$C$3:$C$1002,$B35,'Alocação'!$F$3:$F$1002,$N$4,'Alocação'!$B$3:$B$1002,"&lt;="&amp;$B$3), "")</f>
        <v/>
      </c>
      <c r="D35" s="4" t="str">
        <f>IFERROR(VLOOKUP($B35, 'Cadastro dos Ativos'!$A$1:$C$217, 3, FALSE), "")</f>
        <v/>
      </c>
      <c r="E35" s="408" t="str">
        <f>IFS($D35="Ações Listadas na B3", (($C35 * HLOOKUP($B35, 'Histórico'!$A$1:$FI$296, MATCH($B$3,'Histórico'!$A:$A),0)) / $B$6),
$D35="Ações Americanas",(($C35 * HLOOKUP($B35, 'Histórico'!$A$1:$FI$296, MATCH($B$3,'Histórico'!$A:$A),0)) * HLOOKUP("PTAX", 'Histórico'!$A$1:$FI$296, MATCH($B$3,'Histórico'!$A:$A),0) / $B$6),
$D35="Ações Europeias",(($C35 * HLOOKUP($B35, 'Histórico'!$A$1:$FI$296, MATCH($B$3,'Histórico'!$A:$A),0)) * HLOOKUP("EUR/BRL", 'Histórico'!$A$1:$FI$296, MATCH($B$3,'Histórico'!$A:$A),0) / $B$6),
$D35="Futuros",(SUMIFS('Alocação'!$N:$N,'Alocação'!$C:$C,$B35,'Alocação'!$F:$F,$N$4,'Alocação'!$B:$B,"&lt;="&amp;$B$3))/($B$6)+($C35*SUMPRODUCT(('Histórico T'!$A:$A=$B35)*('Histórico T'!$B:$AAW)))/($B$6),$D35="Moedas",(($C35 * HLOOKUP($B35, 'Histórico'!$A$1:$FI$296, MATCH($B$3,'Histórico'!$A:$A),0)) / $B$6),$B35="","")</f>
        <v/>
      </c>
      <c r="F35" s="408" t="str">
        <f t="shared" si="7"/>
        <v/>
      </c>
      <c r="G35" s="394" t="str">
        <f>IFS(OR($D35="Ações Listadas na B3",$D35="Ações Americanas",$D35="Moedas",$D35="Ações Europeias",$D35="Títulos"),$AA35,
$D35="Futuros",
(SUMIFS('Alocação'!$O$3:$O$1002,'Alocação'!$C$3:$C$1002,B35,'Alocação'!$F$3:$F$1002,N$4,'Alocação'!$B$3:$B$1002,"&lt;="&amp;$C$3))*HLOOKUP(B35,'Histórico'!$A$1:$DD$990,MATCH($B$3,'Histórico'!$A:$A),FALSE),
$D35="",""
)</f>
        <v/>
      </c>
      <c r="H35" s="395" t="str">
        <f t="shared" si="8"/>
        <v/>
      </c>
      <c r="I35" s="396" t="str">
        <f t="shared" si="9"/>
        <v/>
      </c>
      <c r="J35" s="383"/>
      <c r="K35" s="383"/>
      <c r="L35" s="383"/>
      <c r="M35" s="383"/>
      <c r="N35" s="348"/>
      <c r="O35" s="348"/>
      <c r="P35" s="247"/>
      <c r="Q35" s="247"/>
      <c r="R35" s="400" t="str">
        <f t="array" ref="R35">IFERROR(IF(D35&lt;&gt;"Futuros",
(INDEX('Histórico'!$B$1:$ADT1000, MATCH($B$3, 'Histórico'!$A$1:$A1000, 0), MATCH(B35, 'Histórico'!$1:$1, 0)-1)/INDEX('Histórico'!$B$1:$ADT1000, MATCH($C$3, 'Histórico'!$A$1:$A1000, 0), MATCH(B35, 'Histórico'!$1:$1, 0)-1)-1),
""),"")</f>
        <v/>
      </c>
      <c r="S35" s="401" t="str">
        <f t="shared" si="15"/>
        <v/>
      </c>
      <c r="T35" s="402" t="str">
        <f t="shared" si="11"/>
        <v/>
      </c>
      <c r="U35" s="247"/>
      <c r="V35" s="247"/>
      <c r="W35" s="247"/>
      <c r="X35" s="247"/>
      <c r="Y35" s="348"/>
      <c r="Z35" s="427" t="str">
        <f>IF(D35&lt;&gt;"Futuros","",HLOOKUP(B35,'Preços Futuros'!$A$1:$Z$1000,$B$3))</f>
        <v/>
      </c>
      <c r="AA35" s="311"/>
      <c r="AB35" s="307"/>
      <c r="AC35" s="307"/>
      <c r="AD35" s="307"/>
    </row>
    <row r="36" ht="15.75" customHeight="1">
      <c r="A36" s="348"/>
      <c r="B36" s="406"/>
      <c r="C36" s="4" t="str">
        <f>IF($B36 &lt;&gt; "",SUMIFS('Alocação'!$O$3:$O$1002,'Alocação'!$C$3:$C$1002,$B36,'Alocação'!$F$3:$F$1002,$N$4,'Alocação'!$B$3:$B$1002,"&lt;="&amp;$B$3), "")</f>
        <v/>
      </c>
      <c r="D36" s="4" t="str">
        <f>IFERROR(VLOOKUP($B36, 'Cadastro dos Ativos'!$A$1:$C$217, 3, FALSE), "")</f>
        <v/>
      </c>
      <c r="E36" s="408" t="str">
        <f>IFS($D36="Ações Listadas na B3", (($C36 * HLOOKUP($B36, 'Histórico'!$A$1:$FI$296, MATCH($B$3,'Histórico'!$A:$A),0)) / $B$6),
$D36="Ações Americanas",(($C36 * HLOOKUP($B36, 'Histórico'!$A$1:$FI$296, MATCH($B$3,'Histórico'!$A:$A),0)) * HLOOKUP("PTAX", 'Histórico'!$A$1:$FI$296, MATCH($B$3,'Histórico'!$A:$A),0) / $B$6),
$D36="Ações Europeias",(($C36 * HLOOKUP($B36, 'Histórico'!$A$1:$FI$296, MATCH($B$3,'Histórico'!$A:$A),0)) * HLOOKUP("EUR/BRL", 'Histórico'!$A$1:$FI$296, MATCH($B$3,'Histórico'!$A:$A),0) / $B$6),
$D36="Futuros",(SUMIFS('Alocação'!$N:$N,'Alocação'!$C:$C,$B36,'Alocação'!$F:$F,$N$4,'Alocação'!$B:$B,"&lt;="&amp;$B$3))/($B$6)+($C36*SUMPRODUCT(('Histórico T'!$A:$A=$B36)*('Histórico T'!$B:$AAW)))/($B$6),$D36="Moedas",(($C36 * HLOOKUP($B36, 'Histórico'!$A$1:$FI$296, MATCH($B$3,'Histórico'!$A:$A),0)) / $B$6),$B36="","")</f>
        <v/>
      </c>
      <c r="F36" s="408" t="str">
        <f t="shared" si="7"/>
        <v/>
      </c>
      <c r="G36" s="394" t="str">
        <f>IFS(OR($D36="Ações Listadas na B3",$D36="Ações Americanas",$D36="Moedas",$D36="Ações Europeias",$D36="Títulos"),$AA36,
$D36="Futuros",
(SUMIFS('Alocação'!$O$3:$O$1002,'Alocação'!$C$3:$C$1002,B36,'Alocação'!$F$3:$F$1002,N$4,'Alocação'!$B$3:$B$1002,"&lt;="&amp;$C$3))*HLOOKUP(B36,'Histórico'!$A$1:$DD$990,MATCH($B$3,'Histórico'!$A:$A),FALSE),
$D36="",""
)</f>
        <v/>
      </c>
      <c r="H36" s="395" t="str">
        <f t="shared" si="8"/>
        <v/>
      </c>
      <c r="I36" s="396" t="str">
        <f t="shared" si="9"/>
        <v/>
      </c>
      <c r="J36" s="383"/>
      <c r="K36" s="383"/>
      <c r="L36" s="383"/>
      <c r="M36" s="383"/>
      <c r="N36" s="348"/>
      <c r="O36" s="348"/>
      <c r="P36" s="247"/>
      <c r="Q36" s="247"/>
      <c r="R36" s="400" t="str">
        <f t="array" ref="R36">IFERROR(IF(D36&lt;&gt;"Futuros",
(INDEX('Histórico'!$B$1:$ADT1001, MATCH($B$3, 'Histórico'!$A$1:$A1001, 0), MATCH(B36, 'Histórico'!$1:$1, 0)-1)/INDEX('Histórico'!$B$1:$ADT1001, MATCH($C$3, 'Histórico'!$A$1:$A1001, 0), MATCH(B36, 'Histórico'!$1:$1, 0)-1)-1),
""),"")</f>
        <v/>
      </c>
      <c r="S36" s="348"/>
      <c r="T36" s="348"/>
      <c r="U36" s="348"/>
      <c r="V36" s="307"/>
      <c r="W36" s="247"/>
      <c r="X36" s="247"/>
      <c r="Y36" s="348"/>
      <c r="Z36" s="427" t="str">
        <f>IF(D36&lt;&gt;"Futuros","",HLOOKUP(B36,'Preços Futuros'!$A$1:$Z$1000,$B$3))</f>
        <v/>
      </c>
      <c r="AA36" s="311"/>
      <c r="AB36" s="307"/>
      <c r="AC36" s="307"/>
      <c r="AD36" s="307"/>
    </row>
    <row r="37" ht="15.75" customHeight="1">
      <c r="A37" s="348"/>
      <c r="B37" s="429"/>
      <c r="C37" s="430" t="str">
        <f>IF($B37 &lt;&gt; "",SUMIFS('Alocação'!$O$3:$O$1002,'Alocação'!$C$3:$C$1002,$B37,'Alocação'!$F$3:$F$1002,$N$4,'Alocação'!$B$3:$B$1002,"&lt;="&amp;$B$3), "")</f>
        <v/>
      </c>
      <c r="D37" s="430" t="str">
        <f>IFERROR(VLOOKUP($B37, 'Cadastro dos Ativos'!$A$1:$C$217, 3, FALSE), "")</f>
        <v/>
      </c>
      <c r="E37" s="431" t="str">
        <f>IFS($D37="Ações Listadas na B3", (($C37 * HLOOKUP($B37, 'Histórico'!$A$1:$FI$296, MATCH($B$3,'Histórico'!$A:$A),0)) / $B$6),
$D37="Ações Americanas",(($C37 * HLOOKUP($B37, 'Histórico'!$A$1:$FI$296, MATCH($B$3,'Histórico'!$A:$A),0)) * HLOOKUP("PTAX", 'Histórico'!$A$1:$FI$296, MATCH($B$3,'Histórico'!$A:$A),0) / $B$6),
$D37="Ações Europeias",(($C37 * HLOOKUP($B37, 'Histórico'!$A$1:$FI$296, MATCH($B$3,'Histórico'!$A:$A),0)) * HLOOKUP("EUR/BRL", 'Histórico'!$A$1:$FI$296, MATCH($B$3,'Histórico'!$A:$A),0) / $B$6),
$D37="Futuros",(SUMIFS('Alocação'!$N:$N,'Alocação'!$C:$C,$B37,'Alocação'!$F:$F,$N$4,'Alocação'!$B:$B,"&lt;="&amp;$B$3))/($B$6)+($C37*SUMPRODUCT(('Histórico T'!$A:$A=$B37)*('Histórico T'!$B:$AAW)))/($B$6),$D37="Moedas",(($C37 * HLOOKUP($B37, 'Histórico'!$A$1:$FI$296, MATCH($B$3,'Histórico'!$A:$A),0)) / $B$6),$B37="","")</f>
        <v/>
      </c>
      <c r="F37" s="431" t="str">
        <f t="shared" si="7"/>
        <v/>
      </c>
      <c r="G37" s="432" t="str">
        <f>IFS(OR($D37="Ações Listadas na B3",$D37="Ações Americanas",$D37="Moedas",$D37="Ações Europeias",$D37="Títulos"),$AA37,
$D37="Futuros",
(SUMIFS('Alocação'!$O$3:$O$1002,'Alocação'!$C$3:$C$1002,B37,'Alocação'!$F$3:$F$1002,N$4,'Alocação'!$B$3:$B$1002,"&lt;="&amp;$C$3))*HLOOKUP(B37,'Histórico'!$A$1:$DD$990,MATCH($B$3,'Histórico'!$A:$A),FALSE),
$D37="",""
)</f>
        <v/>
      </c>
      <c r="H37" s="433" t="str">
        <f t="shared" si="8"/>
        <v/>
      </c>
      <c r="I37" s="434" t="str">
        <f t="shared" si="9"/>
        <v/>
      </c>
      <c r="J37" s="383"/>
      <c r="K37" s="383"/>
      <c r="L37" s="383"/>
      <c r="M37" s="247"/>
      <c r="N37" s="247"/>
      <c r="O37" s="247"/>
      <c r="P37" s="247"/>
      <c r="Q37" s="247"/>
      <c r="R37" s="400" t="str">
        <f t="array" ref="R37">IFERROR(IF(D37&lt;&gt;"Futuros",
(INDEX('Histórico'!$B$1:$ADT1002, MATCH($B$3, 'Histórico'!$A$1:$A1002, 0), MATCH(B37, 'Histórico'!$1:$1, 0)-1)/INDEX('Histórico'!$B$1:$ADT1002, MATCH($C$3, 'Histórico'!$A$1:$A1002, 0), MATCH(B37, 'Histórico'!$1:$1, 0)-1)-1),
""),"")</f>
        <v/>
      </c>
      <c r="S37" s="348"/>
      <c r="T37" s="348"/>
      <c r="U37" s="348"/>
      <c r="V37" s="307"/>
      <c r="W37" s="247"/>
      <c r="X37" s="247"/>
      <c r="Y37" s="348"/>
      <c r="Z37" s="427" t="str">
        <f>IF(D37&lt;&gt;"Futuros","",HLOOKUP(B37,'Preços Futuros'!$A$1:$Z$1000,$B$3))</f>
        <v/>
      </c>
      <c r="AA37" s="307"/>
      <c r="AB37" s="307"/>
      <c r="AC37" s="307"/>
      <c r="AD37" s="307"/>
    </row>
    <row r="38" ht="15.75" customHeight="1">
      <c r="A38" s="306"/>
      <c r="B38" s="306"/>
      <c r="C38" s="306"/>
      <c r="D38" s="306"/>
      <c r="E38" s="306"/>
      <c r="F38" s="306"/>
      <c r="G38" s="306"/>
      <c r="H38" s="306"/>
      <c r="I38" s="435"/>
      <c r="J38" s="435"/>
      <c r="K38" s="306"/>
      <c r="L38" s="307"/>
      <c r="M38" s="307"/>
      <c r="N38" s="307"/>
      <c r="O38" s="307"/>
      <c r="P38" s="307"/>
      <c r="Q38" s="307"/>
      <c r="R38" s="307"/>
      <c r="S38" s="348"/>
      <c r="T38" s="348"/>
      <c r="U38" s="348"/>
      <c r="V38" s="307"/>
      <c r="W38" s="307"/>
      <c r="X38" s="307"/>
      <c r="Y38" s="348"/>
      <c r="Z38" s="307"/>
      <c r="AA38" s="307"/>
      <c r="AB38" s="307"/>
      <c r="AC38" s="307"/>
      <c r="AD38" s="307"/>
    </row>
    <row r="39" ht="15.75" customHeight="1">
      <c r="A39" s="306"/>
      <c r="B39" s="307"/>
      <c r="C39" s="307"/>
      <c r="D39" s="307"/>
      <c r="E39" s="307"/>
      <c r="F39" s="307"/>
      <c r="G39" s="307"/>
      <c r="H39" s="307"/>
      <c r="I39" s="307"/>
      <c r="J39" s="307"/>
      <c r="K39" s="306"/>
      <c r="L39" s="307"/>
      <c r="M39" s="307"/>
      <c r="N39" s="307"/>
      <c r="O39" s="307"/>
      <c r="P39" s="307"/>
      <c r="Q39" s="307"/>
      <c r="R39" s="307"/>
      <c r="S39" s="348"/>
      <c r="T39" s="348"/>
      <c r="U39" s="348"/>
      <c r="V39" s="307"/>
      <c r="W39" s="307"/>
      <c r="X39" s="307"/>
      <c r="Y39" s="307"/>
      <c r="Z39" s="307"/>
      <c r="AA39" s="307"/>
      <c r="AB39" s="307"/>
      <c r="AC39" s="307"/>
      <c r="AD39" s="307"/>
    </row>
    <row r="40" ht="15.75" customHeight="1">
      <c r="A40" s="306"/>
      <c r="B40" s="307"/>
      <c r="C40" s="307"/>
      <c r="D40" s="307"/>
      <c r="E40" s="307"/>
      <c r="F40" s="307"/>
      <c r="G40" s="307"/>
      <c r="H40" s="307"/>
      <c r="I40" s="307"/>
      <c r="J40" s="307"/>
      <c r="K40" s="306"/>
      <c r="L40" s="307"/>
      <c r="M40" s="307"/>
      <c r="N40" s="307"/>
      <c r="O40" s="307"/>
      <c r="P40" s="307"/>
      <c r="Q40" s="307"/>
      <c r="R40" s="307"/>
      <c r="S40" s="348"/>
      <c r="T40" s="348"/>
      <c r="U40" s="348"/>
      <c r="V40" s="307"/>
      <c r="W40" s="307"/>
      <c r="X40" s="307"/>
      <c r="Y40" s="307"/>
      <c r="Z40" s="307"/>
      <c r="AA40" s="307"/>
      <c r="AB40" s="307"/>
      <c r="AC40" s="307"/>
      <c r="AD40" s="307"/>
    </row>
    <row r="41" ht="15.75" customHeight="1">
      <c r="A41" s="306"/>
      <c r="B41" s="307"/>
      <c r="C41" s="307"/>
      <c r="D41" s="307"/>
      <c r="E41" s="307"/>
      <c r="F41" s="307"/>
      <c r="G41" s="307"/>
      <c r="H41" s="307"/>
      <c r="I41" s="307"/>
      <c r="J41" s="307"/>
      <c r="K41" s="306"/>
      <c r="L41" s="307"/>
      <c r="M41" s="307"/>
      <c r="N41" s="307"/>
      <c r="O41" s="307"/>
      <c r="P41" s="307"/>
      <c r="Q41" s="307"/>
      <c r="R41" s="307"/>
      <c r="S41" s="348"/>
      <c r="T41" s="348"/>
      <c r="U41" s="348"/>
      <c r="V41" s="307"/>
      <c r="W41" s="307"/>
      <c r="X41" s="307"/>
      <c r="Y41" s="307"/>
      <c r="Z41" s="307"/>
      <c r="AA41" s="307"/>
      <c r="AB41" s="307"/>
      <c r="AC41" s="307"/>
      <c r="AD41" s="307"/>
    </row>
    <row r="42" ht="15.75" customHeight="1">
      <c r="A42" s="306"/>
      <c r="B42" s="307"/>
      <c r="C42" s="307"/>
      <c r="D42" s="307"/>
      <c r="E42" s="307"/>
      <c r="F42" s="307"/>
      <c r="G42" s="307"/>
      <c r="H42" s="307"/>
      <c r="I42" s="307"/>
      <c r="J42" s="307"/>
      <c r="K42" s="306"/>
      <c r="L42" s="307"/>
      <c r="M42" s="307"/>
      <c r="N42" s="307"/>
      <c r="O42" s="307"/>
      <c r="P42" s="307"/>
      <c r="Q42" s="307"/>
      <c r="R42" s="307"/>
      <c r="S42" s="348"/>
      <c r="T42" s="348"/>
      <c r="U42" s="348"/>
      <c r="V42" s="307"/>
      <c r="W42" s="307"/>
      <c r="X42" s="307"/>
      <c r="Y42" s="307"/>
      <c r="Z42" s="307"/>
      <c r="AA42" s="307"/>
      <c r="AB42" s="307"/>
      <c r="AC42" s="307"/>
      <c r="AD42" s="307"/>
    </row>
    <row r="43" ht="15.75" customHeight="1">
      <c r="A43" s="306"/>
      <c r="B43" s="307"/>
      <c r="C43" s="307"/>
      <c r="D43" s="307"/>
      <c r="E43" s="307"/>
      <c r="F43" s="307"/>
      <c r="G43" s="307"/>
      <c r="H43" s="307"/>
      <c r="I43" s="307"/>
      <c r="J43" s="307"/>
      <c r="K43" s="306"/>
      <c r="L43" s="307"/>
      <c r="M43" s="307"/>
      <c r="N43" s="307"/>
      <c r="O43" s="307"/>
      <c r="P43" s="307"/>
      <c r="Q43" s="307"/>
      <c r="R43" s="307"/>
      <c r="S43" s="348"/>
      <c r="T43" s="348"/>
      <c r="U43" s="348"/>
      <c r="V43" s="307"/>
      <c r="W43" s="307"/>
      <c r="X43" s="307"/>
      <c r="Y43" s="307"/>
      <c r="Z43" s="307"/>
      <c r="AA43" s="307"/>
      <c r="AB43" s="307"/>
      <c r="AC43" s="307"/>
      <c r="AD43" s="307"/>
    </row>
    <row r="44" ht="15.75" customHeight="1">
      <c r="A44" s="306"/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7"/>
      <c r="M44" s="307"/>
      <c r="N44" s="307"/>
      <c r="O44" s="307"/>
      <c r="P44" s="307"/>
      <c r="Q44" s="307"/>
      <c r="R44" s="307"/>
      <c r="S44" s="348"/>
      <c r="T44" s="348"/>
      <c r="U44" s="348"/>
      <c r="V44" s="307"/>
      <c r="W44" s="307"/>
      <c r="X44" s="307"/>
      <c r="Y44" s="307"/>
      <c r="Z44" s="307"/>
      <c r="AA44" s="307"/>
      <c r="AB44" s="307"/>
      <c r="AC44" s="307"/>
      <c r="AD44" s="307"/>
    </row>
    <row r="45" ht="15.75" customHeight="1">
      <c r="A45" s="306"/>
      <c r="B45" s="306"/>
      <c r="C45" s="306"/>
      <c r="D45" s="306"/>
      <c r="E45" s="306"/>
      <c r="F45" s="306"/>
      <c r="G45" s="306"/>
      <c r="H45" s="306"/>
      <c r="I45" s="306"/>
      <c r="J45" s="306"/>
      <c r="K45" s="306"/>
      <c r="L45" s="307"/>
      <c r="M45" s="307"/>
      <c r="N45" s="307"/>
      <c r="O45" s="307"/>
      <c r="P45" s="307"/>
      <c r="Q45" s="307"/>
      <c r="R45" s="307"/>
      <c r="S45" s="348"/>
      <c r="T45" s="348"/>
      <c r="U45" s="348"/>
      <c r="V45" s="307"/>
      <c r="W45" s="307"/>
      <c r="X45" s="307"/>
      <c r="Y45" s="307"/>
      <c r="Z45" s="307"/>
      <c r="AA45" s="307"/>
      <c r="AB45" s="307"/>
      <c r="AC45" s="307"/>
      <c r="AD45" s="307"/>
    </row>
    <row r="46" ht="15.75" customHeight="1">
      <c r="A46" s="306"/>
      <c r="B46" s="306"/>
      <c r="C46" s="306"/>
      <c r="D46" s="306"/>
      <c r="E46" s="306"/>
      <c r="F46" s="306"/>
      <c r="G46" s="306"/>
      <c r="H46" s="306"/>
      <c r="I46" s="306"/>
      <c r="J46" s="306"/>
      <c r="K46" s="306"/>
      <c r="L46" s="307"/>
      <c r="M46" s="307"/>
      <c r="N46" s="307"/>
      <c r="O46" s="307"/>
      <c r="P46" s="307"/>
      <c r="Q46" s="307"/>
      <c r="R46" s="307"/>
      <c r="S46" s="348"/>
      <c r="T46" s="348"/>
      <c r="U46" s="348"/>
      <c r="V46" s="307"/>
      <c r="W46" s="307"/>
      <c r="X46" s="307"/>
      <c r="Y46" s="307"/>
      <c r="Z46" s="307"/>
      <c r="AA46" s="307"/>
      <c r="AB46" s="307"/>
      <c r="AC46" s="307"/>
      <c r="AD46" s="307"/>
    </row>
    <row r="47" ht="15.75" customHeight="1">
      <c r="A47" s="306"/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7"/>
      <c r="M47" s="307"/>
      <c r="N47" s="307"/>
      <c r="O47" s="307"/>
      <c r="P47" s="307"/>
      <c r="Q47" s="307"/>
      <c r="R47" s="307"/>
      <c r="S47" s="348"/>
      <c r="T47" s="348"/>
      <c r="U47" s="348"/>
      <c r="V47" s="307"/>
      <c r="W47" s="307"/>
      <c r="X47" s="307"/>
      <c r="Y47" s="307"/>
      <c r="Z47" s="307"/>
      <c r="AA47" s="307"/>
      <c r="AB47" s="307"/>
      <c r="AC47" s="307"/>
      <c r="AD47" s="307"/>
    </row>
    <row r="48" ht="15.75" customHeight="1">
      <c r="A48" s="306"/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7"/>
      <c r="M48" s="307"/>
      <c r="N48" s="307"/>
      <c r="O48" s="307"/>
      <c r="P48" s="307"/>
      <c r="Q48" s="307"/>
      <c r="R48" s="307"/>
      <c r="S48" s="348"/>
      <c r="T48" s="348"/>
      <c r="U48" s="348"/>
      <c r="V48" s="307"/>
      <c r="W48" s="307"/>
      <c r="X48" s="307"/>
      <c r="Y48" s="307"/>
      <c r="Z48" s="307"/>
      <c r="AA48" s="307"/>
      <c r="AB48" s="307"/>
      <c r="AC48" s="307"/>
      <c r="AD48" s="307"/>
    </row>
    <row r="49" ht="15.75" customHeight="1">
      <c r="A49" s="306"/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7"/>
      <c r="M49" s="307"/>
      <c r="N49" s="307"/>
      <c r="O49" s="307"/>
      <c r="P49" s="307"/>
      <c r="Q49" s="307"/>
      <c r="R49" s="307"/>
      <c r="S49" s="348"/>
      <c r="T49" s="348"/>
      <c r="U49" s="348"/>
      <c r="V49" s="307"/>
      <c r="W49" s="307"/>
      <c r="X49" s="307"/>
      <c r="Y49" s="307"/>
      <c r="Z49" s="307"/>
      <c r="AA49" s="307"/>
      <c r="AB49" s="307"/>
      <c r="AC49" s="307"/>
      <c r="AD49" s="307"/>
    </row>
    <row r="50" ht="15.75" customHeight="1">
      <c r="A50" s="306"/>
      <c r="B50" s="306"/>
      <c r="C50" s="306"/>
      <c r="D50" s="306"/>
      <c r="E50" s="306"/>
      <c r="F50" s="306"/>
      <c r="G50" s="306"/>
      <c r="H50" s="306"/>
      <c r="I50" s="306"/>
      <c r="J50" s="306"/>
      <c r="K50" s="306"/>
      <c r="L50" s="307"/>
      <c r="M50" s="307"/>
      <c r="N50" s="307"/>
      <c r="O50" s="307"/>
      <c r="P50" s="307"/>
      <c r="Q50" s="307"/>
      <c r="R50" s="307"/>
      <c r="S50" s="348"/>
      <c r="T50" s="348"/>
      <c r="U50" s="348"/>
      <c r="V50" s="307"/>
      <c r="W50" s="307"/>
      <c r="X50" s="307"/>
      <c r="Y50" s="307"/>
      <c r="Z50" s="307"/>
      <c r="AA50" s="307"/>
      <c r="AB50" s="307"/>
      <c r="AC50" s="307"/>
      <c r="AD50" s="307"/>
    </row>
    <row r="51" ht="15.75" customHeight="1">
      <c r="A51" s="306"/>
      <c r="B51" s="306"/>
      <c r="C51" s="306"/>
      <c r="D51" s="306"/>
      <c r="E51" s="306"/>
      <c r="F51" s="306"/>
      <c r="G51" s="306"/>
      <c r="H51" s="306"/>
      <c r="I51" s="306"/>
      <c r="J51" s="306"/>
      <c r="K51" s="306"/>
      <c r="L51" s="307"/>
      <c r="M51" s="307"/>
      <c r="N51" s="307"/>
      <c r="O51" s="307"/>
      <c r="P51" s="307"/>
      <c r="Q51" s="307"/>
      <c r="R51" s="307"/>
      <c r="S51" s="348"/>
      <c r="T51" s="348"/>
      <c r="U51" s="348"/>
      <c r="V51" s="307"/>
      <c r="W51" s="307"/>
      <c r="X51" s="307"/>
      <c r="Y51" s="307"/>
      <c r="Z51" s="307"/>
      <c r="AA51" s="307"/>
      <c r="AB51" s="307"/>
      <c r="AC51" s="307"/>
      <c r="AD51" s="307"/>
    </row>
    <row r="52" ht="15.75" customHeight="1">
      <c r="A52" s="306"/>
      <c r="B52" s="306"/>
      <c r="C52" s="306"/>
      <c r="D52" s="306"/>
      <c r="E52" s="306"/>
      <c r="F52" s="306"/>
      <c r="G52" s="306"/>
      <c r="H52" s="306"/>
      <c r="I52" s="306"/>
      <c r="J52" s="306"/>
      <c r="K52" s="306"/>
      <c r="L52" s="307"/>
      <c r="M52" s="307"/>
      <c r="N52" s="307"/>
      <c r="O52" s="307"/>
      <c r="P52" s="307"/>
      <c r="Q52" s="307"/>
      <c r="R52" s="307"/>
      <c r="S52" s="348"/>
      <c r="T52" s="348"/>
      <c r="U52" s="348"/>
      <c r="V52" s="307"/>
      <c r="W52" s="307"/>
      <c r="X52" s="307"/>
      <c r="Y52" s="307"/>
      <c r="Z52" s="307"/>
      <c r="AA52" s="307"/>
      <c r="AB52" s="307"/>
      <c r="AC52" s="307"/>
      <c r="AD52" s="307"/>
    </row>
    <row r="53" ht="15.75" customHeight="1">
      <c r="A53" s="306"/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7"/>
      <c r="M53" s="307"/>
      <c r="N53" s="307"/>
      <c r="O53" s="307"/>
      <c r="P53" s="307"/>
      <c r="Q53" s="307"/>
      <c r="R53" s="307"/>
      <c r="S53" s="348"/>
      <c r="T53" s="348"/>
      <c r="U53" s="348"/>
      <c r="V53" s="307"/>
      <c r="W53" s="307"/>
      <c r="X53" s="307"/>
      <c r="Y53" s="307"/>
      <c r="Z53" s="307"/>
      <c r="AA53" s="307"/>
      <c r="AB53" s="307"/>
      <c r="AC53" s="307"/>
      <c r="AD53" s="307"/>
    </row>
    <row r="54" ht="15.75" customHeight="1">
      <c r="A54" s="306"/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7"/>
      <c r="M54" s="307"/>
      <c r="N54" s="307"/>
      <c r="O54" s="307"/>
      <c r="P54" s="307"/>
      <c r="Q54" s="307"/>
      <c r="R54" s="307"/>
      <c r="S54" s="427" t="s">
        <v>377</v>
      </c>
      <c r="T54" s="436" t="s">
        <v>378</v>
      </c>
      <c r="U54" s="348" t="s">
        <v>379</v>
      </c>
      <c r="V54" s="307"/>
      <c r="W54" s="307"/>
      <c r="X54" s="307"/>
      <c r="Y54" s="307"/>
      <c r="Z54" s="307"/>
      <c r="AA54" s="307"/>
      <c r="AB54" s="307"/>
      <c r="AC54" s="307"/>
      <c r="AD54" s="307"/>
    </row>
    <row r="55" ht="15.75" customHeight="1">
      <c r="A55" s="306"/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7"/>
      <c r="M55" s="307"/>
      <c r="N55" s="307"/>
      <c r="O55" s="307"/>
      <c r="P55" s="307"/>
      <c r="Q55" s="307"/>
      <c r="R55" s="307"/>
      <c r="S55" s="437">
        <f t="array" ref="S55">ABS(IF($D18="Ações Americanas",
$C18*(INDEX('Histórico'!$1:$991,MATCH($B$3,'Histórico'!$A:$A,0),MATCH($B18,'Histórico'!$1:$1,0))-INDEX('Histórico'!$1:$991,MATCH($C$3,'Histórico'!$A:$A,0),MATCH($B18,'Histórico'!$1:$1,0)))*INDEX('Histórico'!$1:$991,MATCH($B$3,'Histórico'!$A:$A,0),MATCH("PTAX",'Histórico'!$1:$1,0)),
IF($D18="Futuros",$C18*INDEX('Histórico'!$1:$991,MATCH($B$3,'Histórico'!$A:$A,0),MATCH($B18,'Histórico'!$1:$1,0)),
$C18*(INDEX('Histórico'!$1:$991,MATCH($B$3,'Histórico'!$A:$A,0),MATCH($B18,'Histórico'!$1:$1,0))-INDEX('Histórico'!$1:$991,MATCH($C$3,'Histórico'!$A:$A,0),MATCH($B18,'Histórico'!$1:$1,0))))))</f>
        <v>0.4400005341</v>
      </c>
      <c r="T55" s="427" t="str">
        <f>IF(D18&lt;&gt;"Futuros","",HLOOKUP(B18,'Preços Futuros'!$A$1:$Z$1000,$B$3))</f>
        <v/>
      </c>
      <c r="U55" s="311"/>
      <c r="V55" s="307"/>
      <c r="W55" s="307"/>
      <c r="X55" s="307"/>
      <c r="Y55" s="307"/>
      <c r="Z55" s="307"/>
      <c r="AA55" s="307"/>
      <c r="AB55" s="307"/>
      <c r="AC55" s="307"/>
      <c r="AD55" s="307"/>
    </row>
    <row r="56" ht="15.75" customHeight="1">
      <c r="A56" s="306"/>
      <c r="B56" s="306"/>
      <c r="C56" s="306"/>
      <c r="D56" s="306"/>
      <c r="E56" s="306"/>
      <c r="F56" s="306"/>
      <c r="G56" s="306"/>
      <c r="H56" s="306"/>
      <c r="I56" s="306"/>
      <c r="J56" s="306"/>
      <c r="K56" s="306"/>
      <c r="L56" s="307"/>
      <c r="M56" s="307"/>
      <c r="N56" s="307"/>
      <c r="O56" s="307"/>
      <c r="P56" s="307"/>
      <c r="Q56" s="307"/>
      <c r="R56" s="307"/>
      <c r="S56" s="437">
        <f t="array" ref="S56">ABS(IF($D19="Ações Americanas",
$C19*(INDEX('Histórico'!$1:$991,MATCH($B$3,'Histórico'!$A:$A,0),MATCH($B19,'Histórico'!$1:$1,0))-INDEX('Histórico'!$1:$991,MATCH($C$3,'Histórico'!$A:$A,0),MATCH($B19,'Histórico'!$1:$1,0)))*INDEX('Histórico'!$1:$991,MATCH($B$3,'Histórico'!$A:$A,0),MATCH("PTAX",'Histórico'!$1:$1,0)),
IF($D19="Futuros",$C19*INDEX('Histórico'!$1:$991,MATCH($B$3,'Histórico'!$A:$A,0),MATCH($B19,'Histórico'!$1:$1,0)),
$C19*(INDEX('Histórico'!$1:$991,MATCH($B$3,'Histórico'!$A:$A,0),MATCH($B19,'Histórico'!$1:$1,0))-INDEX('Histórico'!$1:$991,MATCH($C$3,'Histórico'!$A:$A,0),MATCH($B19,'Histórico'!$1:$1,0))))))</f>
        <v>129000.0916</v>
      </c>
      <c r="T56" s="427" t="str">
        <f>IF(D19&lt;&gt;"Futuros","",HLOOKUP(B19,'Preços Futuros'!$A$1:$Z$1000,$B$3))</f>
        <v/>
      </c>
      <c r="U56" s="311"/>
      <c r="V56" s="307"/>
      <c r="W56" s="307"/>
      <c r="X56" s="307"/>
      <c r="Y56" s="307"/>
      <c r="Z56" s="307"/>
      <c r="AA56" s="307"/>
      <c r="AB56" s="307"/>
      <c r="AC56" s="307"/>
      <c r="AD56" s="307"/>
    </row>
    <row r="57" ht="15.75" customHeight="1">
      <c r="A57" s="306"/>
      <c r="B57" s="306"/>
      <c r="C57" s="306"/>
      <c r="D57" s="306"/>
      <c r="E57" s="306"/>
      <c r="F57" s="306"/>
      <c r="G57" s="306"/>
      <c r="H57" s="306"/>
      <c r="I57" s="306"/>
      <c r="J57" s="306"/>
      <c r="K57" s="306"/>
      <c r="L57" s="307"/>
      <c r="M57" s="307"/>
      <c r="N57" s="307"/>
      <c r="O57" s="307"/>
      <c r="P57" s="307"/>
      <c r="Q57" s="307"/>
      <c r="R57" s="307"/>
      <c r="S57" s="437">
        <f t="array" ref="S57">ABS(IF($D20="Ações Americanas",
$C20*(INDEX('Histórico'!$1:$991,MATCH($B$3,'Histórico'!$A:$A,0),MATCH($B20,'Histórico'!$1:$1,0))-INDEX('Histórico'!$1:$991,MATCH($C$3,'Histórico'!$A:$A,0),MATCH($B20,'Histórico'!$1:$1,0)))*INDEX('Histórico'!$1:$991,MATCH($B$3,'Histórico'!$A:$A,0),MATCH("PTAX",'Histórico'!$1:$1,0)),
IF($D20="Futuros",$C20*INDEX('Histórico'!$1:$991,MATCH($B$3,'Histórico'!$A:$A,0),MATCH($B20,'Histórico'!$1:$1,0)),
$C20*(INDEX('Histórico'!$1:$991,MATCH($B$3,'Histórico'!$A:$A,0),MATCH($B20,'Histórico'!$1:$1,0))-INDEX('Histórico'!$1:$991,MATCH($C$3,'Histórico'!$A:$A,0),MATCH($B20,'Histórico'!$1:$1,0))))))</f>
        <v>15510</v>
      </c>
      <c r="T57" s="307"/>
      <c r="U57" s="307"/>
      <c r="V57" s="307"/>
      <c r="W57" s="307"/>
      <c r="X57" s="307"/>
      <c r="Y57" s="307"/>
      <c r="Z57" s="307"/>
      <c r="AA57" s="307"/>
      <c r="AB57" s="307"/>
      <c r="AC57" s="307"/>
      <c r="AD57" s="307"/>
    </row>
    <row r="58" ht="15.75" customHeight="1">
      <c r="A58" s="306"/>
      <c r="B58" s="306"/>
      <c r="C58" s="306"/>
      <c r="D58" s="306"/>
      <c r="E58" s="306"/>
      <c r="F58" s="306"/>
      <c r="G58" s="306"/>
      <c r="H58" s="306"/>
      <c r="I58" s="306"/>
      <c r="J58" s="306"/>
      <c r="K58" s="306"/>
      <c r="L58" s="307"/>
      <c r="M58" s="307"/>
      <c r="N58" s="307"/>
      <c r="O58" s="307"/>
      <c r="P58" s="307"/>
      <c r="Q58" s="307"/>
      <c r="R58" s="307"/>
      <c r="S58" s="437">
        <f t="array" ref="S58">ABS(IF($D21="Ações Americanas",
$C21*(INDEX('Histórico'!$1:$991,MATCH($B$3,'Histórico'!$A:$A,0),MATCH($B21,'Histórico'!$1:$1,0))-INDEX('Histórico'!$1:$991,MATCH($C$3,'Histórico'!$A:$A,0),MATCH($B21,'Histórico'!$1:$1,0)))*INDEX('Histórico'!$1:$991,MATCH($B$3,'Histórico'!$A:$A,0),MATCH("PTAX",'Histórico'!$1:$1,0)),
IF($D21="Futuros",$C21*INDEX('Histórico'!$1:$991,MATCH($B$3,'Histórico'!$A:$A,0),MATCH($B21,'Histórico'!$1:$1,0)),
$C21*(INDEX('Histórico'!$1:$991,MATCH($B$3,'Histórico'!$A:$A,0),MATCH($B21,'Histórico'!$1:$1,0))-INDEX('Histórico'!$1:$991,MATCH($C$3,'Histórico'!$A:$A,0),MATCH($B21,'Histórico'!$1:$1,0))))))</f>
        <v>2859</v>
      </c>
      <c r="T58" s="307"/>
      <c r="U58" s="307"/>
      <c r="V58" s="307"/>
      <c r="W58" s="307"/>
      <c r="X58" s="307"/>
      <c r="Y58" s="307"/>
      <c r="Z58" s="307"/>
      <c r="AA58" s="307"/>
      <c r="AB58" s="307"/>
      <c r="AC58" s="307"/>
      <c r="AD58" s="307"/>
    </row>
    <row r="59" ht="15.75" customHeight="1">
      <c r="A59" s="306"/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7"/>
      <c r="M59" s="307"/>
      <c r="N59" s="307"/>
      <c r="O59" s="307"/>
      <c r="P59" s="307"/>
      <c r="Q59" s="307"/>
      <c r="R59" s="307"/>
      <c r="S59" s="437">
        <f t="array" ref="S59">ABS(IF($D22="Ações Americanas",
$C22*(INDEX('Histórico'!$1:$991,MATCH($B$3,'Histórico'!$A:$A,0),MATCH($B22,'Histórico'!$1:$1,0))-INDEX('Histórico'!$1:$991,MATCH($C$3,'Histórico'!$A:$A,0),MATCH($B22,'Histórico'!$1:$1,0)))*INDEX('Histórico'!$1:$991,MATCH($B$3,'Histórico'!$A:$A,0),MATCH("PTAX",'Histórico'!$1:$1,0)),
IF($D22="Futuros",$C22*INDEX('Histórico'!$1:$991,MATCH($B$3,'Histórico'!$A:$A,0),MATCH($B22,'Histórico'!$1:$1,0)),
$C22*(INDEX('Histórico'!$1:$991,MATCH($B$3,'Histórico'!$A:$A,0),MATCH($B22,'Histórico'!$1:$1,0))-INDEX('Histórico'!$1:$991,MATCH($C$3,'Histórico'!$A:$A,0),MATCH($B22,'Histórico'!$1:$1,0))))))</f>
        <v>176.4</v>
      </c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</row>
    <row r="60" ht="15.75" customHeight="1">
      <c r="A60" s="306"/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7"/>
      <c r="M60" s="307"/>
      <c r="N60" s="307"/>
      <c r="O60" s="307"/>
      <c r="P60" s="307"/>
      <c r="Q60" s="307"/>
      <c r="R60" s="307"/>
      <c r="S60" s="437">
        <f t="array" ref="S60">ABS(IF($D23="Ações Americanas",
$C23*(INDEX('Histórico'!$1:$991,MATCH($B$3,'Histórico'!$A:$A,0),MATCH($B23,'Histórico'!$1:$1,0))-INDEX('Histórico'!$1:$991,MATCH($C$3,'Histórico'!$A:$A,0),MATCH($B23,'Histórico'!$1:$1,0)))*INDEX('Histórico'!$1:$991,MATCH($B$3,'Histórico'!$A:$A,0),MATCH("PTAX",'Histórico'!$1:$1,0)),
IF($D23="Futuros",$C23*INDEX('Histórico'!$1:$991,MATCH($B$3,'Histórico'!$A:$A,0),MATCH($B23,'Histórico'!$1:$1,0)),
$C23*(INDEX('Histórico'!$1:$991,MATCH($B$3,'Histórico'!$A:$A,0),MATCH($B23,'Histórico'!$1:$1,0))-INDEX('Histórico'!$1:$991,MATCH($C$3,'Histórico'!$A:$A,0),MATCH($B23,'Histórico'!$1:$1,0))))))</f>
        <v>111729.5</v>
      </c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</row>
    <row r="61" ht="15.75" customHeight="1">
      <c r="A61" s="306"/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7"/>
      <c r="M61" s="307"/>
      <c r="N61" s="307"/>
      <c r="O61" s="307"/>
      <c r="P61" s="307"/>
      <c r="Q61" s="307"/>
      <c r="R61" s="307"/>
      <c r="S61" s="437">
        <f t="array" ref="S61">ABS(IF($D24="Ações Americanas",
$C24*(INDEX('Histórico'!$1:$991,MATCH($B$3,'Histórico'!$A:$A,0),MATCH($B24,'Histórico'!$1:$1,0))-INDEX('Histórico'!$1:$991,MATCH($C$3,'Histórico'!$A:$A,0),MATCH($B24,'Histórico'!$1:$1,0)))*INDEX('Histórico'!$1:$991,MATCH($B$3,'Histórico'!$A:$A,0),MATCH("PTAX",'Histórico'!$1:$1,0)),
IF($D24="Futuros",$C24*INDEX('Histórico'!$1:$991,MATCH($B$3,'Histórico'!$A:$A,0),MATCH($B24,'Histórico'!$1:$1,0)),
$C24*(INDEX('Histórico'!$1:$991,MATCH($B$3,'Histórico'!$A:$A,0),MATCH($B24,'Histórico'!$1:$1,0))-INDEX('Histórico'!$1:$991,MATCH($C$3,'Histórico'!$A:$A,0),MATCH($B24,'Histórico'!$1:$1,0))))))</f>
        <v>77250</v>
      </c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</row>
    <row r="62" ht="15.75" customHeight="1">
      <c r="A62" s="306"/>
      <c r="B62" s="306"/>
      <c r="C62" s="306"/>
      <c r="D62" s="306"/>
      <c r="E62" s="306"/>
      <c r="F62" s="306"/>
      <c r="G62" s="306"/>
      <c r="H62" s="306"/>
      <c r="I62" s="306"/>
      <c r="J62" s="306"/>
      <c r="K62" s="306"/>
      <c r="L62" s="307"/>
      <c r="M62" s="307"/>
      <c r="N62" s="307"/>
      <c r="O62" s="307"/>
      <c r="P62" s="307"/>
      <c r="Q62" s="307"/>
      <c r="R62" s="307"/>
      <c r="S62" s="437" t="str">
        <f t="array" ref="S62">ABS(IF($D25="Ações Americanas",
$C25*(INDEX('Histórico'!$1:$991,MATCH($B$3,'Histórico'!$A:$A,0),MATCH($B25,'Histórico'!$1:$1,0))-INDEX('Histórico'!$1:$991,MATCH($C$3,'Histórico'!$A:$A,0),MATCH($B25,'Histórico'!$1:$1,0)))*INDEX('Histórico'!$1:$991,MATCH($B$3,'Histórico'!$A:$A,0),MATCH("PTAX",'Histórico'!$1:$1,0)),
IF($D25="Futuros",$C25*INDEX('Histórico'!$1:$991,MATCH($B$3,'Histórico'!$A:$A,0),MATCH($B25,'Histórico'!$1:$1,0)),
$C25*(INDEX('Histórico'!$1:$991,MATCH($B$3,'Histórico'!$A:$A,0),MATCH($B25,'Histórico'!$1:$1,0))-INDEX('Histórico'!$1:$991,MATCH($C$3,'Histórico'!$A:$A,0),MATCH($B25,'Histórico'!$1:$1,0))))))</f>
        <v>#N/A</v>
      </c>
      <c r="T62" s="307"/>
      <c r="U62" s="307"/>
      <c r="V62" s="307"/>
      <c r="W62" s="307"/>
      <c r="X62" s="307"/>
      <c r="Y62" s="307"/>
      <c r="Z62" s="307"/>
      <c r="AA62" s="307"/>
      <c r="AB62" s="307"/>
      <c r="AC62" s="307"/>
      <c r="AD62" s="307"/>
    </row>
    <row r="63" ht="15.75" customHeight="1">
      <c r="A63" s="306"/>
      <c r="B63" s="306"/>
      <c r="C63" s="306"/>
      <c r="D63" s="306"/>
      <c r="E63" s="306"/>
      <c r="F63" s="306"/>
      <c r="G63" s="306"/>
      <c r="H63" s="306"/>
      <c r="I63" s="306"/>
      <c r="J63" s="306"/>
      <c r="K63" s="306"/>
      <c r="L63" s="307"/>
      <c r="M63" s="307"/>
      <c r="N63" s="307"/>
      <c r="O63" s="307"/>
      <c r="P63" s="307"/>
      <c r="Q63" s="307"/>
      <c r="R63" s="307"/>
      <c r="S63" s="437" t="str">
        <f t="array" ref="S63">ABS(IF($D26="Ações Americanas",
$C26*(INDEX('Histórico'!$1:$991,MATCH($B$3,'Histórico'!$A:$A,0),MATCH($B26,'Histórico'!$1:$1,0))-INDEX('Histórico'!$1:$991,MATCH($C$3,'Histórico'!$A:$A,0),MATCH($B26,'Histórico'!$1:$1,0)))*INDEX('Histórico'!$1:$991,MATCH($B$3,'Histórico'!$A:$A,0),MATCH("PTAX",'Histórico'!$1:$1,0)),
IF($D26="Futuros",$C26*INDEX('Histórico'!$1:$991,MATCH($B$3,'Histórico'!$A:$A,0),MATCH($B26,'Histórico'!$1:$1,0)),
$C26*(INDEX('Histórico'!$1:$991,MATCH($B$3,'Histórico'!$A:$A,0),MATCH($B26,'Histórico'!$1:$1,0))-INDEX('Histórico'!$1:$991,MATCH($C$3,'Histórico'!$A:$A,0),MATCH($B26,'Histórico'!$1:$1,0))))))</f>
        <v>#N/A</v>
      </c>
      <c r="T63" s="307"/>
      <c r="U63" s="307"/>
      <c r="V63" s="307"/>
      <c r="W63" s="307"/>
      <c r="X63" s="307"/>
      <c r="Y63" s="307"/>
      <c r="Z63" s="307"/>
      <c r="AA63" s="307"/>
      <c r="AB63" s="307"/>
      <c r="AC63" s="307"/>
      <c r="AD63" s="307"/>
    </row>
    <row r="64" ht="15.75" customHeight="1">
      <c r="A64" s="306"/>
      <c r="B64" s="306"/>
      <c r="C64" s="306"/>
      <c r="D64" s="306"/>
      <c r="E64" s="306"/>
      <c r="F64" s="306"/>
      <c r="G64" s="306"/>
      <c r="H64" s="306"/>
      <c r="I64" s="306"/>
      <c r="J64" s="306"/>
      <c r="K64" s="306"/>
      <c r="L64" s="307"/>
      <c r="M64" s="307"/>
      <c r="N64" s="307"/>
      <c r="O64" s="307"/>
      <c r="P64" s="307"/>
      <c r="Q64" s="307"/>
      <c r="R64" s="307"/>
      <c r="S64" s="307"/>
      <c r="T64" s="307"/>
      <c r="U64" s="307"/>
      <c r="V64" s="307"/>
      <c r="W64" s="307"/>
      <c r="X64" s="307"/>
      <c r="Y64" s="307"/>
      <c r="Z64" s="307"/>
      <c r="AA64" s="307"/>
      <c r="AB64" s="307"/>
      <c r="AC64" s="307"/>
      <c r="AD64" s="307"/>
    </row>
    <row r="65" ht="15.75" customHeight="1">
      <c r="A65" s="306"/>
      <c r="B65" s="306"/>
      <c r="C65" s="306"/>
      <c r="D65" s="306"/>
      <c r="E65" s="306"/>
      <c r="F65" s="306"/>
      <c r="G65" s="306"/>
      <c r="H65" s="306"/>
      <c r="I65" s="306"/>
      <c r="J65" s="306"/>
      <c r="K65" s="306"/>
      <c r="L65" s="307"/>
      <c r="M65" s="307"/>
      <c r="N65" s="307"/>
      <c r="O65" s="307"/>
      <c r="P65" s="307"/>
      <c r="Q65" s="307"/>
      <c r="R65" s="307"/>
      <c r="S65" s="307"/>
      <c r="T65" s="307"/>
      <c r="U65" s="307"/>
      <c r="V65" s="307"/>
      <c r="W65" s="307"/>
      <c r="X65" s="307"/>
      <c r="Y65" s="307"/>
      <c r="Z65" s="307"/>
      <c r="AA65" s="307"/>
      <c r="AB65" s="307"/>
      <c r="AC65" s="307"/>
      <c r="AD65" s="307"/>
    </row>
    <row r="66" ht="15.75" customHeight="1">
      <c r="A66" s="306"/>
      <c r="B66" s="306"/>
      <c r="C66" s="306"/>
      <c r="D66" s="306"/>
      <c r="E66" s="306"/>
      <c r="F66" s="306"/>
      <c r="G66" s="306"/>
      <c r="H66" s="306"/>
      <c r="I66" s="306"/>
      <c r="J66" s="306"/>
      <c r="K66" s="306"/>
      <c r="L66" s="307"/>
      <c r="M66" s="307"/>
      <c r="N66" s="307"/>
      <c r="O66" s="307"/>
      <c r="P66" s="307"/>
      <c r="Q66" s="307"/>
      <c r="R66" s="307"/>
      <c r="S66" s="307"/>
      <c r="T66" s="307"/>
      <c r="U66" s="307"/>
      <c r="V66" s="307"/>
      <c r="W66" s="307"/>
      <c r="X66" s="307"/>
      <c r="Y66" s="307"/>
      <c r="Z66" s="307"/>
      <c r="AA66" s="307"/>
      <c r="AB66" s="307"/>
      <c r="AC66" s="307"/>
      <c r="AD66" s="307"/>
    </row>
    <row r="67" ht="15.75" customHeight="1">
      <c r="A67" s="306"/>
      <c r="B67" s="306"/>
      <c r="C67" s="306"/>
      <c r="D67" s="306"/>
      <c r="E67" s="306"/>
      <c r="F67" s="306"/>
      <c r="G67" s="306"/>
      <c r="H67" s="306"/>
      <c r="I67" s="306"/>
      <c r="J67" s="306"/>
      <c r="K67" s="306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307"/>
      <c r="W67" s="307"/>
      <c r="X67" s="307"/>
      <c r="Y67" s="307"/>
      <c r="Z67" s="307"/>
      <c r="AA67" s="307"/>
      <c r="AB67" s="307"/>
      <c r="AC67" s="307"/>
      <c r="AD67" s="307"/>
    </row>
    <row r="68" ht="15.75" customHeight="1">
      <c r="A68" s="306"/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7"/>
      <c r="M68" s="307"/>
      <c r="N68" s="307"/>
      <c r="O68" s="307"/>
      <c r="P68" s="307"/>
      <c r="Q68" s="307"/>
      <c r="R68" s="307"/>
      <c r="S68" s="307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</row>
    <row r="69" ht="15.75" customHeight="1">
      <c r="A69" s="306"/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7"/>
      <c r="M69" s="307"/>
      <c r="N69" s="307"/>
      <c r="O69" s="307"/>
      <c r="P69" s="307"/>
      <c r="Q69" s="307"/>
      <c r="R69" s="307"/>
      <c r="S69" s="307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</row>
    <row r="70" ht="15.75" customHeight="1">
      <c r="A70" s="306"/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7"/>
      <c r="M70" s="307"/>
      <c r="N70" s="307"/>
      <c r="O70" s="307"/>
      <c r="P70" s="307"/>
      <c r="Q70" s="307"/>
      <c r="R70" s="307"/>
      <c r="S70" s="307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</row>
    <row r="71" ht="15.75" customHeight="1">
      <c r="A71" s="306"/>
      <c r="B71" s="306"/>
      <c r="C71" s="306"/>
      <c r="D71" s="306"/>
      <c r="E71" s="306"/>
      <c r="F71" s="306"/>
      <c r="G71" s="306"/>
      <c r="H71" s="306"/>
      <c r="I71" s="306"/>
      <c r="J71" s="306"/>
      <c r="K71" s="306"/>
      <c r="L71" s="307"/>
      <c r="M71" s="307"/>
      <c r="N71" s="307"/>
      <c r="O71" s="307"/>
      <c r="P71" s="307"/>
      <c r="Q71" s="307"/>
      <c r="R71" s="307"/>
      <c r="S71" s="307"/>
      <c r="T71" s="307"/>
      <c r="U71" s="307"/>
      <c r="V71" s="307"/>
      <c r="W71" s="307"/>
      <c r="X71" s="307"/>
      <c r="Y71" s="307"/>
      <c r="Z71" s="307"/>
      <c r="AA71" s="307"/>
      <c r="AB71" s="307"/>
      <c r="AC71" s="307"/>
      <c r="AD71" s="307"/>
    </row>
    <row r="72" ht="15.75" customHeight="1">
      <c r="A72" s="306"/>
      <c r="B72" s="306"/>
      <c r="C72" s="306"/>
      <c r="D72" s="306"/>
      <c r="E72" s="306"/>
      <c r="F72" s="306"/>
      <c r="G72" s="306"/>
      <c r="H72" s="306"/>
      <c r="I72" s="306"/>
      <c r="J72" s="306"/>
      <c r="K72" s="306"/>
      <c r="L72" s="307"/>
      <c r="M72" s="307"/>
      <c r="N72" s="307"/>
      <c r="O72" s="307"/>
      <c r="P72" s="307"/>
      <c r="Q72" s="307"/>
      <c r="R72" s="307"/>
      <c r="S72" s="307"/>
      <c r="T72" s="307"/>
      <c r="U72" s="307"/>
      <c r="V72" s="307"/>
      <c r="W72" s="307"/>
      <c r="X72" s="307"/>
      <c r="Y72" s="307"/>
      <c r="Z72" s="307"/>
      <c r="AA72" s="307"/>
      <c r="AB72" s="307"/>
      <c r="AC72" s="307"/>
      <c r="AD72" s="307"/>
    </row>
    <row r="73" ht="15.75" customHeight="1">
      <c r="A73" s="306"/>
      <c r="B73" s="306"/>
      <c r="C73" s="306"/>
      <c r="D73" s="306"/>
      <c r="E73" s="306"/>
      <c r="F73" s="306"/>
      <c r="G73" s="306"/>
      <c r="H73" s="306"/>
      <c r="I73" s="306"/>
      <c r="J73" s="306"/>
      <c r="K73" s="306"/>
      <c r="L73" s="307"/>
      <c r="M73" s="307"/>
      <c r="N73" s="307"/>
      <c r="O73" s="307"/>
      <c r="P73" s="307"/>
      <c r="Q73" s="307"/>
      <c r="R73" s="307"/>
      <c r="S73" s="307"/>
      <c r="T73" s="307"/>
      <c r="U73" s="307"/>
      <c r="V73" s="307"/>
      <c r="W73" s="307"/>
      <c r="X73" s="307"/>
      <c r="Y73" s="307"/>
      <c r="Z73" s="307"/>
      <c r="AA73" s="307"/>
      <c r="AB73" s="307"/>
      <c r="AC73" s="307"/>
      <c r="AD73" s="307"/>
    </row>
    <row r="74" ht="15.75" customHeight="1">
      <c r="A74" s="306"/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7"/>
      <c r="M74" s="307"/>
      <c r="N74" s="307"/>
      <c r="O74" s="307"/>
      <c r="P74" s="307"/>
      <c r="Q74" s="307"/>
      <c r="R74" s="307"/>
      <c r="S74" s="307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</row>
    <row r="75" ht="15.75" customHeight="1">
      <c r="A75" s="306"/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7"/>
      <c r="M75" s="307"/>
      <c r="N75" s="307"/>
      <c r="O75" s="307"/>
      <c r="P75" s="307"/>
      <c r="Q75" s="307"/>
      <c r="R75" s="307"/>
      <c r="S75" s="307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</row>
    <row r="76" ht="15.75" customHeight="1">
      <c r="A76" s="306"/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7"/>
      <c r="M76" s="307"/>
      <c r="N76" s="307"/>
      <c r="O76" s="307"/>
      <c r="P76" s="307"/>
      <c r="Q76" s="307"/>
      <c r="R76" s="307"/>
      <c r="S76" s="307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</row>
    <row r="77" ht="15.75" customHeight="1">
      <c r="A77" s="306"/>
      <c r="B77" s="306"/>
      <c r="C77" s="306"/>
      <c r="D77" s="306"/>
      <c r="E77" s="306"/>
      <c r="F77" s="306"/>
      <c r="G77" s="306"/>
      <c r="H77" s="306"/>
      <c r="I77" s="306"/>
      <c r="J77" s="306"/>
      <c r="K77" s="306"/>
      <c r="L77" s="307"/>
      <c r="M77" s="307"/>
      <c r="N77" s="307"/>
      <c r="O77" s="307"/>
      <c r="P77" s="307"/>
      <c r="Q77" s="307"/>
      <c r="R77" s="307"/>
      <c r="S77" s="307"/>
      <c r="T77" s="307"/>
      <c r="U77" s="307"/>
      <c r="V77" s="307"/>
      <c r="W77" s="307"/>
      <c r="X77" s="307"/>
      <c r="Y77" s="307"/>
      <c r="Z77" s="307"/>
      <c r="AA77" s="307"/>
      <c r="AB77" s="307"/>
      <c r="AC77" s="307"/>
      <c r="AD77" s="307"/>
    </row>
    <row r="78" ht="15.75" customHeight="1">
      <c r="A78" s="306"/>
      <c r="B78" s="306"/>
      <c r="C78" s="306"/>
      <c r="D78" s="306"/>
      <c r="E78" s="306"/>
      <c r="F78" s="306"/>
      <c r="G78" s="306"/>
      <c r="H78" s="306"/>
      <c r="I78" s="306"/>
      <c r="J78" s="306"/>
      <c r="K78" s="306"/>
      <c r="L78" s="307"/>
      <c r="M78" s="307"/>
      <c r="N78" s="307"/>
      <c r="O78" s="307"/>
      <c r="P78" s="307"/>
      <c r="Q78" s="307"/>
      <c r="R78" s="307"/>
      <c r="S78" s="307"/>
      <c r="T78" s="307"/>
      <c r="U78" s="307"/>
      <c r="V78" s="307"/>
      <c r="W78" s="307"/>
      <c r="X78" s="307"/>
      <c r="Y78" s="307"/>
      <c r="Z78" s="307"/>
      <c r="AA78" s="307"/>
      <c r="AB78" s="307"/>
      <c r="AC78" s="307"/>
      <c r="AD78" s="307"/>
    </row>
    <row r="79" ht="15.75" customHeight="1">
      <c r="A79" s="306"/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7"/>
      <c r="M79" s="307"/>
      <c r="N79" s="307"/>
      <c r="O79" s="307"/>
      <c r="P79" s="307"/>
      <c r="Q79" s="307"/>
      <c r="R79" s="307"/>
      <c r="S79" s="307"/>
      <c r="T79" s="307"/>
      <c r="U79" s="307"/>
      <c r="V79" s="307"/>
      <c r="W79" s="307"/>
      <c r="X79" s="307"/>
      <c r="Y79" s="307"/>
      <c r="Z79" s="307"/>
      <c r="AA79" s="307"/>
      <c r="AB79" s="307"/>
      <c r="AC79" s="307"/>
      <c r="AD79" s="307"/>
    </row>
    <row r="80" ht="15.75" customHeight="1">
      <c r="A80" s="306"/>
      <c r="B80" s="306"/>
      <c r="C80" s="306"/>
      <c r="D80" s="306"/>
      <c r="E80" s="306"/>
      <c r="F80" s="306"/>
      <c r="G80" s="306"/>
      <c r="H80" s="306"/>
      <c r="I80" s="306"/>
      <c r="J80" s="306"/>
      <c r="K80" s="306"/>
      <c r="L80" s="307"/>
      <c r="M80" s="307"/>
      <c r="N80" s="307"/>
      <c r="O80" s="307"/>
      <c r="P80" s="307"/>
      <c r="Q80" s="307"/>
      <c r="R80" s="307"/>
      <c r="S80" s="307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</row>
    <row r="81" ht="15.75" customHeight="1">
      <c r="A81" s="306"/>
      <c r="B81" s="306"/>
      <c r="C81" s="306"/>
      <c r="D81" s="306"/>
      <c r="E81" s="306"/>
      <c r="F81" s="306"/>
      <c r="G81" s="306"/>
      <c r="H81" s="306"/>
      <c r="I81" s="306"/>
      <c r="J81" s="306"/>
      <c r="K81" s="306"/>
      <c r="L81" s="307"/>
      <c r="M81" s="307"/>
      <c r="N81" s="307"/>
      <c r="O81" s="307"/>
      <c r="P81" s="307"/>
      <c r="Q81" s="307"/>
      <c r="R81" s="307"/>
      <c r="S81" s="307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</row>
    <row r="82" ht="15.75" customHeight="1">
      <c r="A82" s="306"/>
      <c r="B82" s="306"/>
      <c r="C82" s="306"/>
      <c r="D82" s="306"/>
      <c r="E82" s="306"/>
      <c r="F82" s="306"/>
      <c r="G82" s="306"/>
      <c r="H82" s="306"/>
      <c r="I82" s="306"/>
      <c r="J82" s="306"/>
      <c r="K82" s="306"/>
      <c r="L82" s="307"/>
      <c r="M82" s="307"/>
      <c r="N82" s="307"/>
      <c r="O82" s="307"/>
      <c r="P82" s="307"/>
      <c r="Q82" s="307"/>
      <c r="R82" s="307"/>
      <c r="S82" s="307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</row>
    <row r="83" ht="15.75" customHeight="1">
      <c r="A83" s="306"/>
      <c r="B83" s="306"/>
      <c r="C83" s="306"/>
      <c r="D83" s="306"/>
      <c r="E83" s="306"/>
      <c r="F83" s="306"/>
      <c r="G83" s="306"/>
      <c r="H83" s="306"/>
      <c r="I83" s="306"/>
      <c r="J83" s="306"/>
      <c r="K83" s="306"/>
      <c r="L83" s="307"/>
      <c r="M83" s="307"/>
      <c r="N83" s="307"/>
      <c r="O83" s="307"/>
      <c r="P83" s="307"/>
      <c r="Q83" s="307"/>
      <c r="R83" s="307"/>
      <c r="S83" s="307"/>
      <c r="T83" s="307"/>
      <c r="U83" s="307"/>
      <c r="V83" s="307"/>
      <c r="W83" s="307"/>
      <c r="X83" s="307"/>
      <c r="Y83" s="307"/>
      <c r="Z83" s="307"/>
      <c r="AA83" s="307"/>
      <c r="AB83" s="307"/>
      <c r="AC83" s="307"/>
      <c r="AD83" s="307"/>
    </row>
    <row r="84" ht="15.75" customHeight="1">
      <c r="A84" s="306"/>
      <c r="B84" s="306"/>
      <c r="C84" s="306"/>
      <c r="D84" s="306"/>
      <c r="E84" s="306"/>
      <c r="F84" s="306"/>
      <c r="G84" s="306"/>
      <c r="H84" s="306"/>
      <c r="I84" s="306"/>
      <c r="J84" s="306"/>
      <c r="K84" s="306"/>
      <c r="L84" s="307"/>
      <c r="M84" s="307"/>
      <c r="N84" s="307"/>
      <c r="O84" s="307"/>
      <c r="P84" s="307"/>
      <c r="Q84" s="307"/>
      <c r="R84" s="307"/>
      <c r="S84" s="307"/>
      <c r="T84" s="307"/>
      <c r="U84" s="307"/>
      <c r="V84" s="307"/>
      <c r="W84" s="307"/>
      <c r="X84" s="307"/>
      <c r="Y84" s="307"/>
      <c r="Z84" s="307"/>
      <c r="AA84" s="307"/>
      <c r="AB84" s="307"/>
      <c r="AC84" s="307"/>
      <c r="AD84" s="307"/>
    </row>
    <row r="85" ht="15.75" customHeight="1">
      <c r="A85" s="306"/>
      <c r="B85" s="306"/>
      <c r="C85" s="306"/>
      <c r="D85" s="306"/>
      <c r="E85" s="306"/>
      <c r="F85" s="306"/>
      <c r="G85" s="306"/>
      <c r="H85" s="306"/>
      <c r="I85" s="306"/>
      <c r="J85" s="306"/>
      <c r="K85" s="306"/>
      <c r="L85" s="307"/>
      <c r="M85" s="307"/>
      <c r="N85" s="307"/>
      <c r="O85" s="307"/>
      <c r="P85" s="307"/>
      <c r="Q85" s="307"/>
      <c r="R85" s="307"/>
      <c r="S85" s="307"/>
      <c r="T85" s="307"/>
      <c r="U85" s="307"/>
      <c r="V85" s="307"/>
      <c r="W85" s="307"/>
      <c r="X85" s="307"/>
      <c r="Y85" s="307"/>
      <c r="Z85" s="307"/>
      <c r="AA85" s="307"/>
      <c r="AB85" s="307"/>
      <c r="AC85" s="307"/>
      <c r="AD85" s="307"/>
    </row>
    <row r="86" ht="15.75" customHeight="1">
      <c r="A86" s="306"/>
      <c r="B86" s="306"/>
      <c r="C86" s="306"/>
      <c r="D86" s="306"/>
      <c r="E86" s="306"/>
      <c r="F86" s="306"/>
      <c r="G86" s="306"/>
      <c r="H86" s="306"/>
      <c r="I86" s="306"/>
      <c r="J86" s="306"/>
      <c r="K86" s="306"/>
      <c r="L86" s="307"/>
      <c r="M86" s="307"/>
      <c r="N86" s="307"/>
      <c r="O86" s="307"/>
      <c r="P86" s="307"/>
      <c r="Q86" s="307"/>
      <c r="R86" s="307"/>
      <c r="S86" s="307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</row>
    <row r="87" ht="15.75" customHeight="1">
      <c r="A87" s="306"/>
      <c r="B87" s="306"/>
      <c r="C87" s="306"/>
      <c r="D87" s="306"/>
      <c r="E87" s="306"/>
      <c r="F87" s="306"/>
      <c r="G87" s="306"/>
      <c r="H87" s="306"/>
      <c r="I87" s="306"/>
      <c r="J87" s="306"/>
      <c r="K87" s="306"/>
      <c r="L87" s="307"/>
      <c r="M87" s="307"/>
      <c r="N87" s="307"/>
      <c r="O87" s="307"/>
      <c r="P87" s="307"/>
      <c r="Q87" s="307"/>
      <c r="R87" s="307"/>
      <c r="S87" s="307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</row>
    <row r="88" ht="15.75" customHeight="1">
      <c r="A88" s="306"/>
      <c r="B88" s="306"/>
      <c r="C88" s="306"/>
      <c r="D88" s="306"/>
      <c r="E88" s="306"/>
      <c r="F88" s="306"/>
      <c r="G88" s="306"/>
      <c r="H88" s="306"/>
      <c r="I88" s="306"/>
      <c r="J88" s="306"/>
      <c r="K88" s="306"/>
      <c r="L88" s="307"/>
      <c r="M88" s="307"/>
      <c r="N88" s="307"/>
      <c r="O88" s="307"/>
      <c r="P88" s="307"/>
      <c r="Q88" s="307"/>
      <c r="R88" s="307"/>
      <c r="S88" s="307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</row>
    <row r="89" ht="15.75" customHeight="1">
      <c r="A89" s="306"/>
      <c r="B89" s="306"/>
      <c r="C89" s="306"/>
      <c r="D89" s="306"/>
      <c r="E89" s="306"/>
      <c r="F89" s="306"/>
      <c r="G89" s="306"/>
      <c r="H89" s="306"/>
      <c r="I89" s="306"/>
      <c r="J89" s="306"/>
      <c r="K89" s="306"/>
      <c r="L89" s="307"/>
      <c r="M89" s="307"/>
      <c r="N89" s="307"/>
      <c r="O89" s="307"/>
      <c r="P89" s="307"/>
      <c r="Q89" s="307"/>
      <c r="R89" s="307"/>
      <c r="S89" s="307"/>
      <c r="T89" s="307"/>
      <c r="U89" s="307"/>
      <c r="V89" s="307"/>
      <c r="W89" s="307"/>
      <c r="X89" s="307"/>
      <c r="Y89" s="307"/>
      <c r="Z89" s="307"/>
      <c r="AA89" s="307"/>
      <c r="AB89" s="307"/>
      <c r="AC89" s="307"/>
      <c r="AD89" s="307"/>
    </row>
    <row r="90" ht="15.75" customHeight="1">
      <c r="A90" s="306"/>
      <c r="B90" s="306"/>
      <c r="C90" s="306"/>
      <c r="D90" s="306"/>
      <c r="E90" s="306"/>
      <c r="F90" s="306"/>
      <c r="G90" s="306"/>
      <c r="H90" s="306"/>
      <c r="I90" s="306"/>
      <c r="J90" s="306"/>
      <c r="K90" s="306"/>
      <c r="L90" s="307"/>
      <c r="M90" s="307"/>
      <c r="N90" s="307"/>
      <c r="O90" s="307"/>
      <c r="P90" s="307"/>
      <c r="Q90" s="307"/>
      <c r="R90" s="307"/>
      <c r="S90" s="307"/>
      <c r="T90" s="307"/>
      <c r="U90" s="307"/>
      <c r="V90" s="307"/>
      <c r="W90" s="307"/>
      <c r="X90" s="307"/>
      <c r="Y90" s="307"/>
      <c r="Z90" s="307"/>
      <c r="AA90" s="307"/>
      <c r="AB90" s="307"/>
      <c r="AC90" s="307"/>
      <c r="AD90" s="307"/>
    </row>
    <row r="91" ht="15.75" customHeight="1">
      <c r="A91" s="306"/>
      <c r="B91" s="306"/>
      <c r="C91" s="306"/>
      <c r="D91" s="306"/>
      <c r="E91" s="306"/>
      <c r="F91" s="306"/>
      <c r="G91" s="306"/>
      <c r="H91" s="306"/>
      <c r="I91" s="306"/>
      <c r="J91" s="306"/>
      <c r="K91" s="306"/>
      <c r="L91" s="307"/>
      <c r="M91" s="307"/>
      <c r="N91" s="307"/>
      <c r="O91" s="307"/>
      <c r="P91" s="307"/>
      <c r="Q91" s="307"/>
      <c r="R91" s="307"/>
      <c r="S91" s="307"/>
      <c r="T91" s="307"/>
      <c r="U91" s="307"/>
      <c r="V91" s="307"/>
      <c r="W91" s="307"/>
      <c r="X91" s="307"/>
      <c r="Y91" s="307"/>
      <c r="Z91" s="307"/>
      <c r="AA91" s="307"/>
      <c r="AB91" s="307"/>
      <c r="AC91" s="307"/>
      <c r="AD91" s="307"/>
    </row>
    <row r="92" ht="15.75" customHeight="1">
      <c r="A92" s="306"/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7"/>
      <c r="M92" s="307"/>
      <c r="N92" s="307"/>
      <c r="O92" s="307"/>
      <c r="P92" s="307"/>
      <c r="Q92" s="307"/>
      <c r="R92" s="307"/>
      <c r="S92" s="307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</row>
    <row r="93" ht="15.75" customHeight="1">
      <c r="A93" s="306"/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</row>
    <row r="94" ht="15.75" customHeight="1">
      <c r="A94" s="306"/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7"/>
      <c r="M94" s="307"/>
      <c r="N94" s="307"/>
      <c r="O94" s="307"/>
      <c r="P94" s="307"/>
      <c r="Q94" s="307"/>
      <c r="R94" s="307"/>
      <c r="S94" s="307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</row>
    <row r="95" ht="15.75" customHeight="1">
      <c r="A95" s="306"/>
      <c r="B95" s="306"/>
      <c r="C95" s="306"/>
      <c r="D95" s="306"/>
      <c r="E95" s="306"/>
      <c r="F95" s="306"/>
      <c r="G95" s="306"/>
      <c r="H95" s="306"/>
      <c r="I95" s="306"/>
      <c r="J95" s="306"/>
      <c r="K95" s="306"/>
      <c r="L95" s="307"/>
      <c r="M95" s="307"/>
      <c r="N95" s="307"/>
      <c r="O95" s="307"/>
      <c r="P95" s="307"/>
      <c r="Q95" s="307"/>
      <c r="R95" s="307"/>
      <c r="S95" s="307"/>
      <c r="T95" s="307"/>
      <c r="U95" s="307"/>
      <c r="V95" s="307"/>
      <c r="W95" s="307"/>
      <c r="X95" s="307"/>
      <c r="Y95" s="307"/>
      <c r="Z95" s="307"/>
      <c r="AA95" s="307"/>
      <c r="AB95" s="307"/>
      <c r="AC95" s="307"/>
      <c r="AD95" s="307"/>
    </row>
    <row r="96" ht="15.75" customHeight="1">
      <c r="A96" s="306"/>
      <c r="B96" s="306"/>
      <c r="C96" s="306"/>
      <c r="D96" s="306"/>
      <c r="E96" s="306"/>
      <c r="F96" s="306"/>
      <c r="G96" s="306"/>
      <c r="H96" s="306"/>
      <c r="I96" s="306"/>
      <c r="J96" s="306"/>
      <c r="K96" s="306"/>
      <c r="L96" s="307"/>
      <c r="M96" s="307"/>
      <c r="N96" s="307"/>
      <c r="O96" s="307"/>
      <c r="P96" s="307"/>
      <c r="Q96" s="307"/>
      <c r="R96" s="307"/>
      <c r="S96" s="307"/>
      <c r="T96" s="307"/>
      <c r="U96" s="307"/>
      <c r="V96" s="307"/>
      <c r="W96" s="307"/>
      <c r="X96" s="307"/>
      <c r="Y96" s="307"/>
      <c r="Z96" s="307"/>
      <c r="AA96" s="307"/>
      <c r="AB96" s="307"/>
      <c r="AC96" s="307"/>
      <c r="AD96" s="307"/>
    </row>
    <row r="97" ht="15.75" customHeight="1">
      <c r="A97" s="306"/>
      <c r="B97" s="306"/>
      <c r="C97" s="306"/>
      <c r="D97" s="306"/>
      <c r="E97" s="306"/>
      <c r="F97" s="306"/>
      <c r="G97" s="306"/>
      <c r="H97" s="306"/>
      <c r="I97" s="306"/>
      <c r="J97" s="306"/>
      <c r="K97" s="306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307"/>
      <c r="W97" s="307"/>
      <c r="X97" s="307"/>
      <c r="Y97" s="307"/>
      <c r="Z97" s="307"/>
      <c r="AA97" s="307"/>
      <c r="AB97" s="307"/>
      <c r="AC97" s="307"/>
      <c r="AD97" s="307"/>
    </row>
    <row r="98" ht="15.75" customHeight="1">
      <c r="A98" s="306"/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</row>
    <row r="99" ht="15.75" customHeight="1">
      <c r="A99" s="306"/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7"/>
      <c r="M99" s="307"/>
      <c r="N99" s="307"/>
      <c r="O99" s="307"/>
      <c r="P99" s="307"/>
      <c r="Q99" s="307"/>
      <c r="R99" s="307"/>
      <c r="S99" s="307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</row>
    <row r="100" ht="15.75" customHeight="1">
      <c r="A100" s="306"/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7"/>
      <c r="M100" s="307"/>
      <c r="N100" s="307"/>
      <c r="O100" s="307"/>
      <c r="P100" s="307"/>
      <c r="Q100" s="307"/>
      <c r="R100" s="307"/>
      <c r="S100" s="307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</row>
    <row r="101" ht="15.75" customHeight="1">
      <c r="A101" s="306"/>
      <c r="B101" s="306"/>
      <c r="C101" s="306"/>
      <c r="D101" s="306"/>
      <c r="E101" s="306"/>
      <c r="F101" s="306"/>
      <c r="G101" s="306"/>
      <c r="H101" s="306"/>
      <c r="I101" s="306"/>
      <c r="J101" s="306"/>
      <c r="K101" s="306"/>
      <c r="L101" s="307"/>
      <c r="M101" s="307"/>
      <c r="N101" s="307"/>
      <c r="O101" s="307"/>
      <c r="P101" s="307"/>
      <c r="Q101" s="307"/>
      <c r="R101" s="307"/>
      <c r="S101" s="307"/>
      <c r="T101" s="307"/>
      <c r="U101" s="307"/>
      <c r="V101" s="307"/>
      <c r="W101" s="307"/>
      <c r="X101" s="307"/>
      <c r="Y101" s="307"/>
      <c r="Z101" s="307"/>
      <c r="AA101" s="307"/>
      <c r="AB101" s="307"/>
      <c r="AC101" s="307"/>
      <c r="AD101" s="307"/>
    </row>
    <row r="102" ht="15.75" customHeight="1">
      <c r="A102" s="306"/>
      <c r="B102" s="306"/>
      <c r="C102" s="306"/>
      <c r="D102" s="306"/>
      <c r="E102" s="306"/>
      <c r="F102" s="306"/>
      <c r="G102" s="306"/>
      <c r="H102" s="306"/>
      <c r="I102" s="306"/>
      <c r="J102" s="306"/>
      <c r="K102" s="306"/>
      <c r="L102" s="307"/>
      <c r="M102" s="307"/>
      <c r="N102" s="307"/>
      <c r="O102" s="307"/>
      <c r="P102" s="307"/>
      <c r="Q102" s="307"/>
      <c r="R102" s="307"/>
      <c r="S102" s="307"/>
      <c r="T102" s="307"/>
      <c r="U102" s="307"/>
      <c r="V102" s="307"/>
      <c r="W102" s="307"/>
      <c r="X102" s="307"/>
      <c r="Y102" s="307"/>
      <c r="Z102" s="307"/>
      <c r="AA102" s="307"/>
      <c r="AB102" s="307"/>
      <c r="AC102" s="307"/>
      <c r="AD102" s="307"/>
    </row>
    <row r="103" ht="15.75" customHeight="1">
      <c r="A103" s="306"/>
      <c r="B103" s="306"/>
      <c r="C103" s="306"/>
      <c r="D103" s="306"/>
      <c r="E103" s="306"/>
      <c r="F103" s="306"/>
      <c r="G103" s="306"/>
      <c r="H103" s="306"/>
      <c r="I103" s="306"/>
      <c r="J103" s="306"/>
      <c r="K103" s="306"/>
      <c r="L103" s="307"/>
      <c r="M103" s="307"/>
      <c r="N103" s="307"/>
      <c r="O103" s="307"/>
      <c r="P103" s="307"/>
      <c r="Q103" s="307"/>
      <c r="R103" s="307"/>
      <c r="S103" s="307"/>
      <c r="T103" s="307"/>
      <c r="U103" s="307"/>
      <c r="V103" s="307"/>
      <c r="W103" s="307"/>
      <c r="X103" s="307"/>
      <c r="Y103" s="307"/>
      <c r="Z103" s="307"/>
      <c r="AA103" s="307"/>
      <c r="AB103" s="307"/>
      <c r="AC103" s="307"/>
      <c r="AD103" s="307"/>
    </row>
    <row r="104" ht="15.75" customHeight="1">
      <c r="A104" s="306"/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7"/>
      <c r="M104" s="307"/>
      <c r="N104" s="307"/>
      <c r="O104" s="307"/>
      <c r="P104" s="307"/>
      <c r="Q104" s="307"/>
      <c r="R104" s="307"/>
      <c r="S104" s="307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/>
      <c r="AD104" s="307"/>
    </row>
    <row r="105" ht="15.75" customHeight="1">
      <c r="A105" s="306"/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7"/>
      <c r="M105" s="307"/>
      <c r="N105" s="307"/>
      <c r="O105" s="307"/>
      <c r="P105" s="307"/>
      <c r="Q105" s="307"/>
      <c r="R105" s="307"/>
      <c r="S105" s="307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/>
      <c r="AD105" s="307"/>
    </row>
    <row r="106" ht="15.75" customHeight="1">
      <c r="A106" s="306"/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7"/>
      <c r="M106" s="307"/>
      <c r="N106" s="307"/>
      <c r="O106" s="307"/>
      <c r="P106" s="307"/>
      <c r="Q106" s="307"/>
      <c r="R106" s="307"/>
      <c r="S106" s="307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/>
      <c r="AD106" s="307"/>
    </row>
    <row r="107" ht="15.75" customHeight="1">
      <c r="A107" s="306"/>
      <c r="B107" s="306"/>
      <c r="C107" s="306"/>
      <c r="D107" s="306"/>
      <c r="E107" s="306"/>
      <c r="F107" s="306"/>
      <c r="G107" s="306"/>
      <c r="H107" s="306"/>
      <c r="I107" s="306"/>
      <c r="J107" s="306"/>
      <c r="K107" s="306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307"/>
      <c r="Z107" s="307"/>
      <c r="AA107" s="307"/>
      <c r="AB107" s="307"/>
      <c r="AC107" s="307"/>
      <c r="AD107" s="307"/>
    </row>
    <row r="108" ht="15.75" customHeight="1">
      <c r="A108" s="306"/>
      <c r="B108" s="306"/>
      <c r="C108" s="306"/>
      <c r="D108" s="306"/>
      <c r="E108" s="306"/>
      <c r="F108" s="306"/>
      <c r="G108" s="306"/>
      <c r="H108" s="306"/>
      <c r="I108" s="306"/>
      <c r="J108" s="306"/>
      <c r="K108" s="306"/>
      <c r="L108" s="307"/>
      <c r="M108" s="307"/>
      <c r="N108" s="307"/>
      <c r="O108" s="307"/>
      <c r="P108" s="307"/>
      <c r="Q108" s="307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  <c r="AC108" s="307"/>
      <c r="AD108" s="307"/>
    </row>
    <row r="109" ht="15.75" customHeight="1">
      <c r="A109" s="306"/>
      <c r="B109" s="306"/>
      <c r="C109" s="306"/>
      <c r="D109" s="306"/>
      <c r="E109" s="306"/>
      <c r="F109" s="306"/>
      <c r="G109" s="306"/>
      <c r="H109" s="306"/>
      <c r="I109" s="306"/>
      <c r="J109" s="306"/>
      <c r="K109" s="306"/>
      <c r="L109" s="307"/>
      <c r="M109" s="307"/>
      <c r="N109" s="307"/>
      <c r="O109" s="307"/>
      <c r="P109" s="307"/>
      <c r="Q109" s="307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  <c r="AC109" s="307"/>
      <c r="AD109" s="307"/>
    </row>
    <row r="110" ht="15.75" customHeight="1">
      <c r="A110" s="306"/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7"/>
      <c r="M110" s="307"/>
      <c r="N110" s="307"/>
      <c r="O110" s="307"/>
      <c r="P110" s="307"/>
      <c r="Q110" s="307"/>
      <c r="R110" s="307"/>
      <c r="S110" s="307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</row>
    <row r="111" ht="15.75" customHeight="1">
      <c r="A111" s="306"/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7"/>
      <c r="M111" s="307"/>
      <c r="N111" s="307"/>
      <c r="O111" s="307"/>
      <c r="P111" s="307"/>
      <c r="Q111" s="307"/>
      <c r="R111" s="307"/>
      <c r="S111" s="307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</row>
    <row r="112" ht="15.75" customHeight="1">
      <c r="A112" s="306"/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7"/>
      <c r="M112" s="307"/>
      <c r="N112" s="307"/>
      <c r="O112" s="307"/>
      <c r="P112" s="307"/>
      <c r="Q112" s="307"/>
      <c r="R112" s="307"/>
      <c r="S112" s="307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</row>
    <row r="113" ht="15.75" customHeight="1">
      <c r="A113" s="306"/>
      <c r="B113" s="306"/>
      <c r="C113" s="306"/>
      <c r="D113" s="306"/>
      <c r="E113" s="306"/>
      <c r="F113" s="306"/>
      <c r="G113" s="306"/>
      <c r="H113" s="306"/>
      <c r="I113" s="306"/>
      <c r="J113" s="306"/>
      <c r="K113" s="306"/>
      <c r="L113" s="307"/>
      <c r="M113" s="307"/>
      <c r="N113" s="307"/>
      <c r="O113" s="307"/>
      <c r="P113" s="307"/>
      <c r="Q113" s="307"/>
      <c r="R113" s="307"/>
      <c r="S113" s="307"/>
      <c r="T113" s="307"/>
      <c r="U113" s="307"/>
      <c r="V113" s="307"/>
      <c r="W113" s="307"/>
      <c r="X113" s="307"/>
      <c r="Y113" s="307"/>
      <c r="Z113" s="307"/>
      <c r="AA113" s="307"/>
      <c r="AB113" s="307"/>
      <c r="AC113" s="307"/>
      <c r="AD113" s="307"/>
    </row>
    <row r="114" ht="15.75" customHeight="1">
      <c r="A114" s="306"/>
      <c r="B114" s="306"/>
      <c r="C114" s="306"/>
      <c r="D114" s="306"/>
      <c r="E114" s="306"/>
      <c r="F114" s="306"/>
      <c r="G114" s="306"/>
      <c r="H114" s="306"/>
      <c r="I114" s="306"/>
      <c r="J114" s="306"/>
      <c r="K114" s="306"/>
      <c r="L114" s="307"/>
      <c r="M114" s="307"/>
      <c r="N114" s="307"/>
      <c r="O114" s="307"/>
      <c r="P114" s="307"/>
      <c r="Q114" s="307"/>
      <c r="R114" s="307"/>
      <c r="S114" s="307"/>
      <c r="T114" s="307"/>
      <c r="U114" s="307"/>
      <c r="V114" s="307"/>
      <c r="W114" s="307"/>
      <c r="X114" s="307"/>
      <c r="Y114" s="307"/>
      <c r="Z114" s="307"/>
      <c r="AA114" s="307"/>
      <c r="AB114" s="307"/>
      <c r="AC114" s="307"/>
      <c r="AD114" s="307"/>
    </row>
    <row r="115" ht="15.75" customHeight="1">
      <c r="A115" s="306"/>
      <c r="B115" s="306"/>
      <c r="C115" s="306"/>
      <c r="D115" s="306"/>
      <c r="E115" s="306"/>
      <c r="F115" s="306"/>
      <c r="G115" s="306"/>
      <c r="H115" s="306"/>
      <c r="I115" s="306"/>
      <c r="J115" s="306"/>
      <c r="K115" s="306"/>
      <c r="L115" s="307"/>
      <c r="M115" s="307"/>
      <c r="N115" s="307"/>
      <c r="O115" s="307"/>
      <c r="P115" s="307"/>
      <c r="Q115" s="307"/>
      <c r="R115" s="307"/>
      <c r="S115" s="307"/>
      <c r="T115" s="307"/>
      <c r="U115" s="307"/>
      <c r="V115" s="307"/>
      <c r="W115" s="307"/>
      <c r="X115" s="307"/>
      <c r="Y115" s="307"/>
      <c r="Z115" s="307"/>
      <c r="AA115" s="307"/>
      <c r="AB115" s="307"/>
      <c r="AC115" s="307"/>
      <c r="AD115" s="307"/>
    </row>
    <row r="116" ht="15.75" customHeight="1">
      <c r="A116" s="306"/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307"/>
      <c r="M116" s="307"/>
      <c r="N116" s="307"/>
      <c r="O116" s="307"/>
      <c r="P116" s="307"/>
      <c r="Q116" s="307"/>
      <c r="R116" s="307"/>
      <c r="S116" s="307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</row>
    <row r="117" ht="15.75" customHeight="1">
      <c r="A117" s="306"/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7"/>
      <c r="M117" s="307"/>
      <c r="N117" s="307"/>
      <c r="O117" s="307"/>
      <c r="P117" s="307"/>
      <c r="Q117" s="307"/>
      <c r="R117" s="307"/>
      <c r="S117" s="307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</row>
    <row r="118" ht="15.75" customHeight="1">
      <c r="A118" s="306"/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7"/>
      <c r="M118" s="307"/>
      <c r="N118" s="307"/>
      <c r="O118" s="307"/>
      <c r="P118" s="307"/>
      <c r="Q118" s="307"/>
      <c r="R118" s="307"/>
      <c r="S118" s="307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</row>
    <row r="119" ht="15.75" customHeight="1">
      <c r="A119" s="306"/>
      <c r="B119" s="306"/>
      <c r="C119" s="306"/>
      <c r="D119" s="306"/>
      <c r="E119" s="306"/>
      <c r="F119" s="306"/>
      <c r="G119" s="306"/>
      <c r="H119" s="306"/>
      <c r="I119" s="306"/>
      <c r="J119" s="306"/>
      <c r="K119" s="306"/>
      <c r="L119" s="307"/>
      <c r="M119" s="307"/>
      <c r="N119" s="307"/>
      <c r="O119" s="307"/>
      <c r="P119" s="307"/>
      <c r="Q119" s="307"/>
      <c r="R119" s="307"/>
      <c r="S119" s="307"/>
      <c r="T119" s="307"/>
      <c r="U119" s="307"/>
      <c r="V119" s="307"/>
      <c r="W119" s="307"/>
      <c r="X119" s="307"/>
      <c r="Y119" s="307"/>
      <c r="Z119" s="307"/>
      <c r="AA119" s="307"/>
      <c r="AB119" s="307"/>
      <c r="AC119" s="307"/>
      <c r="AD119" s="307"/>
    </row>
    <row r="120" ht="15.75" customHeight="1">
      <c r="A120" s="306"/>
      <c r="B120" s="306"/>
      <c r="C120" s="306"/>
      <c r="D120" s="306"/>
      <c r="E120" s="306"/>
      <c r="F120" s="306"/>
      <c r="G120" s="306"/>
      <c r="H120" s="306"/>
      <c r="I120" s="306"/>
      <c r="J120" s="306"/>
      <c r="K120" s="306"/>
      <c r="L120" s="307"/>
      <c r="M120" s="307"/>
      <c r="N120" s="307"/>
      <c r="O120" s="307"/>
      <c r="P120" s="307"/>
      <c r="Q120" s="307"/>
      <c r="R120" s="307"/>
      <c r="S120" s="307"/>
      <c r="T120" s="307"/>
      <c r="U120" s="307"/>
      <c r="V120" s="307"/>
      <c r="W120" s="307"/>
      <c r="X120" s="307"/>
      <c r="Y120" s="307"/>
      <c r="Z120" s="307"/>
      <c r="AA120" s="307"/>
      <c r="AB120" s="307"/>
      <c r="AC120" s="307"/>
      <c r="AD120" s="307"/>
    </row>
    <row r="121" ht="15.75" customHeight="1">
      <c r="A121" s="306"/>
      <c r="B121" s="306"/>
      <c r="C121" s="306"/>
      <c r="D121" s="306"/>
      <c r="E121" s="306"/>
      <c r="F121" s="306"/>
      <c r="G121" s="306"/>
      <c r="H121" s="306"/>
      <c r="I121" s="306"/>
      <c r="J121" s="306"/>
      <c r="K121" s="306"/>
      <c r="L121" s="307"/>
      <c r="M121" s="307"/>
      <c r="N121" s="307"/>
      <c r="O121" s="307"/>
      <c r="P121" s="307"/>
      <c r="Q121" s="307"/>
      <c r="R121" s="307"/>
      <c r="S121" s="307"/>
      <c r="T121" s="307"/>
      <c r="U121" s="307"/>
      <c r="V121" s="307"/>
      <c r="W121" s="307"/>
      <c r="X121" s="307"/>
      <c r="Y121" s="307"/>
      <c r="Z121" s="307"/>
      <c r="AA121" s="307"/>
      <c r="AB121" s="307"/>
      <c r="AC121" s="307"/>
      <c r="AD121" s="307"/>
    </row>
    <row r="122" ht="15.75" customHeight="1">
      <c r="A122" s="306"/>
      <c r="B122" s="306"/>
      <c r="C122" s="306"/>
      <c r="D122" s="306"/>
      <c r="E122" s="306"/>
      <c r="F122" s="306"/>
      <c r="G122" s="306"/>
      <c r="H122" s="306"/>
      <c r="I122" s="306"/>
      <c r="J122" s="306"/>
      <c r="K122" s="306"/>
      <c r="L122" s="307"/>
      <c r="M122" s="307"/>
      <c r="N122" s="307"/>
      <c r="O122" s="307"/>
      <c r="P122" s="307"/>
      <c r="Q122" s="307"/>
      <c r="R122" s="307"/>
      <c r="S122" s="307"/>
      <c r="T122" s="307"/>
      <c r="U122" s="307"/>
      <c r="V122" s="307"/>
      <c r="W122" s="307"/>
      <c r="X122" s="307"/>
      <c r="Y122" s="307"/>
      <c r="Z122" s="307"/>
      <c r="AA122" s="307"/>
      <c r="AB122" s="307"/>
      <c r="AC122" s="307"/>
      <c r="AD122" s="307"/>
    </row>
    <row r="123" ht="15.75" customHeight="1">
      <c r="A123" s="306"/>
      <c r="B123" s="306"/>
      <c r="C123" s="306"/>
      <c r="D123" s="306"/>
      <c r="E123" s="306"/>
      <c r="F123" s="306"/>
      <c r="G123" s="306"/>
      <c r="H123" s="306"/>
      <c r="I123" s="306"/>
      <c r="J123" s="306"/>
      <c r="K123" s="306"/>
      <c r="L123" s="307"/>
      <c r="M123" s="307"/>
      <c r="N123" s="307"/>
      <c r="O123" s="307"/>
      <c r="P123" s="307"/>
      <c r="Q123" s="307"/>
      <c r="R123" s="307"/>
      <c r="S123" s="307"/>
      <c r="T123" s="307"/>
      <c r="U123" s="307"/>
      <c r="V123" s="307"/>
      <c r="W123" s="307"/>
      <c r="X123" s="307"/>
      <c r="Y123" s="307"/>
      <c r="Z123" s="307"/>
      <c r="AA123" s="307"/>
      <c r="AB123" s="307"/>
      <c r="AC123" s="307"/>
      <c r="AD123" s="307"/>
    </row>
    <row r="124" ht="15.75" customHeight="1">
      <c r="A124" s="306"/>
      <c r="B124" s="306"/>
      <c r="C124" s="306"/>
      <c r="D124" s="306"/>
      <c r="E124" s="306"/>
      <c r="F124" s="306"/>
      <c r="G124" s="306"/>
      <c r="H124" s="306"/>
      <c r="I124" s="306"/>
      <c r="J124" s="306"/>
      <c r="K124" s="306"/>
      <c r="L124" s="307"/>
      <c r="M124" s="307"/>
      <c r="N124" s="307"/>
      <c r="O124" s="307"/>
      <c r="P124" s="307"/>
      <c r="Q124" s="307"/>
      <c r="R124" s="307"/>
      <c r="S124" s="307"/>
      <c r="T124" s="307"/>
      <c r="U124" s="307"/>
      <c r="V124" s="307"/>
      <c r="W124" s="307"/>
      <c r="X124" s="307"/>
      <c r="Y124" s="307"/>
      <c r="Z124" s="307"/>
      <c r="AA124" s="307"/>
      <c r="AB124" s="307"/>
      <c r="AC124" s="307"/>
      <c r="AD124" s="307"/>
    </row>
    <row r="125" ht="15.75" customHeight="1">
      <c r="A125" s="306"/>
      <c r="B125" s="306"/>
      <c r="C125" s="306"/>
      <c r="D125" s="306"/>
      <c r="E125" s="306"/>
      <c r="F125" s="306"/>
      <c r="G125" s="306"/>
      <c r="H125" s="306"/>
      <c r="I125" s="306"/>
      <c r="J125" s="306"/>
      <c r="K125" s="306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W125" s="307"/>
      <c r="X125" s="307"/>
      <c r="Y125" s="307"/>
      <c r="Z125" s="307"/>
      <c r="AA125" s="307"/>
      <c r="AB125" s="307"/>
      <c r="AC125" s="307"/>
      <c r="AD125" s="307"/>
    </row>
    <row r="126" ht="15.75" customHeight="1">
      <c r="A126" s="306"/>
      <c r="B126" s="306"/>
      <c r="C126" s="306"/>
      <c r="D126" s="306"/>
      <c r="E126" s="306"/>
      <c r="F126" s="306"/>
      <c r="G126" s="306"/>
      <c r="H126" s="306"/>
      <c r="I126" s="306"/>
      <c r="J126" s="306"/>
      <c r="K126" s="306"/>
      <c r="L126" s="307"/>
      <c r="M126" s="307"/>
      <c r="N126" s="307"/>
      <c r="O126" s="307"/>
      <c r="P126" s="307"/>
      <c r="Q126" s="307"/>
      <c r="R126" s="307"/>
      <c r="S126" s="307"/>
      <c r="T126" s="307"/>
      <c r="U126" s="307"/>
      <c r="V126" s="307"/>
      <c r="W126" s="307"/>
      <c r="X126" s="307"/>
      <c r="Y126" s="307"/>
      <c r="Z126" s="307"/>
      <c r="AA126" s="307"/>
      <c r="AB126" s="307"/>
      <c r="AC126" s="307"/>
      <c r="AD126" s="307"/>
    </row>
    <row r="127" ht="15.75" customHeight="1">
      <c r="A127" s="306"/>
      <c r="B127" s="306"/>
      <c r="C127" s="306"/>
      <c r="D127" s="306"/>
      <c r="E127" s="306"/>
      <c r="F127" s="306"/>
      <c r="G127" s="306"/>
      <c r="H127" s="306"/>
      <c r="I127" s="306"/>
      <c r="J127" s="306"/>
      <c r="K127" s="306"/>
      <c r="L127" s="307"/>
      <c r="M127" s="307"/>
      <c r="N127" s="307"/>
      <c r="O127" s="307"/>
      <c r="P127" s="307"/>
      <c r="Q127" s="307"/>
      <c r="R127" s="307"/>
      <c r="S127" s="307"/>
      <c r="T127" s="307"/>
      <c r="U127" s="307"/>
      <c r="V127" s="307"/>
      <c r="W127" s="307"/>
      <c r="X127" s="307"/>
      <c r="Y127" s="307"/>
      <c r="Z127" s="307"/>
      <c r="AA127" s="307"/>
      <c r="AB127" s="307"/>
      <c r="AC127" s="307"/>
      <c r="AD127" s="307"/>
    </row>
    <row r="128" ht="15.75" customHeight="1">
      <c r="A128" s="306"/>
      <c r="B128" s="306"/>
      <c r="C128" s="306"/>
      <c r="D128" s="306"/>
      <c r="E128" s="306"/>
      <c r="F128" s="306"/>
      <c r="G128" s="306"/>
      <c r="H128" s="306"/>
      <c r="I128" s="306"/>
      <c r="J128" s="306"/>
      <c r="K128" s="306"/>
      <c r="L128" s="307"/>
      <c r="M128" s="307"/>
      <c r="N128" s="307"/>
      <c r="O128" s="307"/>
      <c r="P128" s="307"/>
      <c r="Q128" s="307"/>
      <c r="R128" s="307"/>
      <c r="S128" s="307"/>
      <c r="T128" s="307"/>
      <c r="U128" s="307"/>
      <c r="V128" s="307"/>
      <c r="W128" s="307"/>
      <c r="X128" s="307"/>
      <c r="Y128" s="307"/>
      <c r="Z128" s="307"/>
      <c r="AA128" s="307"/>
      <c r="AB128" s="307"/>
      <c r="AC128" s="307"/>
      <c r="AD128" s="307"/>
    </row>
    <row r="129" ht="15.75" customHeight="1">
      <c r="A129" s="306"/>
      <c r="B129" s="306"/>
      <c r="C129" s="306"/>
      <c r="D129" s="306"/>
      <c r="E129" s="306"/>
      <c r="F129" s="306"/>
      <c r="G129" s="306"/>
      <c r="H129" s="306"/>
      <c r="I129" s="306"/>
      <c r="J129" s="306"/>
      <c r="K129" s="306"/>
      <c r="L129" s="307"/>
      <c r="M129" s="307"/>
      <c r="N129" s="307"/>
      <c r="O129" s="307"/>
      <c r="P129" s="307"/>
      <c r="Q129" s="307"/>
      <c r="R129" s="307"/>
      <c r="S129" s="307"/>
      <c r="T129" s="307"/>
      <c r="U129" s="307"/>
      <c r="V129" s="307"/>
      <c r="W129" s="307"/>
      <c r="X129" s="307"/>
      <c r="Y129" s="307"/>
      <c r="Z129" s="307"/>
      <c r="AA129" s="307"/>
      <c r="AB129" s="307"/>
      <c r="AC129" s="307"/>
      <c r="AD129" s="307"/>
    </row>
    <row r="130" ht="15.75" customHeight="1">
      <c r="A130" s="306"/>
      <c r="B130" s="306"/>
      <c r="C130" s="306"/>
      <c r="D130" s="306"/>
      <c r="E130" s="306"/>
      <c r="F130" s="306"/>
      <c r="G130" s="306"/>
      <c r="H130" s="306"/>
      <c r="I130" s="306"/>
      <c r="J130" s="306"/>
      <c r="K130" s="306"/>
      <c r="L130" s="307"/>
      <c r="M130" s="307"/>
      <c r="N130" s="307"/>
      <c r="O130" s="307"/>
      <c r="P130" s="307"/>
      <c r="Q130" s="307"/>
      <c r="R130" s="307"/>
      <c r="S130" s="307"/>
      <c r="T130" s="307"/>
      <c r="U130" s="307"/>
      <c r="V130" s="307"/>
      <c r="W130" s="307"/>
      <c r="X130" s="307"/>
      <c r="Y130" s="307"/>
      <c r="Z130" s="307"/>
      <c r="AA130" s="307"/>
      <c r="AB130" s="307"/>
      <c r="AC130" s="307"/>
      <c r="AD130" s="307"/>
    </row>
    <row r="131" ht="15.75" customHeight="1">
      <c r="A131" s="306"/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7"/>
      <c r="M131" s="307"/>
      <c r="N131" s="307"/>
      <c r="O131" s="307"/>
      <c r="P131" s="307"/>
      <c r="Q131" s="307"/>
      <c r="R131" s="307"/>
      <c r="S131" s="307"/>
      <c r="T131" s="307"/>
      <c r="U131" s="307"/>
      <c r="V131" s="307"/>
      <c r="W131" s="307"/>
      <c r="X131" s="307"/>
      <c r="Y131" s="307"/>
      <c r="Z131" s="307"/>
      <c r="AA131" s="307"/>
      <c r="AB131" s="307"/>
      <c r="AC131" s="307"/>
      <c r="AD131" s="307"/>
    </row>
    <row r="132" ht="15.75" customHeight="1">
      <c r="A132" s="306"/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7"/>
      <c r="M132" s="307"/>
      <c r="N132" s="307"/>
      <c r="O132" s="307"/>
      <c r="P132" s="307"/>
      <c r="Q132" s="307"/>
      <c r="R132" s="307"/>
      <c r="S132" s="307"/>
      <c r="T132" s="307"/>
      <c r="U132" s="307"/>
      <c r="V132" s="307"/>
      <c r="W132" s="307"/>
      <c r="X132" s="307"/>
      <c r="Y132" s="307"/>
      <c r="Z132" s="307"/>
      <c r="AA132" s="307"/>
      <c r="AB132" s="307"/>
      <c r="AC132" s="307"/>
      <c r="AD132" s="307"/>
    </row>
    <row r="133" ht="15.75" customHeight="1">
      <c r="A133" s="306"/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7"/>
      <c r="M133" s="307"/>
      <c r="N133" s="307"/>
      <c r="O133" s="307"/>
      <c r="P133" s="307"/>
      <c r="Q133" s="307"/>
      <c r="R133" s="307"/>
      <c r="S133" s="307"/>
      <c r="T133" s="307"/>
      <c r="U133" s="307"/>
      <c r="V133" s="307"/>
      <c r="W133" s="307"/>
      <c r="X133" s="307"/>
      <c r="Y133" s="307"/>
      <c r="Z133" s="307"/>
      <c r="AA133" s="307"/>
      <c r="AB133" s="307"/>
      <c r="AC133" s="307"/>
      <c r="AD133" s="307"/>
    </row>
    <row r="134" ht="15.75" customHeight="1">
      <c r="A134" s="306"/>
      <c r="B134" s="306"/>
      <c r="C134" s="306"/>
      <c r="D134" s="306"/>
      <c r="E134" s="306"/>
      <c r="F134" s="306"/>
      <c r="G134" s="306"/>
      <c r="H134" s="306"/>
      <c r="I134" s="306"/>
      <c r="J134" s="306"/>
      <c r="K134" s="306"/>
      <c r="L134" s="307"/>
      <c r="M134" s="307"/>
      <c r="N134" s="307"/>
      <c r="O134" s="307"/>
      <c r="P134" s="307"/>
      <c r="Q134" s="307"/>
      <c r="R134" s="307"/>
      <c r="S134" s="307"/>
      <c r="T134" s="307"/>
      <c r="U134" s="307"/>
      <c r="V134" s="307"/>
      <c r="W134" s="307"/>
      <c r="X134" s="307"/>
      <c r="Y134" s="307"/>
      <c r="Z134" s="307"/>
      <c r="AA134" s="307"/>
      <c r="AB134" s="307"/>
      <c r="AC134" s="307"/>
      <c r="AD134" s="307"/>
    </row>
    <row r="135" ht="15.75" customHeight="1">
      <c r="A135" s="306"/>
      <c r="B135" s="306"/>
      <c r="C135" s="306"/>
      <c r="D135" s="306"/>
      <c r="E135" s="306"/>
      <c r="F135" s="306"/>
      <c r="G135" s="306"/>
      <c r="H135" s="306"/>
      <c r="I135" s="306"/>
      <c r="J135" s="306"/>
      <c r="K135" s="306"/>
      <c r="L135" s="307"/>
      <c r="M135" s="307"/>
      <c r="N135" s="307"/>
      <c r="O135" s="307"/>
      <c r="P135" s="307"/>
      <c r="Q135" s="307"/>
      <c r="R135" s="307"/>
      <c r="S135" s="307"/>
      <c r="T135" s="307"/>
      <c r="U135" s="307"/>
      <c r="V135" s="307"/>
      <c r="W135" s="307"/>
      <c r="X135" s="307"/>
      <c r="Y135" s="307"/>
      <c r="Z135" s="307"/>
      <c r="AA135" s="307"/>
      <c r="AB135" s="307"/>
      <c r="AC135" s="307"/>
      <c r="AD135" s="307"/>
    </row>
    <row r="136" ht="15.75" customHeight="1">
      <c r="A136" s="306"/>
      <c r="B136" s="306"/>
      <c r="C136" s="306"/>
      <c r="D136" s="306"/>
      <c r="E136" s="306"/>
      <c r="F136" s="306"/>
      <c r="G136" s="306"/>
      <c r="H136" s="306"/>
      <c r="I136" s="306"/>
      <c r="J136" s="306"/>
      <c r="K136" s="306"/>
      <c r="L136" s="307"/>
      <c r="M136" s="307"/>
      <c r="N136" s="307"/>
      <c r="O136" s="307"/>
      <c r="P136" s="307"/>
      <c r="Q136" s="307"/>
      <c r="R136" s="307"/>
      <c r="S136" s="307"/>
      <c r="T136" s="307"/>
      <c r="U136" s="307"/>
      <c r="V136" s="307"/>
      <c r="W136" s="307"/>
      <c r="X136" s="307"/>
      <c r="Y136" s="307"/>
      <c r="Z136" s="307"/>
      <c r="AA136" s="307"/>
      <c r="AB136" s="307"/>
      <c r="AC136" s="307"/>
      <c r="AD136" s="307"/>
    </row>
    <row r="137" ht="15.75" customHeight="1">
      <c r="A137" s="306"/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</row>
    <row r="138" ht="15.75" customHeight="1">
      <c r="A138" s="306"/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7"/>
      <c r="M138" s="307"/>
      <c r="N138" s="307"/>
      <c r="O138" s="307"/>
      <c r="P138" s="307"/>
      <c r="Q138" s="307"/>
      <c r="R138" s="307"/>
      <c r="S138" s="307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</row>
    <row r="139" ht="15.75" customHeight="1">
      <c r="A139" s="306"/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7"/>
      <c r="M139" s="307"/>
      <c r="N139" s="307"/>
      <c r="O139" s="307"/>
      <c r="P139" s="307"/>
      <c r="Q139" s="307"/>
      <c r="R139" s="307"/>
      <c r="S139" s="307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</row>
    <row r="140" ht="15.75" customHeight="1">
      <c r="A140" s="306"/>
      <c r="B140" s="306"/>
      <c r="C140" s="306"/>
      <c r="D140" s="306"/>
      <c r="E140" s="306"/>
      <c r="F140" s="306"/>
      <c r="G140" s="306"/>
      <c r="H140" s="306"/>
      <c r="I140" s="306"/>
      <c r="J140" s="306"/>
      <c r="K140" s="306"/>
      <c r="L140" s="307"/>
      <c r="M140" s="307"/>
      <c r="N140" s="307"/>
      <c r="O140" s="307"/>
      <c r="P140" s="307"/>
      <c r="Q140" s="307"/>
      <c r="R140" s="307"/>
      <c r="S140" s="307"/>
      <c r="T140" s="307"/>
      <c r="U140" s="307"/>
      <c r="V140" s="307"/>
      <c r="W140" s="307"/>
      <c r="X140" s="307"/>
      <c r="Y140" s="307"/>
      <c r="Z140" s="307"/>
      <c r="AA140" s="307"/>
      <c r="AB140" s="307"/>
      <c r="AC140" s="307"/>
      <c r="AD140" s="307"/>
    </row>
    <row r="141" ht="15.75" customHeight="1">
      <c r="A141" s="306"/>
      <c r="B141" s="306"/>
      <c r="C141" s="306"/>
      <c r="D141" s="306"/>
      <c r="E141" s="306"/>
      <c r="F141" s="306"/>
      <c r="G141" s="306"/>
      <c r="H141" s="306"/>
      <c r="I141" s="306"/>
      <c r="J141" s="306"/>
      <c r="K141" s="306"/>
      <c r="L141" s="307"/>
      <c r="M141" s="307"/>
      <c r="N141" s="307"/>
      <c r="O141" s="307"/>
      <c r="P141" s="307"/>
      <c r="Q141" s="307"/>
      <c r="R141" s="307"/>
      <c r="S141" s="307"/>
      <c r="T141" s="307"/>
      <c r="U141" s="307"/>
      <c r="V141" s="307"/>
      <c r="W141" s="307"/>
      <c r="X141" s="307"/>
      <c r="Y141" s="307"/>
      <c r="Z141" s="307"/>
      <c r="AA141" s="307"/>
      <c r="AB141" s="307"/>
      <c r="AC141" s="307"/>
      <c r="AD141" s="307"/>
    </row>
    <row r="142" ht="15.75" customHeight="1">
      <c r="A142" s="306"/>
      <c r="B142" s="306"/>
      <c r="C142" s="306"/>
      <c r="D142" s="306"/>
      <c r="E142" s="306"/>
      <c r="F142" s="306"/>
      <c r="G142" s="306"/>
      <c r="H142" s="306"/>
      <c r="I142" s="306"/>
      <c r="J142" s="306"/>
      <c r="K142" s="306"/>
      <c r="L142" s="307"/>
      <c r="M142" s="307"/>
      <c r="N142" s="307"/>
      <c r="O142" s="307"/>
      <c r="P142" s="307"/>
      <c r="Q142" s="307"/>
      <c r="R142" s="307"/>
      <c r="S142" s="307"/>
      <c r="T142" s="307"/>
      <c r="U142" s="307"/>
      <c r="V142" s="307"/>
      <c r="W142" s="307"/>
      <c r="X142" s="307"/>
      <c r="Y142" s="307"/>
      <c r="Z142" s="307"/>
      <c r="AA142" s="307"/>
      <c r="AB142" s="307"/>
      <c r="AC142" s="307"/>
      <c r="AD142" s="307"/>
    </row>
    <row r="143" ht="15.75" customHeight="1">
      <c r="A143" s="306"/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7"/>
      <c r="M143" s="307"/>
      <c r="N143" s="307"/>
      <c r="O143" s="307"/>
      <c r="P143" s="307"/>
      <c r="Q143" s="307"/>
      <c r="R143" s="307"/>
      <c r="S143" s="307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</row>
    <row r="144" ht="15.75" customHeight="1">
      <c r="A144" s="306"/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7"/>
      <c r="M144" s="307"/>
      <c r="N144" s="307"/>
      <c r="O144" s="307"/>
      <c r="P144" s="307"/>
      <c r="Q144" s="307"/>
      <c r="R144" s="307"/>
      <c r="S144" s="307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</row>
    <row r="145" ht="15.75" customHeight="1">
      <c r="A145" s="306"/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7"/>
      <c r="M145" s="307"/>
      <c r="N145" s="307"/>
      <c r="O145" s="307"/>
      <c r="P145" s="307"/>
      <c r="Q145" s="307"/>
      <c r="R145" s="307"/>
      <c r="S145" s="307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</row>
    <row r="146" ht="15.75" customHeight="1">
      <c r="A146" s="306"/>
      <c r="B146" s="306"/>
      <c r="C146" s="306"/>
      <c r="D146" s="306"/>
      <c r="E146" s="306"/>
      <c r="F146" s="306"/>
      <c r="G146" s="306"/>
      <c r="H146" s="306"/>
      <c r="I146" s="306"/>
      <c r="J146" s="306"/>
      <c r="K146" s="306"/>
      <c r="L146" s="307"/>
      <c r="M146" s="307"/>
      <c r="N146" s="307"/>
      <c r="O146" s="307"/>
      <c r="P146" s="307"/>
      <c r="Q146" s="307"/>
      <c r="R146" s="307"/>
      <c r="S146" s="307"/>
      <c r="T146" s="307"/>
      <c r="U146" s="307"/>
      <c r="V146" s="307"/>
      <c r="W146" s="307"/>
      <c r="X146" s="307"/>
      <c r="Y146" s="307"/>
      <c r="Z146" s="307"/>
      <c r="AA146" s="307"/>
      <c r="AB146" s="307"/>
      <c r="AC146" s="307"/>
      <c r="AD146" s="307"/>
    </row>
    <row r="147" ht="15.75" customHeight="1">
      <c r="A147" s="306"/>
      <c r="B147" s="306"/>
      <c r="C147" s="306"/>
      <c r="D147" s="306"/>
      <c r="E147" s="306"/>
      <c r="F147" s="306"/>
      <c r="G147" s="306"/>
      <c r="H147" s="306"/>
      <c r="I147" s="306"/>
      <c r="J147" s="306"/>
      <c r="K147" s="306"/>
      <c r="L147" s="307"/>
      <c r="M147" s="307"/>
      <c r="N147" s="307"/>
      <c r="O147" s="307"/>
      <c r="P147" s="307"/>
      <c r="Q147" s="307"/>
      <c r="R147" s="307"/>
      <c r="S147" s="307"/>
      <c r="T147" s="307"/>
      <c r="U147" s="307"/>
      <c r="V147" s="307"/>
      <c r="W147" s="307"/>
      <c r="X147" s="307"/>
      <c r="Y147" s="307"/>
      <c r="Z147" s="307"/>
      <c r="AA147" s="307"/>
      <c r="AB147" s="307"/>
      <c r="AC147" s="307"/>
      <c r="AD147" s="307"/>
    </row>
    <row r="148" ht="15.75" customHeight="1">
      <c r="A148" s="306"/>
      <c r="B148" s="306"/>
      <c r="C148" s="306"/>
      <c r="D148" s="306"/>
      <c r="E148" s="306"/>
      <c r="F148" s="306"/>
      <c r="G148" s="306"/>
      <c r="H148" s="306"/>
      <c r="I148" s="306"/>
      <c r="J148" s="306"/>
      <c r="K148" s="306"/>
      <c r="L148" s="307"/>
      <c r="M148" s="307"/>
      <c r="N148" s="307"/>
      <c r="O148" s="307"/>
      <c r="P148" s="307"/>
      <c r="Q148" s="307"/>
      <c r="R148" s="307"/>
      <c r="S148" s="307"/>
      <c r="T148" s="307"/>
      <c r="U148" s="307"/>
      <c r="V148" s="307"/>
      <c r="W148" s="307"/>
      <c r="X148" s="307"/>
      <c r="Y148" s="307"/>
      <c r="Z148" s="307"/>
      <c r="AA148" s="307"/>
      <c r="AB148" s="307"/>
      <c r="AC148" s="307"/>
      <c r="AD148" s="307"/>
    </row>
    <row r="149" ht="15.75" customHeight="1">
      <c r="A149" s="306"/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7"/>
      <c r="M149" s="307"/>
      <c r="N149" s="307"/>
      <c r="O149" s="307"/>
      <c r="P149" s="307"/>
      <c r="Q149" s="307"/>
      <c r="R149" s="307"/>
      <c r="S149" s="307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</row>
    <row r="150" ht="15.75" customHeight="1">
      <c r="A150" s="306"/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7"/>
      <c r="M150" s="307"/>
      <c r="N150" s="307"/>
      <c r="O150" s="307"/>
      <c r="P150" s="307"/>
      <c r="Q150" s="307"/>
      <c r="R150" s="307"/>
      <c r="S150" s="307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</row>
    <row r="151" ht="15.75" customHeight="1">
      <c r="A151" s="306"/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7"/>
      <c r="M151" s="307"/>
      <c r="N151" s="307"/>
      <c r="O151" s="307"/>
      <c r="P151" s="307"/>
      <c r="Q151" s="307"/>
      <c r="R151" s="307"/>
      <c r="S151" s="307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</row>
    <row r="152" ht="15.75" customHeight="1">
      <c r="A152" s="306"/>
      <c r="B152" s="306"/>
      <c r="C152" s="306"/>
      <c r="D152" s="306"/>
      <c r="E152" s="306"/>
      <c r="F152" s="306"/>
      <c r="G152" s="306"/>
      <c r="H152" s="306"/>
      <c r="I152" s="306"/>
      <c r="J152" s="306"/>
      <c r="K152" s="306"/>
      <c r="L152" s="307"/>
      <c r="M152" s="307"/>
      <c r="N152" s="307"/>
      <c r="O152" s="307"/>
      <c r="P152" s="307"/>
      <c r="Q152" s="307"/>
      <c r="R152" s="307"/>
      <c r="S152" s="307"/>
      <c r="T152" s="307"/>
      <c r="U152" s="307"/>
      <c r="V152" s="307"/>
      <c r="W152" s="307"/>
      <c r="X152" s="307"/>
      <c r="Y152" s="307"/>
      <c r="Z152" s="307"/>
      <c r="AA152" s="307"/>
      <c r="AB152" s="307"/>
      <c r="AC152" s="307"/>
      <c r="AD152" s="307"/>
    </row>
    <row r="153" ht="15.75" customHeight="1">
      <c r="A153" s="306"/>
      <c r="B153" s="306"/>
      <c r="C153" s="306"/>
      <c r="D153" s="306"/>
      <c r="E153" s="306"/>
      <c r="F153" s="306"/>
      <c r="G153" s="306"/>
      <c r="H153" s="306"/>
      <c r="I153" s="306"/>
      <c r="J153" s="306"/>
      <c r="K153" s="306"/>
      <c r="L153" s="307"/>
      <c r="M153" s="307"/>
      <c r="N153" s="307"/>
      <c r="O153" s="307"/>
      <c r="P153" s="307"/>
      <c r="Q153" s="307"/>
      <c r="R153" s="307"/>
      <c r="S153" s="307"/>
      <c r="T153" s="307"/>
      <c r="U153" s="307"/>
      <c r="V153" s="307"/>
      <c r="W153" s="307"/>
      <c r="X153" s="307"/>
      <c r="Y153" s="307"/>
      <c r="Z153" s="307"/>
      <c r="AA153" s="307"/>
      <c r="AB153" s="307"/>
      <c r="AC153" s="307"/>
      <c r="AD153" s="307"/>
    </row>
    <row r="154" ht="15.75" customHeight="1">
      <c r="A154" s="306"/>
      <c r="B154" s="306"/>
      <c r="C154" s="306"/>
      <c r="D154" s="306"/>
      <c r="E154" s="306"/>
      <c r="F154" s="306"/>
      <c r="G154" s="306"/>
      <c r="H154" s="306"/>
      <c r="I154" s="306"/>
      <c r="J154" s="306"/>
      <c r="K154" s="306"/>
      <c r="L154" s="307"/>
      <c r="M154" s="307"/>
      <c r="N154" s="307"/>
      <c r="O154" s="307"/>
      <c r="P154" s="307"/>
      <c r="Q154" s="307"/>
      <c r="R154" s="307"/>
      <c r="S154" s="307"/>
      <c r="T154" s="307"/>
      <c r="U154" s="307"/>
      <c r="V154" s="307"/>
      <c r="W154" s="307"/>
      <c r="X154" s="307"/>
      <c r="Y154" s="307"/>
      <c r="Z154" s="307"/>
      <c r="AA154" s="307"/>
      <c r="AB154" s="307"/>
      <c r="AC154" s="307"/>
      <c r="AD154" s="307"/>
    </row>
    <row r="155" ht="15.75" customHeight="1">
      <c r="A155" s="306"/>
      <c r="B155" s="306"/>
      <c r="C155" s="306"/>
      <c r="D155" s="306"/>
      <c r="E155" s="306"/>
      <c r="F155" s="306"/>
      <c r="G155" s="306"/>
      <c r="H155" s="306"/>
      <c r="I155" s="306"/>
      <c r="J155" s="306"/>
      <c r="K155" s="306"/>
      <c r="L155" s="307"/>
      <c r="M155" s="307"/>
      <c r="N155" s="307"/>
      <c r="O155" s="307"/>
      <c r="P155" s="307"/>
      <c r="Q155" s="307"/>
      <c r="R155" s="307"/>
      <c r="S155" s="307"/>
      <c r="T155" s="307"/>
      <c r="U155" s="307"/>
      <c r="V155" s="307"/>
      <c r="W155" s="307"/>
      <c r="X155" s="307"/>
      <c r="Y155" s="307"/>
      <c r="Z155" s="307"/>
      <c r="AA155" s="307"/>
      <c r="AB155" s="307"/>
      <c r="AC155" s="307"/>
      <c r="AD155" s="307"/>
    </row>
    <row r="156" ht="15.75" customHeight="1">
      <c r="A156" s="306"/>
      <c r="B156" s="306"/>
      <c r="C156" s="306"/>
      <c r="D156" s="306"/>
      <c r="E156" s="306"/>
      <c r="F156" s="306"/>
      <c r="G156" s="306"/>
      <c r="H156" s="306"/>
      <c r="I156" s="306"/>
      <c r="J156" s="306"/>
      <c r="K156" s="306"/>
      <c r="L156" s="307"/>
      <c r="M156" s="307"/>
      <c r="N156" s="307"/>
      <c r="O156" s="307"/>
      <c r="P156" s="307"/>
      <c r="Q156" s="307"/>
      <c r="R156" s="307"/>
      <c r="S156" s="307"/>
      <c r="T156" s="307"/>
      <c r="U156" s="307"/>
      <c r="V156" s="307"/>
      <c r="W156" s="307"/>
      <c r="X156" s="307"/>
      <c r="Y156" s="307"/>
      <c r="Z156" s="307"/>
      <c r="AA156" s="307"/>
      <c r="AB156" s="307"/>
      <c r="AC156" s="307"/>
      <c r="AD156" s="307"/>
    </row>
    <row r="157" ht="15.75" customHeight="1">
      <c r="A157" s="306"/>
      <c r="B157" s="306"/>
      <c r="C157" s="306"/>
      <c r="D157" s="306"/>
      <c r="E157" s="306"/>
      <c r="F157" s="306"/>
      <c r="G157" s="306"/>
      <c r="H157" s="306"/>
      <c r="I157" s="306"/>
      <c r="J157" s="306"/>
      <c r="K157" s="306"/>
      <c r="L157" s="307"/>
      <c r="M157" s="307"/>
      <c r="N157" s="307"/>
      <c r="O157" s="307"/>
      <c r="P157" s="307"/>
      <c r="Q157" s="307"/>
      <c r="R157" s="307"/>
      <c r="S157" s="307"/>
      <c r="T157" s="307"/>
      <c r="U157" s="307"/>
      <c r="V157" s="307"/>
      <c r="W157" s="307"/>
      <c r="X157" s="307"/>
      <c r="Y157" s="307"/>
      <c r="Z157" s="307"/>
      <c r="AA157" s="307"/>
      <c r="AB157" s="307"/>
      <c r="AC157" s="307"/>
      <c r="AD157" s="307"/>
    </row>
    <row r="158" ht="15.75" customHeight="1">
      <c r="A158" s="306"/>
      <c r="B158" s="306"/>
      <c r="C158" s="306"/>
      <c r="D158" s="306"/>
      <c r="E158" s="306"/>
      <c r="F158" s="306"/>
      <c r="G158" s="306"/>
      <c r="H158" s="306"/>
      <c r="I158" s="306"/>
      <c r="J158" s="306"/>
      <c r="K158" s="306"/>
      <c r="L158" s="307"/>
      <c r="M158" s="307"/>
      <c r="N158" s="307"/>
      <c r="O158" s="307"/>
      <c r="P158" s="307"/>
      <c r="Q158" s="307"/>
      <c r="R158" s="307"/>
      <c r="S158" s="307"/>
      <c r="T158" s="307"/>
      <c r="U158" s="307"/>
      <c r="V158" s="307"/>
      <c r="W158" s="307"/>
      <c r="X158" s="307"/>
      <c r="Y158" s="307"/>
      <c r="Z158" s="307"/>
      <c r="AA158" s="307"/>
      <c r="AB158" s="307"/>
      <c r="AC158" s="307"/>
      <c r="AD158" s="307"/>
    </row>
    <row r="159" ht="15.75" customHeight="1">
      <c r="A159" s="306"/>
      <c r="B159" s="306"/>
      <c r="C159" s="306"/>
      <c r="D159" s="306"/>
      <c r="E159" s="306"/>
      <c r="F159" s="306"/>
      <c r="G159" s="306"/>
      <c r="H159" s="306"/>
      <c r="I159" s="306"/>
      <c r="J159" s="306"/>
      <c r="K159" s="306"/>
      <c r="L159" s="307"/>
      <c r="M159" s="307"/>
      <c r="N159" s="307"/>
      <c r="O159" s="307"/>
      <c r="P159" s="307"/>
      <c r="Q159" s="307"/>
      <c r="R159" s="307"/>
      <c r="S159" s="307"/>
      <c r="T159" s="307"/>
      <c r="U159" s="307"/>
      <c r="V159" s="307"/>
      <c r="W159" s="307"/>
      <c r="X159" s="307"/>
      <c r="Y159" s="307"/>
      <c r="Z159" s="307"/>
      <c r="AA159" s="307"/>
      <c r="AB159" s="307"/>
      <c r="AC159" s="307"/>
      <c r="AD159" s="307"/>
    </row>
    <row r="160" ht="15.75" customHeight="1">
      <c r="A160" s="306"/>
      <c r="B160" s="306"/>
      <c r="C160" s="306"/>
      <c r="D160" s="306"/>
      <c r="E160" s="306"/>
      <c r="F160" s="306"/>
      <c r="G160" s="306"/>
      <c r="H160" s="306"/>
      <c r="I160" s="306"/>
      <c r="J160" s="306"/>
      <c r="K160" s="306"/>
      <c r="L160" s="307"/>
      <c r="M160" s="307"/>
      <c r="N160" s="307"/>
      <c r="O160" s="307"/>
      <c r="P160" s="307"/>
      <c r="Q160" s="307"/>
      <c r="R160" s="307"/>
      <c r="S160" s="307"/>
      <c r="T160" s="307"/>
      <c r="U160" s="307"/>
      <c r="V160" s="307"/>
      <c r="W160" s="307"/>
      <c r="X160" s="307"/>
      <c r="Y160" s="307"/>
      <c r="Z160" s="307"/>
      <c r="AA160" s="307"/>
      <c r="AB160" s="307"/>
      <c r="AC160" s="307"/>
      <c r="AD160" s="307"/>
    </row>
    <row r="161" ht="15.75" customHeight="1">
      <c r="A161" s="306"/>
      <c r="B161" s="306"/>
      <c r="C161" s="306"/>
      <c r="D161" s="306"/>
      <c r="E161" s="306"/>
      <c r="F161" s="306"/>
      <c r="G161" s="306"/>
      <c r="H161" s="306"/>
      <c r="I161" s="306"/>
      <c r="J161" s="306"/>
      <c r="K161" s="306"/>
      <c r="L161" s="307"/>
      <c r="M161" s="307"/>
      <c r="N161" s="307"/>
      <c r="O161" s="307"/>
      <c r="P161" s="307"/>
      <c r="Q161" s="307"/>
      <c r="R161" s="307"/>
      <c r="S161" s="307"/>
      <c r="T161" s="307"/>
      <c r="U161" s="307"/>
      <c r="V161" s="307"/>
      <c r="W161" s="307"/>
      <c r="X161" s="307"/>
      <c r="Y161" s="307"/>
      <c r="Z161" s="307"/>
      <c r="AA161" s="307"/>
      <c r="AB161" s="307"/>
      <c r="AC161" s="307"/>
      <c r="AD161" s="307"/>
    </row>
    <row r="162" ht="15.75" customHeight="1">
      <c r="A162" s="306"/>
      <c r="B162" s="306"/>
      <c r="C162" s="306"/>
      <c r="D162" s="306"/>
      <c r="E162" s="306"/>
      <c r="F162" s="306"/>
      <c r="G162" s="306"/>
      <c r="H162" s="306"/>
      <c r="I162" s="306"/>
      <c r="J162" s="306"/>
      <c r="K162" s="306"/>
      <c r="L162" s="307"/>
      <c r="M162" s="307"/>
      <c r="N162" s="307"/>
      <c r="O162" s="307"/>
      <c r="P162" s="307"/>
      <c r="Q162" s="307"/>
      <c r="R162" s="307"/>
      <c r="S162" s="307"/>
      <c r="T162" s="307"/>
      <c r="U162" s="307"/>
      <c r="V162" s="307"/>
      <c r="W162" s="307"/>
      <c r="X162" s="307"/>
      <c r="Y162" s="307"/>
      <c r="Z162" s="307"/>
      <c r="AA162" s="307"/>
      <c r="AB162" s="307"/>
      <c r="AC162" s="307"/>
      <c r="AD162" s="307"/>
    </row>
    <row r="163" ht="15.75" customHeight="1">
      <c r="A163" s="306"/>
      <c r="B163" s="306"/>
      <c r="C163" s="306"/>
      <c r="D163" s="306"/>
      <c r="E163" s="306"/>
      <c r="F163" s="306"/>
      <c r="G163" s="306"/>
      <c r="H163" s="306"/>
      <c r="I163" s="306"/>
      <c r="J163" s="306"/>
      <c r="K163" s="306"/>
      <c r="L163" s="307"/>
      <c r="M163" s="307"/>
      <c r="N163" s="307"/>
      <c r="O163" s="307"/>
      <c r="P163" s="307"/>
      <c r="Q163" s="307"/>
      <c r="R163" s="307"/>
      <c r="S163" s="307"/>
      <c r="T163" s="307"/>
      <c r="U163" s="307"/>
      <c r="V163" s="307"/>
      <c r="W163" s="307"/>
      <c r="X163" s="307"/>
      <c r="Y163" s="307"/>
      <c r="Z163" s="307"/>
      <c r="AA163" s="307"/>
      <c r="AB163" s="307"/>
      <c r="AC163" s="307"/>
      <c r="AD163" s="307"/>
    </row>
    <row r="164" ht="15.75" customHeight="1">
      <c r="A164" s="306"/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7"/>
      <c r="M164" s="307"/>
      <c r="N164" s="307"/>
      <c r="O164" s="307"/>
      <c r="P164" s="307"/>
      <c r="Q164" s="307"/>
      <c r="R164" s="307"/>
      <c r="S164" s="307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</row>
    <row r="165" ht="15.75" customHeight="1">
      <c r="A165" s="306"/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7"/>
      <c r="M165" s="307"/>
      <c r="N165" s="307"/>
      <c r="O165" s="307"/>
      <c r="P165" s="307"/>
      <c r="Q165" s="307"/>
      <c r="R165" s="307"/>
      <c r="S165" s="307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</row>
    <row r="166" ht="15.75" customHeight="1">
      <c r="A166" s="306"/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7"/>
      <c r="M166" s="307"/>
      <c r="N166" s="307"/>
      <c r="O166" s="307"/>
      <c r="P166" s="307"/>
      <c r="Q166" s="307"/>
      <c r="R166" s="307"/>
      <c r="S166" s="307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</row>
    <row r="167" ht="15.75" customHeight="1">
      <c r="A167" s="306"/>
      <c r="B167" s="306"/>
      <c r="C167" s="306"/>
      <c r="D167" s="306"/>
      <c r="E167" s="306"/>
      <c r="F167" s="306"/>
      <c r="G167" s="306"/>
      <c r="H167" s="306"/>
      <c r="I167" s="306"/>
      <c r="J167" s="306"/>
      <c r="K167" s="306"/>
      <c r="L167" s="307"/>
      <c r="M167" s="307"/>
      <c r="N167" s="307"/>
      <c r="O167" s="307"/>
      <c r="P167" s="307"/>
      <c r="Q167" s="307"/>
      <c r="R167" s="307"/>
      <c r="S167" s="307"/>
      <c r="T167" s="307"/>
      <c r="U167" s="307"/>
      <c r="V167" s="307"/>
      <c r="W167" s="307"/>
      <c r="X167" s="307"/>
      <c r="Y167" s="307"/>
      <c r="Z167" s="307"/>
      <c r="AA167" s="307"/>
      <c r="AB167" s="307"/>
      <c r="AC167" s="307"/>
      <c r="AD167" s="307"/>
    </row>
    <row r="168" ht="15.75" customHeight="1">
      <c r="A168" s="306"/>
      <c r="B168" s="306"/>
      <c r="C168" s="306"/>
      <c r="D168" s="306"/>
      <c r="E168" s="306"/>
      <c r="F168" s="306"/>
      <c r="G168" s="306"/>
      <c r="H168" s="306"/>
      <c r="I168" s="306"/>
      <c r="J168" s="306"/>
      <c r="K168" s="306"/>
      <c r="L168" s="307"/>
      <c r="M168" s="307"/>
      <c r="N168" s="307"/>
      <c r="O168" s="307"/>
      <c r="P168" s="307"/>
      <c r="Q168" s="307"/>
      <c r="R168" s="307"/>
      <c r="S168" s="307"/>
      <c r="T168" s="307"/>
      <c r="U168" s="307"/>
      <c r="V168" s="307"/>
      <c r="W168" s="307"/>
      <c r="X168" s="307"/>
      <c r="Y168" s="307"/>
      <c r="Z168" s="307"/>
      <c r="AA168" s="307"/>
      <c r="AB168" s="307"/>
      <c r="AC168" s="307"/>
      <c r="AD168" s="307"/>
    </row>
    <row r="169" ht="15.75" customHeight="1">
      <c r="A169" s="306"/>
      <c r="B169" s="306"/>
      <c r="C169" s="306"/>
      <c r="D169" s="306"/>
      <c r="E169" s="306"/>
      <c r="F169" s="306"/>
      <c r="G169" s="306"/>
      <c r="H169" s="306"/>
      <c r="I169" s="306"/>
      <c r="J169" s="306"/>
      <c r="K169" s="306"/>
      <c r="L169" s="307"/>
      <c r="M169" s="307"/>
      <c r="N169" s="307"/>
      <c r="O169" s="307"/>
      <c r="P169" s="307"/>
      <c r="Q169" s="307"/>
      <c r="R169" s="307"/>
      <c r="S169" s="307"/>
      <c r="T169" s="307"/>
      <c r="U169" s="307"/>
      <c r="V169" s="307"/>
      <c r="W169" s="307"/>
      <c r="X169" s="307"/>
      <c r="Y169" s="307"/>
      <c r="Z169" s="307"/>
      <c r="AA169" s="307"/>
      <c r="AB169" s="307"/>
      <c r="AC169" s="307"/>
      <c r="AD169" s="307"/>
    </row>
    <row r="170" ht="15.75" customHeight="1">
      <c r="A170" s="306"/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7"/>
      <c r="M170" s="307"/>
      <c r="N170" s="307"/>
      <c r="O170" s="307"/>
      <c r="P170" s="307"/>
      <c r="Q170" s="307"/>
      <c r="R170" s="307"/>
      <c r="S170" s="307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</row>
    <row r="171" ht="15.75" customHeight="1">
      <c r="A171" s="306"/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7"/>
      <c r="M171" s="307"/>
      <c r="N171" s="307"/>
      <c r="O171" s="307"/>
      <c r="P171" s="307"/>
      <c r="Q171" s="307"/>
      <c r="R171" s="307"/>
      <c r="S171" s="307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</row>
    <row r="172" ht="15.75" customHeight="1">
      <c r="A172" s="306"/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7"/>
      <c r="M172" s="307"/>
      <c r="N172" s="307"/>
      <c r="O172" s="307"/>
      <c r="P172" s="307"/>
      <c r="Q172" s="307"/>
      <c r="R172" s="307"/>
      <c r="S172" s="307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</row>
    <row r="173" ht="15.75" customHeight="1">
      <c r="A173" s="306"/>
      <c r="B173" s="306"/>
      <c r="C173" s="306"/>
      <c r="D173" s="306"/>
      <c r="E173" s="306"/>
      <c r="F173" s="306"/>
      <c r="G173" s="306"/>
      <c r="H173" s="306"/>
      <c r="I173" s="306"/>
      <c r="J173" s="306"/>
      <c r="K173" s="306"/>
      <c r="L173" s="307"/>
      <c r="M173" s="307"/>
      <c r="N173" s="307"/>
      <c r="O173" s="307"/>
      <c r="P173" s="307"/>
      <c r="Q173" s="307"/>
      <c r="R173" s="307"/>
      <c r="S173" s="307"/>
      <c r="T173" s="307"/>
      <c r="U173" s="307"/>
      <c r="V173" s="307"/>
      <c r="W173" s="307"/>
      <c r="X173" s="307"/>
      <c r="Y173" s="307"/>
      <c r="Z173" s="307"/>
      <c r="AA173" s="307"/>
      <c r="AB173" s="307"/>
      <c r="AC173" s="307"/>
      <c r="AD173" s="307"/>
    </row>
    <row r="174" ht="15.75" customHeight="1">
      <c r="A174" s="306"/>
      <c r="B174" s="306"/>
      <c r="C174" s="306"/>
      <c r="D174" s="306"/>
      <c r="E174" s="306"/>
      <c r="F174" s="306"/>
      <c r="G174" s="306"/>
      <c r="H174" s="306"/>
      <c r="I174" s="306"/>
      <c r="J174" s="306"/>
      <c r="K174" s="306"/>
      <c r="L174" s="307"/>
      <c r="M174" s="307"/>
      <c r="N174" s="307"/>
      <c r="O174" s="307"/>
      <c r="P174" s="307"/>
      <c r="Q174" s="307"/>
      <c r="R174" s="307"/>
      <c r="S174" s="307"/>
      <c r="T174" s="307"/>
      <c r="U174" s="307"/>
      <c r="V174" s="307"/>
      <c r="W174" s="307"/>
      <c r="X174" s="307"/>
      <c r="Y174" s="307"/>
      <c r="Z174" s="307"/>
      <c r="AA174" s="307"/>
      <c r="AB174" s="307"/>
      <c r="AC174" s="307"/>
      <c r="AD174" s="307"/>
    </row>
    <row r="175" ht="15.75" customHeight="1">
      <c r="A175" s="306"/>
      <c r="B175" s="306"/>
      <c r="C175" s="306"/>
      <c r="D175" s="306"/>
      <c r="E175" s="306"/>
      <c r="F175" s="306"/>
      <c r="G175" s="306"/>
      <c r="H175" s="306"/>
      <c r="I175" s="306"/>
      <c r="J175" s="306"/>
      <c r="K175" s="306"/>
      <c r="L175" s="307"/>
      <c r="M175" s="307"/>
      <c r="N175" s="307"/>
      <c r="O175" s="307"/>
      <c r="P175" s="307"/>
      <c r="Q175" s="307"/>
      <c r="R175" s="307"/>
      <c r="S175" s="307"/>
      <c r="T175" s="307"/>
      <c r="U175" s="307"/>
      <c r="V175" s="307"/>
      <c r="W175" s="307"/>
      <c r="X175" s="307"/>
      <c r="Y175" s="307"/>
      <c r="Z175" s="307"/>
      <c r="AA175" s="307"/>
      <c r="AB175" s="307"/>
      <c r="AC175" s="307"/>
      <c r="AD175" s="307"/>
    </row>
    <row r="176" ht="15.75" customHeight="1">
      <c r="A176" s="306"/>
      <c r="B176" s="306"/>
      <c r="C176" s="306"/>
      <c r="D176" s="306"/>
      <c r="E176" s="306"/>
      <c r="F176" s="306"/>
      <c r="G176" s="306"/>
      <c r="H176" s="306"/>
      <c r="I176" s="306"/>
      <c r="J176" s="306"/>
      <c r="K176" s="306"/>
      <c r="L176" s="307"/>
      <c r="M176" s="307"/>
      <c r="N176" s="307"/>
      <c r="O176" s="307"/>
      <c r="P176" s="307"/>
      <c r="Q176" s="307"/>
      <c r="R176" s="307"/>
      <c r="S176" s="307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</row>
    <row r="177" ht="15.75" customHeight="1">
      <c r="A177" s="306"/>
      <c r="B177" s="306"/>
      <c r="C177" s="306"/>
      <c r="D177" s="306"/>
      <c r="E177" s="306"/>
      <c r="F177" s="306"/>
      <c r="G177" s="306"/>
      <c r="H177" s="306"/>
      <c r="I177" s="306"/>
      <c r="J177" s="306"/>
      <c r="K177" s="306"/>
      <c r="L177" s="307"/>
      <c r="M177" s="307"/>
      <c r="N177" s="307"/>
      <c r="O177" s="307"/>
      <c r="P177" s="307"/>
      <c r="Q177" s="307"/>
      <c r="R177" s="307"/>
      <c r="S177" s="307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</row>
    <row r="178" ht="15.75" customHeight="1">
      <c r="A178" s="306"/>
      <c r="B178" s="306"/>
      <c r="C178" s="306"/>
      <c r="D178" s="306"/>
      <c r="E178" s="306"/>
      <c r="F178" s="306"/>
      <c r="G178" s="306"/>
      <c r="H178" s="306"/>
      <c r="I178" s="306"/>
      <c r="J178" s="306"/>
      <c r="K178" s="306"/>
      <c r="L178" s="307"/>
      <c r="M178" s="307"/>
      <c r="N178" s="307"/>
      <c r="O178" s="307"/>
      <c r="P178" s="307"/>
      <c r="Q178" s="307"/>
      <c r="R178" s="307"/>
      <c r="S178" s="307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</row>
    <row r="179" ht="15.75" customHeight="1">
      <c r="A179" s="306"/>
      <c r="B179" s="306"/>
      <c r="C179" s="306"/>
      <c r="D179" s="306"/>
      <c r="E179" s="306"/>
      <c r="F179" s="306"/>
      <c r="G179" s="306"/>
      <c r="H179" s="306"/>
      <c r="I179" s="306"/>
      <c r="J179" s="306"/>
      <c r="K179" s="306"/>
      <c r="L179" s="307"/>
      <c r="M179" s="307"/>
      <c r="N179" s="307"/>
      <c r="O179" s="307"/>
      <c r="P179" s="307"/>
      <c r="Q179" s="307"/>
      <c r="R179" s="307"/>
      <c r="S179" s="307"/>
      <c r="T179" s="307"/>
      <c r="U179" s="307"/>
      <c r="V179" s="307"/>
      <c r="W179" s="307"/>
      <c r="X179" s="307"/>
      <c r="Y179" s="307"/>
      <c r="Z179" s="307"/>
      <c r="AA179" s="307"/>
      <c r="AB179" s="307"/>
      <c r="AC179" s="307"/>
      <c r="AD179" s="307"/>
    </row>
    <row r="180" ht="15.75" customHeight="1">
      <c r="A180" s="306"/>
      <c r="B180" s="306"/>
      <c r="C180" s="306"/>
      <c r="D180" s="306"/>
      <c r="E180" s="306"/>
      <c r="F180" s="306"/>
      <c r="G180" s="306"/>
      <c r="H180" s="306"/>
      <c r="I180" s="306"/>
      <c r="J180" s="306"/>
      <c r="K180" s="306"/>
      <c r="L180" s="307"/>
      <c r="M180" s="307"/>
      <c r="N180" s="307"/>
      <c r="O180" s="307"/>
      <c r="P180" s="307"/>
      <c r="Q180" s="307"/>
      <c r="R180" s="307"/>
      <c r="S180" s="307"/>
      <c r="T180" s="307"/>
      <c r="U180" s="307"/>
      <c r="V180" s="307"/>
      <c r="W180" s="307"/>
      <c r="X180" s="307"/>
      <c r="Y180" s="307"/>
      <c r="Z180" s="307"/>
      <c r="AA180" s="307"/>
      <c r="AB180" s="307"/>
      <c r="AC180" s="307"/>
      <c r="AD180" s="307"/>
    </row>
    <row r="181" ht="15.75" customHeight="1">
      <c r="A181" s="306"/>
      <c r="B181" s="306"/>
      <c r="C181" s="306"/>
      <c r="D181" s="306"/>
      <c r="E181" s="306"/>
      <c r="F181" s="306"/>
      <c r="G181" s="306"/>
      <c r="H181" s="306"/>
      <c r="I181" s="306"/>
      <c r="J181" s="306"/>
      <c r="K181" s="306"/>
      <c r="L181" s="307"/>
      <c r="M181" s="307"/>
      <c r="N181" s="307"/>
      <c r="O181" s="307"/>
      <c r="P181" s="307"/>
      <c r="Q181" s="307"/>
      <c r="R181" s="307"/>
      <c r="S181" s="307"/>
      <c r="T181" s="307"/>
      <c r="U181" s="307"/>
      <c r="V181" s="307"/>
      <c r="W181" s="307"/>
      <c r="X181" s="307"/>
      <c r="Y181" s="307"/>
      <c r="Z181" s="307"/>
      <c r="AA181" s="307"/>
      <c r="AB181" s="307"/>
      <c r="AC181" s="307"/>
      <c r="AD181" s="307"/>
    </row>
    <row r="182" ht="15.75" customHeight="1">
      <c r="A182" s="306"/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7"/>
      <c r="M182" s="307"/>
      <c r="N182" s="307"/>
      <c r="O182" s="307"/>
      <c r="P182" s="307"/>
      <c r="Q182" s="307"/>
      <c r="R182" s="307"/>
      <c r="S182" s="307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</row>
    <row r="183" ht="15.75" customHeight="1">
      <c r="A183" s="306"/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7"/>
      <c r="M183" s="307"/>
      <c r="N183" s="307"/>
      <c r="O183" s="307"/>
      <c r="P183" s="307"/>
      <c r="Q183" s="307"/>
      <c r="R183" s="307"/>
      <c r="S183" s="307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</row>
    <row r="184" ht="15.75" customHeight="1">
      <c r="A184" s="306"/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7"/>
      <c r="M184" s="307"/>
      <c r="N184" s="307"/>
      <c r="O184" s="307"/>
      <c r="P184" s="307"/>
      <c r="Q184" s="307"/>
      <c r="R184" s="307"/>
      <c r="S184" s="307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</row>
    <row r="185" ht="15.75" customHeight="1">
      <c r="A185" s="306"/>
      <c r="B185" s="306"/>
      <c r="C185" s="306"/>
      <c r="D185" s="306"/>
      <c r="E185" s="306"/>
      <c r="F185" s="306"/>
      <c r="G185" s="306"/>
      <c r="H185" s="306"/>
      <c r="I185" s="306"/>
      <c r="J185" s="306"/>
      <c r="K185" s="306"/>
      <c r="L185" s="307"/>
      <c r="M185" s="307"/>
      <c r="N185" s="307"/>
      <c r="O185" s="307"/>
      <c r="P185" s="307"/>
      <c r="Q185" s="307"/>
      <c r="R185" s="307"/>
      <c r="S185" s="307"/>
      <c r="T185" s="307"/>
      <c r="U185" s="307"/>
      <c r="V185" s="307"/>
      <c r="W185" s="307"/>
      <c r="X185" s="307"/>
      <c r="Y185" s="307"/>
      <c r="Z185" s="307"/>
      <c r="AA185" s="307"/>
      <c r="AB185" s="307"/>
      <c r="AC185" s="307"/>
      <c r="AD185" s="307"/>
    </row>
    <row r="186" ht="15.75" customHeight="1">
      <c r="A186" s="306"/>
      <c r="B186" s="306"/>
      <c r="C186" s="306"/>
      <c r="D186" s="306"/>
      <c r="E186" s="306"/>
      <c r="F186" s="306"/>
      <c r="G186" s="306"/>
      <c r="H186" s="306"/>
      <c r="I186" s="306"/>
      <c r="J186" s="306"/>
      <c r="K186" s="306"/>
      <c r="L186" s="307"/>
      <c r="M186" s="307"/>
      <c r="N186" s="307"/>
      <c r="O186" s="307"/>
      <c r="P186" s="307"/>
      <c r="Q186" s="307"/>
      <c r="R186" s="307"/>
      <c r="S186" s="307"/>
      <c r="T186" s="307"/>
      <c r="U186" s="307"/>
      <c r="V186" s="307"/>
      <c r="W186" s="307"/>
      <c r="X186" s="307"/>
      <c r="Y186" s="307"/>
      <c r="Z186" s="307"/>
      <c r="AA186" s="307"/>
      <c r="AB186" s="307"/>
      <c r="AC186" s="307"/>
      <c r="AD186" s="307"/>
    </row>
    <row r="187" ht="15.75" customHeight="1">
      <c r="A187" s="306"/>
      <c r="B187" s="306"/>
      <c r="C187" s="306"/>
      <c r="D187" s="306"/>
      <c r="E187" s="306"/>
      <c r="F187" s="306"/>
      <c r="G187" s="306"/>
      <c r="H187" s="306"/>
      <c r="I187" s="306"/>
      <c r="J187" s="306"/>
      <c r="K187" s="306"/>
      <c r="L187" s="307"/>
      <c r="M187" s="307"/>
      <c r="N187" s="307"/>
      <c r="O187" s="307"/>
      <c r="P187" s="307"/>
      <c r="Q187" s="307"/>
      <c r="R187" s="307"/>
      <c r="S187" s="307"/>
      <c r="T187" s="307"/>
      <c r="U187" s="307"/>
      <c r="V187" s="307"/>
      <c r="W187" s="307"/>
      <c r="X187" s="307"/>
      <c r="Y187" s="307"/>
      <c r="Z187" s="307"/>
      <c r="AA187" s="307"/>
      <c r="AB187" s="307"/>
      <c r="AC187" s="307"/>
      <c r="AD187" s="307"/>
    </row>
    <row r="188" ht="15.75" customHeight="1">
      <c r="A188" s="306"/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7"/>
      <c r="M188" s="307"/>
      <c r="N188" s="307"/>
      <c r="O188" s="307"/>
      <c r="P188" s="307"/>
      <c r="Q188" s="307"/>
      <c r="R188" s="307"/>
      <c r="S188" s="307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</row>
    <row r="189" ht="15.75" customHeight="1">
      <c r="A189" s="306"/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7"/>
      <c r="M189" s="307"/>
      <c r="N189" s="307"/>
      <c r="O189" s="307"/>
      <c r="P189" s="307"/>
      <c r="Q189" s="307"/>
      <c r="R189" s="307"/>
      <c r="S189" s="307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</row>
    <row r="190" ht="15.75" customHeight="1">
      <c r="A190" s="306"/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7"/>
      <c r="M190" s="307"/>
      <c r="N190" s="307"/>
      <c r="O190" s="307"/>
      <c r="P190" s="307"/>
      <c r="Q190" s="307"/>
      <c r="R190" s="307"/>
      <c r="S190" s="307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</row>
    <row r="191" ht="15.75" customHeight="1">
      <c r="A191" s="306"/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7"/>
      <c r="M191" s="307"/>
      <c r="N191" s="307"/>
      <c r="O191" s="307"/>
      <c r="P191" s="307"/>
      <c r="Q191" s="307"/>
      <c r="R191" s="307"/>
      <c r="S191" s="307"/>
      <c r="T191" s="307"/>
      <c r="U191" s="307"/>
      <c r="V191" s="307"/>
      <c r="W191" s="307"/>
      <c r="X191" s="307"/>
      <c r="Y191" s="307"/>
      <c r="Z191" s="307"/>
      <c r="AA191" s="307"/>
      <c r="AB191" s="307"/>
      <c r="AC191" s="307"/>
      <c r="AD191" s="307"/>
    </row>
    <row r="192" ht="15.75" customHeight="1">
      <c r="A192" s="306"/>
      <c r="B192" s="306"/>
      <c r="C192" s="306"/>
      <c r="D192" s="306"/>
      <c r="E192" s="306"/>
      <c r="F192" s="306"/>
      <c r="G192" s="306"/>
      <c r="H192" s="306"/>
      <c r="I192" s="306"/>
      <c r="J192" s="306"/>
      <c r="K192" s="306"/>
      <c r="L192" s="307"/>
      <c r="M192" s="307"/>
      <c r="N192" s="307"/>
      <c r="O192" s="307"/>
      <c r="P192" s="307"/>
      <c r="Q192" s="307"/>
      <c r="R192" s="307"/>
      <c r="S192" s="307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</row>
    <row r="193" ht="15.75" customHeight="1">
      <c r="A193" s="306"/>
      <c r="B193" s="306"/>
      <c r="C193" s="306"/>
      <c r="D193" s="306"/>
      <c r="E193" s="306"/>
      <c r="F193" s="306"/>
      <c r="G193" s="306"/>
      <c r="H193" s="306"/>
      <c r="I193" s="306"/>
      <c r="J193" s="306"/>
      <c r="K193" s="306"/>
      <c r="L193" s="307"/>
      <c r="M193" s="307"/>
      <c r="N193" s="307"/>
      <c r="O193" s="307"/>
      <c r="P193" s="307"/>
      <c r="Q193" s="307"/>
      <c r="R193" s="307"/>
      <c r="S193" s="307"/>
      <c r="T193" s="307"/>
      <c r="U193" s="307"/>
      <c r="V193" s="307"/>
      <c r="W193" s="307"/>
      <c r="X193" s="307"/>
      <c r="Y193" s="307"/>
      <c r="Z193" s="307"/>
      <c r="AA193" s="307"/>
      <c r="AB193" s="307"/>
      <c r="AC193" s="307"/>
      <c r="AD193" s="307"/>
    </row>
    <row r="194" ht="15.75" customHeight="1">
      <c r="A194" s="306"/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7"/>
      <c r="M194" s="307"/>
      <c r="N194" s="307"/>
      <c r="O194" s="307"/>
      <c r="P194" s="307"/>
      <c r="Q194" s="307"/>
      <c r="R194" s="307"/>
      <c r="S194" s="307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</row>
    <row r="195" ht="15.75" customHeight="1">
      <c r="A195" s="306"/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7"/>
      <c r="M195" s="307"/>
      <c r="N195" s="307"/>
      <c r="O195" s="307"/>
      <c r="P195" s="307"/>
      <c r="Q195" s="307"/>
      <c r="R195" s="307"/>
      <c r="S195" s="307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</row>
    <row r="196" ht="15.75" customHeight="1">
      <c r="A196" s="306"/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7"/>
      <c r="M196" s="307"/>
      <c r="N196" s="307"/>
      <c r="O196" s="307"/>
      <c r="P196" s="307"/>
      <c r="Q196" s="307"/>
      <c r="R196" s="307"/>
      <c r="S196" s="307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</row>
    <row r="197" ht="15.75" customHeight="1">
      <c r="A197" s="306"/>
      <c r="B197" s="306"/>
      <c r="C197" s="306"/>
      <c r="D197" s="306"/>
      <c r="E197" s="306"/>
      <c r="F197" s="306"/>
      <c r="G197" s="306"/>
      <c r="H197" s="306"/>
      <c r="I197" s="306"/>
      <c r="J197" s="306"/>
      <c r="K197" s="306"/>
      <c r="L197" s="307"/>
      <c r="M197" s="307"/>
      <c r="N197" s="307"/>
      <c r="O197" s="307"/>
      <c r="P197" s="307"/>
      <c r="Q197" s="307"/>
      <c r="R197" s="307"/>
      <c r="S197" s="307"/>
      <c r="T197" s="307"/>
      <c r="U197" s="307"/>
      <c r="V197" s="307"/>
      <c r="W197" s="307"/>
      <c r="X197" s="307"/>
      <c r="Y197" s="307"/>
      <c r="Z197" s="307"/>
      <c r="AA197" s="307"/>
      <c r="AB197" s="307"/>
      <c r="AC197" s="307"/>
      <c r="AD197" s="307"/>
    </row>
    <row r="198" ht="15.75" customHeight="1">
      <c r="A198" s="306"/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7"/>
      <c r="M198" s="307"/>
      <c r="N198" s="307"/>
      <c r="O198" s="307"/>
      <c r="P198" s="307"/>
      <c r="Q198" s="307"/>
      <c r="R198" s="307"/>
      <c r="S198" s="307"/>
      <c r="T198" s="307"/>
      <c r="U198" s="307"/>
      <c r="V198" s="307"/>
      <c r="W198" s="307"/>
      <c r="X198" s="307"/>
      <c r="Y198" s="307"/>
      <c r="Z198" s="307"/>
      <c r="AA198" s="307"/>
      <c r="AB198" s="307"/>
      <c r="AC198" s="307"/>
      <c r="AD198" s="307"/>
    </row>
    <row r="199" ht="15.75" customHeight="1">
      <c r="A199" s="306"/>
      <c r="B199" s="306"/>
      <c r="C199" s="306"/>
      <c r="D199" s="306"/>
      <c r="E199" s="306"/>
      <c r="F199" s="306"/>
      <c r="G199" s="306"/>
      <c r="H199" s="306"/>
      <c r="I199" s="306"/>
      <c r="J199" s="306"/>
      <c r="K199" s="306"/>
      <c r="L199" s="307"/>
      <c r="M199" s="307"/>
      <c r="N199" s="307"/>
      <c r="O199" s="307"/>
      <c r="P199" s="307"/>
      <c r="Q199" s="307"/>
      <c r="R199" s="307"/>
      <c r="S199" s="307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</row>
    <row r="200" ht="15.75" customHeight="1">
      <c r="A200" s="306"/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7"/>
      <c r="M200" s="307"/>
      <c r="N200" s="307"/>
      <c r="O200" s="307"/>
      <c r="P200" s="307"/>
      <c r="Q200" s="307"/>
      <c r="R200" s="307"/>
      <c r="S200" s="307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</row>
    <row r="201" ht="15.75" customHeight="1">
      <c r="A201" s="306"/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7"/>
      <c r="M201" s="307"/>
      <c r="N201" s="307"/>
      <c r="O201" s="307"/>
      <c r="P201" s="307"/>
      <c r="Q201" s="307"/>
      <c r="R201" s="307"/>
      <c r="S201" s="307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</row>
    <row r="202" ht="15.75" customHeight="1">
      <c r="A202" s="306"/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7"/>
      <c r="M202" s="307"/>
      <c r="N202" s="307"/>
      <c r="O202" s="307"/>
      <c r="P202" s="307"/>
      <c r="Q202" s="307"/>
      <c r="R202" s="307"/>
      <c r="S202" s="307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</row>
    <row r="203" ht="15.75" customHeight="1">
      <c r="A203" s="306"/>
      <c r="B203" s="306"/>
      <c r="C203" s="306"/>
      <c r="D203" s="306"/>
      <c r="E203" s="306"/>
      <c r="F203" s="306"/>
      <c r="G203" s="306"/>
      <c r="H203" s="306"/>
      <c r="I203" s="306"/>
      <c r="J203" s="306"/>
      <c r="K203" s="306"/>
      <c r="L203" s="307"/>
      <c r="M203" s="307"/>
      <c r="N203" s="307"/>
      <c r="O203" s="307"/>
      <c r="P203" s="307"/>
      <c r="Q203" s="307"/>
      <c r="R203" s="307"/>
      <c r="S203" s="307"/>
      <c r="T203" s="307"/>
      <c r="U203" s="307"/>
      <c r="V203" s="307"/>
      <c r="W203" s="307"/>
      <c r="X203" s="307"/>
      <c r="Y203" s="307"/>
      <c r="Z203" s="307"/>
      <c r="AA203" s="307"/>
      <c r="AB203" s="307"/>
      <c r="AC203" s="307"/>
      <c r="AD203" s="307"/>
    </row>
    <row r="204" ht="15.75" customHeight="1">
      <c r="A204" s="306"/>
      <c r="B204" s="306"/>
      <c r="C204" s="306"/>
      <c r="D204" s="306"/>
      <c r="E204" s="306"/>
      <c r="F204" s="306"/>
      <c r="G204" s="306"/>
      <c r="H204" s="306"/>
      <c r="I204" s="306"/>
      <c r="J204" s="306"/>
      <c r="K204" s="306"/>
      <c r="L204" s="307"/>
      <c r="M204" s="307"/>
      <c r="N204" s="307"/>
      <c r="O204" s="307"/>
      <c r="P204" s="307"/>
      <c r="Q204" s="307"/>
      <c r="R204" s="307"/>
      <c r="S204" s="307"/>
      <c r="T204" s="307"/>
      <c r="U204" s="307"/>
      <c r="V204" s="307"/>
      <c r="W204" s="307"/>
      <c r="X204" s="307"/>
      <c r="Y204" s="307"/>
      <c r="Z204" s="307"/>
      <c r="AA204" s="307"/>
      <c r="AB204" s="307"/>
      <c r="AC204" s="307"/>
      <c r="AD204" s="307"/>
    </row>
    <row r="205" ht="15.75" customHeight="1">
      <c r="A205" s="306"/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7"/>
      <c r="M205" s="307"/>
      <c r="N205" s="307"/>
      <c r="O205" s="307"/>
      <c r="P205" s="307"/>
      <c r="Q205" s="307"/>
      <c r="R205" s="307"/>
      <c r="S205" s="307"/>
      <c r="T205" s="307"/>
      <c r="U205" s="307"/>
      <c r="V205" s="307"/>
      <c r="W205" s="307"/>
      <c r="X205" s="307"/>
      <c r="Y205" s="307"/>
      <c r="Z205" s="307"/>
      <c r="AA205" s="307"/>
      <c r="AB205" s="307"/>
      <c r="AC205" s="307"/>
      <c r="AD205" s="307"/>
    </row>
    <row r="206" ht="15.75" customHeight="1">
      <c r="A206" s="306"/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7"/>
      <c r="M206" s="307"/>
      <c r="N206" s="307"/>
      <c r="O206" s="307"/>
      <c r="P206" s="307"/>
      <c r="Q206" s="307"/>
      <c r="R206" s="307"/>
      <c r="S206" s="307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</row>
    <row r="207" ht="15.75" customHeight="1">
      <c r="A207" s="306"/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7"/>
      <c r="M207" s="307"/>
      <c r="N207" s="307"/>
      <c r="O207" s="307"/>
      <c r="P207" s="307"/>
      <c r="Q207" s="307"/>
      <c r="R207" s="307"/>
      <c r="S207" s="307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</row>
    <row r="208" ht="15.75" customHeight="1">
      <c r="A208" s="306"/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7"/>
      <c r="M208" s="307"/>
      <c r="N208" s="307"/>
      <c r="O208" s="307"/>
      <c r="P208" s="307"/>
      <c r="Q208" s="307"/>
      <c r="R208" s="307"/>
      <c r="S208" s="307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</row>
    <row r="209" ht="15.75" customHeight="1">
      <c r="A209" s="306"/>
      <c r="B209" s="306"/>
      <c r="C209" s="306"/>
      <c r="D209" s="306"/>
      <c r="E209" s="306"/>
      <c r="F209" s="306"/>
      <c r="G209" s="306"/>
      <c r="H209" s="306"/>
      <c r="I209" s="306"/>
      <c r="J209" s="306"/>
      <c r="K209" s="306"/>
      <c r="L209" s="307"/>
      <c r="M209" s="307"/>
      <c r="N209" s="307"/>
      <c r="O209" s="307"/>
      <c r="P209" s="307"/>
      <c r="Q209" s="307"/>
      <c r="R209" s="307"/>
      <c r="S209" s="307"/>
      <c r="T209" s="307"/>
      <c r="U209" s="307"/>
      <c r="V209" s="307"/>
      <c r="W209" s="307"/>
      <c r="X209" s="307"/>
      <c r="Y209" s="307"/>
      <c r="Z209" s="307"/>
      <c r="AA209" s="307"/>
      <c r="AB209" s="307"/>
      <c r="AC209" s="307"/>
      <c r="AD209" s="307"/>
    </row>
    <row r="210" ht="15.75" customHeight="1">
      <c r="A210" s="306"/>
      <c r="B210" s="306"/>
      <c r="C210" s="306"/>
      <c r="D210" s="306"/>
      <c r="E210" s="306"/>
      <c r="F210" s="306"/>
      <c r="G210" s="306"/>
      <c r="H210" s="306"/>
      <c r="I210" s="306"/>
      <c r="J210" s="306"/>
      <c r="K210" s="306"/>
      <c r="L210" s="307"/>
      <c r="M210" s="307"/>
      <c r="N210" s="307"/>
      <c r="O210" s="307"/>
      <c r="P210" s="307"/>
      <c r="Q210" s="307"/>
      <c r="R210" s="307"/>
      <c r="S210" s="307"/>
      <c r="T210" s="307"/>
      <c r="U210" s="307"/>
      <c r="V210" s="307"/>
      <c r="W210" s="307"/>
      <c r="X210" s="307"/>
      <c r="Y210" s="307"/>
      <c r="Z210" s="307"/>
      <c r="AA210" s="307"/>
      <c r="AB210" s="307"/>
      <c r="AC210" s="307"/>
      <c r="AD210" s="307"/>
    </row>
    <row r="211" ht="15.75" customHeight="1">
      <c r="A211" s="306"/>
      <c r="B211" s="306"/>
      <c r="C211" s="306"/>
      <c r="D211" s="306"/>
      <c r="E211" s="306"/>
      <c r="F211" s="306"/>
      <c r="G211" s="306"/>
      <c r="H211" s="306"/>
      <c r="I211" s="306"/>
      <c r="J211" s="306"/>
      <c r="K211" s="306"/>
      <c r="L211" s="307"/>
      <c r="M211" s="307"/>
      <c r="N211" s="307"/>
      <c r="O211" s="307"/>
      <c r="P211" s="307"/>
      <c r="Q211" s="307"/>
      <c r="R211" s="307"/>
      <c r="S211" s="307"/>
      <c r="T211" s="307"/>
      <c r="U211" s="307"/>
      <c r="V211" s="307"/>
      <c r="W211" s="307"/>
      <c r="X211" s="307"/>
      <c r="Y211" s="307"/>
      <c r="Z211" s="307"/>
      <c r="AA211" s="307"/>
      <c r="AB211" s="307"/>
      <c r="AC211" s="307"/>
      <c r="AD211" s="307"/>
    </row>
    <row r="212" ht="15.75" customHeight="1">
      <c r="A212" s="306"/>
      <c r="B212" s="306"/>
      <c r="C212" s="306"/>
      <c r="D212" s="306"/>
      <c r="E212" s="306"/>
      <c r="F212" s="306"/>
      <c r="G212" s="306"/>
      <c r="H212" s="306"/>
      <c r="I212" s="306"/>
      <c r="J212" s="306"/>
      <c r="K212" s="306"/>
      <c r="L212" s="307"/>
      <c r="M212" s="307"/>
      <c r="N212" s="307"/>
      <c r="O212" s="307"/>
      <c r="P212" s="307"/>
      <c r="Q212" s="307"/>
      <c r="R212" s="307"/>
      <c r="S212" s="307"/>
      <c r="T212" s="307"/>
      <c r="U212" s="307"/>
      <c r="V212" s="307"/>
      <c r="W212" s="307"/>
      <c r="X212" s="307"/>
      <c r="Y212" s="307"/>
      <c r="Z212" s="307"/>
      <c r="AA212" s="307"/>
      <c r="AB212" s="307"/>
      <c r="AC212" s="307"/>
      <c r="AD212" s="307"/>
    </row>
    <row r="213" ht="15.75" customHeight="1">
      <c r="A213" s="306"/>
      <c r="B213" s="306"/>
      <c r="C213" s="306"/>
      <c r="D213" s="306"/>
      <c r="E213" s="306"/>
      <c r="F213" s="306"/>
      <c r="G213" s="306"/>
      <c r="H213" s="306"/>
      <c r="I213" s="306"/>
      <c r="J213" s="306"/>
      <c r="K213" s="306"/>
      <c r="L213" s="307"/>
      <c r="M213" s="307"/>
      <c r="N213" s="307"/>
      <c r="O213" s="307"/>
      <c r="P213" s="307"/>
      <c r="Q213" s="307"/>
      <c r="R213" s="307"/>
      <c r="S213" s="307"/>
      <c r="T213" s="307"/>
      <c r="U213" s="307"/>
      <c r="V213" s="307"/>
      <c r="W213" s="307"/>
      <c r="X213" s="307"/>
      <c r="Y213" s="307"/>
      <c r="Z213" s="307"/>
      <c r="AA213" s="307"/>
      <c r="AB213" s="307"/>
      <c r="AC213" s="307"/>
      <c r="AD213" s="307"/>
    </row>
    <row r="214" ht="15.75" customHeight="1">
      <c r="A214" s="306"/>
      <c r="B214" s="306"/>
      <c r="C214" s="306"/>
      <c r="D214" s="306"/>
      <c r="E214" s="306"/>
      <c r="F214" s="306"/>
      <c r="G214" s="306"/>
      <c r="H214" s="306"/>
      <c r="I214" s="306"/>
      <c r="J214" s="306"/>
      <c r="K214" s="306"/>
      <c r="L214" s="307"/>
      <c r="M214" s="307"/>
      <c r="N214" s="307"/>
      <c r="O214" s="307"/>
      <c r="P214" s="307"/>
      <c r="Q214" s="307"/>
      <c r="R214" s="307"/>
      <c r="S214" s="307"/>
      <c r="T214" s="307"/>
      <c r="U214" s="307"/>
      <c r="V214" s="307"/>
      <c r="W214" s="307"/>
      <c r="X214" s="307"/>
      <c r="Y214" s="307"/>
      <c r="Z214" s="307"/>
      <c r="AA214" s="307"/>
      <c r="AB214" s="307"/>
      <c r="AC214" s="307"/>
      <c r="AD214" s="307"/>
    </row>
    <row r="215" ht="15.75" customHeight="1">
      <c r="A215" s="306"/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7"/>
      <c r="M215" s="307"/>
      <c r="N215" s="307"/>
      <c r="O215" s="307"/>
      <c r="P215" s="307"/>
      <c r="Q215" s="307"/>
      <c r="R215" s="307"/>
      <c r="S215" s="307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</row>
    <row r="216" ht="15.75" customHeight="1">
      <c r="A216" s="306"/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7"/>
      <c r="M216" s="307"/>
      <c r="N216" s="307"/>
      <c r="O216" s="307"/>
      <c r="P216" s="307"/>
      <c r="Q216" s="307"/>
      <c r="R216" s="307"/>
      <c r="S216" s="30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</row>
    <row r="217" ht="15.75" customHeight="1">
      <c r="A217" s="306"/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7"/>
      <c r="M217" s="307"/>
      <c r="N217" s="307"/>
      <c r="O217" s="307"/>
      <c r="P217" s="307"/>
      <c r="Q217" s="307"/>
      <c r="R217" s="307"/>
      <c r="S217" s="307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</row>
    <row r="218" ht="15.75" customHeight="1">
      <c r="A218" s="306"/>
      <c r="B218" s="306"/>
      <c r="C218" s="306"/>
      <c r="D218" s="306"/>
      <c r="E218" s="306"/>
      <c r="F218" s="306"/>
      <c r="G218" s="306"/>
      <c r="H218" s="306"/>
      <c r="I218" s="306"/>
      <c r="J218" s="306"/>
      <c r="K218" s="306"/>
      <c r="L218" s="307"/>
      <c r="M218" s="307"/>
      <c r="N218" s="307"/>
      <c r="O218" s="307"/>
      <c r="P218" s="307"/>
      <c r="Q218" s="307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  <c r="AC218" s="307"/>
      <c r="AD218" s="307"/>
    </row>
    <row r="219" ht="15.75" customHeight="1">
      <c r="A219" s="306"/>
      <c r="B219" s="306"/>
      <c r="C219" s="306"/>
      <c r="D219" s="306"/>
      <c r="E219" s="306"/>
      <c r="F219" s="306"/>
      <c r="G219" s="306"/>
      <c r="H219" s="306"/>
      <c r="I219" s="306"/>
      <c r="J219" s="306"/>
      <c r="K219" s="306"/>
      <c r="L219" s="307"/>
      <c r="M219" s="307"/>
      <c r="N219" s="307"/>
      <c r="O219" s="307"/>
      <c r="P219" s="307"/>
      <c r="Q219" s="307"/>
      <c r="R219" s="307"/>
      <c r="S219" s="307"/>
      <c r="T219" s="307"/>
      <c r="U219" s="307"/>
      <c r="V219" s="307"/>
      <c r="W219" s="307"/>
      <c r="X219" s="307"/>
      <c r="Y219" s="307"/>
      <c r="Z219" s="307"/>
      <c r="AA219" s="307"/>
      <c r="AB219" s="307"/>
      <c r="AC219" s="307"/>
      <c r="AD219" s="307"/>
    </row>
    <row r="220" ht="15.75" customHeight="1">
      <c r="A220" s="306"/>
      <c r="B220" s="306"/>
      <c r="C220" s="306"/>
      <c r="D220" s="306"/>
      <c r="E220" s="306"/>
      <c r="F220" s="306"/>
      <c r="G220" s="306"/>
      <c r="H220" s="306"/>
      <c r="I220" s="306"/>
      <c r="J220" s="306"/>
      <c r="K220" s="306"/>
      <c r="L220" s="307"/>
      <c r="M220" s="307"/>
      <c r="N220" s="307"/>
      <c r="O220" s="307"/>
      <c r="P220" s="307"/>
      <c r="Q220" s="307"/>
      <c r="R220" s="307"/>
      <c r="S220" s="307"/>
      <c r="T220" s="307"/>
      <c r="U220" s="307"/>
      <c r="V220" s="307"/>
      <c r="W220" s="307"/>
      <c r="X220" s="307"/>
      <c r="Y220" s="307"/>
      <c r="Z220" s="307"/>
      <c r="AA220" s="307"/>
      <c r="AB220" s="307"/>
      <c r="AC220" s="307"/>
      <c r="AD220" s="307"/>
    </row>
    <row r="221" ht="15.75" customHeight="1">
      <c r="A221" s="306"/>
      <c r="B221" s="306"/>
      <c r="C221" s="306"/>
      <c r="D221" s="306"/>
      <c r="E221" s="306"/>
      <c r="F221" s="306"/>
      <c r="G221" s="306"/>
      <c r="H221" s="306"/>
      <c r="I221" s="307"/>
      <c r="J221" s="307"/>
      <c r="K221" s="307"/>
      <c r="L221" s="307"/>
      <c r="M221" s="307"/>
      <c r="N221" s="307"/>
      <c r="O221" s="307"/>
      <c r="P221" s="307"/>
      <c r="Q221" s="307"/>
      <c r="R221" s="307"/>
      <c r="S221" s="307"/>
      <c r="T221" s="307"/>
      <c r="U221" s="307"/>
      <c r="V221" s="307"/>
      <c r="W221" s="307"/>
      <c r="X221" s="307"/>
      <c r="Y221" s="307"/>
      <c r="Z221" s="307"/>
      <c r="AA221" s="307"/>
      <c r="AB221" s="307"/>
      <c r="AC221" s="307"/>
      <c r="AD221" s="307"/>
    </row>
    <row r="222" ht="15.75" customHeight="1">
      <c r="A222" s="306"/>
      <c r="B222" s="306"/>
      <c r="C222" s="306"/>
      <c r="D222" s="306"/>
      <c r="E222" s="306"/>
      <c r="F222" s="306"/>
      <c r="G222" s="306"/>
      <c r="H222" s="306"/>
      <c r="I222" s="307"/>
      <c r="J222" s="307"/>
      <c r="K222" s="307"/>
      <c r="L222" s="307"/>
      <c r="M222" s="307"/>
      <c r="N222" s="307"/>
      <c r="O222" s="307"/>
      <c r="P222" s="307"/>
      <c r="Q222" s="307"/>
      <c r="R222" s="307"/>
      <c r="S222" s="307"/>
      <c r="T222" s="307"/>
      <c r="U222" s="307"/>
      <c r="V222" s="307"/>
      <c r="W222" s="307"/>
      <c r="X222" s="307"/>
      <c r="Y222" s="307"/>
      <c r="Z222" s="307"/>
      <c r="AA222" s="307"/>
      <c r="AB222" s="307"/>
      <c r="AC222" s="307"/>
      <c r="AD222" s="307"/>
    </row>
    <row r="223" ht="15.75" customHeight="1">
      <c r="A223" s="306"/>
      <c r="B223" s="306"/>
      <c r="C223" s="306"/>
      <c r="D223" s="306"/>
      <c r="E223" s="306"/>
      <c r="F223" s="306"/>
      <c r="G223" s="306"/>
      <c r="H223" s="306"/>
      <c r="I223" s="307"/>
      <c r="J223" s="307"/>
      <c r="K223" s="307"/>
      <c r="L223" s="307"/>
      <c r="M223" s="307"/>
      <c r="N223" s="307"/>
      <c r="O223" s="307"/>
      <c r="P223" s="307"/>
      <c r="Q223" s="307"/>
      <c r="R223" s="307"/>
      <c r="S223" s="307"/>
      <c r="T223" s="307"/>
      <c r="U223" s="307"/>
      <c r="V223" s="307"/>
      <c r="W223" s="307"/>
      <c r="X223" s="307"/>
      <c r="Y223" s="307"/>
      <c r="Z223" s="307"/>
      <c r="AA223" s="307"/>
      <c r="AB223" s="307"/>
      <c r="AC223" s="307"/>
      <c r="AD223" s="307"/>
    </row>
    <row r="224" ht="15.75" customHeight="1">
      <c r="A224" s="306"/>
      <c r="B224" s="306"/>
      <c r="C224" s="306"/>
      <c r="D224" s="306"/>
      <c r="E224" s="306"/>
      <c r="F224" s="306"/>
      <c r="G224" s="306"/>
      <c r="H224" s="306"/>
      <c r="I224" s="307"/>
      <c r="J224" s="307"/>
      <c r="K224" s="307"/>
      <c r="L224" s="307"/>
      <c r="M224" s="307"/>
      <c r="N224" s="307"/>
      <c r="O224" s="307"/>
      <c r="P224" s="307"/>
      <c r="Q224" s="307"/>
      <c r="R224" s="307"/>
      <c r="S224" s="307"/>
      <c r="T224" s="307"/>
      <c r="U224" s="307"/>
      <c r="V224" s="307"/>
      <c r="W224" s="307"/>
      <c r="X224" s="307"/>
      <c r="Y224" s="307"/>
      <c r="Z224" s="307"/>
      <c r="AA224" s="307"/>
      <c r="AB224" s="307"/>
      <c r="AC224" s="307"/>
      <c r="AD224" s="307"/>
    </row>
    <row r="225" ht="15.75" customHeight="1">
      <c r="A225" s="306"/>
      <c r="B225" s="306"/>
      <c r="C225" s="306"/>
      <c r="D225" s="306"/>
      <c r="E225" s="306"/>
      <c r="F225" s="306"/>
      <c r="G225" s="306"/>
      <c r="H225" s="306"/>
      <c r="I225" s="307"/>
      <c r="J225" s="307"/>
      <c r="K225" s="307"/>
      <c r="L225" s="307"/>
      <c r="M225" s="307"/>
      <c r="N225" s="307"/>
      <c r="O225" s="307"/>
      <c r="P225" s="307"/>
      <c r="Q225" s="307"/>
      <c r="R225" s="307"/>
      <c r="S225" s="307"/>
      <c r="T225" s="307"/>
      <c r="U225" s="307"/>
      <c r="V225" s="307"/>
      <c r="W225" s="307"/>
      <c r="X225" s="307"/>
      <c r="Y225" s="307"/>
      <c r="Z225" s="307"/>
      <c r="AA225" s="307"/>
      <c r="AB225" s="307"/>
      <c r="AC225" s="307"/>
      <c r="AD225" s="307"/>
    </row>
    <row r="226" ht="15.75" customHeight="1">
      <c r="A226" s="306"/>
      <c r="B226" s="306"/>
      <c r="C226" s="306"/>
      <c r="D226" s="306"/>
      <c r="E226" s="306"/>
      <c r="F226" s="306"/>
      <c r="G226" s="306"/>
      <c r="H226" s="306"/>
      <c r="I226" s="307"/>
      <c r="J226" s="307"/>
      <c r="K226" s="307"/>
      <c r="L226" s="307"/>
      <c r="M226" s="307"/>
      <c r="N226" s="307"/>
      <c r="O226" s="307"/>
      <c r="P226" s="307"/>
      <c r="Q226" s="307"/>
      <c r="R226" s="307"/>
      <c r="S226" s="307"/>
      <c r="T226" s="307"/>
      <c r="U226" s="307"/>
      <c r="V226" s="307"/>
      <c r="W226" s="307"/>
      <c r="X226" s="307"/>
      <c r="Y226" s="307"/>
      <c r="Z226" s="307"/>
      <c r="AA226" s="307"/>
      <c r="AB226" s="307"/>
      <c r="AC226" s="307"/>
      <c r="AD226" s="307"/>
    </row>
    <row r="227" ht="15.75" customHeight="1">
      <c r="A227" s="306"/>
      <c r="B227" s="306"/>
      <c r="C227" s="306"/>
      <c r="D227" s="306"/>
      <c r="E227" s="306"/>
      <c r="F227" s="306"/>
      <c r="G227" s="306"/>
      <c r="H227" s="306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307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</row>
    <row r="228" ht="15.75" customHeight="1">
      <c r="A228" s="306"/>
      <c r="B228" s="306"/>
      <c r="C228" s="306"/>
      <c r="D228" s="306"/>
      <c r="E228" s="306"/>
      <c r="F228" s="306"/>
      <c r="G228" s="306"/>
      <c r="H228" s="306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307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</row>
    <row r="229" ht="15.75" customHeight="1">
      <c r="A229" s="306"/>
      <c r="B229" s="306"/>
      <c r="C229" s="306"/>
      <c r="D229" s="306"/>
      <c r="E229" s="306"/>
      <c r="F229" s="306"/>
      <c r="G229" s="306"/>
      <c r="H229" s="306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307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</row>
    <row r="230" ht="15.75" customHeight="1">
      <c r="A230" s="306"/>
      <c r="B230" s="306"/>
      <c r="C230" s="306"/>
      <c r="D230" s="306"/>
      <c r="E230" s="306"/>
      <c r="F230" s="306"/>
      <c r="G230" s="306"/>
      <c r="H230" s="306"/>
      <c r="I230" s="307"/>
      <c r="J230" s="307"/>
      <c r="K230" s="307"/>
      <c r="L230" s="307"/>
      <c r="M230" s="307"/>
      <c r="N230" s="307"/>
      <c r="O230" s="307"/>
      <c r="P230" s="307"/>
      <c r="Q230" s="307"/>
      <c r="R230" s="307"/>
      <c r="S230" s="307"/>
      <c r="T230" s="307"/>
      <c r="U230" s="307"/>
      <c r="V230" s="307"/>
      <c r="W230" s="307"/>
      <c r="X230" s="307"/>
      <c r="Y230" s="307"/>
      <c r="Z230" s="307"/>
      <c r="AA230" s="307"/>
      <c r="AB230" s="307"/>
      <c r="AC230" s="307"/>
      <c r="AD230" s="307"/>
    </row>
    <row r="231" ht="15.75" customHeight="1">
      <c r="A231" s="306"/>
      <c r="B231" s="306"/>
      <c r="C231" s="306"/>
      <c r="D231" s="306"/>
      <c r="E231" s="306"/>
      <c r="F231" s="306"/>
      <c r="G231" s="306"/>
      <c r="H231" s="306"/>
      <c r="I231" s="307"/>
      <c r="J231" s="307"/>
      <c r="K231" s="307"/>
      <c r="L231" s="307"/>
      <c r="M231" s="307"/>
      <c r="N231" s="307"/>
      <c r="O231" s="307"/>
      <c r="P231" s="307"/>
      <c r="Q231" s="307"/>
      <c r="R231" s="307"/>
      <c r="S231" s="307"/>
      <c r="T231" s="307"/>
      <c r="U231" s="307"/>
      <c r="V231" s="307"/>
      <c r="W231" s="307"/>
      <c r="X231" s="307"/>
      <c r="Y231" s="307"/>
      <c r="Z231" s="307"/>
      <c r="AA231" s="307"/>
      <c r="AB231" s="307"/>
      <c r="AC231" s="307"/>
      <c r="AD231" s="307"/>
    </row>
    <row r="232" ht="15.75" customHeight="1">
      <c r="A232" s="306"/>
      <c r="B232" s="306"/>
      <c r="C232" s="306"/>
      <c r="D232" s="306"/>
      <c r="E232" s="306"/>
      <c r="F232" s="306"/>
      <c r="G232" s="306"/>
      <c r="H232" s="306"/>
      <c r="I232" s="307"/>
      <c r="J232" s="307"/>
      <c r="K232" s="307"/>
      <c r="L232" s="307"/>
      <c r="M232" s="307"/>
      <c r="N232" s="307"/>
      <c r="O232" s="307"/>
      <c r="P232" s="307"/>
      <c r="Q232" s="307"/>
      <c r="R232" s="307"/>
      <c r="S232" s="307"/>
      <c r="T232" s="307"/>
      <c r="U232" s="307"/>
      <c r="V232" s="307"/>
      <c r="W232" s="307"/>
      <c r="X232" s="307"/>
      <c r="Y232" s="307"/>
      <c r="Z232" s="307"/>
      <c r="AA232" s="307"/>
      <c r="AB232" s="307"/>
      <c r="AC232" s="307"/>
      <c r="AD232" s="307"/>
    </row>
    <row r="233" ht="15.75" customHeight="1">
      <c r="A233" s="306"/>
      <c r="B233" s="306"/>
      <c r="C233" s="306"/>
      <c r="D233" s="306"/>
      <c r="E233" s="306"/>
      <c r="F233" s="306"/>
      <c r="G233" s="306"/>
      <c r="H233" s="306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307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</row>
    <row r="234" ht="15.75" customHeight="1">
      <c r="A234" s="306"/>
      <c r="B234" s="306"/>
      <c r="C234" s="306"/>
      <c r="D234" s="306"/>
      <c r="E234" s="306"/>
      <c r="F234" s="306"/>
      <c r="G234" s="306"/>
      <c r="H234" s="306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307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</row>
    <row r="235" ht="15.75" customHeight="1">
      <c r="A235" s="306"/>
      <c r="B235" s="306"/>
      <c r="C235" s="306"/>
      <c r="D235" s="306"/>
      <c r="E235" s="306"/>
      <c r="F235" s="306"/>
      <c r="G235" s="306"/>
      <c r="H235" s="306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307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</row>
    <row r="236" ht="15.75" customHeight="1">
      <c r="A236" s="306"/>
      <c r="B236" s="306"/>
      <c r="C236" s="306"/>
      <c r="D236" s="306"/>
      <c r="E236" s="306"/>
      <c r="F236" s="306"/>
      <c r="G236" s="306"/>
      <c r="H236" s="306"/>
      <c r="I236" s="307"/>
      <c r="J236" s="307"/>
      <c r="K236" s="307"/>
      <c r="L236" s="307"/>
      <c r="M236" s="307"/>
      <c r="N236" s="307"/>
      <c r="O236" s="307"/>
      <c r="P236" s="307"/>
      <c r="Q236" s="307"/>
      <c r="R236" s="307"/>
      <c r="S236" s="307"/>
      <c r="T236" s="307"/>
      <c r="U236" s="307"/>
      <c r="V236" s="307"/>
      <c r="W236" s="307"/>
      <c r="X236" s="307"/>
      <c r="Y236" s="307"/>
      <c r="Z236" s="307"/>
      <c r="AA236" s="307"/>
      <c r="AB236" s="307"/>
      <c r="AC236" s="307"/>
      <c r="AD236" s="307"/>
    </row>
    <row r="237" ht="15.75" customHeight="1">
      <c r="A237" s="306"/>
      <c r="B237" s="306"/>
      <c r="C237" s="306"/>
      <c r="D237" s="306"/>
      <c r="E237" s="306"/>
      <c r="F237" s="306"/>
      <c r="G237" s="306"/>
      <c r="H237" s="306"/>
      <c r="I237" s="307"/>
      <c r="J237" s="307"/>
      <c r="K237" s="307"/>
      <c r="L237" s="307"/>
      <c r="M237" s="307"/>
      <c r="N237" s="307"/>
      <c r="O237" s="307"/>
      <c r="P237" s="307"/>
      <c r="Q237" s="307"/>
      <c r="R237" s="307"/>
      <c r="S237" s="307"/>
      <c r="T237" s="307"/>
      <c r="U237" s="307"/>
      <c r="V237" s="307"/>
      <c r="W237" s="307"/>
      <c r="X237" s="307"/>
      <c r="Y237" s="307"/>
      <c r="Z237" s="307"/>
      <c r="AA237" s="307"/>
      <c r="AB237" s="307"/>
      <c r="AC237" s="307"/>
      <c r="AD237" s="307"/>
    </row>
    <row r="238" ht="15.75" customHeight="1">
      <c r="A238" s="348"/>
      <c r="B238" s="311"/>
      <c r="C238" s="311"/>
      <c r="D238" s="311"/>
      <c r="E238" s="311"/>
      <c r="F238" s="311"/>
      <c r="G238" s="311"/>
      <c r="H238" s="311"/>
      <c r="I238" s="311"/>
      <c r="J238" s="311"/>
      <c r="K238" s="311"/>
      <c r="L238" s="311"/>
      <c r="M238" s="348"/>
      <c r="N238" s="348"/>
      <c r="O238" s="348"/>
      <c r="P238" s="348"/>
      <c r="Q238" s="348"/>
      <c r="R238" s="348"/>
      <c r="S238" s="307"/>
      <c r="T238" s="307"/>
      <c r="U238" s="307"/>
      <c r="V238" s="348"/>
      <c r="W238" s="348"/>
      <c r="X238" s="348"/>
      <c r="Y238" s="348"/>
      <c r="Z238" s="348"/>
      <c r="AA238" s="348"/>
      <c r="AB238" s="348"/>
      <c r="AC238" s="348"/>
      <c r="AD238" s="348"/>
    </row>
    <row r="239" ht="15.75" customHeight="1">
      <c r="A239" s="348"/>
      <c r="B239" s="311"/>
      <c r="C239" s="311"/>
      <c r="D239" s="311"/>
      <c r="E239" s="311"/>
      <c r="F239" s="311"/>
      <c r="G239" s="311"/>
      <c r="H239" s="311"/>
      <c r="I239" s="311"/>
      <c r="J239" s="311"/>
      <c r="K239" s="311"/>
      <c r="L239" s="311"/>
      <c r="M239" s="348"/>
      <c r="N239" s="348"/>
      <c r="O239" s="348"/>
      <c r="P239" s="348"/>
      <c r="Q239" s="348"/>
      <c r="R239" s="348"/>
      <c r="S239" s="307"/>
      <c r="T239" s="307"/>
      <c r="U239" s="307"/>
      <c r="V239" s="348"/>
      <c r="W239" s="348"/>
      <c r="X239" s="348"/>
      <c r="Y239" s="348"/>
      <c r="Z239" s="348"/>
      <c r="AA239" s="348"/>
      <c r="AB239" s="348"/>
      <c r="AC239" s="348"/>
      <c r="AD239" s="348"/>
    </row>
    <row r="240" ht="15.75" customHeight="1">
      <c r="A240" s="348"/>
      <c r="B240" s="311"/>
      <c r="C240" s="311"/>
      <c r="D240" s="311"/>
      <c r="E240" s="311"/>
      <c r="F240" s="311"/>
      <c r="G240" s="311"/>
      <c r="H240" s="311"/>
      <c r="I240" s="311"/>
      <c r="J240" s="311"/>
      <c r="K240" s="311"/>
      <c r="L240" s="311"/>
      <c r="M240" s="348"/>
      <c r="N240" s="348"/>
      <c r="O240" s="348"/>
      <c r="P240" s="348"/>
      <c r="Q240" s="348"/>
      <c r="R240" s="348"/>
      <c r="S240" s="307"/>
      <c r="T240" s="307"/>
      <c r="U240" s="307"/>
      <c r="V240" s="348"/>
      <c r="W240" s="348"/>
      <c r="X240" s="348"/>
      <c r="Y240" s="348"/>
      <c r="Z240" s="348"/>
      <c r="AA240" s="348"/>
      <c r="AB240" s="348"/>
      <c r="AC240" s="348"/>
      <c r="AD240" s="348"/>
    </row>
    <row r="241" ht="15.75" customHeight="1">
      <c r="A241" s="348"/>
      <c r="B241" s="311"/>
      <c r="C241" s="311"/>
      <c r="D241" s="311"/>
      <c r="E241" s="311"/>
      <c r="F241" s="311"/>
      <c r="G241" s="311"/>
      <c r="H241" s="311"/>
      <c r="I241" s="311"/>
      <c r="J241" s="311"/>
      <c r="K241" s="311"/>
      <c r="L241" s="311"/>
      <c r="M241" s="348"/>
      <c r="N241" s="348"/>
      <c r="O241" s="348"/>
      <c r="P241" s="348"/>
      <c r="Q241" s="348"/>
      <c r="R241" s="348"/>
      <c r="S241" s="307"/>
      <c r="T241" s="307"/>
      <c r="U241" s="307"/>
      <c r="V241" s="348"/>
      <c r="W241" s="348"/>
      <c r="X241" s="348"/>
      <c r="Y241" s="348"/>
      <c r="Z241" s="348"/>
      <c r="AA241" s="348"/>
      <c r="AB241" s="348"/>
      <c r="AC241" s="348"/>
      <c r="AD241" s="348"/>
    </row>
    <row r="242" ht="15.75" customHeight="1">
      <c r="A242" s="348"/>
      <c r="B242" s="311"/>
      <c r="C242" s="311"/>
      <c r="D242" s="311"/>
      <c r="E242" s="311"/>
      <c r="F242" s="311"/>
      <c r="G242" s="311"/>
      <c r="H242" s="311"/>
      <c r="I242" s="311"/>
      <c r="J242" s="311"/>
      <c r="K242" s="311"/>
      <c r="L242" s="311"/>
      <c r="M242" s="348"/>
      <c r="N242" s="348"/>
      <c r="O242" s="348"/>
      <c r="P242" s="348"/>
      <c r="Q242" s="348"/>
      <c r="R242" s="348"/>
      <c r="S242" s="307"/>
      <c r="T242" s="307"/>
      <c r="U242" s="307"/>
      <c r="V242" s="348"/>
      <c r="W242" s="348"/>
      <c r="X242" s="348"/>
      <c r="Y242" s="348"/>
      <c r="Z242" s="348"/>
      <c r="AA242" s="348"/>
      <c r="AB242" s="348"/>
      <c r="AC242" s="348"/>
      <c r="AD242" s="348"/>
    </row>
    <row r="243" ht="15.75" customHeight="1">
      <c r="A243" s="348"/>
      <c r="B243" s="311"/>
      <c r="C243" s="311"/>
      <c r="D243" s="311"/>
      <c r="E243" s="311"/>
      <c r="F243" s="311"/>
      <c r="G243" s="311"/>
      <c r="H243" s="311"/>
      <c r="I243" s="311"/>
      <c r="J243" s="311"/>
      <c r="K243" s="311"/>
      <c r="L243" s="311"/>
      <c r="M243" s="348"/>
      <c r="N243" s="348"/>
      <c r="O243" s="348"/>
      <c r="P243" s="348"/>
      <c r="Q243" s="348"/>
      <c r="R243" s="348"/>
      <c r="S243" s="307"/>
      <c r="T243" s="307"/>
      <c r="U243" s="307"/>
      <c r="V243" s="348"/>
      <c r="W243" s="348"/>
      <c r="X243" s="348"/>
      <c r="Y243" s="348"/>
      <c r="Z243" s="348"/>
      <c r="AA243" s="348"/>
      <c r="AB243" s="348"/>
      <c r="AC243" s="348"/>
      <c r="AD243" s="348"/>
    </row>
    <row r="244" ht="15.75" customHeight="1">
      <c r="A244" s="348"/>
      <c r="B244" s="311"/>
      <c r="C244" s="311"/>
      <c r="D244" s="311"/>
      <c r="E244" s="311"/>
      <c r="F244" s="311"/>
      <c r="G244" s="311"/>
      <c r="H244" s="311"/>
      <c r="I244" s="311"/>
      <c r="J244" s="311"/>
      <c r="K244" s="311"/>
      <c r="L244" s="311"/>
      <c r="M244" s="348"/>
      <c r="N244" s="348"/>
      <c r="O244" s="348"/>
      <c r="P244" s="348"/>
      <c r="Q244" s="348"/>
      <c r="R244" s="348"/>
      <c r="S244" s="307"/>
      <c r="T244" s="307"/>
      <c r="U244" s="307"/>
      <c r="V244" s="348"/>
      <c r="W244" s="348"/>
      <c r="X244" s="348"/>
      <c r="Y244" s="348"/>
      <c r="Z244" s="348"/>
      <c r="AA244" s="348"/>
      <c r="AB244" s="348"/>
      <c r="AC244" s="348"/>
      <c r="AD244" s="348"/>
    </row>
    <row r="245" ht="15.75" customHeight="1">
      <c r="A245" s="348"/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48"/>
      <c r="N245" s="348"/>
      <c r="O245" s="348"/>
      <c r="P245" s="348"/>
      <c r="Q245" s="348"/>
      <c r="R245" s="348"/>
      <c r="S245" s="307"/>
      <c r="T245" s="307"/>
      <c r="U245" s="307"/>
      <c r="V245" s="348"/>
      <c r="W245" s="348"/>
      <c r="X245" s="348"/>
      <c r="Y245" s="348"/>
      <c r="Z245" s="348"/>
      <c r="AA245" s="348"/>
      <c r="AB245" s="348"/>
      <c r="AC245" s="348"/>
      <c r="AD245" s="348"/>
    </row>
    <row r="246" ht="15.75" customHeight="1">
      <c r="A246" s="348"/>
      <c r="B246" s="311"/>
      <c r="C246" s="311"/>
      <c r="D246" s="311"/>
      <c r="E246" s="311"/>
      <c r="F246" s="311"/>
      <c r="G246" s="311"/>
      <c r="H246" s="311"/>
      <c r="I246" s="311"/>
      <c r="J246" s="311"/>
      <c r="K246" s="311"/>
      <c r="L246" s="311"/>
      <c r="M246" s="348"/>
      <c r="N246" s="348"/>
      <c r="O246" s="348"/>
      <c r="P246" s="348"/>
      <c r="Q246" s="348"/>
      <c r="R246" s="348"/>
      <c r="S246" s="307"/>
      <c r="T246" s="307"/>
      <c r="U246" s="307"/>
      <c r="V246" s="348"/>
      <c r="W246" s="348"/>
      <c r="X246" s="348"/>
      <c r="Y246" s="348"/>
      <c r="Z246" s="348"/>
      <c r="AA246" s="348"/>
      <c r="AB246" s="348"/>
      <c r="AC246" s="348"/>
      <c r="AD246" s="348"/>
    </row>
    <row r="247" ht="15.75" customHeight="1">
      <c r="A247" s="348"/>
      <c r="B247" s="311"/>
      <c r="C247" s="311"/>
      <c r="D247" s="311"/>
      <c r="E247" s="311"/>
      <c r="F247" s="311"/>
      <c r="G247" s="311"/>
      <c r="H247" s="311"/>
      <c r="I247" s="311"/>
      <c r="J247" s="311"/>
      <c r="K247" s="311"/>
      <c r="L247" s="311"/>
      <c r="M247" s="348"/>
      <c r="N247" s="348"/>
      <c r="O247" s="348"/>
      <c r="P247" s="348"/>
      <c r="Q247" s="348"/>
      <c r="R247" s="348"/>
      <c r="S247" s="307"/>
      <c r="T247" s="307"/>
      <c r="U247" s="307"/>
      <c r="V247" s="348"/>
      <c r="W247" s="348"/>
      <c r="X247" s="348"/>
      <c r="Y247" s="348"/>
      <c r="Z247" s="348"/>
      <c r="AA247" s="348"/>
      <c r="AB247" s="348"/>
      <c r="AC247" s="348"/>
      <c r="AD247" s="348"/>
    </row>
    <row r="248" ht="15.75" customHeight="1">
      <c r="A248" s="348"/>
      <c r="B248" s="311"/>
      <c r="C248" s="311"/>
      <c r="D248" s="311"/>
      <c r="E248" s="311"/>
      <c r="F248" s="311"/>
      <c r="G248" s="311"/>
      <c r="H248" s="311"/>
      <c r="I248" s="311"/>
      <c r="J248" s="311"/>
      <c r="K248" s="311"/>
      <c r="L248" s="311"/>
      <c r="M248" s="348"/>
      <c r="N248" s="348"/>
      <c r="O248" s="348"/>
      <c r="P248" s="348"/>
      <c r="Q248" s="348"/>
      <c r="R248" s="348"/>
      <c r="S248" s="307"/>
      <c r="T248" s="307"/>
      <c r="U248" s="307"/>
      <c r="V248" s="348"/>
      <c r="W248" s="348"/>
      <c r="X248" s="348"/>
      <c r="Y248" s="348"/>
      <c r="Z248" s="348"/>
      <c r="AA248" s="348"/>
      <c r="AB248" s="348"/>
      <c r="AC248" s="348"/>
      <c r="AD248" s="348"/>
    </row>
    <row r="249" ht="15.75" customHeight="1">
      <c r="A249" s="348"/>
      <c r="B249" s="311"/>
      <c r="C249" s="311"/>
      <c r="D249" s="311"/>
      <c r="E249" s="311"/>
      <c r="F249" s="311"/>
      <c r="G249" s="311"/>
      <c r="H249" s="311"/>
      <c r="I249" s="311"/>
      <c r="J249" s="311"/>
      <c r="K249" s="311"/>
      <c r="L249" s="311"/>
      <c r="M249" s="348"/>
      <c r="N249" s="348"/>
      <c r="O249" s="348"/>
      <c r="P249" s="348"/>
      <c r="Q249" s="348"/>
      <c r="R249" s="348"/>
      <c r="S249" s="307"/>
      <c r="T249" s="307"/>
      <c r="U249" s="307"/>
      <c r="V249" s="348"/>
      <c r="W249" s="348"/>
      <c r="X249" s="348"/>
      <c r="Y249" s="348"/>
      <c r="Z249" s="348"/>
      <c r="AA249" s="348"/>
      <c r="AB249" s="348"/>
      <c r="AC249" s="348"/>
      <c r="AD249" s="348"/>
    </row>
    <row r="250" ht="15.75" customHeight="1">
      <c r="A250" s="348"/>
      <c r="B250" s="311"/>
      <c r="C250" s="311"/>
      <c r="D250" s="311"/>
      <c r="E250" s="311"/>
      <c r="F250" s="311"/>
      <c r="G250" s="311"/>
      <c r="H250" s="311"/>
      <c r="I250" s="311"/>
      <c r="J250" s="311"/>
      <c r="K250" s="311"/>
      <c r="L250" s="311"/>
      <c r="M250" s="348"/>
      <c r="N250" s="348"/>
      <c r="O250" s="348"/>
      <c r="P250" s="348"/>
      <c r="Q250" s="348"/>
      <c r="R250" s="348"/>
      <c r="S250" s="307"/>
      <c r="T250" s="307"/>
      <c r="U250" s="307"/>
      <c r="V250" s="348"/>
      <c r="W250" s="348"/>
      <c r="X250" s="348"/>
      <c r="Y250" s="348"/>
      <c r="Z250" s="348"/>
      <c r="AA250" s="348"/>
      <c r="AB250" s="348"/>
      <c r="AC250" s="348"/>
      <c r="AD250" s="348"/>
    </row>
    <row r="251" ht="15.75" customHeight="1">
      <c r="A251" s="348"/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</row>
    <row r="252" ht="15.75" customHeight="1">
      <c r="A252" s="348"/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</row>
    <row r="253" ht="15.75" customHeight="1">
      <c r="A253" s="348"/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</row>
    <row r="254" ht="15.75" customHeight="1">
      <c r="A254" s="348"/>
      <c r="B254" s="311"/>
      <c r="C254" s="311"/>
      <c r="D254" s="311"/>
      <c r="E254" s="311"/>
      <c r="F254" s="311"/>
      <c r="G254" s="311"/>
      <c r="H254" s="311"/>
      <c r="I254" s="311"/>
      <c r="J254" s="311"/>
      <c r="K254" s="311"/>
      <c r="L254" s="311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</row>
    <row r="255" ht="15.75" customHeight="1">
      <c r="A255" s="348"/>
      <c r="B255" s="311"/>
      <c r="C255" s="311"/>
      <c r="D255" s="311"/>
      <c r="E255" s="311"/>
      <c r="F255" s="311"/>
      <c r="G255" s="311"/>
      <c r="H255" s="311"/>
      <c r="I255" s="311"/>
      <c r="J255" s="311"/>
      <c r="K255" s="311"/>
      <c r="L255" s="311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</row>
    <row r="256" ht="15.75" customHeight="1">
      <c r="A256" s="348"/>
      <c r="B256" s="311"/>
      <c r="C256" s="311"/>
      <c r="D256" s="311"/>
      <c r="E256" s="311"/>
      <c r="F256" s="311"/>
      <c r="G256" s="311"/>
      <c r="H256" s="311"/>
      <c r="I256" s="311"/>
      <c r="J256" s="311"/>
      <c r="K256" s="311"/>
      <c r="L256" s="311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</row>
    <row r="257" ht="15.75" customHeight="1">
      <c r="A257" s="348"/>
      <c r="B257" s="311"/>
      <c r="C257" s="311"/>
      <c r="D257" s="311"/>
      <c r="E257" s="311"/>
      <c r="F257" s="311"/>
      <c r="G257" s="311"/>
      <c r="H257" s="311"/>
      <c r="I257" s="311"/>
      <c r="J257" s="311"/>
      <c r="K257" s="311"/>
      <c r="L257" s="311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</row>
    <row r="258" ht="15.75" customHeight="1">
      <c r="A258" s="348"/>
      <c r="B258" s="311"/>
      <c r="C258" s="311"/>
      <c r="D258" s="311"/>
      <c r="E258" s="311"/>
      <c r="F258" s="311"/>
      <c r="G258" s="311"/>
      <c r="H258" s="311"/>
      <c r="I258" s="311"/>
      <c r="J258" s="311"/>
      <c r="K258" s="311"/>
      <c r="L258" s="311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</row>
    <row r="259" ht="15.75" customHeight="1">
      <c r="A259" s="348"/>
      <c r="B259" s="311"/>
      <c r="C259" s="311"/>
      <c r="D259" s="311"/>
      <c r="E259" s="311"/>
      <c r="F259" s="311"/>
      <c r="G259" s="311"/>
      <c r="H259" s="311"/>
      <c r="I259" s="311"/>
      <c r="J259" s="311"/>
      <c r="K259" s="311"/>
      <c r="L259" s="311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</row>
    <row r="260" ht="15.75" customHeight="1">
      <c r="A260" s="348"/>
      <c r="B260" s="311"/>
      <c r="C260" s="311"/>
      <c r="D260" s="311"/>
      <c r="E260" s="311"/>
      <c r="F260" s="311"/>
      <c r="G260" s="311"/>
      <c r="H260" s="311"/>
      <c r="I260" s="311"/>
      <c r="J260" s="311"/>
      <c r="K260" s="311"/>
      <c r="L260" s="311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</row>
    <row r="261" ht="15.75" customHeight="1">
      <c r="A261" s="348"/>
      <c r="B261" s="311"/>
      <c r="C261" s="311"/>
      <c r="D261" s="311"/>
      <c r="E261" s="311"/>
      <c r="F261" s="311"/>
      <c r="G261" s="311"/>
      <c r="H261" s="311"/>
      <c r="I261" s="311"/>
      <c r="J261" s="311"/>
      <c r="K261" s="311"/>
      <c r="L261" s="311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</row>
    <row r="262" ht="15.75" customHeight="1">
      <c r="A262" s="348"/>
      <c r="B262" s="311"/>
      <c r="C262" s="311"/>
      <c r="D262" s="311"/>
      <c r="E262" s="311"/>
      <c r="F262" s="311"/>
      <c r="G262" s="311"/>
      <c r="H262" s="311"/>
      <c r="I262" s="311"/>
      <c r="J262" s="311"/>
      <c r="K262" s="311"/>
      <c r="L262" s="311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</row>
    <row r="263" ht="15.75" customHeight="1">
      <c r="A263" s="348"/>
      <c r="B263" s="311"/>
      <c r="C263" s="311"/>
      <c r="D263" s="311"/>
      <c r="E263" s="311"/>
      <c r="F263" s="311"/>
      <c r="G263" s="311"/>
      <c r="H263" s="311"/>
      <c r="I263" s="311"/>
      <c r="J263" s="311"/>
      <c r="K263" s="311"/>
      <c r="L263" s="311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mergeCells count="12">
    <mergeCell ref="N10:O10"/>
    <mergeCell ref="N14:O14"/>
    <mergeCell ref="W16:AA16"/>
    <mergeCell ref="N23:O23"/>
    <mergeCell ref="N27:O27"/>
    <mergeCell ref="H5:I5"/>
    <mergeCell ref="K5:L5"/>
    <mergeCell ref="H6:H7"/>
    <mergeCell ref="I6:I7"/>
    <mergeCell ref="K6:K7"/>
    <mergeCell ref="L6:L7"/>
    <mergeCell ref="N6:O6"/>
  </mergeCells>
  <conditionalFormatting sqref="O19:O20 P20">
    <cfRule type="containsText" dxfId="5" priority="1" operator="containsText" text="Verdade">
      <formula>NOT(ISERROR(SEARCH(("Verdade"),(O19))))</formula>
    </cfRule>
  </conditionalFormatting>
  <conditionalFormatting sqref="O19:O20 P20">
    <cfRule type="containsText" dxfId="6" priority="2" operator="containsText" text="Falso">
      <formula>NOT(ISERROR(SEARCH(("Falso"),(O19))))</formula>
    </cfRule>
  </conditionalFormatting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 outlineLevelCol="1"/>
  <cols>
    <col customWidth="1" min="1" max="1" width="7.63"/>
    <col customWidth="1" min="2" max="2" width="18.88"/>
    <col customWidth="1" min="3" max="3" width="18.13" outlineLevel="1"/>
    <col customWidth="1" min="4" max="4" width="18.88"/>
    <col collapsed="1" customWidth="1" min="5" max="5" width="18.75"/>
    <col customWidth="1" hidden="1" min="6" max="6" width="13.13" outlineLevel="1"/>
    <col customWidth="1" min="7" max="7" width="15.13"/>
    <col customWidth="1" min="8" max="8" width="12.38"/>
    <col customWidth="1" min="9" max="9" width="11.13"/>
    <col customWidth="1" min="10" max="10" width="2.75"/>
    <col customWidth="1" min="11" max="11" width="11.88"/>
    <col customWidth="1" min="12" max="12" width="11.75"/>
    <col customWidth="1" min="14" max="14" width="20.5"/>
    <col customWidth="1" min="15" max="15" width="18.0"/>
    <col customWidth="1" min="16" max="16" width="15.5"/>
    <col customWidth="1" min="21" max="21" width="21.0"/>
    <col customWidth="1" min="24" max="24" width="18.5"/>
    <col customWidth="1" min="25" max="25" width="17.75"/>
    <col customWidth="1" min="26" max="26" width="13.25"/>
    <col customWidth="1" min="27" max="27" width="24.25"/>
  </cols>
  <sheetData>
    <row r="1" ht="15.75" customHeight="1">
      <c r="A1" s="438"/>
      <c r="B1" s="439"/>
      <c r="C1" s="439"/>
      <c r="D1" s="439"/>
      <c r="E1" s="439"/>
      <c r="F1" s="439"/>
      <c r="G1" s="439"/>
      <c r="H1" s="439"/>
      <c r="I1" s="439"/>
      <c r="J1" s="306"/>
      <c r="K1" s="439"/>
      <c r="L1" s="440"/>
      <c r="M1" s="440"/>
      <c r="N1" s="440"/>
      <c r="O1" s="440"/>
      <c r="P1" s="440"/>
      <c r="Q1" s="440"/>
      <c r="R1" s="440"/>
      <c r="S1" s="440"/>
      <c r="T1" s="440"/>
      <c r="U1" s="440"/>
      <c r="V1" s="440"/>
      <c r="W1" s="440"/>
      <c r="X1" s="440"/>
      <c r="Y1" s="440"/>
      <c r="Z1" s="440"/>
      <c r="AA1" s="440"/>
      <c r="AB1" s="440"/>
    </row>
    <row r="2" ht="15.75" customHeight="1">
      <c r="A2" s="306"/>
      <c r="B2" s="308" t="s">
        <v>329</v>
      </c>
      <c r="C2" s="306"/>
      <c r="D2" s="306"/>
      <c r="E2" s="309" t="s">
        <v>330</v>
      </c>
      <c r="F2" s="306"/>
      <c r="G2" s="306"/>
      <c r="H2" s="306"/>
      <c r="I2" s="306"/>
      <c r="J2" s="306"/>
      <c r="K2" s="306"/>
      <c r="L2" s="311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</row>
    <row r="3" ht="15.75" customHeight="1">
      <c r="A3" s="306"/>
      <c r="B3" s="313">
        <f>Controle!$B$6</f>
        <v>45170</v>
      </c>
      <c r="C3" s="313">
        <f>Controle!$B$4</f>
        <v>45169</v>
      </c>
      <c r="D3" s="306"/>
      <c r="E3" s="314">
        <f>($B$8/100)-1</f>
        <v>0.04120655883</v>
      </c>
      <c r="F3" s="306"/>
      <c r="G3" s="306"/>
      <c r="H3" s="306"/>
      <c r="I3" s="306"/>
      <c r="J3" s="306"/>
      <c r="K3" s="306"/>
      <c r="L3" s="307"/>
      <c r="M3" s="307"/>
      <c r="N3" s="441" t="s">
        <v>331</v>
      </c>
      <c r="O3" s="307"/>
      <c r="P3" s="307"/>
      <c r="Q3" s="307"/>
      <c r="R3" s="307"/>
      <c r="S3" s="81"/>
      <c r="T3" s="307"/>
      <c r="U3" s="307"/>
      <c r="V3" s="307"/>
      <c r="W3" s="307"/>
      <c r="X3" s="307"/>
      <c r="Y3" s="307"/>
      <c r="Z3" s="307"/>
      <c r="AA3" s="307"/>
      <c r="AB3" s="307"/>
    </row>
    <row r="4" ht="15.75" customHeight="1">
      <c r="A4" s="306"/>
      <c r="B4" s="306"/>
      <c r="C4" s="306"/>
      <c r="D4" s="306"/>
      <c r="E4" s="306"/>
      <c r="F4" s="306"/>
      <c r="G4" s="306"/>
      <c r="H4" s="306"/>
      <c r="I4" s="306"/>
      <c r="J4" s="306"/>
      <c r="K4" s="306"/>
      <c r="L4" s="307"/>
      <c r="M4" s="307"/>
      <c r="N4" s="318" t="str">
        <f>Controle!$C$2</f>
        <v>Endor</v>
      </c>
      <c r="O4" s="307"/>
      <c r="P4" s="307"/>
      <c r="Q4" s="307"/>
      <c r="R4" s="307"/>
      <c r="S4" s="307"/>
      <c r="T4" s="307"/>
      <c r="U4" s="307"/>
      <c r="V4" s="307"/>
      <c r="W4" s="307"/>
      <c r="X4" s="307"/>
      <c r="Y4" s="307"/>
      <c r="Z4" s="307"/>
      <c r="AA4" s="307"/>
      <c r="AB4" s="307"/>
    </row>
    <row r="5" ht="15.75" customHeight="1">
      <c r="A5" s="306"/>
      <c r="B5" s="319" t="s">
        <v>332</v>
      </c>
      <c r="C5" s="320" t="s">
        <v>333</v>
      </c>
      <c r="D5" s="321" t="s">
        <v>312</v>
      </c>
      <c r="E5" s="322" t="s">
        <v>334</v>
      </c>
      <c r="F5" s="231"/>
      <c r="G5" s="306"/>
      <c r="H5" s="323" t="s">
        <v>335</v>
      </c>
      <c r="I5" s="89"/>
      <c r="J5" s="306"/>
      <c r="K5" s="323" t="s">
        <v>336</v>
      </c>
      <c r="L5" s="89"/>
      <c r="M5" s="307"/>
      <c r="N5" s="307"/>
      <c r="O5" s="307"/>
      <c r="P5" s="307"/>
      <c r="Q5" s="307"/>
      <c r="R5" s="307"/>
      <c r="S5" s="307"/>
      <c r="T5" s="307"/>
      <c r="U5" s="307"/>
      <c r="V5" s="307"/>
      <c r="W5" s="307"/>
      <c r="X5" s="307"/>
      <c r="Y5" s="307"/>
      <c r="Z5" s="307"/>
      <c r="AA5" s="307"/>
      <c r="AB5" s="307"/>
    </row>
    <row r="6" ht="15.75" customHeight="1">
      <c r="A6" s="306"/>
      <c r="B6" s="324">
        <f t="array" ref="B6">xlookup($B$3,Controle!$B$10:$B$1000,Controle!$C$10:$C$1000)</f>
        <v>107977950.5</v>
      </c>
      <c r="C6" s="325">
        <f t="array" ref="C6">xlookup($C$3,Controle!$B$10:$B$1000,Controle!$C$10:$C$1000)</f>
        <v>108074559.1</v>
      </c>
      <c r="D6" s="326">
        <f>Controle!$C$6</f>
        <v>-9694265.189</v>
      </c>
      <c r="E6" s="327">
        <f>Controle!$D$4</f>
        <v>117672215.7</v>
      </c>
      <c r="F6" s="328"/>
      <c r="G6" s="306"/>
      <c r="H6" s="329" t="s">
        <v>337</v>
      </c>
      <c r="I6" s="330" t="s">
        <v>338</v>
      </c>
      <c r="J6" s="331"/>
      <c r="K6" s="329" t="s">
        <v>337</v>
      </c>
      <c r="L6" s="330" t="s">
        <v>338</v>
      </c>
      <c r="M6" s="307"/>
      <c r="N6" s="332" t="s">
        <v>306</v>
      </c>
      <c r="O6" s="89"/>
      <c r="P6" s="307"/>
      <c r="Q6" s="307"/>
      <c r="R6" s="307"/>
      <c r="S6" s="307"/>
      <c r="T6" s="307"/>
      <c r="U6" s="307"/>
      <c r="V6" s="307"/>
      <c r="W6" s="307"/>
      <c r="X6" s="307"/>
      <c r="Y6" s="307"/>
      <c r="Z6" s="307"/>
      <c r="AA6" s="307"/>
      <c r="AB6" s="307"/>
    </row>
    <row r="7" ht="15.75" customHeight="1">
      <c r="A7" s="306"/>
      <c r="B7" s="333" t="s">
        <v>339</v>
      </c>
      <c r="C7" s="334"/>
      <c r="D7" s="309" t="s">
        <v>340</v>
      </c>
      <c r="E7" s="335" t="s">
        <v>341</v>
      </c>
      <c r="F7" s="231"/>
      <c r="G7" s="306"/>
      <c r="H7" s="115"/>
      <c r="I7" s="123"/>
      <c r="J7" s="331"/>
      <c r="K7" s="115"/>
      <c r="L7" s="123"/>
      <c r="M7" s="307"/>
      <c r="N7" s="336" t="s">
        <v>342</v>
      </c>
      <c r="O7" s="337" t="s">
        <v>343</v>
      </c>
      <c r="P7" s="307"/>
      <c r="Q7" s="307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</row>
    <row r="8" ht="15.75" customHeight="1">
      <c r="A8" s="306"/>
      <c r="B8" s="338">
        <f>VLOOKUP($B$3,Controle!$B$10:$D$242,2)/1037046.3919</f>
        <v>104.1206559</v>
      </c>
      <c r="C8" s="339"/>
      <c r="D8" s="314">
        <f>Controle!$D$6</f>
        <v>-0.0008939066068</v>
      </c>
      <c r="E8" s="340">
        <f>Controle!$AC$6</f>
        <v>0.00049037</v>
      </c>
      <c r="F8" s="341"/>
      <c r="G8" s="342">
        <v>1.0</v>
      </c>
      <c r="H8" s="318" t="str">
        <f t="shared" ref="H8:H12" si="1">IFERROR(INDEX($B$18:$B$36,MATCH(G8,$T$18:$T$56,0),""))</f>
        <v>AZUL4</v>
      </c>
      <c r="I8" s="344">
        <f t="shared" ref="I8:I12" si="2">IFERROR(INDEX($R$18:$R$37,MATCH(G8,$T$18:$T$55,0)),"")</f>
        <v>0.03036580683</v>
      </c>
      <c r="J8" s="306"/>
      <c r="K8" s="318" t="str">
        <f t="shared" ref="K8:K12" si="3">IFERROR(INDEX($B$18:$B$36,MATCH(M8,$T$18:$T$56,0),""))</f>
        <v>BOVA11</v>
      </c>
      <c r="L8" s="344">
        <f t="shared" ref="L8:L12" si="4">IFERROR(INDEX($R$18:$R$37,MATCH(M8,$T$18:$T$55,0)),"")</f>
        <v>0.01549288159</v>
      </c>
      <c r="M8" s="345">
        <f>MAX($T$18:$T$55)</f>
        <v>2</v>
      </c>
      <c r="N8" s="346">
        <f t="array" ref="N8">XLOOKUP($C$3,Controle!$B$10:$B$901,Controle!$D$10:$D$901,"",0)*$E$8</f>
        <v>57677.77218</v>
      </c>
      <c r="O8" s="347">
        <f>$N$8/$C$6</f>
        <v>0.0005336850104</v>
      </c>
      <c r="P8" s="307"/>
      <c r="Q8" s="307"/>
      <c r="R8" s="307"/>
      <c r="S8" s="307"/>
      <c r="T8" s="307"/>
      <c r="U8" s="307"/>
      <c r="V8" s="307"/>
      <c r="W8" s="307"/>
      <c r="X8" s="307"/>
      <c r="Y8" s="307"/>
      <c r="Z8" s="307"/>
      <c r="AA8" s="307"/>
      <c r="AB8" s="307"/>
    </row>
    <row r="9" ht="15.75" customHeight="1">
      <c r="A9" s="306"/>
      <c r="B9" s="348"/>
      <c r="C9" s="349"/>
      <c r="D9" s="350"/>
      <c r="E9" s="306"/>
      <c r="F9" s="306"/>
      <c r="G9" s="342">
        <v>2.0</v>
      </c>
      <c r="H9" s="343" t="str">
        <f t="shared" si="1"/>
        <v>BOVA11</v>
      </c>
      <c r="I9" s="344">
        <f t="shared" si="2"/>
        <v>0.01549288159</v>
      </c>
      <c r="J9" s="306"/>
      <c r="K9" s="343" t="str">
        <f t="shared" si="3"/>
        <v>AZUL4</v>
      </c>
      <c r="L9" s="344">
        <f t="shared" si="4"/>
        <v>0.03036580683</v>
      </c>
      <c r="M9" s="345">
        <f t="shared" ref="M9:M12" si="5">M8-1</f>
        <v>1</v>
      </c>
      <c r="N9" s="352"/>
      <c r="O9" s="352"/>
      <c r="P9" s="307"/>
      <c r="Q9" s="307"/>
      <c r="R9" s="307"/>
      <c r="S9" s="307"/>
      <c r="T9" s="307"/>
      <c r="U9" s="307"/>
      <c r="V9" s="307"/>
      <c r="W9" s="307"/>
      <c r="X9" s="307"/>
      <c r="Y9" s="307"/>
      <c r="Z9" s="307"/>
      <c r="AA9" s="307"/>
      <c r="AB9" s="307"/>
    </row>
    <row r="10" ht="15.75" customHeight="1">
      <c r="A10" s="306"/>
      <c r="B10" s="306"/>
      <c r="C10" s="306"/>
      <c r="D10" s="306"/>
      <c r="E10" s="306"/>
      <c r="F10" s="306"/>
      <c r="G10" s="342">
        <v>3.0</v>
      </c>
      <c r="H10" s="318" t="str">
        <f t="shared" si="1"/>
        <v/>
      </c>
      <c r="I10" s="344" t="str">
        <f t="shared" si="2"/>
        <v/>
      </c>
      <c r="J10" s="306"/>
      <c r="K10" s="318" t="str">
        <f t="shared" si="3"/>
        <v/>
      </c>
      <c r="L10" s="344" t="str">
        <f t="shared" si="4"/>
        <v/>
      </c>
      <c r="M10" s="345">
        <f t="shared" si="5"/>
        <v>0</v>
      </c>
      <c r="N10" s="353" t="s">
        <v>344</v>
      </c>
      <c r="O10" s="123"/>
      <c r="P10" s="307"/>
      <c r="Q10" s="307"/>
      <c r="R10" s="307"/>
      <c r="S10" s="307"/>
      <c r="T10" s="307"/>
      <c r="U10" s="307"/>
      <c r="V10" s="307"/>
      <c r="W10" s="307"/>
      <c r="X10" s="307"/>
      <c r="Y10" s="307"/>
      <c r="Z10" s="307"/>
      <c r="AA10" s="307"/>
      <c r="AB10" s="307"/>
    </row>
    <row r="11" ht="15.75" customHeight="1">
      <c r="A11" s="306"/>
      <c r="B11" s="354" t="s">
        <v>307</v>
      </c>
      <c r="C11" s="355"/>
      <c r="D11" s="356" t="s">
        <v>308</v>
      </c>
      <c r="E11" s="357" t="s">
        <v>345</v>
      </c>
      <c r="F11" s="358"/>
      <c r="G11" s="342">
        <v>4.0</v>
      </c>
      <c r="H11" s="318" t="str">
        <f t="shared" si="1"/>
        <v/>
      </c>
      <c r="I11" s="344" t="str">
        <f t="shared" si="2"/>
        <v/>
      </c>
      <c r="J11" s="306"/>
      <c r="K11" s="318" t="str">
        <f t="shared" si="3"/>
        <v/>
      </c>
      <c r="L11" s="344" t="str">
        <f t="shared" si="4"/>
        <v/>
      </c>
      <c r="M11" s="345">
        <f t="shared" si="5"/>
        <v>-1</v>
      </c>
      <c r="N11" s="336" t="s">
        <v>342</v>
      </c>
      <c r="O11" s="337" t="s">
        <v>343</v>
      </c>
      <c r="P11" s="307"/>
      <c r="Q11" s="359"/>
      <c r="R11" s="359" t="str">
        <f>Controle!G8</f>
        <v/>
      </c>
      <c r="S11" s="307" t="s">
        <v>346</v>
      </c>
      <c r="T11" s="307"/>
      <c r="U11" s="307"/>
      <c r="V11" s="307"/>
      <c r="W11" s="307"/>
      <c r="X11" s="307"/>
      <c r="Y11" s="307"/>
      <c r="Z11" s="307"/>
      <c r="AA11" s="307"/>
      <c r="AB11" s="307"/>
    </row>
    <row r="12" ht="15.75" customHeight="1">
      <c r="A12" s="306"/>
      <c r="B12" s="361">
        <f t="array" ref="B12">XLOOKUP($C$3,Controle!$B$10:$B$901,Controle!$D$10:$D$901,"",0)*(1+$E$8)</f>
        <v>117678601.1</v>
      </c>
      <c r="C12" s="362"/>
      <c r="D12" s="363">
        <f t="array" ref="D12">-XLOOKUP($C$3,Controle!$B$10:$B$901,Controle!$C$10:$C$901)*((1+Controle!$AC$4)^(1/252)-1)</f>
        <v>-6385.427639</v>
      </c>
      <c r="E12" s="364">
        <f>0</f>
        <v>0</v>
      </c>
      <c r="F12" s="365"/>
      <c r="G12" s="342">
        <v>5.0</v>
      </c>
      <c r="H12" s="318" t="str">
        <f t="shared" si="1"/>
        <v/>
      </c>
      <c r="I12" s="344" t="str">
        <f t="shared" si="2"/>
        <v/>
      </c>
      <c r="J12" s="306"/>
      <c r="K12" s="318" t="str">
        <f t="shared" si="3"/>
        <v/>
      </c>
      <c r="L12" s="344" t="str">
        <f t="shared" si="4"/>
        <v/>
      </c>
      <c r="M12" s="345">
        <f t="shared" si="5"/>
        <v>-2</v>
      </c>
      <c r="N12" s="346">
        <f>SUM(G18:G32)</f>
        <v>-147900.9069</v>
      </c>
      <c r="O12" s="347">
        <f>$N$12/$C$6</f>
        <v>-0.001368508076</v>
      </c>
      <c r="P12" s="307"/>
      <c r="Q12" s="307"/>
      <c r="R12" s="307"/>
      <c r="S12" s="307"/>
      <c r="T12" s="307"/>
      <c r="U12" s="307"/>
      <c r="V12" s="307"/>
      <c r="W12" s="307"/>
      <c r="X12" s="307"/>
      <c r="Y12" s="307"/>
      <c r="Z12" s="307"/>
      <c r="AA12" s="307"/>
      <c r="AB12" s="307"/>
    </row>
    <row r="13" ht="15.75" customHeight="1">
      <c r="A13" s="306"/>
      <c r="B13" s="367" t="s">
        <v>314</v>
      </c>
      <c r="C13" s="368"/>
      <c r="D13" s="369" t="s">
        <v>347</v>
      </c>
      <c r="E13" s="367" t="s">
        <v>348</v>
      </c>
      <c r="F13" s="231"/>
      <c r="G13" s="306"/>
      <c r="H13" s="306"/>
      <c r="I13" s="306"/>
      <c r="J13" s="306"/>
      <c r="K13" s="306"/>
      <c r="L13" s="307"/>
      <c r="M13" s="307"/>
      <c r="N13" s="370"/>
      <c r="O13" s="370"/>
      <c r="P13" s="307"/>
      <c r="Q13" s="442"/>
      <c r="R13" s="307"/>
      <c r="S13" s="307"/>
      <c r="T13" s="307"/>
      <c r="U13" s="307"/>
      <c r="V13" s="307"/>
      <c r="W13" s="307"/>
      <c r="X13" s="307"/>
      <c r="Y13" s="307"/>
      <c r="Z13" s="307"/>
      <c r="AA13" s="307"/>
      <c r="AB13" s="307"/>
    </row>
    <row r="14" ht="15.75" customHeight="1">
      <c r="A14" s="306"/>
      <c r="B14" s="371">
        <f>SUMIFS('Alocação'!$M:$M, 'Alocação'!$B:$B, Controle!$B$6,'Alocação'!$D:$D,"&lt;&gt;"&amp;"Futuros",'Alocação'!$F:$F,"="&amp;$N$4)</f>
        <v>0</v>
      </c>
      <c r="C14" s="372"/>
      <c r="D14" s="373">
        <f>0</f>
        <v>0</v>
      </c>
      <c r="E14" s="374">
        <f> SUMIFS(Controle!$AF$11:$AF$1000,Controle!$AC$11:$AC$1000,"="&amp;"Futuros")</f>
        <v>0</v>
      </c>
      <c r="F14" s="365"/>
      <c r="G14" s="306"/>
      <c r="H14" s="306"/>
      <c r="I14" s="306"/>
      <c r="J14" s="306"/>
      <c r="K14" s="375" t="s">
        <v>349</v>
      </c>
      <c r="L14" s="375" t="s">
        <v>350</v>
      </c>
      <c r="M14" s="307"/>
      <c r="N14" s="353" t="s">
        <v>351</v>
      </c>
      <c r="O14" s="123"/>
      <c r="P14" s="307"/>
      <c r="Q14" s="443"/>
      <c r="R14" s="307"/>
      <c r="S14" s="307"/>
      <c r="T14" s="307"/>
      <c r="U14" s="247"/>
      <c r="V14" s="307"/>
      <c r="W14" s="307"/>
      <c r="X14" s="307"/>
      <c r="Y14" s="307"/>
      <c r="Z14" s="307"/>
      <c r="AA14" s="307"/>
      <c r="AB14" s="307"/>
    </row>
    <row r="15" ht="15.75" customHeight="1">
      <c r="A15" s="306"/>
      <c r="B15" s="306"/>
      <c r="C15" s="306"/>
      <c r="D15" s="306"/>
      <c r="E15" s="306"/>
      <c r="F15" s="306"/>
      <c r="G15" s="306"/>
      <c r="H15" s="306"/>
      <c r="I15" s="306"/>
      <c r="J15" s="306"/>
      <c r="K15" s="376">
        <f>SUM($F$18:$F$999)</f>
        <v>0.7253845236</v>
      </c>
      <c r="L15" s="376">
        <f>SUM($E$18:$E$999)</f>
        <v>0.4691402742</v>
      </c>
      <c r="M15" s="307"/>
      <c r="N15" s="336" t="s">
        <v>352</v>
      </c>
      <c r="O15" s="337" t="s">
        <v>343</v>
      </c>
      <c r="P15" s="307"/>
      <c r="Q15" s="307"/>
      <c r="R15" s="307"/>
      <c r="S15" s="307"/>
      <c r="T15" s="307"/>
      <c r="U15" s="247"/>
      <c r="V15" s="307"/>
      <c r="W15" s="352"/>
      <c r="X15" s="352"/>
      <c r="Y15" s="352"/>
      <c r="Z15" s="352"/>
      <c r="AA15" s="352"/>
      <c r="AB15" s="307"/>
    </row>
    <row r="16" ht="15.75" customHeight="1">
      <c r="A16" s="306"/>
      <c r="B16" s="306"/>
      <c r="C16" s="306"/>
      <c r="D16" s="306"/>
      <c r="E16" s="306"/>
      <c r="F16" s="306"/>
      <c r="G16" s="306"/>
      <c r="H16" s="306"/>
      <c r="I16" s="427"/>
      <c r="J16" s="306"/>
      <c r="K16" s="311"/>
      <c r="L16" s="311"/>
      <c r="M16" s="348"/>
      <c r="N16" s="346">
        <f>$D$12</f>
        <v>-6385.427639</v>
      </c>
      <c r="O16" s="347">
        <f>$N$16/$C$6</f>
        <v>-0.00005908354097</v>
      </c>
      <c r="P16" s="307"/>
      <c r="Q16" s="307"/>
      <c r="R16" s="348"/>
      <c r="S16" s="348"/>
      <c r="T16" s="348"/>
      <c r="U16" s="247" t="s">
        <v>380</v>
      </c>
      <c r="V16" s="307"/>
      <c r="W16" s="378" t="s">
        <v>353</v>
      </c>
      <c r="X16" s="122"/>
      <c r="Y16" s="122"/>
      <c r="Z16" s="122"/>
      <c r="AA16" s="123"/>
      <c r="AB16" s="307"/>
    </row>
    <row r="17" ht="15.75" customHeight="1">
      <c r="A17" s="348"/>
      <c r="B17" s="379" t="s">
        <v>183</v>
      </c>
      <c r="C17" s="379" t="s">
        <v>324</v>
      </c>
      <c r="D17" s="380" t="s">
        <v>354</v>
      </c>
      <c r="E17" s="381" t="s">
        <v>355</v>
      </c>
      <c r="F17" s="381" t="s">
        <v>356</v>
      </c>
      <c r="G17" s="381" t="s">
        <v>357</v>
      </c>
      <c r="H17" s="381" t="s">
        <v>343</v>
      </c>
      <c r="I17" s="427"/>
      <c r="J17" s="383"/>
      <c r="K17" s="384"/>
      <c r="L17" s="385" t="s">
        <v>359</v>
      </c>
      <c r="M17" s="383"/>
      <c r="N17" s="352"/>
      <c r="O17" s="352"/>
      <c r="P17" s="247"/>
      <c r="Q17" s="247"/>
      <c r="R17" s="307" t="s">
        <v>360</v>
      </c>
      <c r="S17" s="307" t="s">
        <v>361</v>
      </c>
      <c r="T17" s="307" t="s">
        <v>362</v>
      </c>
      <c r="U17" s="247" t="str">
        <f>IFERROR(__xludf.DUMMYFUNCTION("UNIQUE('Controle D-1'!AB11:AB16)"),"AZUL4")</f>
        <v>AZUL4</v>
      </c>
      <c r="V17" s="307"/>
      <c r="W17" s="388" t="s">
        <v>183</v>
      </c>
      <c r="X17" s="389" t="s">
        <v>354</v>
      </c>
      <c r="Y17" s="389" t="s">
        <v>363</v>
      </c>
      <c r="Z17" s="389" t="s">
        <v>364</v>
      </c>
      <c r="AA17" s="389" t="s">
        <v>365</v>
      </c>
      <c r="AB17" s="348"/>
    </row>
    <row r="18" ht="15.75" customHeight="1">
      <c r="A18" s="348"/>
      <c r="B18" s="390" t="str">
        <f>IFERROR(__xludf.DUMMYFUNCTION("IFERROR(UNIQUE(VSTACK('Controle D-1'!$AB$11:$AB$80,Controle!$AB$11:$AB$80)))"),"AZUL4")</f>
        <v>AZUL4</v>
      </c>
      <c r="C18" s="391">
        <f>IF($B18 &lt;&gt; "",SUMIFS('Alocação'!$O$3:$O$1002,'Alocação'!$C$3:$C$1002,$B18,'Alocação'!$F$3:$F$1002,$N$4,'Alocação'!$B$3:$B$1002,"&lt;="&amp;$B$3), "")</f>
        <v>-1</v>
      </c>
      <c r="D18" s="391" t="str">
        <f>IFERROR(VLOOKUP($B18, 'Cadastro dos Ativos'!$A$1:$C$217, 3, FALSE), "")</f>
        <v>Ações Listadas na B3</v>
      </c>
      <c r="E18" s="392">
        <f>IFS($D18="Ações Listadas na B3", (($C18 * HLOOKUP($B18, 'Histórico'!$A$1:$FI$296, MATCH($B$3,'Histórico'!$A:$A),0)) / $B$6),
$D18="Ações Americanas",(($C18 * HLOOKUP($B18, 'Histórico'!$A$1:$FI$296, MATCH($B$3,'Histórico'!$A:$A),0)) * HLOOKUP("PTAX", 'Histórico'!$A$1:$FI$296, MATCH($B$3,'Histórico'!$A:$A),0) / $B$6),
$D18="Ações Europeias",(($C18 * HLOOKUP($B18, 'Histórico'!$A$1:$FI$296, MATCH($B$3,'Histórico'!$A:$A),0)) * HLOOKUP("EUR/BRL", 'Histórico'!$A$1:$FI$296, MATCH($B$3,'Histórico'!$A:$A),0) / $B$6),
$D18="Futuros",(SUMIFS('Alocação'!$N:$N,'Alocação'!$C:$C,$B18,'Alocação'!$F:$F,$N$4,'Alocação'!$B:$B,"&lt;="&amp;$B$3))/($B$6)+($C18*SUMPRODUCT(('Histórico T'!$A:$A=$B18)*('Histórico T'!$B:$AAW)))/($B$6),$D18="Moedas",(($C18 * HLOOKUP($B18, 'Histórico'!$A$1:$FI$296, MATCH($B$3,'Histórico'!$A:$A),0)) / $B$6),$D18="Títulos", (($C18 * HLOOKUP($B18, 'Histórico'!$A$1:$FI$296, MATCH($B$3,'Histórico'!$A:$A),0)) / $B$6),$B18="","")</f>
        <v>-0.0000001382689728</v>
      </c>
      <c r="F18" s="393">
        <f t="shared" ref="F18:F21" si="6">IF($E18="","", ABS($E18))</f>
        <v>0.0000001382689728</v>
      </c>
      <c r="G18" s="394">
        <f>IFS(OR($D18="Ações Listadas na B3",$D18="Ações Americanas",$D18="Moedas",$D18="Ações Europeias",$D18="Títulos"),$AA18,
$D18="Futuros",
(SUMIFS('Alocação'!$O$3:$O$1002,'Alocação'!$C$3:$C$1002,B18,'Alocação'!$F$3:$F$1002,N$4,'Alocação'!$B$3:$B$1002,"&lt;="&amp;$C$3))*HLOOKUP(B18,'Histórico'!$A$1:$DD$990,MATCH($B$3,'Histórico'!$A:$A),FALSE),
$D18="",""
)</f>
        <v>-0.4400005341</v>
      </c>
      <c r="H18" s="444">
        <f t="shared" ref="H18:H37" si="7">IF(($G18)/$C$6 &lt;&gt; 0 , ($G18)/$C$6 , "")</f>
        <v>-0.000000004071268371</v>
      </c>
      <c r="I18" s="427"/>
      <c r="J18" s="383"/>
      <c r="K18" s="397" t="s">
        <v>366</v>
      </c>
      <c r="L18" s="344">
        <f>STDEV(Controle!$N$91:$N$242)</f>
        <v>0.003779875505</v>
      </c>
      <c r="M18" s="383"/>
      <c r="N18" s="336" t="s">
        <v>367</v>
      </c>
      <c r="O18" s="409">
        <f>SUM($N$8,$N$12,$N$16)</f>
        <v>-96608.56237</v>
      </c>
      <c r="P18" s="337" t="s">
        <v>343</v>
      </c>
      <c r="Q18" s="247"/>
      <c r="R18" s="400">
        <f t="array" ref="R18">IFERROR(IF(D18&lt;&gt;"Futuros",
(INDEX('Histórico'!$B$1:$ADT983, MATCH($B$3, 'Histórico'!$A$1:$A983, 0), MATCH(B18, 'Histórico'!$1:$1, 0)-1)/INDEX('Histórico'!$B$1:$ADT983, MATCH($C$3, 'Histórico'!$A$1:$A983, 0), MATCH(B18, 'Histórico'!$1:$1, 0)-1)-1),
""),"")</f>
        <v>0.03036580683</v>
      </c>
      <c r="S18" s="401">
        <f t="shared" ref="S18:S35" si="8">IF(R18&lt;&gt;"",R18*(RANDBETWEEN(1,1.2)/1000000000),"")</f>
        <v>0</v>
      </c>
      <c r="T18" s="402">
        <f t="shared" ref="T18:T25" si="9">IF(S18&lt;&gt;"", RANK(S18,$S$18:$S$37),"")</f>
        <v>1</v>
      </c>
      <c r="U18" s="247" t="str">
        <f>IFERROR(__xludf.DUMMYFUNCTION("""COMPUTED_VALUE"""),"BOVA11")</f>
        <v>BOVA11</v>
      </c>
      <c r="V18" s="348"/>
      <c r="W18" s="403" t="str">
        <f>IFERROR(__xludf.DUMMYFUNCTION("IFERROR(UNIQUE(VSTACK('Controle D-1'!$AB$11:$AB$80,Controle!$AB$11:$AB$80)))"),"AZUL4")</f>
        <v>AZUL4</v>
      </c>
      <c r="X18" s="404" t="str">
        <f>IFERROR(VLOOKUP($W18, 'Cadastro dos Ativos'!$A$1:$C$216, 3, FALSE), "")</f>
        <v>Ações Listadas na B3</v>
      </c>
      <c r="Y18" s="405">
        <f t="array" ref="Y18">IFERROR(IFERROR(IF($X18&lt;&gt;"Futuros", 
iferror(XLOOKUP($W18, Controle!$AB$11:$AB$1001,Controle!$AF$11:$AF$1001),0)-XLOOKUP($W18, 'Controle D-1'!$AB$11:$AB$1001,'Controle D-1'!$AF$11:$AF$1001), 
""),XLOOKUP($W18, Controle!$AB$11:$AB$1001,Controle!$AF$11:$AF$1001)),"")</f>
        <v>-0.4400005341</v>
      </c>
      <c r="Z18" s="405">
        <f>IFS($X18&lt;&gt;"Futuros", SUMIFS('Alocação'!$M$2:$M$1003,'Alocação'!$C$2:$C$1003,$W18,'Alocação'!$B$2:$B$1003,$B$3,'Alocação'!$F$2:$F$1003,$N$4),
$X18="","",
$X18="Futuros","")</f>
        <v>0</v>
      </c>
      <c r="AA18" s="445">
        <f t="shared" ref="AA18:AA28" si="10">IF(Y18="","",IF(Y18=0,0,($Y18+$Z18)))</f>
        <v>-0.4400005341</v>
      </c>
      <c r="AB18" s="81">
        <f t="array" ref="AB18">IFERROR(IF($X18&lt;&gt;"Futuros", XLOOKUP($W18, Controle!$AB$11:$AB$1001,Controle!$AF$11:$AF$1001)-XLOOKUP($W18, 'Controle D-1'!$AB$11:$AB$1001,'Controle D-1'!$AF$11:$AF$1001), ""),"")</f>
        <v>-0.4400005341</v>
      </c>
    </row>
    <row r="19" ht="15.75" customHeight="1">
      <c r="A19" s="348"/>
      <c r="B19" s="406" t="str">
        <f>IFERROR(__xludf.DUMMYFUNCTION("""COMPUTED_VALUE"""),"BOVA11")</f>
        <v>BOVA11</v>
      </c>
      <c r="C19" s="4">
        <f>IF($B19 &lt;&gt; "",SUMIFS('Alocação'!$O$3:$O$1002,'Alocação'!$C$3:$C$1002,$B19,'Alocação'!$F$3:$F$1002,$N$4,'Alocação'!$B$3:$B$1002,"&lt;="&amp;$B$3), "")</f>
        <v>-85000</v>
      </c>
      <c r="D19" s="4" t="str">
        <f>IFERROR(VLOOKUP($B19, 'Cadastro dos Ativos'!$A$1:$C$217, 3, FALSE), "")</f>
        <v>Ações Listadas na B3</v>
      </c>
      <c r="E19" s="407">
        <f>IFS($D19="Ações Listadas na B3", (($C19 * HLOOKUP($B19, 'Histórico'!$A$1:$FI$296, MATCH($B$3,'Histórico'!$A:$A),0)) / $B$6),
$D19="Ações Americanas",(($C19 * HLOOKUP($B19, 'Histórico'!$A$1:$FI$296, MATCH($B$3,'Histórico'!$A:$A),0)) * HLOOKUP("PTAX", 'Histórico'!$A$1:$FI$296, MATCH($B$3,'Histórico'!$A:$A),0) / $B$6),
$D19="Ações Europeias",(($C19 * HLOOKUP($B19, 'Histórico'!$A$1:$FI$296, MATCH($B$3,'Histórico'!$A:$A),0)) * HLOOKUP("EUR/BRL", 'Histórico'!$A$1:$FI$296, MATCH($B$3,'Histórico'!$A:$A),0) / $B$6),
$D19="Futuros",(SUMIFS('Alocação'!$N:$N,'Alocação'!$C:$C,$B19,'Alocação'!$F:$F,$N$4,'Alocação'!$B:$B,"&lt;="&amp;$B$3))/($B$6)+($C19*SUMPRODUCT(('Histórico T'!$A:$A=$B19)*('Histórico T'!$B:$AAW)))/($B$6),$D19="Moedas",(($C19 * HLOOKUP($B19, 'Histórico'!$A$1:$FI$296, MATCH($B$3,'Histórico'!$A:$A),0)) / $B$6),$D19="Títulos", (($C19 * HLOOKUP($B19, 'Histórico'!$A$1:$FI$296, MATCH($B$3,'Histórico'!$A:$A),0)) / $B$6),$B19="","")</f>
        <v>-0.08977990612</v>
      </c>
      <c r="F19" s="408">
        <f t="shared" si="6"/>
        <v>0.08977990612</v>
      </c>
      <c r="G19" s="394">
        <f>IFS(OR($D19="Ações Listadas na B3",$D19="Ações Americanas",$D19="Moedas",$D19="Ações Europeias",$D19="Títulos"),$AA19,
$D19="Futuros",
(SUMIFS('Alocação'!$O$3:$O$1002,'Alocação'!$C$3:$C$1002,B19,'Alocação'!$F$3:$F$1002,N$4,'Alocação'!$B$3:$B$1002,"&lt;="&amp;$C$3))*HLOOKUP(B19,'Histórico'!$A$1:$DD$990,MATCH($B$3,'Histórico'!$A:$A),FALSE),
$D19="",""
)</f>
        <v>-147900.4669</v>
      </c>
      <c r="H19" s="446">
        <f t="shared" si="7"/>
        <v>-0.001368504005</v>
      </c>
      <c r="I19" s="427"/>
      <c r="J19" s="383"/>
      <c r="K19" s="397" t="s">
        <v>368</v>
      </c>
      <c r="L19" s="344">
        <f>$L$18*(252^0.5)</f>
        <v>0.06000366344</v>
      </c>
      <c r="M19" s="383"/>
      <c r="N19" s="336" t="s">
        <v>369</v>
      </c>
      <c r="O19" s="409">
        <f>B6-C6</f>
        <v>-96608.56237</v>
      </c>
      <c r="P19" s="447">
        <f>SUM($O$8,$O$12,$O$16)</f>
        <v>-0.0008939066068</v>
      </c>
      <c r="Q19" s="247"/>
      <c r="R19" s="400">
        <f t="array" ref="R19">IFERROR(IF(D19&lt;&gt;"Futuros",
(INDEX('Histórico'!$B$1:$ADT984, MATCH($B$3, 'Histórico'!$A$1:$A984, 0), MATCH(B19, 'Histórico'!$1:$1, 0)-1)/INDEX('Histórico'!$B$1:$ADT984, MATCH($C$3, 'Histórico'!$A$1:$A984, 0), MATCH(B19, 'Histórico'!$1:$1, 0)-1)-1),
""),"")</f>
        <v>0.01549288159</v>
      </c>
      <c r="S19" s="401">
        <f t="shared" si="8"/>
        <v>0</v>
      </c>
      <c r="T19" s="402">
        <f t="shared" si="9"/>
        <v>2</v>
      </c>
      <c r="U19" s="247" t="str">
        <f>IFERROR(__xludf.DUMMYFUNCTION("""COMPUTED_VALUE"""),"DOL-U23")</f>
        <v>DOL-U23</v>
      </c>
      <c r="V19" s="348"/>
      <c r="W19" s="403" t="str">
        <f>IFERROR(__xludf.DUMMYFUNCTION("""COMPUTED_VALUE"""),"BOVA11")</f>
        <v>BOVA11</v>
      </c>
      <c r="X19" s="404" t="str">
        <f>IFERROR(VLOOKUP($W19, 'Cadastro dos Ativos'!$A$1:$C$216, 3, FALSE), "")</f>
        <v>Ações Listadas na B3</v>
      </c>
      <c r="Y19" s="405">
        <f t="array" ref="Y19">IFERROR(IFERROR(IF($X19&lt;&gt;"Futuros", 
iferror(XLOOKUP($W19, Controle!$AB$11:$AB$1001,Controle!$AF$11:$AF$1001),0)-XLOOKUP($W19, 'Controle D-1'!$AB$11:$AB$1001,'Controle D-1'!$AF$11:$AF$1001), 
""),XLOOKUP($W19, Controle!$AB$11:$AB$1001,Controle!$AF$11:$AF$1001)),"")</f>
        <v>-147900.4669</v>
      </c>
      <c r="Z19" s="405">
        <f>IFS($X19&lt;&gt;"Futuros", SUMIFS('Alocação'!$M$2:$M$1003,'Alocação'!$C$2:$C$1003,$W19,'Alocação'!$B$2:$B$1003,$B$3,'Alocação'!$F$2:$F$1003,$N$4),
$X19="","",
$X19="Futuros","")</f>
        <v>0</v>
      </c>
      <c r="AA19" s="405">
        <f t="shared" si="10"/>
        <v>-147900.4669</v>
      </c>
      <c r="AB19" s="81">
        <f t="array" ref="AB19">IFERROR(IF($X19&lt;&gt;"Futuros", XLOOKUP($W19, Controle!$AB$11:$AB$1001,Controle!$AF$11:$AF$1001)-XLOOKUP($W19, 'Controle D-1'!$AB$11:$AB$1001,'Controle D-1'!$AF$11:$AF$1001), ""),"")</f>
        <v>-147900.4669</v>
      </c>
    </row>
    <row r="20" ht="15.75" customHeight="1">
      <c r="A20" s="348"/>
      <c r="B20" s="406" t="str">
        <f>IFERROR(__xludf.DUMMYFUNCTION("""COMPUTED_VALUE"""),"DOL-U23")</f>
        <v>DOL-U23</v>
      </c>
      <c r="C20" s="4">
        <f>IF($B20 &lt;&gt; "",SUMIFS('Alocação'!$O$3:$O$1002,'Alocação'!$C$3:$C$1002,$B20,'Alocação'!$F$3:$F$1002,$N$4,'Alocação'!$B$3:$B$1002,"&lt;="&amp;$B$3), "")</f>
        <v>0</v>
      </c>
      <c r="D20" s="4" t="str">
        <f>IFERROR(VLOOKUP($B20, 'Cadastro dos Ativos'!$A$1:$C$217, 3, FALSE), "")</f>
        <v>Futuros</v>
      </c>
      <c r="E20" s="407">
        <f>IFS($D20="Ações Listadas na B3", (($C20 * HLOOKUP($B20, 'Histórico'!$A$1:$FI$296, MATCH($B$3,'Histórico'!$A:$A),0)) / $B$6),
$D20="Ações Americanas",(($C20 * HLOOKUP($B20, 'Histórico'!$A$1:$FI$296, MATCH($B$3,'Histórico'!$A:$A),0)) * HLOOKUP("PTAX", 'Histórico'!$A$1:$FI$296, MATCH($B$3,'Histórico'!$A:$A),0) / $B$6),
$D20="Ações Europeias",(($C20 * HLOOKUP($B20, 'Histórico'!$A$1:$FI$296, MATCH($B$3,'Histórico'!$A:$A),0)) * HLOOKUP("EUR/BRL", 'Histórico'!$A$1:$FI$296, MATCH($B$3,'Histórico'!$A:$A),0) / $B$6),
$D20="Futuros",(SUMIFS('Alocação'!$N:$N,'Alocação'!$C:$C,$B20,'Alocação'!$F:$F,$N$4,'Alocação'!$B:$B,"&lt;="&amp;$B$3))/($B$6)+($C20*SUMPRODUCT(('Histórico T'!$A:$A=$B20)*('Histórico T'!$B:$AAW)))/($B$6),$D20="Moedas",(($C20 * HLOOKUP($B20, 'Histórico'!$A$1:$FI$296, MATCH($B$3,'Histórico'!$A:$A),0)) / $B$6),$D20="Títulos", (($C20 * HLOOKUP($B20, 'Histórico'!$A$1:$FI$296, MATCH($B$3,'Histórico'!$A:$A),0)) / $B$6),$B20="","")</f>
        <v>-0.0104178561</v>
      </c>
      <c r="F20" s="408">
        <f t="shared" si="6"/>
        <v>0.0104178561</v>
      </c>
      <c r="G20" s="394">
        <f>IFS(OR($D20="Ações Listadas na B3",$D20="Ações Americanas",$D20="Moedas",$D20="Ações Europeias",$D20="Títulos"),$AA20,
$D20="Futuros",
(SUMIFS('Alocação'!$O$3:$O$1002,'Alocação'!$C$3:$C$1002,B20,'Alocação'!$F$3:$F$1002,N$4,'Alocação'!$B$3:$B$1002,"&lt;="&amp;$C$3))*HLOOKUP(B20,'Histórico'!$A$1:$DD$990,MATCH($B$3,'Histórico'!$A:$A),FALSE),
$D20="",""
)</f>
        <v>0</v>
      </c>
      <c r="H20" s="446" t="str">
        <f t="shared" si="7"/>
        <v/>
      </c>
      <c r="I20" s="427"/>
      <c r="J20" s="383"/>
      <c r="K20" s="386"/>
      <c r="L20" s="412"/>
      <c r="M20" s="383"/>
      <c r="N20" s="336" t="s">
        <v>370</v>
      </c>
      <c r="O20" s="413" t="str">
        <f>IF(ABS($O$21)&lt;0.0001,"Verdade","Falso")</f>
        <v>Verdade</v>
      </c>
      <c r="P20" s="413" t="str">
        <f>IF(ABS($P$21)&lt;0.0001,"Verdade","Falso")</f>
        <v>Verdade</v>
      </c>
      <c r="Q20" s="247"/>
      <c r="R20" s="400" t="str">
        <f t="array" ref="R20">IFERROR(IF(D20&lt;&gt;"Futuros",
(INDEX('Histórico'!$B$1:$ADT985, MATCH($B$3, 'Histórico'!$A$1:$A985, 0), MATCH(B20, 'Histórico'!$1:$1, 0)-1)/INDEX('Histórico'!$B$1:$ADT985, MATCH($C$3, 'Histórico'!$A$1:$A985, 0), MATCH(B20, 'Histórico'!$1:$1, 0)-1)-1),
""),"")</f>
        <v/>
      </c>
      <c r="S20" s="401" t="str">
        <f t="shared" si="8"/>
        <v/>
      </c>
      <c r="T20" s="402" t="str">
        <f t="shared" si="9"/>
        <v/>
      </c>
      <c r="U20" s="247"/>
      <c r="V20" s="348"/>
      <c r="W20" s="403" t="str">
        <f>IFERROR(__xludf.DUMMYFUNCTION("""COMPUTED_VALUE"""),"DOL-U23")</f>
        <v>DOL-U23</v>
      </c>
      <c r="X20" s="404" t="str">
        <f>IFERROR(VLOOKUP($W20, 'Cadastro dos Ativos'!$A$1:$C$216, 3, FALSE), "")</f>
        <v>Futuros</v>
      </c>
      <c r="Y20" s="405" t="str">
        <f t="array" ref="Y20">IFERROR(IFERROR(IF($X20&lt;&gt;"Futuros", 
iferror(XLOOKUP($W20, Controle!$AB$11:$AB$1001,Controle!$AF$11:$AF$1001),0)-XLOOKUP($W20, 'Controle D-1'!$AB$11:$AB$1001,'Controle D-1'!$AF$11:$AF$1001), 
""),XLOOKUP($W20, Controle!$AB$11:$AB$1001,Controle!$AF$11:$AF$1001)),"")</f>
        <v/>
      </c>
      <c r="Z20" s="405" t="str">
        <f>IFS($X20&lt;&gt;"Futuros", SUMIFS('Alocação'!$M$2:$M$1003,'Alocação'!$C$2:$C$1003,$W20,'Alocação'!$B$2:$B$1003,$B$3,'Alocação'!$F$2:$F$1003,$N$4),
$X20="","",
$X20="Futuros","")</f>
        <v/>
      </c>
      <c r="AA20" s="448" t="str">
        <f t="shared" si="10"/>
        <v/>
      </c>
      <c r="AB20" s="81" t="str">
        <f t="array" ref="AB20">IFERROR(IF($X20&lt;&gt;"Futuros", XLOOKUP($W20, Controle!$AB$11:$AB$1001,Controle!$AF$11:$AF$1001)-XLOOKUP($W20, 'Controle D-1'!$AB$11:$AB$1001,'Controle D-1'!$AF$11:$AF$1001), ""),"")</f>
        <v/>
      </c>
    </row>
    <row r="21" ht="15.75" customHeight="1">
      <c r="A21" s="348"/>
      <c r="B21" s="406"/>
      <c r="C21" s="4" t="str">
        <f>IF($B21 &lt;&gt; "",SUMIFS('Alocação'!$O$3:$O$1002,'Alocação'!$C$3:$C$1002,$B21,'Alocação'!$F$3:$F$1002,$N$4,'Alocação'!$B$3:$B$1002,"&lt;="&amp;$B$3), "")</f>
        <v/>
      </c>
      <c r="D21" s="4" t="str">
        <f>IFERROR(VLOOKUP($B21, 'Cadastro dos Ativos'!$A$1:$C$217, 3, FALSE), "")</f>
        <v/>
      </c>
      <c r="E21" s="407" t="str">
        <f>IFS($D21="Ações Listadas na B3", (($C21 * HLOOKUP($B21, 'Histórico'!$A$1:$FI$296, MATCH($B$3,'Histórico'!$A:$A),0)) / $B$6),
$D21="Ações Americanas",(($C21 * HLOOKUP($B21, 'Histórico'!$A$1:$FI$296, MATCH($B$3,'Histórico'!$A:$A),0)) * HLOOKUP("PTAX", 'Histórico'!$A$1:$FI$296, MATCH($B$3,'Histórico'!$A:$A),0) / $B$6),
$D21="Ações Europeias",(($C21 * HLOOKUP($B21, 'Histórico'!$A$1:$FI$296, MATCH($B$3,'Histórico'!$A:$A),0)) * HLOOKUP("EUR/BRL", 'Histórico'!$A$1:$FI$296, MATCH($B$3,'Histórico'!$A:$A),0) / $B$6),
$D21="Futuros",(SUMIFS('Alocação'!$N:$N,'Alocação'!$C:$C,$B21,'Alocação'!$F:$F,$N$4,'Alocação'!$B:$B,"&lt;="&amp;$B$3))/($B$6)+($C21*SUMPRODUCT(('Histórico T'!$A:$A=$B21)*('Histórico T'!$B:$AAW)))/($B$6),$D21="Moedas",(($C21 * HLOOKUP($B21, 'Histórico'!$A$1:$FI$296, MATCH($B$3,'Histórico'!$A:$A),0)) / $B$6),$D21="Títulos", (($C21 * HLOOKUP($B21, 'Histórico'!$A$1:$FI$296, MATCH($B$3,'Histórico'!$A:$A),0)) / $B$6),$B21="","")</f>
        <v/>
      </c>
      <c r="F21" s="408" t="str">
        <f t="shared" si="6"/>
        <v/>
      </c>
      <c r="G21" s="394" t="str">
        <f>IFS(OR($D21="Ações Listadas na B3",$D21="Ações Americanas",$D21="Moedas",$D21="Ações Europeias",$D21="Títulos"),$AA21,
$D21="Futuros",
(SUMIFS('Alocação'!$O$3:$O$1002,'Alocação'!$C$3:$C$1002,B21,'Alocação'!$F$3:$F$1002,N$4,'Alocação'!$B$3:$B$1002,"&lt;="&amp;$C$3))*HLOOKUP(B21,'Histórico'!$A$1:$DD$990,MATCH($B$3,'Histórico'!$A:$A),FALSE),
$D21="",""
)</f>
        <v/>
      </c>
      <c r="H21" s="446" t="str">
        <f t="shared" si="7"/>
        <v/>
      </c>
      <c r="I21" s="427"/>
      <c r="J21" s="383"/>
      <c r="K21" s="384"/>
      <c r="L21" s="414" t="s">
        <v>371</v>
      </c>
      <c r="M21" s="383"/>
      <c r="N21" s="336" t="s">
        <v>372</v>
      </c>
      <c r="O21" s="449">
        <f>TRUNC(O18-O19,2)</f>
        <v>0</v>
      </c>
      <c r="P21" s="450">
        <f>$P$19-$D$8</f>
        <v>0</v>
      </c>
      <c r="Q21" s="247"/>
      <c r="R21" s="400" t="str">
        <f t="array" ref="R21">IFERROR(IF(D21&lt;&gt;"Futuros",
(INDEX('Histórico'!$B$1:$ADT986, MATCH($B$3, 'Histórico'!$A$1:$A986, 0), MATCH(B21, 'Histórico'!$1:$1, 0)-1)/INDEX('Histórico'!$B$1:$ADT986, MATCH($C$3, 'Histórico'!$A$1:$A986, 0), MATCH(B21, 'Histórico'!$1:$1, 0)-1)-1),
""),"")</f>
        <v/>
      </c>
      <c r="S21" s="401" t="str">
        <f t="shared" si="8"/>
        <v/>
      </c>
      <c r="T21" s="402" t="str">
        <f t="shared" si="9"/>
        <v/>
      </c>
      <c r="U21" s="247"/>
      <c r="V21" s="348"/>
      <c r="W21" s="403"/>
      <c r="X21" s="404" t="str">
        <f>IFERROR(VLOOKUP($W21, 'Cadastro dos Ativos'!$A$1:$C$216, 3, FALSE), "")</f>
        <v/>
      </c>
      <c r="Y21" s="405" t="str">
        <f t="array" ref="Y21">IFERROR(IFERROR(IF($X21&lt;&gt;"Futuros", 
iferror(XLOOKUP($W21, Controle!$AB$11:$AB$1001,Controle!$AF$11:$AF$1001),0)-XLOOKUP($W21, 'Controle D-1'!$AB$11:$AB$1001,'Controle D-1'!$AF$11:$AF$1001), 
""),XLOOKUP($W21, Controle!$AB$11:$AB$1001,Controle!$AF$11:$AF$1001)),"")</f>
        <v/>
      </c>
      <c r="Z21" s="405">
        <f>IFS($X21&lt;&gt;"Futuros", SUMIFS('Alocação'!$M$2:$M$1003,'Alocação'!$C$2:$C$1003,$W21,'Alocação'!$B$2:$B$1003,$B$3,'Alocação'!$F$2:$F$1003,$N$4),
$X21="","",
$X21="Futuros","")</f>
        <v>0</v>
      </c>
      <c r="AA21" s="451" t="str">
        <f t="shared" si="10"/>
        <v/>
      </c>
      <c r="AB21" s="81" t="str">
        <f t="array" ref="AB21">IFERROR(IF($X21&lt;&gt;"Futuros", XLOOKUP($W21, Controle!$AB$11:$AB$1001,Controle!$AF$11:$AF$1001)-XLOOKUP($W21, 'Controle D-1'!$AB$11:$AB$1001,'Controle D-1'!$AF$11:$AF$1001), ""),"")</f>
        <v/>
      </c>
    </row>
    <row r="22" ht="15.75" customHeight="1">
      <c r="A22" s="348"/>
      <c r="B22" s="406" t="str">
        <f>IFERROR(__xludf.DUMMYFUNCTION("""COMPUTED_VALUE"""),"DOL-V23")</f>
        <v>DOL-V23</v>
      </c>
      <c r="C22" s="4">
        <f>IF($B22 &lt;&gt; "",SUMIFS('Alocação'!$O$3:$O$1002,'Alocação'!$C$3:$C$1002,$B22,'Alocação'!$F$3:$F$1002,$N$4,'Alocação'!$B$3:$B$1002,"&lt;="&amp;$B$3), "")</f>
        <v>225</v>
      </c>
      <c r="D22" s="4" t="str">
        <f>IFERROR(VLOOKUP($B22, 'Cadastro dos Ativos'!$A$1:$C$217, 3, FALSE), "")</f>
        <v>Futuros</v>
      </c>
      <c r="E22" s="407">
        <f>IFS($D22="Ações Listadas na B3", (($C22 * HLOOKUP($B22, 'Histórico'!$A$1:$FI$296, MATCH($B$3,'Histórico'!$A:$A),0)) / $B$6),
$D22="Ações Americanas",(($C22 * HLOOKUP($B22, 'Histórico'!$A$1:$FI$296, MATCH($B$3,'Histórico'!$A:$A),0)) * HLOOKUP("PTAX", 'Histórico'!$A$1:$FI$296, MATCH($B$3,'Histórico'!$A:$A),0) / $B$6),
$D22="Ações Europeias",(($C22 * HLOOKUP($B22, 'Histórico'!$A$1:$FI$296, MATCH($B$3,'Histórico'!$A:$A),0)) * HLOOKUP("EUR/BRL", 'Histórico'!$A$1:$FI$296, MATCH($B$3,'Histórico'!$A:$A),0) / $B$6),
$D22="Futuros",(SUMIFS('Alocação'!$N:$N,'Alocação'!$C:$C,$B22,'Alocação'!$F:$F,$N$4,'Alocação'!$B:$B,"&lt;="&amp;$B$3))/($B$6)+($C22*SUMPRODUCT(('Histórico T'!$A:$A=$B22)*('Histórico T'!$B:$AAW)))/($B$6),$D22="Moedas",(($C22 * HLOOKUP($B22, 'Histórico'!$A$1:$FI$296, MATCH($B$3,'Histórico'!$A:$A),0)) / $B$6),$D22="Títulos", (($C22 * HLOOKUP($B22, 'Histórico'!$A$1:$FI$296, MATCH($B$3,'Histórico'!$A:$A),0)) / $B$6),$B22="","")</f>
        <v>0.516301555</v>
      </c>
      <c r="F22" s="407">
        <f>IFS($D22="Ações Listadas na B3", (($C22 * HLOOKUP($B22, 'Histórico'!$A$1:$FI$296, MATCH($B$3,'Histórico'!$A:$A),0)) / $B$6),
$D22="Ações Americanas",(($C22 * HLOOKUP($B22, 'Histórico'!$A$1:$FI$296, MATCH($B$3,'Histórico'!$A:$A),0)) * HLOOKUP("PTAX", 'Histórico'!$A$1:$FI$296, MATCH($B$3,'Histórico'!$A:$A),0) / $B$6),
$D22="Ações Europeias",(($C22 * HLOOKUP($B22, 'Histórico'!$A$1:$FI$296, MATCH($B$3,'Histórico'!$A:$A),0)) * HLOOKUP("EUR/BRL", 'Histórico'!$A$1:$FI$296, MATCH($B$3,'Histórico'!$A:$A),0) / $B$6),
$D22="Futuros",(SUMIFS('Alocação'!$N:$N,'Alocação'!$C:$C,$B22,'Alocação'!$F:$F,$N$4,'Alocação'!$B:$B,"&lt;="&amp;$B$3))/($B$6)+($C22*SUMPRODUCT(('Histórico T'!$A:$A=$B22)*('Histórico T'!$B:$AAW)))/($B$6),$D22="Moedas",(($C22 * HLOOKUP($B22, 'Histórico'!$A$1:$FI$296, MATCH($B$3,'Histórico'!$A:$A),0)) / $B$6),$D22="Títulos", (($C22 * HLOOKUP($B22, 'Histórico'!$A$1:$FI$296, MATCH($B$3,'Histórico'!$A:$A),0)) / $B$6),$B22="","")</f>
        <v>0.516301555</v>
      </c>
      <c r="G22" s="394">
        <f>IFS(OR($D22="Ações Listadas na B3",$D22="Ações Americanas",$D22="Moedas",$D22="Ações Europeias",$D22="Títulos"),$AA22,
$D22="Futuros",
(SUMIFS('Alocação'!$O$3:$O$1002,'Alocação'!$C$3:$C$1002,B22,'Alocação'!$F$3:$F$1002,N$4,'Alocação'!$B$3:$B$1002,"&lt;="&amp;$C$3))*HLOOKUP(B22,'Histórico'!$A$1:$DD$990,MATCH($B$3,'Histórico'!$A:$A),FALSE),
$D22="",""
)</f>
        <v>0</v>
      </c>
      <c r="H22" s="446" t="str">
        <f t="shared" si="7"/>
        <v/>
      </c>
      <c r="I22" s="427"/>
      <c r="J22" s="383"/>
      <c r="K22" s="415">
        <v>0.95</v>
      </c>
      <c r="L22" s="344">
        <f>PERCENTILE(Controle!$N$91:$N$242,0.05)</f>
        <v>-0.00517615653</v>
      </c>
      <c r="M22" s="383"/>
      <c r="N22" s="348"/>
      <c r="O22" s="348"/>
      <c r="P22" s="247"/>
      <c r="Q22" s="247"/>
      <c r="R22" s="400" t="str">
        <f t="array" ref="R22">IFERROR(IF(D22&lt;&gt;"Futuros",
(INDEX('Histórico'!$B$1:$ADT987, MATCH($B$3, 'Histórico'!$A$1:$A987, 0), MATCH(B22, 'Histórico'!$1:$1, 0)-1)/INDEX('Histórico'!$B$1:$ADT987, MATCH($C$3, 'Histórico'!$A$1:$A987, 0), MATCH(B22, 'Histórico'!$1:$1, 0)-1)-1),
""),"")</f>
        <v/>
      </c>
      <c r="S22" s="401" t="str">
        <f t="shared" si="8"/>
        <v/>
      </c>
      <c r="T22" s="402" t="str">
        <f t="shared" si="9"/>
        <v/>
      </c>
      <c r="U22" s="247"/>
      <c r="V22" s="348"/>
      <c r="W22" s="403" t="str">
        <f>IFERROR(__xludf.DUMMYFUNCTION("""COMPUTED_VALUE"""),"DOL-V23")</f>
        <v>DOL-V23</v>
      </c>
      <c r="X22" s="404" t="str">
        <f>IFERROR(VLOOKUP($W22, 'Cadastro dos Ativos'!$A$1:$C$216, 3, FALSE), "")</f>
        <v>Futuros</v>
      </c>
      <c r="Y22" s="405" t="str">
        <f t="array" ref="Y22">IFERROR(IFERROR(IF($X22&lt;&gt;"Futuros", 
iferror(XLOOKUP($W22, Controle!$AB$11:$AB$1001,Controle!$AF$11:$AF$1001),0)-XLOOKUP($W22, 'Controle D-1'!$AB$11:$AB$1001,'Controle D-1'!$AF$11:$AF$1001), 
""),XLOOKUP($W22, Controle!$AB$11:$AB$1001,Controle!$AF$11:$AF$1001)),"")</f>
        <v/>
      </c>
      <c r="Z22" s="405" t="str">
        <f>IFS($X22&lt;&gt;"Futuros", SUMIFS('Alocação'!$M$2:$M$1003,'Alocação'!$C$2:$C$1003,$W22,'Alocação'!$B$2:$B$1003,$B$3,'Alocação'!$F$2:$F$1003,$N$4),
$X22="","",
$X22="Futuros","")</f>
        <v/>
      </c>
      <c r="AA22" s="452" t="str">
        <f t="shared" si="10"/>
        <v/>
      </c>
      <c r="AB22" s="81" t="str">
        <f t="array" ref="AB22">IFERROR(IF($X22&lt;&gt;"Futuros", XLOOKUP($W22, Controle!$AB$11:$AB$1001,Controle!$AF$11:$AF$1001)-XLOOKUP($W22, 'Controle D-1'!$AB$11:$AB$1001,'Controle D-1'!$AF$11:$AF$1001), ""),"")</f>
        <v/>
      </c>
    </row>
    <row r="23" ht="15.75" customHeight="1">
      <c r="A23" s="348"/>
      <c r="B23" s="406" t="str">
        <f>IFERROR(__xludf.DUMMYFUNCTION("""COMPUTED_VALUE"""),"DI1-F25")</f>
        <v>DI1-F25</v>
      </c>
      <c r="C23" s="4">
        <f>IF($B23 &lt;&gt; "",SUMIFS('Alocação'!$O$3:$O$1002,'Alocação'!$C$3:$C$1002,$B23,'Alocação'!$F$3:$F$1002,$N$4,'Alocação'!$B$3:$B$1002,"&lt;="&amp;$B$3), "")</f>
        <v>100</v>
      </c>
      <c r="D23" s="4" t="str">
        <f>IFERROR(VLOOKUP($B23, 'Cadastro dos Ativos'!$A$1:$C$217, 3, FALSE), "")</f>
        <v>Futuros</v>
      </c>
      <c r="E23" s="407">
        <f>IFS($D23="Ações Listadas na B3", (($C23 * HLOOKUP($B23, 'Histórico'!$A$1:$FI$296, MATCH($B$3,'Histórico'!$A:$A),0)) / $B$6),
$D23="Ações Americanas",(($C23 * HLOOKUP($B23, 'Histórico'!$A$1:$FI$296, MATCH($B$3,'Histórico'!$A:$A),0)) * HLOOKUP("PTAX", 'Histórico'!$A$1:$FI$296, MATCH($B$3,'Histórico'!$A:$A),0) / $B$6),
$D23="Ações Europeias",(($C23 * HLOOKUP($B23, 'Histórico'!$A$1:$FI$296, MATCH($B$3,'Histórico'!$A:$A),0)) * HLOOKUP("EUR/BRL", 'Histórico'!$A$1:$FI$296, MATCH($B$3,'Histórico'!$A:$A),0) / $B$6),
$D23="Futuros",(SUMIFS('Alocação'!$N:$N,'Alocação'!$C:$C,$B23,'Alocação'!$F:$F,$N$4,'Alocação'!$B:$B,"&lt;="&amp;$B$3))/($B$6)+($C23*SUMPRODUCT(('Histórico T'!$A:$A=$B23)*('Histórico T'!$B:$AAW)))/($B$6),$D23="Moedas",(($C23 * HLOOKUP($B23, 'Histórico'!$A$1:$FI$296, MATCH($B$3,'Histórico'!$A:$A),0)) / $B$6),$D23="Títulos", (($C23 * HLOOKUP($B23, 'Histórico'!$A$1:$FI$296, MATCH($B$3,'Histórico'!$A:$A),0)) / $B$6),$B23="","")</f>
        <v>0.08096084394</v>
      </c>
      <c r="F23" s="408">
        <f t="shared" ref="F23:F37" si="11">IF($E23="","", ABS($E23))</f>
        <v>0.08096084394</v>
      </c>
      <c r="G23" s="394">
        <f>IFS(OR($D23="Ações Listadas na B3",$D23="Ações Americanas",$D23="Moedas",$D23="Ações Europeias",$D23="Títulos"),$AA23,
$D23="Futuros",
(SUMIFS('Alocação'!$O$3:$O$1002,'Alocação'!$C$3:$C$1002,B23,'Alocação'!$F$3:$F$1002,N$4,'Alocação'!$B$3:$B$1002,"&lt;="&amp;$C$3))*HLOOKUP(B23,'Histórico'!$A$1:$DD$990,MATCH($B$3,'Histórico'!$A:$A),FALSE),
$D23="",""
)</f>
        <v>0</v>
      </c>
      <c r="H23" s="446" t="str">
        <f t="shared" si="7"/>
        <v/>
      </c>
      <c r="I23" s="427"/>
      <c r="J23" s="383"/>
      <c r="K23" s="415">
        <v>0.99</v>
      </c>
      <c r="L23" s="344">
        <f>PERCENTILE(Controle!$N$91:$N$242,0.01)</f>
        <v>-0.007665927169</v>
      </c>
      <c r="M23" s="383"/>
      <c r="N23" s="2"/>
      <c r="O23" s="2"/>
      <c r="P23" s="247"/>
      <c r="Q23" s="247"/>
      <c r="R23" s="400" t="str">
        <f t="array" ref="R23">IFERROR(IF(D23&lt;&gt;"Futuros",
(INDEX('Histórico'!$B$1:$ADT988, MATCH($B$3, 'Histórico'!$A$1:$A988, 0), MATCH(B23, 'Histórico'!$1:$1, 0)-1)/INDEX('Histórico'!$B$1:$ADT988, MATCH($C$3, 'Histórico'!$A$1:$A988, 0), MATCH(B23, 'Histórico'!$1:$1, 0)-1)-1),
""),"")</f>
        <v/>
      </c>
      <c r="S23" s="401" t="str">
        <f t="shared" si="8"/>
        <v/>
      </c>
      <c r="T23" s="402" t="str">
        <f t="shared" si="9"/>
        <v/>
      </c>
      <c r="U23" s="247"/>
      <c r="V23" s="348"/>
      <c r="W23" s="417" t="str">
        <f>IFERROR(__xludf.DUMMYFUNCTION("""COMPUTED_VALUE"""),"DI1-F25")</f>
        <v>DI1-F25</v>
      </c>
      <c r="X23" s="404" t="str">
        <f>IFERROR(VLOOKUP($W23, 'Cadastro dos Ativos'!$A$1:$C$216, 3, FALSE), "")</f>
        <v>Futuros</v>
      </c>
      <c r="Y23" s="405" t="str">
        <f t="array" ref="Y23">IFERROR(IFERROR(IF($X23&lt;&gt;"Futuros", 
iferror(XLOOKUP($W23, Controle!$AB$11:$AB$1001,Controle!$AF$11:$AF$1001),0)-XLOOKUP($W23, 'Controle D-1'!$AB$11:$AB$1001,'Controle D-1'!$AF$11:$AF$1001), 
""),XLOOKUP($W23, Controle!$AB$11:$AB$1001,Controle!$AF$11:$AF$1001)),"")</f>
        <v/>
      </c>
      <c r="Z23" s="405" t="str">
        <f>IFS($X23&lt;&gt;"Futuros", SUMIFS('Alocação'!$M$2:$M$1003,'Alocação'!$C$2:$C$1003,$W23,'Alocação'!$B$2:$B$1003,$B$3,'Alocação'!$F$2:$F$1003,$N$4),
$X23="","",
$X23="Futuros","")</f>
        <v/>
      </c>
      <c r="AA23" s="405" t="str">
        <f t="shared" si="10"/>
        <v/>
      </c>
      <c r="AB23" s="81" t="str">
        <f t="array" ref="AB23">IFERROR(IF($X23&lt;&gt;"Futuros", XLOOKUP($W23, Controle!$AB$11:$AB$1001,Controle!$AF$11:$AF$1001)-XLOOKUP($W23, 'Controle D-1'!$AB$11:$AB$1001,'Controle D-1'!$AF$11:$AF$1001), ""),"")</f>
        <v/>
      </c>
    </row>
    <row r="24" ht="15.75" customHeight="1">
      <c r="A24" s="348"/>
      <c r="B24" s="406" t="str">
        <f>IFERROR(__xludf.DUMMYFUNCTION("""COMPUTED_VALUE"""),"DI1-F29")</f>
        <v>DI1-F29</v>
      </c>
      <c r="C24" s="4">
        <f>IF($B24 &lt;&gt; "",SUMIFS('Alocação'!$O$3:$O$1002,'Alocação'!$C$3:$C$1002,$B24,'Alocação'!$F$3:$F$1002,$N$4,'Alocação'!$B$3:$B$1002,"&lt;="&amp;$B$3), "")</f>
        <v>-50</v>
      </c>
      <c r="D24" s="4" t="str">
        <f>IFERROR(VLOOKUP($B24, 'Cadastro dos Ativos'!$A$1:$C$217, 3, FALSE), "")</f>
        <v>Futuros</v>
      </c>
      <c r="E24" s="408">
        <f>IFS($D24="Ações Listadas na B3", (($C24 * HLOOKUP($B24, 'Histórico'!$A$1:$FI$296, MATCH($B$3,'Histórico'!$A:$A),0)) / $B$6),
$D24="Ações Americanas",(($C24 * HLOOKUP($B24, 'Histórico'!$A$1:$FI$296, MATCH($B$3,'Histórico'!$A:$A),0)) * HLOOKUP("PTAX", 'Histórico'!$A$1:$FI$296, MATCH($B$3,'Histórico'!$A:$A),0) / $B$6),
$D24="Ações Europeias",(($C24 * HLOOKUP($B24, 'Histórico'!$A$1:$FI$296, MATCH($B$3,'Histórico'!$A:$A),0)) * HLOOKUP("EUR/BRL", 'Histórico'!$A$1:$FI$296, MATCH($B$3,'Histórico'!$A:$A),0) / $B$6),
$D24="Futuros",(SUMIFS('Alocação'!$N:$N,'Alocação'!$C:$C,$B24,'Alocação'!$F:$F,$N$4,'Alocação'!$B:$B,"&lt;="&amp;$B$3))/($B$6)+($C24*SUMPRODUCT(('Histórico T'!$A:$A=$B24)*('Histórico T'!$B:$AAW)))/($B$6),$D24="Moedas",(($C24 * HLOOKUP($B24, 'Histórico'!$A$1:$FI$296, MATCH($B$3,'Histórico'!$A:$A),0)) / $B$6),$D24="Títulos", (($C24 * HLOOKUP($B24, 'Histórico'!$A$1:$FI$296, MATCH($B$3,'Histórico'!$A:$A),0)) / $B$6),$B24="","")</f>
        <v>-0.02792422421</v>
      </c>
      <c r="F24" s="408">
        <f t="shared" si="11"/>
        <v>0.02792422421</v>
      </c>
      <c r="G24" s="394">
        <f>IFS(OR($D24="Ações Listadas na B3",$D24="Ações Americanas",$D24="Moedas",$D24="Ações Europeias",$D24="Títulos"),$AA24,
$D24="Futuros",
(SUMIFS('Alocação'!$O$3:$O$1002,'Alocação'!$C$3:$C$1002,B24,'Alocação'!$F$3:$F$1002,N$4,'Alocação'!$B$3:$B$1002,"&lt;="&amp;$C$3))*HLOOKUP(B24,'Histórico'!$A$1:$DD$990,MATCH($B$3,'Histórico'!$A:$A),FALSE),
$D24="",""
)</f>
        <v>0</v>
      </c>
      <c r="H24" s="446" t="str">
        <f t="shared" si="7"/>
        <v/>
      </c>
      <c r="I24" s="427"/>
      <c r="J24" s="383"/>
      <c r="K24" s="383"/>
      <c r="L24" s="383"/>
      <c r="M24" s="383"/>
      <c r="N24" s="2"/>
      <c r="O24" s="2"/>
      <c r="P24" s="247"/>
      <c r="Q24" s="247"/>
      <c r="R24" s="400" t="str">
        <f t="array" ref="R24">IFERROR(IF(D24&lt;&gt;"Futuros",
(INDEX('Histórico'!$B$1:$ADT989, MATCH($B$3, 'Histórico'!$A$1:$A989, 0), MATCH(B24, 'Histórico'!$1:$1, 0)-1)/INDEX('Histórico'!$B$1:$ADT989, MATCH($C$3, 'Histórico'!$A$1:$A989, 0), MATCH(B24, 'Histórico'!$1:$1, 0)-1)-1),
""),"")</f>
        <v/>
      </c>
      <c r="S24" s="401" t="str">
        <f t="shared" si="8"/>
        <v/>
      </c>
      <c r="T24" s="402" t="str">
        <f t="shared" si="9"/>
        <v/>
      </c>
      <c r="U24" s="247"/>
      <c r="V24" s="348"/>
      <c r="W24" s="417" t="str">
        <f>IFERROR(__xludf.DUMMYFUNCTION("""COMPUTED_VALUE"""),"DI1-F29")</f>
        <v>DI1-F29</v>
      </c>
      <c r="X24" s="404" t="str">
        <f>IFERROR(VLOOKUP($W24, 'Cadastro dos Ativos'!$A$1:$C$216, 3, FALSE), "")</f>
        <v>Futuros</v>
      </c>
      <c r="Y24" s="405" t="str">
        <f t="array" ref="Y24">IFERROR(IFERROR(IF($X24&lt;&gt;"Futuros", 
iferror(XLOOKUP($W24, Controle!$AB$11:$AB$1001,Controle!$AF$11:$AF$1001),0)-XLOOKUP($W24, 'Controle D-1'!$AB$11:$AB$1001,'Controle D-1'!$AF$11:$AF$1001), 
""),XLOOKUP($W24, Controle!$AB$11:$AB$1001,Controle!$AF$11:$AF$1001)),"")</f>
        <v/>
      </c>
      <c r="Z24" s="405" t="str">
        <f>IFS($X24&lt;&gt;"Futuros", SUMIFS('Alocação'!$M$2:$M$1003,'Alocação'!$C$2:$C$1003,$W24,'Alocação'!$B$2:$B$1003,$B$3,'Alocação'!$F$2:$F$1003,$N$4),
$X24="","",
$X24="Futuros","")</f>
        <v/>
      </c>
      <c r="AA24" s="405" t="str">
        <f t="shared" si="10"/>
        <v/>
      </c>
      <c r="AB24" s="366">
        <f>SUM(AB18:AB23)</f>
        <v>-147900.9069</v>
      </c>
    </row>
    <row r="25" ht="15.75" customHeight="1">
      <c r="A25" s="348"/>
      <c r="B25" s="406"/>
      <c r="C25" s="4" t="str">
        <f>IF($B25 &lt;&gt; "",SUMIFS('Alocação'!$O$3:$O$1002,'Alocação'!$C$3:$C$1002,$B25,'Alocação'!$F$3:$F$1002,$N$4,'Alocação'!$B$3:$B$1002,"&lt;="&amp;$B$3), "")</f>
        <v/>
      </c>
      <c r="D25" s="4" t="str">
        <f>IFERROR(VLOOKUP($B25, 'Cadastro dos Ativos'!$A$1:$C$217, 3, FALSE), "")</f>
        <v/>
      </c>
      <c r="E25" s="408" t="str">
        <f>IFS($D25="Ações Listadas na B3", (($C25 * HLOOKUP($B25, 'Histórico'!$A$1:$FI$296, MATCH($B$3,'Histórico'!$A:$A),0)) / $B$6),
$D25="Ações Americanas",(($C25 * HLOOKUP($B25, 'Histórico'!$A$1:$FI$296, MATCH($B$3,'Histórico'!$A:$A),0)) * HLOOKUP("PTAX", 'Histórico'!$A$1:$FI$296, MATCH($B$3,'Histórico'!$A:$A),0) / $B$6),
$D25="Ações Europeias",(($C25 * HLOOKUP($B25, 'Histórico'!$A$1:$FI$296, MATCH($B$3,'Histórico'!$A:$A),0)) * HLOOKUP("EUR/BRL", 'Histórico'!$A$1:$FI$296, MATCH($B$3,'Histórico'!$A:$A),0) / $B$6),
$D25="Futuros",(SUMIFS('Alocação'!$N:$N,'Alocação'!$C:$C,$B25,'Alocação'!$F:$F,$N$4,'Alocação'!$B:$B,"&lt;="&amp;$B$3))/($B$6)+($C25*SUMPRODUCT(('Histórico T'!$A:$A=$B25)*('Histórico T'!$B:$AAW)))/($B$6),$D25="Moedas",(($C25 * HLOOKUP($B25, 'Histórico'!$A$1:$FI$296, MATCH($B$3,'Histórico'!$A:$A),0)) / $B$6),$B25="","")</f>
        <v/>
      </c>
      <c r="F25" s="408" t="str">
        <f t="shared" si="11"/>
        <v/>
      </c>
      <c r="G25" s="394" t="str">
        <f>IFS(OR($D25="Ações Listadas na B3",$D25="Ações Americanas",$D25="Moedas",$D25="Ações Europeias",$D25="Títulos"),$AA25,
$D25="Futuros",
(SUMIFS('Alocação'!$O$3:$O$1002,'Alocação'!$C$3:$C$1002,B25,'Alocação'!$F$3:$F$1002,AB$9,'Alocação'!$B$3:$B$1002,"&lt;="&amp;$C$3))*HLOOKUP(B25,'Histórico'!$A$1:$DD$990,MATCH($B$3,'Histórico'!$A:$A),FALSE),
$D25="",""
)</f>
        <v/>
      </c>
      <c r="H25" s="446" t="str">
        <f t="shared" si="7"/>
        <v/>
      </c>
      <c r="I25" s="427"/>
      <c r="J25" s="383"/>
      <c r="K25" s="453"/>
      <c r="L25" s="383"/>
      <c r="M25" s="383"/>
      <c r="N25" s="2"/>
      <c r="O25" s="2"/>
      <c r="P25" s="247"/>
      <c r="Q25" s="247"/>
      <c r="R25" s="400" t="str">
        <f t="array" ref="R25">IFERROR(IF(D25&lt;&gt;"Futuros",
(INDEX('Histórico'!$B$1:$ADT990, MATCH($B$3, 'Histórico'!$A$1:$A990, 0), MATCH(B25, 'Histórico'!$1:$1, 0)-1)/INDEX('Histórico'!$B$1:$ADT990, MATCH($C$3, 'Histórico'!$A$1:$A990, 0), MATCH(B25, 'Histórico'!$1:$1, 0)-1)-1),
""),"")</f>
        <v/>
      </c>
      <c r="S25" s="401" t="str">
        <f t="shared" si="8"/>
        <v/>
      </c>
      <c r="T25" s="402" t="str">
        <f t="shared" si="9"/>
        <v/>
      </c>
      <c r="U25" s="247"/>
      <c r="V25" s="348"/>
      <c r="W25" s="417"/>
      <c r="X25" s="404" t="str">
        <f>IFERROR(VLOOKUP($W25, 'Cadastro dos Ativos'!$A$1:$C$216, 3, FALSE), "")</f>
        <v/>
      </c>
      <c r="Y25" s="405" t="str">
        <f t="array" ref="Y25">IFERROR(IFERROR(IF($X25&lt;&gt;"Futuros", 
iferror(XLOOKUP($W25, Controle!$AB$11:$AB$1001,Controle!$AF$11:$AF$1001),0)-XLOOKUP($W25, 'Controle D-1'!$AB$11:$AB$1001,'Controle D-1'!$AF$11:$AF$1001), 
""),XLOOKUP($W25, Controle!$AB$11:$AB$1001,Controle!$AF$11:$AF$1001)),"")</f>
        <v/>
      </c>
      <c r="Z25" s="405">
        <f>IFS($X25&lt;&gt;"Futuros", SUMIFS('Alocação'!$M$2:$M$1003,'Alocação'!$C$2:$C$1003,$W25,'Alocação'!$B$2:$B$1003,$B$3,'Alocação'!$F$2:$F$1003,$N$4),
$X25="","",
$X25="Futuros","")</f>
        <v>0</v>
      </c>
      <c r="AA25" s="405" t="str">
        <f t="shared" si="10"/>
        <v/>
      </c>
      <c r="AB25" s="307"/>
    </row>
    <row r="26" ht="15.75" customHeight="1">
      <c r="A26" s="348"/>
      <c r="B26" s="406"/>
      <c r="C26" s="4" t="str">
        <f>IF($B26 &lt;&gt; "",SUMIFS('Alocação'!$O$3:$O$1002,'Alocação'!$C$3:$C$1002,$B26,'Alocação'!$F$3:$F$1002,$N$4,'Alocação'!$B$3:$B$1002,"&lt;="&amp;$B$3), "")</f>
        <v/>
      </c>
      <c r="D26" s="4" t="str">
        <f>IFERROR(VLOOKUP($B26, 'Cadastro dos Ativos'!$A$1:$C$217, 3, FALSE), "")</f>
        <v/>
      </c>
      <c r="E26" s="408" t="str">
        <f>IFS($D26="Ações Listadas na B3", (($C26 * HLOOKUP($B26, 'Histórico'!$A$1:$FI$296, MATCH($B$3,'Histórico'!$A:$A),0)) / $B$6),
$D26="Ações Americanas",(($C26 * HLOOKUP($B26, 'Histórico'!$A$1:$FI$296, MATCH($B$3,'Histórico'!$A:$A),0)) * HLOOKUP("PTAX", 'Histórico'!$A$1:$FI$296, MATCH($B$3,'Histórico'!$A:$A),0) / $B$6),
$D26="Ações Europeias",(($C26 * HLOOKUP($B26, 'Histórico'!$A$1:$FI$296, MATCH($B$3,'Histórico'!$A:$A),0)) * HLOOKUP("EUR/BRL", 'Histórico'!$A$1:$FI$296, MATCH($B$3,'Histórico'!$A:$A),0) / $B$6),
$D26="Futuros",(SUMIFS('Alocação'!$N:$N,'Alocação'!$C:$C,$B26,'Alocação'!$F:$F,$N$4,'Alocação'!$B:$B,"&lt;="&amp;$B$3))/($B$6)+($C26*SUMPRODUCT(('Histórico T'!$A:$A=$B26)*('Histórico T'!$B:$AAW)))/($B$6),$D26="Moedas",(($C26 * HLOOKUP($B26, 'Histórico'!$A$1:$FI$296, MATCH($B$3,'Histórico'!$A:$A),0)) / $B$6),$B26="","")</f>
        <v/>
      </c>
      <c r="F26" s="408" t="str">
        <f t="shared" si="11"/>
        <v/>
      </c>
      <c r="G26" s="394" t="str">
        <f>IFS(OR($D26="Ações Listadas na B3",$D26="Ações Americanas",$D26="Moedas",$D26="Ações Europeias",$D26="Títulos"),$AA26,
$D26="Futuros",
(SUMIFS('Alocação'!$O$3:$O$1002,'Alocação'!$C$3:$C$1002,B26,'Alocação'!$F$3:$F$1002,AB$9,'Alocação'!$B$3:$B$1002,"&lt;="&amp;$C$3))*HLOOKUP(B26,'Histórico'!$A$1:$DD$990,MATCH($B$3,'Histórico'!$A:$A),FALSE),
$D26="",""
)</f>
        <v/>
      </c>
      <c r="H26" s="446" t="str">
        <f t="shared" si="7"/>
        <v/>
      </c>
      <c r="I26" s="427"/>
      <c r="J26" s="383"/>
      <c r="K26" s="453"/>
      <c r="L26" s="383"/>
      <c r="M26" s="383"/>
      <c r="N26" s="2"/>
      <c r="O26" s="2"/>
      <c r="P26" s="247"/>
      <c r="Q26" s="247"/>
      <c r="R26" s="400" t="str">
        <f t="array" ref="R26">IFERROR(IF(D26&lt;&gt;"Futuros",
(INDEX('Histórico'!$B$1:$ADT991, MATCH($B$3, 'Histórico'!$A$1:$A991, 0), MATCH(B26, 'Histórico'!$1:$1, 0)-1)/INDEX('Histórico'!$B$1:$ADT991, MATCH($C$3, 'Histórico'!$A$1:$A991, 0), MATCH(B26, 'Histórico'!$1:$1, 0)-1)-1),
""),"")</f>
        <v/>
      </c>
      <c r="S26" s="401" t="str">
        <f t="shared" si="8"/>
        <v/>
      </c>
      <c r="T26" s="402">
        <f>SUMIFS('Alocação'!$M$2:$M$1003,'Alocação'!$C$2:$C$1003,$W21,'Alocação'!$B$2:$B$1003,$B$3,'Alocação'!$F$2:$F$1003,$N$4)</f>
        <v>0</v>
      </c>
      <c r="U26" s="247"/>
      <c r="V26" s="348"/>
      <c r="W26" s="419"/>
      <c r="X26" s="404" t="str">
        <f>IFERROR(VLOOKUP($W26, 'Cadastro dos Ativos'!$A$1:$C$216, 3, FALSE), "")</f>
        <v/>
      </c>
      <c r="Y26" s="405" t="str">
        <f t="array" ref="Y26">IFERROR(IFERROR(IF($X26&lt;&gt;"Futuros", 
iferror(XLOOKUP($W26, Controle!$AB$11:$AB$1001,Controle!$AF$11:$AF$1001),0)-XLOOKUP($W26, 'Controle D-1'!$AB$11:$AB$1001,'Controle D-1'!$AF$11:$AF$1001), 
""),XLOOKUP($W26, Controle!$AB$11:$AB$1001,Controle!$AF$11:$AF$1001)),"")</f>
        <v/>
      </c>
      <c r="Z26" s="405">
        <f>IFS($X26&lt;&gt;"Futuros", SUMIFS('Alocação'!$M$2:$M$1003,'Alocação'!$C$2:$C$1003,$W26,'Alocação'!$B$2:$B$1003,$B$3,'Alocação'!$F$2:$F$1003,$N$4),
$X26="","",
$X26="Futuros","")</f>
        <v>0</v>
      </c>
      <c r="AA26" s="405" t="str">
        <f t="shared" si="10"/>
        <v/>
      </c>
      <c r="AB26" s="307"/>
    </row>
    <row r="27" ht="15.75" customHeight="1">
      <c r="A27" s="348"/>
      <c r="B27" s="406"/>
      <c r="C27" s="4" t="str">
        <f>IF($B27 &lt;&gt; "",SUMIFS('Alocação'!$O$3:$O$1002,'Alocação'!$C$3:$C$1002,$B27,'Alocação'!$F$3:$F$1002,$N$4,'Alocação'!$B$3:$B$1002,"&lt;="&amp;$B$3), "")</f>
        <v/>
      </c>
      <c r="D27" s="4" t="str">
        <f>IFERROR(VLOOKUP($B27, 'Cadastro dos Ativos'!$A$1:$C$217, 3, FALSE), "")</f>
        <v/>
      </c>
      <c r="E27" s="408" t="str">
        <f>IFS($D27="Ações Listadas na B3", (($C27 * HLOOKUP($B27, 'Histórico'!$A$1:$FI$296, MATCH($B$3,'Histórico'!$A:$A),0)) / $B$6),
$D27="Ações Americanas",(($C27 * HLOOKUP($B27, 'Histórico'!$A$1:$FI$296, MATCH($B$3,'Histórico'!$A:$A),0)) * HLOOKUP("PTAX", 'Histórico'!$A$1:$FI$296, MATCH($B$3,'Histórico'!$A:$A),0) / $B$6),
$D27="Ações Europeias",(($C27 * HLOOKUP($B27, 'Histórico'!$A$1:$FI$296, MATCH($B$3,'Histórico'!$A:$A),0)) * HLOOKUP("EUR/BRL", 'Histórico'!$A$1:$FI$296, MATCH($B$3,'Histórico'!$A:$A),0) / $B$6),
$D27="Futuros",(SUMIFS('Alocação'!$N:$N,'Alocação'!$C:$C,$B27,'Alocação'!$F:$F,$N$4,'Alocação'!$B:$B,"&lt;="&amp;$B$3))/($B$6)+($C27*SUMPRODUCT(('Histórico T'!$A:$A=$B27)*('Histórico T'!$B:$AAW)))/($B$6),$D27="Moedas",(($C27 * HLOOKUP($B27, 'Histórico'!$A$1:$FI$296, MATCH($B$3,'Histórico'!$A:$A),0)) / $B$6),$B27="","")</f>
        <v/>
      </c>
      <c r="F27" s="408" t="str">
        <f t="shared" si="11"/>
        <v/>
      </c>
      <c r="G27" s="394" t="str">
        <f>IFS(OR($D27="Ações Listadas na B3",$D27="Ações Americanas",$D27="Moedas",$D27="Ações Europeias",$D27="Títulos"),$AA27,
$D27="Futuros",
(SUMIFS('Alocação'!$O$3:$O$1002,'Alocação'!$C$3:$C$1002,B27,'Alocação'!$F$3:$F$1002,AB$9,'Alocação'!$B$3:$B$1002,"&lt;="&amp;$C$3))*HLOOKUP(B27,'Histórico'!$A$1:$DD$990,MATCH($B$3,'Histórico'!$A:$A),FALSE),
$D27="",""
)</f>
        <v/>
      </c>
      <c r="H27" s="446" t="str">
        <f t="shared" si="7"/>
        <v/>
      </c>
      <c r="I27" s="427"/>
      <c r="J27" s="81"/>
      <c r="K27" s="383"/>
      <c r="L27" s="383"/>
      <c r="M27" s="383"/>
      <c r="N27" s="2"/>
      <c r="O27" s="2"/>
      <c r="P27" s="247"/>
      <c r="Q27" s="247"/>
      <c r="R27" s="400" t="str">
        <f t="array" ref="R27">IFERROR(IF(D27&lt;&gt;"Futuros",
(INDEX('Histórico'!$B$1:$ADT992, MATCH($B$3, 'Histórico'!$A$1:$A992, 0), MATCH(B27, 'Histórico'!$1:$1, 0)-1)/INDEX('Histórico'!$B$1:$ADT992, MATCH($C$3, 'Histórico'!$A$1:$A992, 0), MATCH(B27, 'Histórico'!$1:$1, 0)-1)-1),
""),"")</f>
        <v/>
      </c>
      <c r="S27" s="401" t="str">
        <f t="shared" si="8"/>
        <v/>
      </c>
      <c r="T27" s="402" t="str">
        <f t="shared" ref="T27:T35" si="12">IF(S27&lt;&gt;"", RANK(S27,$S$18:$S$37),"")</f>
        <v/>
      </c>
      <c r="U27" s="247"/>
      <c r="V27" s="348"/>
      <c r="W27" s="454"/>
      <c r="X27" s="404" t="str">
        <f>IFERROR(VLOOKUP($W27, 'Cadastro dos Ativos'!$A$1:$C$216, 3, FALSE), "")</f>
        <v/>
      </c>
      <c r="Y27" s="405" t="str">
        <f t="array" ref="Y27">IFERROR(IFERROR(IF($X27&lt;&gt;"Futuros", 
iferror(XLOOKUP($W27, Controle!$AB$11:$AB$1001,Controle!$AF$11:$AF$1001),0)-XLOOKUP($W27, 'Controle D-1'!$AB$11:$AB$1001,'Controle D-1'!$AF$11:$AF$1001), 
""),XLOOKUP($W27, Controle!$AB$11:$AB$1001,Controle!$AF$11:$AF$1001)),"")</f>
        <v/>
      </c>
      <c r="Z27" s="405">
        <f>IFS($X27&lt;&gt;"Futuros", SUMIFS('Alocação'!$M$2:$M$1003,'Alocação'!$C$2:$C$1003,$W27,'Alocação'!$B$2:$B$1003,$B$3,'Alocação'!$F$2:$F$1003,$N$4),
$X27="","",
$X27="Futuros","")</f>
        <v>0</v>
      </c>
      <c r="AA27" s="405" t="str">
        <f t="shared" si="10"/>
        <v/>
      </c>
      <c r="AB27" s="307"/>
    </row>
    <row r="28" ht="15.75" customHeight="1">
      <c r="A28" s="348"/>
      <c r="B28" s="406"/>
      <c r="C28" s="4" t="str">
        <f>IF($B28 &lt;&gt; "",SUMIFS('Alocação'!$O$3:$O$1002,'Alocação'!$C$3:$C$1002,$B28,'Alocação'!$F$3:$F$1002,$N$4,'Alocação'!$B$3:$B$1002,"&lt;="&amp;$B$3), "")</f>
        <v/>
      </c>
      <c r="D28" s="4" t="str">
        <f>IFERROR(VLOOKUP($B28, 'Cadastro dos Ativos'!$A$1:$C$217, 3, FALSE), "")</f>
        <v/>
      </c>
      <c r="E28" s="408" t="str">
        <f>IFS($D28="Ações Listadas na B3", (($C28 * HLOOKUP($B28, 'Histórico'!$A$1:$FI$296, MATCH($B$3,'Histórico'!$A:$A),0)) / $B$6),
$D28="Ações Americanas",(($C28 * HLOOKUP($B28, 'Histórico'!$A$1:$FI$296, MATCH($B$3,'Histórico'!$A:$A),0)) * HLOOKUP("PTAX", 'Histórico'!$A$1:$FI$296, MATCH($B$3,'Histórico'!$A:$A),0) / $B$6),
$D28="Ações Europeias",(($C28 * HLOOKUP($B28, 'Histórico'!$A$1:$FI$296, MATCH($B$3,'Histórico'!$A:$A),0)) * HLOOKUP("EUR/BRL", 'Histórico'!$A$1:$FI$296, MATCH($B$3,'Histórico'!$A:$A),0) / $B$6),
$D28="Futuros",(SUMIFS('Alocação'!$N:$N,'Alocação'!$C:$C,$B28,'Alocação'!$F:$F,$N$4,'Alocação'!$B:$B,"&lt;="&amp;$B$3))/($B$6)+($C28*SUMPRODUCT(('Histórico T'!$A:$A=$B28)*('Histórico T'!$B:$AAW)))/($B$6),$D28="Moedas",(($C28 * HLOOKUP($B28, 'Histórico'!$A$1:$FI$296, MATCH($B$3,'Histórico'!$A:$A),0)) / $B$6),$B28="","")</f>
        <v/>
      </c>
      <c r="F28" s="408" t="str">
        <f t="shared" si="11"/>
        <v/>
      </c>
      <c r="G28" s="394" t="str">
        <f>IFS(OR($D28="Ações Listadas na B3",$D28="Ações Americanas",$D28="Moedas",$D28="Ações Europeias",$D28="Títulos"),$AA28,
$D28="Futuros",
(SUMIFS('Alocação'!$O$3:$O$1002,'Alocação'!$C$3:$C$1002,B28,'Alocação'!$F$3:$F$1002,AB$9,'Alocação'!$B$3:$B$1002,"&lt;="&amp;$C$3))*HLOOKUP(B28,'Histórico'!$A$1:$DD$990,MATCH($B$3,'Histórico'!$A:$A),FALSE),
$D28="",""
)</f>
        <v/>
      </c>
      <c r="H28" s="446" t="str">
        <f t="shared" si="7"/>
        <v/>
      </c>
      <c r="I28" s="427"/>
      <c r="J28" s="383"/>
      <c r="K28" s="383"/>
      <c r="L28" s="383"/>
      <c r="M28" s="383"/>
      <c r="N28" s="2"/>
      <c r="O28" s="2"/>
      <c r="P28" s="247"/>
      <c r="Q28" s="247"/>
      <c r="R28" s="400" t="str">
        <f t="array" ref="R28">IFERROR(IF(D28&lt;&gt;"Futuros",
(INDEX('Histórico'!$B$1:$ADT993, MATCH($B$3, 'Histórico'!$A$1:$A993, 0), MATCH(B28, 'Histórico'!$1:$1, 0)-1)/INDEX('Histórico'!$B$1:$ADT993, MATCH($C$3, 'Histórico'!$A$1:$A993, 0), MATCH(B28, 'Histórico'!$1:$1, 0)-1)-1),
""),"")</f>
        <v/>
      </c>
      <c r="S28" s="401" t="str">
        <f t="shared" si="8"/>
        <v/>
      </c>
      <c r="T28" s="402" t="str">
        <f t="shared" si="12"/>
        <v/>
      </c>
      <c r="U28" s="247"/>
      <c r="V28" s="348"/>
      <c r="W28" s="455"/>
      <c r="X28" s="456" t="str">
        <f>IFERROR(VLOOKUP($W28, 'Cadastro dos Ativos'!$A$1:$C$216, 3, FALSE), "")</f>
        <v/>
      </c>
      <c r="Y28" s="405" t="str">
        <f t="array" ref="Y28">IFERROR(IFERROR(IF($X28&lt;&gt;"Futuros", 
iferror(XLOOKUP($W28, Controle!$AB$11:$AB$1001,Controle!$AF$11:$AF$1001),0)-XLOOKUP($W28, 'Controle D-1'!$AB$11:$AB$1001,'Controle D-1'!$AF$11:$AF$1001), 
""),XLOOKUP($W28, Controle!$AB$11:$AB$1001,Controle!$AF$11:$AF$1001)),"")</f>
        <v/>
      </c>
      <c r="Z28" s="405">
        <f>IFS($X28&lt;&gt;"Futuros", SUMIFS('Alocação'!$M$2:$M$1003,'Alocação'!$C$2:$C$1003,$W28,'Alocação'!$B$2:$B$1003,$B$3,'Alocação'!$F$2:$F$1003,$N$4),
$X28="","",
$X28="Futuros","")</f>
        <v>0</v>
      </c>
      <c r="AA28" s="405" t="str">
        <f t="shared" si="10"/>
        <v/>
      </c>
      <c r="AB28" s="307"/>
    </row>
    <row r="29" ht="15.75" customHeight="1">
      <c r="A29" s="348"/>
      <c r="B29" s="406"/>
      <c r="C29" s="4" t="str">
        <f>IF($B29 &lt;&gt; "",SUMIFS('Alocação'!$O$3:$O$1002,'Alocação'!$C$3:$C$1002,$B29,'Alocação'!$F$3:$F$1002,$N$4,'Alocação'!$B$3:$B$1002,"&lt;="&amp;$B$3), "")</f>
        <v/>
      </c>
      <c r="D29" s="4" t="str">
        <f>IFERROR(VLOOKUP($B29, 'Cadastro dos Ativos'!$A$1:$C$217, 3, FALSE), "")</f>
        <v/>
      </c>
      <c r="E29" s="408" t="str">
        <f>IFS($D29="Ações Listadas na B3", (($C29 * HLOOKUP($B29, 'Histórico'!$A$1:$FI$296, MATCH($B$3,'Histórico'!$A:$A),0)) / $B$6),
$D29="Ações Americanas",(($C29 * HLOOKUP($B29, 'Histórico'!$A$1:$FI$296, MATCH($B$3,'Histórico'!$A:$A),0)) * HLOOKUP("PTAX", 'Histórico'!$A$1:$FI$296, MATCH($B$3,'Histórico'!$A:$A),0) / $B$6),
$D29="Ações Europeias",(($C29 * HLOOKUP($B29, 'Histórico'!$A$1:$FI$296, MATCH($B$3,'Histórico'!$A:$A),0)) * HLOOKUP("EUR/BRL", 'Histórico'!$A$1:$FI$296, MATCH($B$3,'Histórico'!$A:$A),0) / $B$6),
$D29="Futuros",(SUMIFS('Alocação'!$N:$N,'Alocação'!$C:$C,$B29,'Alocação'!$F:$F,$N$4,'Alocação'!$B:$B,"&lt;="&amp;$B$3))/($B$6)+($C29*SUMPRODUCT(('Histórico T'!$A:$A=$B29)*('Histórico T'!$B:$AAW)))/($B$6),$D29="Moedas",(($C29 * HLOOKUP($B29, 'Histórico'!$A$1:$FI$296, MATCH($B$3,'Histórico'!$A:$A),0)) / $B$6),$B29="","")</f>
        <v/>
      </c>
      <c r="F29" s="408" t="str">
        <f t="shared" si="11"/>
        <v/>
      </c>
      <c r="G29" s="394" t="str">
        <f>IFS(OR($D29="Ações Listadas na B3",$D29="Ações Americanas",$D29="Moedas",$D29="Ações Europeias",$D29="Títulos"),$AA29,
$D29="Futuros",
(SUMIFS('Alocação'!$O$3:$O$1002,'Alocação'!$C$3:$C$1002,B29,'Alocação'!$F$3:$F$1002,AB$9,'Alocação'!$B$3:$B$1002,"&lt;="&amp;$C$3))*HLOOKUP(B29,'Histórico'!$A$1:$DD$990,MATCH($B$3,'Histórico'!$A:$A),FALSE),
$D29="",""
)</f>
        <v/>
      </c>
      <c r="H29" s="446" t="str">
        <f t="shared" si="7"/>
        <v/>
      </c>
      <c r="I29" s="427"/>
      <c r="J29" s="383"/>
      <c r="K29" s="383"/>
      <c r="L29" s="383"/>
      <c r="M29" s="383"/>
      <c r="N29" s="353" t="s">
        <v>364</v>
      </c>
      <c r="O29" s="123"/>
      <c r="P29" s="247"/>
      <c r="Q29" s="247"/>
      <c r="R29" s="400" t="str">
        <f t="array" ref="R29">IFERROR(IF(D29&lt;&gt;"Futuros",
(INDEX('Histórico'!$B$1:$ADT994, MATCH($B$3, 'Histórico'!$A$1:$A994, 0), MATCH(B29, 'Histórico'!$1:$1, 0)-1)/INDEX('Histórico'!$B$1:$ADT994, MATCH($C$3, 'Histórico'!$A$1:$A994, 0), MATCH(B29, 'Histórico'!$1:$1, 0)-1)-1),
""),"")</f>
        <v/>
      </c>
      <c r="S29" s="401" t="str">
        <f t="shared" si="8"/>
        <v/>
      </c>
      <c r="T29" s="402" t="str">
        <f t="shared" si="12"/>
        <v/>
      </c>
      <c r="U29" s="247"/>
      <c r="V29" s="348"/>
      <c r="W29" s="348"/>
      <c r="X29" s="348"/>
      <c r="Y29" s="348"/>
      <c r="Z29" s="348"/>
      <c r="AA29" s="457">
        <f>SUM(AA18:AA28)</f>
        <v>-147900.9069</v>
      </c>
      <c r="AB29" s="307"/>
    </row>
    <row r="30" ht="15.75" customHeight="1">
      <c r="A30" s="348"/>
      <c r="B30" s="406"/>
      <c r="C30" s="4" t="str">
        <f>IF($B30 &lt;&gt; "",SUMIFS('Alocação'!$O$3:$O$1002,'Alocação'!$C$3:$C$1002,$B30,'Alocação'!$F$3:$F$1002,$N$4,'Alocação'!$B$3:$B$1002,"&lt;="&amp;$B$3), "")</f>
        <v/>
      </c>
      <c r="D30" s="4" t="str">
        <f>IFERROR(VLOOKUP($B30, 'Cadastro dos Ativos'!$A$1:$C$217, 3, FALSE), "")</f>
        <v/>
      </c>
      <c r="E30" s="408" t="str">
        <f>IFS($D30="Ações Listadas na B3", (($C30 * HLOOKUP($B30, 'Histórico'!$A$1:$FI$296, MATCH($B$3,'Histórico'!$A:$A),0)) / $B$6),
$D30="Ações Americanas",(($C30 * HLOOKUP($B30, 'Histórico'!$A$1:$FI$296, MATCH($B$3,'Histórico'!$A:$A),0)) * HLOOKUP("PTAX", 'Histórico'!$A$1:$FI$296, MATCH($B$3,'Histórico'!$A:$A),0) / $B$6),
$D30="Ações Europeias",(($C30 * HLOOKUP($B30, 'Histórico'!$A$1:$FI$296, MATCH($B$3,'Histórico'!$A:$A),0)) * HLOOKUP("EUR/BRL", 'Histórico'!$A$1:$FI$296, MATCH($B$3,'Histórico'!$A:$A),0) / $B$6),
$D30="Futuros",(SUMIFS('Alocação'!$N:$N,'Alocação'!$C:$C,$B30,'Alocação'!$F:$F,$N$4,'Alocação'!$B:$B,"&lt;="&amp;$B$3))/($B$6)+($C30*SUMPRODUCT(('Histórico T'!$A:$A=$B30)*('Histórico T'!$B:$AAW)))/($B$6),$D30="Moedas",(($C30 * HLOOKUP($B30, 'Histórico'!$A$1:$FI$296, MATCH($B$3,'Histórico'!$A:$A),0)) / $B$6),$B30="","")</f>
        <v/>
      </c>
      <c r="F30" s="408" t="str">
        <f t="shared" si="11"/>
        <v/>
      </c>
      <c r="G30" s="394" t="str">
        <f>IFS(OR($D30="Ações Listadas na B3",$D30="Ações Americanas",$D30="Moedas",$D30="Ações Europeias",$D30="Títulos"),$AA30,
$D30="Futuros",
(SUMIFS('Alocação'!$O$3:$O$1002,'Alocação'!$C$3:$C$1002,B30,'Alocação'!$F$3:$F$1002,AB$9,'Alocação'!$B$3:$B$1002,"&lt;="&amp;$C$3))*HLOOKUP(B30,'Histórico'!$A$1:$DD$990,MATCH($B$3,'Histórico'!$A:$A),FALSE),
$D30="",""
)</f>
        <v/>
      </c>
      <c r="H30" s="446" t="str">
        <f t="shared" si="7"/>
        <v/>
      </c>
      <c r="I30" s="427"/>
      <c r="J30" s="383"/>
      <c r="K30" s="383"/>
      <c r="L30" s="383"/>
      <c r="M30" s="383"/>
      <c r="N30" s="336" t="s">
        <v>342</v>
      </c>
      <c r="O30" s="337" t="s">
        <v>343</v>
      </c>
      <c r="P30" s="247"/>
      <c r="Q30" s="247"/>
      <c r="R30" s="400" t="str">
        <f t="array" ref="R30">IFERROR(IF(D30&lt;&gt;"Futuros",
(INDEX('Histórico'!$B$1:$ADT995, MATCH($B$3, 'Histórico'!$A$1:$A995, 0), MATCH(B30, 'Histórico'!$1:$1, 0)-1)/INDEX('Histórico'!$B$1:$ADT995, MATCH($C$3, 'Histórico'!$A$1:$A995, 0), MATCH(B30, 'Histórico'!$1:$1, 0)-1)-1),
""),"")</f>
        <v/>
      </c>
      <c r="S30" s="401" t="str">
        <f t="shared" si="8"/>
        <v/>
      </c>
      <c r="T30" s="402" t="str">
        <f t="shared" si="12"/>
        <v/>
      </c>
      <c r="U30" s="247"/>
      <c r="V30" s="348"/>
      <c r="W30" s="348"/>
      <c r="X30" s="348"/>
      <c r="Y30" s="348"/>
      <c r="Z30" s="348"/>
      <c r="AA30" s="348"/>
      <c r="AB30" s="307"/>
    </row>
    <row r="31" ht="15.75" customHeight="1">
      <c r="A31" s="348"/>
      <c r="B31" s="406"/>
      <c r="C31" s="4" t="str">
        <f>IF($B31 &lt;&gt; "",SUMIFS('Alocação'!$O$3:$O$1002,'Alocação'!$C$3:$C$1002,$B31,'Alocação'!$F$3:$F$1002,$N$4,'Alocação'!$B$3:$B$1002,"&lt;="&amp;$B$3), "")</f>
        <v/>
      </c>
      <c r="D31" s="4" t="str">
        <f>IFERROR(VLOOKUP($B31, 'Cadastro dos Ativos'!$A$1:$C$217, 3, FALSE), "")</f>
        <v/>
      </c>
      <c r="E31" s="408" t="str">
        <f>IFS($D31="Ações Listadas na B3", (($C31 * HLOOKUP($B31, 'Histórico'!$A$1:$FI$296, MATCH($B$3,'Histórico'!$A:$A),0)) / $B$6),
$D31="Ações Americanas",(($C31 * HLOOKUP($B31, 'Histórico'!$A$1:$FI$296, MATCH($B$3,'Histórico'!$A:$A),0)) * HLOOKUP("PTAX", 'Histórico'!$A$1:$FI$296, MATCH($B$3,'Histórico'!$A:$A),0) / $B$6),
$D31="Ações Europeias",(($C31 * HLOOKUP($B31, 'Histórico'!$A$1:$FI$296, MATCH($B$3,'Histórico'!$A:$A),0)) * HLOOKUP("EUR/BRL", 'Histórico'!$A$1:$FI$296, MATCH($B$3,'Histórico'!$A:$A),0) / $B$6),
$D31="Futuros",(SUMIFS('Alocação'!$N:$N,'Alocação'!$C:$C,$B31,'Alocação'!$F:$F,$N$4,'Alocação'!$B:$B,"&lt;="&amp;$B$3))/($B$6)+($C31*SUMPRODUCT(('Histórico T'!$A:$A=$B31)*('Histórico T'!$B:$AAW)))/($B$6),$D31="Moedas",(($C31 * HLOOKUP($B31, 'Histórico'!$A$1:$FI$296, MATCH($B$3,'Histórico'!$A:$A),0)) / $B$6),$B31="","")</f>
        <v/>
      </c>
      <c r="F31" s="408" t="str">
        <f t="shared" si="11"/>
        <v/>
      </c>
      <c r="G31" s="394" t="str">
        <f>IFS(OR($D31="Ações Listadas na B3",$D31="Ações Americanas",$D31="Moedas",$D31="Ações Europeias",$D31="Títulos"),$AA31,
$D31="Futuros",
(SUMIFS('Alocação'!$O$3:$O$1002,'Alocação'!$C$3:$C$1002,B31,'Alocação'!$F$3:$F$1002,AB$9,'Alocação'!$B$3:$B$1002,"&lt;="&amp;$C$3))*HLOOKUP(B31,'Histórico'!$A$1:$DD$990,MATCH($B$3,'Histórico'!$A:$A),FALSE),
$D31="",""
)</f>
        <v/>
      </c>
      <c r="H31" s="446" t="str">
        <f t="shared" si="7"/>
        <v/>
      </c>
      <c r="I31" s="427"/>
      <c r="J31" s="383"/>
      <c r="K31" s="383"/>
      <c r="L31" s="383"/>
      <c r="M31" s="383"/>
      <c r="N31" s="346">
        <f>$B$14</f>
        <v>0</v>
      </c>
      <c r="O31" s="347">
        <f>$N$31/$C$6</f>
        <v>0</v>
      </c>
      <c r="P31" s="247"/>
      <c r="Q31" s="247"/>
      <c r="R31" s="400" t="str">
        <f t="array" ref="R31">IFERROR(IF(D31&lt;&gt;"Futuros",
(INDEX('Histórico'!$B$1:$ADT996, MATCH($B$3, 'Histórico'!$A$1:$A996, 0), MATCH(B31, 'Histórico'!$1:$1, 0)-1)/INDEX('Histórico'!$B$1:$ADT996, MATCH($C$3, 'Histórico'!$A$1:$A996, 0), MATCH(B31, 'Histórico'!$1:$1, 0)-1)-1),
""),"")</f>
        <v/>
      </c>
      <c r="S31" s="401" t="str">
        <f t="shared" si="8"/>
        <v/>
      </c>
      <c r="T31" s="402" t="str">
        <f t="shared" si="12"/>
        <v/>
      </c>
      <c r="U31" s="247"/>
      <c r="V31" s="348"/>
      <c r="W31" s="348"/>
      <c r="X31" s="348"/>
      <c r="Y31" s="348"/>
      <c r="Z31" s="348"/>
      <c r="AA31" s="348"/>
      <c r="AB31" s="307"/>
    </row>
    <row r="32" ht="15.75" customHeight="1">
      <c r="A32" s="348"/>
      <c r="B32" s="406"/>
      <c r="C32" s="4" t="str">
        <f>IF($B32 &lt;&gt; "",SUMIFS('Alocação'!$O$3:$O$1002,'Alocação'!$C$3:$C$1002,$B32,'Alocação'!$F$3:$F$1002,$N$4,'Alocação'!$B$3:$B$1002,"&lt;="&amp;$B$3), "")</f>
        <v/>
      </c>
      <c r="D32" s="4" t="str">
        <f>IFERROR(VLOOKUP($B32, 'Cadastro dos Ativos'!$A$1:$C$217, 3, FALSE), "")</f>
        <v/>
      </c>
      <c r="E32" s="408" t="str">
        <f>IFS($D32="Ações Listadas na B3", (($C32 * HLOOKUP($B32, 'Histórico'!$A$1:$FI$296, MATCH($B$3,'Histórico'!$A:$A),0)) / $B$6),
$D32="Ações Americanas",(($C32 * HLOOKUP($B32, 'Histórico'!$A$1:$FI$296, MATCH($B$3,'Histórico'!$A:$A),0)) * HLOOKUP("PTAX", 'Histórico'!$A$1:$FI$296, MATCH($B$3,'Histórico'!$A:$A),0) / $B$6),
$D32="Ações Europeias",(($C32 * HLOOKUP($B32, 'Histórico'!$A$1:$FI$296, MATCH($B$3,'Histórico'!$A:$A),0)) * HLOOKUP("EUR/BRL", 'Histórico'!$A$1:$FI$296, MATCH($B$3,'Histórico'!$A:$A),0) / $B$6),
$D32="Futuros",(SUMIFS('Alocação'!$N:$N,'Alocação'!$C:$C,$B32,'Alocação'!$F:$F,$N$4,'Alocação'!$B:$B,"&lt;="&amp;$B$3))/($B$6)+($C32*SUMPRODUCT(('Histórico T'!$A:$A=$B32)*('Histórico T'!$B:$AAW)))/($B$6),$D32="Moedas",(($C32 * HLOOKUP($B32, 'Histórico'!$A$1:$FI$296, MATCH($B$3,'Histórico'!$A:$A),0)) / $B$6),$B32="","")</f>
        <v/>
      </c>
      <c r="F32" s="408" t="str">
        <f t="shared" si="11"/>
        <v/>
      </c>
      <c r="G32" s="394" t="str">
        <f>IFS(OR($D32="Ações Listadas na B3",$D32="Ações Americanas",$D32="Moedas",$D32="Ações Europeias",$D32="Títulos"),$AA32,
$D32="Futuros",
(SUMIFS('Alocação'!$O$3:$O$1002,'Alocação'!$C$3:$C$1002,B32,'Alocação'!$F$3:$F$1002,AB$9,'Alocação'!$B$3:$B$1002,"&lt;="&amp;$C$3))*HLOOKUP(B32,'Histórico'!$A$1:$DD$990,MATCH($B$3,'Histórico'!$A:$A),FALSE),
$D32="",""
)</f>
        <v/>
      </c>
      <c r="H32" s="446" t="str">
        <f t="shared" si="7"/>
        <v/>
      </c>
      <c r="I32" s="427"/>
      <c r="J32" s="383"/>
      <c r="K32" s="383"/>
      <c r="L32" s="383"/>
      <c r="M32" s="383"/>
      <c r="N32" s="247"/>
      <c r="O32" s="247"/>
      <c r="P32" s="247"/>
      <c r="Q32" s="247"/>
      <c r="R32" s="400" t="str">
        <f t="array" ref="R32">IFERROR(IF(D32&lt;&gt;"Futuros",
(INDEX('Histórico'!$B$1:$ADT997, MATCH($B$3, 'Histórico'!$A$1:$A997, 0), MATCH(B32, 'Histórico'!$1:$1, 0)-1)/INDEX('Histórico'!$B$1:$ADT997, MATCH($C$3, 'Histórico'!$A$1:$A997, 0), MATCH(B32, 'Histórico'!$1:$1, 0)-1)-1),
""),"")</f>
        <v/>
      </c>
      <c r="S32" s="401" t="str">
        <f t="shared" si="8"/>
        <v/>
      </c>
      <c r="T32" s="402" t="str">
        <f t="shared" si="12"/>
        <v/>
      </c>
      <c r="U32" s="247"/>
      <c r="V32" s="247"/>
      <c r="W32" s="247"/>
      <c r="X32" s="247"/>
      <c r="Y32" s="348"/>
      <c r="Z32" s="427" t="str">
        <f>IF(D32&lt;&gt;"Futuros","",HLOOKUP(B32,'Preços Futuros'!$A$1:$Z$1000,$B$3))</f>
        <v/>
      </c>
      <c r="AA32" s="311"/>
      <c r="AB32" s="307"/>
    </row>
    <row r="33" ht="15.75" customHeight="1">
      <c r="A33" s="348"/>
      <c r="B33" s="406"/>
      <c r="C33" s="4" t="str">
        <f>IF($B33 &lt;&gt; "",SUMIFS('Alocação'!$O$3:$O$1002,'Alocação'!$C$3:$C$1002,$B33,'Alocação'!$F$3:$F$1002,$N$4,'Alocação'!$B$3:$B$1002,"&lt;="&amp;$B$3), "")</f>
        <v/>
      </c>
      <c r="D33" s="4" t="str">
        <f>IFERROR(VLOOKUP($B33, 'Cadastro dos Ativos'!$A$1:$C$217, 3, FALSE), "")</f>
        <v/>
      </c>
      <c r="E33" s="408" t="str">
        <f>IFS($D33="Ações Listadas na B3", (($C33 * HLOOKUP($B33, 'Histórico'!$A$1:$FI$296, MATCH($B$3,'Histórico'!$A:$A),0)) / $B$6),
$D33="Ações Americanas",(($C33 * HLOOKUP($B33, 'Histórico'!$A$1:$FI$296, MATCH($B$3,'Histórico'!$A:$A),0)) * HLOOKUP("PTAX", 'Histórico'!$A$1:$FI$296, MATCH($B$3,'Histórico'!$A:$A),0) / $B$6),
$D33="Ações Europeias",(($C33 * HLOOKUP($B33, 'Histórico'!$A$1:$FI$296, MATCH($B$3,'Histórico'!$A:$A),0)) * HLOOKUP("EUR/BRL", 'Histórico'!$A$1:$FI$296, MATCH($B$3,'Histórico'!$A:$A),0) / $B$6),
$D33="Futuros",(SUMIFS('Alocação'!$N:$N,'Alocação'!$C:$C,$B33,'Alocação'!$F:$F,$N$4,'Alocação'!$B:$B,"&lt;="&amp;$B$3))/($B$6)+($C33*SUMPRODUCT(('Histórico T'!$A:$A=$B33)*('Histórico T'!$B:$AAW)))/($B$6),$D33="Moedas",(($C33 * HLOOKUP($B33, 'Histórico'!$A$1:$FI$296, MATCH($B$3,'Histórico'!$A:$A),0)) / $B$6),$B33="","")</f>
        <v/>
      </c>
      <c r="F33" s="408" t="str">
        <f t="shared" si="11"/>
        <v/>
      </c>
      <c r="G33" s="394" t="str">
        <f>IFS(OR($D33="Ações Listadas na B3",$D33="Ações Americanas",$D33="Moedas",$D33="Ações Europeias",$D33="Títulos"),$AA33,
$D33="Futuros",
(SUMIFS('Alocação'!$O$3:$O$1002,'Alocação'!$C$3:$C$1002,B33,'Alocação'!$F$3:$F$1002,AB$9,'Alocação'!$B$3:$B$1002,"&lt;="&amp;$C$3))*HLOOKUP(B33,'Histórico'!$A$1:$DD$990,MATCH($B$3,'Histórico'!$A:$A),FALSE),
$D33="",""
)</f>
        <v/>
      </c>
      <c r="H33" s="446" t="str">
        <f t="shared" si="7"/>
        <v/>
      </c>
      <c r="I33" s="427"/>
      <c r="J33" s="383"/>
      <c r="K33" s="383"/>
      <c r="L33" s="383"/>
      <c r="M33" s="383"/>
      <c r="N33" s="332" t="s">
        <v>374</v>
      </c>
      <c r="O33" s="89"/>
      <c r="P33" s="247"/>
      <c r="Q33" s="247"/>
      <c r="R33" s="400" t="str">
        <f t="array" ref="R33">IFERROR(IF(D33&lt;&gt;"Futuros",
(INDEX('Histórico'!$B$1:$ADT998, MATCH($B$3, 'Histórico'!$A$1:$A998, 0), MATCH(B33, 'Histórico'!$1:$1, 0)-1)/INDEX('Histórico'!$B$1:$ADT998, MATCH($C$3, 'Histórico'!$A$1:$A998, 0), MATCH(B33, 'Histórico'!$1:$1, 0)-1)-1),
""),"")</f>
        <v/>
      </c>
      <c r="S33" s="401" t="str">
        <f t="shared" si="8"/>
        <v/>
      </c>
      <c r="T33" s="402" t="str">
        <f t="shared" si="12"/>
        <v/>
      </c>
      <c r="U33" s="247"/>
      <c r="V33" s="247"/>
      <c r="W33" s="247"/>
      <c r="X33" s="247"/>
      <c r="Y33" s="348"/>
      <c r="Z33" s="427" t="str">
        <f>IF(D33&lt;&gt;"Futuros","",HLOOKUP(B33,'Preços Futuros'!$A$1:$Z$1000,$B$3))</f>
        <v/>
      </c>
      <c r="AA33" s="311"/>
      <c r="AB33" s="307"/>
    </row>
    <row r="34" ht="15.75" customHeight="1">
      <c r="A34" s="348"/>
      <c r="B34" s="406"/>
      <c r="C34" s="4" t="str">
        <f>IF($B34 &lt;&gt; "",SUMIFS('Alocação'!$O$3:$O$1002,'Alocação'!$C$3:$C$1002,$B34,'Alocação'!$F$3:$F$1002,$N$4,'Alocação'!$B$3:$B$1002,"&lt;="&amp;$B$3), "")</f>
        <v/>
      </c>
      <c r="D34" s="4" t="str">
        <f>IFERROR(VLOOKUP($B34, 'Cadastro dos Ativos'!$A$1:$C$217, 3, FALSE), "")</f>
        <v/>
      </c>
      <c r="E34" s="408" t="str">
        <f>IFS($D34="Ações Listadas na B3", (($C34 * HLOOKUP($B34, 'Histórico'!$A$1:$FI$296, MATCH($B$3,'Histórico'!$A:$A),0)) / $B$6),
$D34="Ações Americanas",(($C34 * HLOOKUP($B34, 'Histórico'!$A$1:$FI$296, MATCH($B$3,'Histórico'!$A:$A),0)) * HLOOKUP("PTAX", 'Histórico'!$A$1:$FI$296, MATCH($B$3,'Histórico'!$A:$A),0) / $B$6),
$D34="Ações Europeias",(($C34 * HLOOKUP($B34, 'Histórico'!$A$1:$FI$296, MATCH($B$3,'Histórico'!$A:$A),0)) * HLOOKUP("EUR/BRL", 'Histórico'!$A$1:$FI$296, MATCH($B$3,'Histórico'!$A:$A),0) / $B$6),
$D34="Futuros",(SUMIFS('Alocação'!$N:$N,'Alocação'!$C:$C,$B34,'Alocação'!$F:$F,$N$4,'Alocação'!$B:$B,"&lt;="&amp;$B$3))/($B$6)+($C34*SUMPRODUCT(('Histórico T'!$A:$A=$B34)*('Histórico T'!$B:$AAW)))/($B$6),$D34="Moedas",(($C34 * HLOOKUP($B34, 'Histórico'!$A$1:$FI$296, MATCH($B$3,'Histórico'!$A:$A),0)) / $B$6),$B34="","")</f>
        <v/>
      </c>
      <c r="F34" s="408" t="str">
        <f t="shared" si="11"/>
        <v/>
      </c>
      <c r="G34" s="394" t="str">
        <f>IFS(OR($D34="Ações Listadas na B3",$D34="Ações Americanas",$D34="Moedas",$D34="Ações Europeias",$D34="Títulos"),$AA34,
$D34="Futuros",
(SUMIFS('Alocação'!$O$3:$O$1002,'Alocação'!$C$3:$C$1002,B34,'Alocação'!$F$3:$F$1002,AB$9,'Alocação'!$B$3:$B$1002,"&lt;="&amp;$C$3))*HLOOKUP(B34,'Histórico'!$A$1:$DD$990,MATCH($B$3,'Histórico'!$A:$A),FALSE),
$D34="",""
)</f>
        <v/>
      </c>
      <c r="H34" s="446" t="str">
        <f t="shared" si="7"/>
        <v/>
      </c>
      <c r="I34" s="427"/>
      <c r="J34" s="383"/>
      <c r="K34" s="383"/>
      <c r="L34" s="383"/>
      <c r="M34" s="383"/>
      <c r="N34" s="336" t="s">
        <v>375</v>
      </c>
      <c r="O34" s="337" t="s">
        <v>376</v>
      </c>
      <c r="P34" s="247"/>
      <c r="Q34" s="247"/>
      <c r="R34" s="400" t="str">
        <f t="array" ref="R34">IFERROR(IF(D34&lt;&gt;"Futuros",
(INDEX('Histórico'!$B$1:$ADT999, MATCH($B$3, 'Histórico'!$A$1:$A999, 0), MATCH(B34, 'Histórico'!$1:$1, 0)-1)/INDEX('Histórico'!$B$1:$ADT999, MATCH($C$3, 'Histórico'!$A$1:$A999, 0), MATCH(B34, 'Histórico'!$1:$1, 0)-1)-1),
""),"")</f>
        <v/>
      </c>
      <c r="S34" s="401" t="str">
        <f t="shared" si="8"/>
        <v/>
      </c>
      <c r="T34" s="402" t="str">
        <f t="shared" si="12"/>
        <v/>
      </c>
      <c r="U34" s="247"/>
      <c r="V34" s="247"/>
      <c r="W34" s="247"/>
      <c r="X34" s="247"/>
      <c r="Y34" s="348"/>
      <c r="Z34" s="427" t="str">
        <f>IF(D34&lt;&gt;"Futuros","",HLOOKUP(B34,'Preços Futuros'!$A$1:$Z$1000,$B$3))</f>
        <v/>
      </c>
      <c r="AA34" s="311"/>
      <c r="AB34" s="307"/>
    </row>
    <row r="35" ht="15.75" customHeight="1">
      <c r="A35" s="348"/>
      <c r="B35" s="406"/>
      <c r="C35" s="4" t="str">
        <f>IF($B35 &lt;&gt; "",SUMIFS('Alocação'!$O$3:$O$1002,'Alocação'!$C$3:$C$1002,$B35,'Alocação'!$F$3:$F$1002,$N$4,'Alocação'!$B$3:$B$1002,"&lt;="&amp;$B$3), "")</f>
        <v/>
      </c>
      <c r="D35" s="4" t="str">
        <f>IFERROR(VLOOKUP($B35, 'Cadastro dos Ativos'!$A$1:$C$217, 3, FALSE), "")</f>
        <v/>
      </c>
      <c r="E35" s="408" t="str">
        <f>IFS($D35="Ações Listadas na B3", (($C35 * HLOOKUP($B35, 'Histórico'!$A$1:$FI$296, MATCH($B$3,'Histórico'!$A:$A),0)) / $B$6),
$D35="Ações Americanas",(($C35 * HLOOKUP($B35, 'Histórico'!$A$1:$FI$296, MATCH($B$3,'Histórico'!$A:$A),0)) * HLOOKUP("PTAX", 'Histórico'!$A$1:$FI$296, MATCH($B$3,'Histórico'!$A:$A),0) / $B$6),
$D35="Ações Europeias",(($C35 * HLOOKUP($B35, 'Histórico'!$A$1:$FI$296, MATCH($B$3,'Histórico'!$A:$A),0)) * HLOOKUP("EUR/BRL", 'Histórico'!$A$1:$FI$296, MATCH($B$3,'Histórico'!$A:$A),0) / $B$6),
$D35="Futuros",(SUMIFS('Alocação'!$N:$N,'Alocação'!$C:$C,$B35,'Alocação'!$F:$F,$N$4,'Alocação'!$B:$B,"&lt;="&amp;$B$3))/($B$6)+($C35*SUMPRODUCT(('Histórico T'!$A:$A=$B35)*('Histórico T'!$B:$AAW)))/($B$6),$D35="Moedas",(($C35 * HLOOKUP($B35, 'Histórico'!$A$1:$FI$296, MATCH($B$3,'Histórico'!$A:$A),0)) / $B$6),$B35="","")</f>
        <v/>
      </c>
      <c r="F35" s="408" t="str">
        <f t="shared" si="11"/>
        <v/>
      </c>
      <c r="G35" s="394" t="str">
        <f>IFS(OR($D35="Ações Listadas na B3",$D35="Ações Americanas",$D35="Moedas",$D35="Ações Europeias",$D35="Títulos"),$AA35,
$D35="Futuros",
(SUMIFS('Alocação'!$O$3:$O$1002,'Alocação'!$C$3:$C$1002,B35,'Alocação'!$F$3:$F$1002,AB$9,'Alocação'!$B$3:$B$1002,"&lt;="&amp;$C$3))*HLOOKUP(B35,'Histórico'!$A$1:$DD$990,MATCH($B$3,'Histórico'!$A:$A),FALSE),
$D35="",""
)</f>
        <v/>
      </c>
      <c r="H35" s="446" t="str">
        <f t="shared" si="7"/>
        <v/>
      </c>
      <c r="I35" s="427"/>
      <c r="J35" s="383"/>
      <c r="K35" s="383"/>
      <c r="L35" s="383"/>
      <c r="M35" s="383"/>
      <c r="N35" s="346">
        <f>SUM($N$8,$N$12,$N$16)</f>
        <v>-96608.56237</v>
      </c>
      <c r="O35" s="423">
        <f>$N$35/$C$6</f>
        <v>-0.0008939066068</v>
      </c>
      <c r="P35" s="247"/>
      <c r="Q35" s="247"/>
      <c r="R35" s="400" t="str">
        <f t="array" ref="R35">IFERROR(IF(D35&lt;&gt;"Futuros",
(INDEX('Histórico'!$B$1:$ADT1000, MATCH($B$3, 'Histórico'!$A$1:$A1000, 0), MATCH(B35, 'Histórico'!$1:$1, 0)-1)/INDEX('Histórico'!$B$1:$ADT1000, MATCH($C$3, 'Histórico'!$A$1:$A1000, 0), MATCH(B35, 'Histórico'!$1:$1, 0)-1)-1),
""),"")</f>
        <v/>
      </c>
      <c r="S35" s="401" t="str">
        <f t="shared" si="8"/>
        <v/>
      </c>
      <c r="T35" s="402" t="str">
        <f t="shared" si="12"/>
        <v/>
      </c>
      <c r="U35" s="247"/>
      <c r="V35" s="247"/>
      <c r="W35" s="247"/>
      <c r="X35" s="247"/>
      <c r="Y35" s="348"/>
      <c r="Z35" s="427" t="str">
        <f>IF(D35&lt;&gt;"Futuros","",HLOOKUP(B35,'Preços Futuros'!$A$1:$Z$1000,$B$3))</f>
        <v/>
      </c>
      <c r="AA35" s="311"/>
      <c r="AB35" s="307"/>
    </row>
    <row r="36" ht="15.75" customHeight="1">
      <c r="A36" s="348"/>
      <c r="B36" s="406"/>
      <c r="C36" s="4" t="str">
        <f>IF($B36 &lt;&gt; "",SUMIFS('Alocação'!$O$3:$O$1002,'Alocação'!$C$3:$C$1002,$B36,'Alocação'!$F$3:$F$1002,$N$4,'Alocação'!$B$3:$B$1002,"&lt;="&amp;$B$3), "")</f>
        <v/>
      </c>
      <c r="D36" s="4" t="str">
        <f>IFERROR(VLOOKUP($B36, 'Cadastro dos Ativos'!$A$1:$C$217, 3, FALSE), "")</f>
        <v/>
      </c>
      <c r="E36" s="408" t="str">
        <f>IFS($D36="Ações Listadas na B3", (($C36 * HLOOKUP($B36, 'Histórico'!$A$1:$FI$296, MATCH($B$3,'Histórico'!$A:$A),0)) / $B$6),
$D36="Ações Americanas",(($C36 * HLOOKUP($B36, 'Histórico'!$A$1:$FI$296, MATCH($B$3,'Histórico'!$A:$A),0)) * HLOOKUP("PTAX", 'Histórico'!$A$1:$FI$296, MATCH($B$3,'Histórico'!$A:$A),0) / $B$6),
$D36="Ações Europeias",(($C36 * HLOOKUP($B36, 'Histórico'!$A$1:$FI$296, MATCH($B$3,'Histórico'!$A:$A),0)) * HLOOKUP("EUR/BRL", 'Histórico'!$A$1:$FI$296, MATCH($B$3,'Histórico'!$A:$A),0) / $B$6),
$D36="Futuros",(SUMIFS('Alocação'!$N:$N,'Alocação'!$C:$C,$B36,'Alocação'!$F:$F,$N$4,'Alocação'!$B:$B,"&lt;="&amp;$B$3))/($B$6)+($C36*SUMPRODUCT(('Histórico T'!$A:$A=$B36)*('Histórico T'!$B:$AAW)))/($B$6),$D36="Moedas",(($C36 * HLOOKUP($B36, 'Histórico'!$A$1:$FI$296, MATCH($B$3,'Histórico'!$A:$A),0)) / $B$6),$B36="","")</f>
        <v/>
      </c>
      <c r="F36" s="408" t="str">
        <f t="shared" si="11"/>
        <v/>
      </c>
      <c r="G36" s="394" t="str">
        <f>IFS(OR($D36="Ações Listadas na B3",$D36="Ações Americanas",$D36="Moedas",$D36="Ações Europeias",$D36="Títulos"),$AA36,
$D36="Futuros",
(SUMIFS('Alocação'!$O$3:$O$1002,'Alocação'!$C$3:$C$1002,B36,'Alocação'!$F$3:$F$1002,AB$9,'Alocação'!$B$3:$B$1002,"&lt;="&amp;$C$3))*HLOOKUP(B36,'Histórico'!$A$1:$DD$990,MATCH($B$3,'Histórico'!$A:$A),FALSE),
$D36="",""
)</f>
        <v/>
      </c>
      <c r="H36" s="446" t="str">
        <f t="shared" si="7"/>
        <v/>
      </c>
      <c r="I36" s="427"/>
      <c r="J36" s="383"/>
      <c r="K36" s="383"/>
      <c r="L36" s="383"/>
      <c r="M36" s="383"/>
      <c r="N36" s="348"/>
      <c r="O36" s="348"/>
      <c r="P36" s="247"/>
      <c r="Q36" s="247"/>
      <c r="R36" s="400" t="str">
        <f t="array" ref="R36">IFERROR(IF(D36&lt;&gt;"Futuros",
(INDEX('Histórico'!$B$1:$ADT1001, MATCH($B$3, 'Histórico'!$A$1:$A1001, 0), MATCH(B36, 'Histórico'!$1:$1, 0)-1)/INDEX('Histórico'!$B$1:$ADT1001, MATCH($C$3, 'Histórico'!$A$1:$A1001, 0), MATCH(B36, 'Histórico'!$1:$1, 0)-1)-1),
""),"")</f>
        <v/>
      </c>
      <c r="S36" s="348"/>
      <c r="T36" s="348"/>
      <c r="U36" s="348"/>
      <c r="V36" s="307"/>
      <c r="W36" s="247"/>
      <c r="X36" s="247"/>
      <c r="Y36" s="348"/>
      <c r="Z36" s="427" t="str">
        <f>IF(D36&lt;&gt;"Futuros","",HLOOKUP(B36,'Preços Futuros'!$A$1:$Z$1000,$B$3))</f>
        <v/>
      </c>
      <c r="AA36" s="311"/>
      <c r="AB36" s="307"/>
    </row>
    <row r="37" ht="15.75" customHeight="1">
      <c r="A37" s="348"/>
      <c r="B37" s="429"/>
      <c r="C37" s="430" t="str">
        <f>IF($B37 &lt;&gt; "",SUMIFS('Alocação'!$O$3:$O$1002,'Alocação'!$C$3:$C$1002,$B37,'Alocação'!$F$3:$F$1002,$N$4,'Alocação'!$B$3:$B$1002,"&lt;="&amp;$B$3), "")</f>
        <v/>
      </c>
      <c r="D37" s="430" t="str">
        <f>IFERROR(VLOOKUP($B37, 'Cadastro dos Ativos'!$A$1:$C$217, 3, FALSE), "")</f>
        <v/>
      </c>
      <c r="E37" s="431" t="str">
        <f>IFS($D37="Ações Listadas na B3", (($C37 * HLOOKUP($B37, 'Histórico'!$A$1:$FI$296, MATCH($B$3,'Histórico'!$A:$A),0)) / $B$6),
$D37="Ações Americanas",(($C37 * HLOOKUP($B37, 'Histórico'!$A$1:$FI$296, MATCH($B$3,'Histórico'!$A:$A),0)) * HLOOKUP("PTAX", 'Histórico'!$A$1:$FI$296, MATCH($B$3,'Histórico'!$A:$A),0) / $B$6),
$D37="Ações Europeias",(($C37 * HLOOKUP($B37, 'Histórico'!$A$1:$FI$296, MATCH($B$3,'Histórico'!$A:$A),0)) * HLOOKUP("EUR/BRL", 'Histórico'!$A$1:$FI$296, MATCH($B$3,'Histórico'!$A:$A),0) / $B$6),
$D37="Futuros",(SUMIFS('Alocação'!$N:$N,'Alocação'!$C:$C,$B37,'Alocação'!$F:$F,$N$4,'Alocação'!$B:$B,"&lt;="&amp;$B$3))/($B$6)+($C37*SUMPRODUCT(('Histórico T'!$A:$A=$B37)*('Histórico T'!$B:$AAW)))/($B$6),$D37="Moedas",(($C37 * HLOOKUP($B37, 'Histórico'!$A$1:$FI$296, MATCH($B$3,'Histórico'!$A:$A),0)) / $B$6),$B37="","")</f>
        <v/>
      </c>
      <c r="F37" s="431" t="str">
        <f t="shared" si="11"/>
        <v/>
      </c>
      <c r="G37" s="432" t="str">
        <f>IFS(OR($D37="Ações Listadas na B3",$D37="Ações Americanas",$D37="Moedas",$D37="Ações Europeias",$D37="Títulos"),$AA37,
$D37="Futuros",
(SUMIFS('Alocação'!$O$3:$O$1002,'Alocação'!$C$3:$C$1002,B37,'Alocação'!$F$3:$F$1002,AB$9,'Alocação'!$B$3:$B$1002,"&lt;="&amp;$C$3))*HLOOKUP(B37,'Histórico'!$A$1:$DD$990,MATCH($B$3,'Histórico'!$A:$A),FALSE),
$D37="",""
)</f>
        <v/>
      </c>
      <c r="H37" s="458" t="str">
        <f t="shared" si="7"/>
        <v/>
      </c>
      <c r="I37" s="427"/>
      <c r="J37" s="383"/>
      <c r="K37" s="383"/>
      <c r="L37" s="383"/>
      <c r="M37" s="247"/>
      <c r="N37" s="247"/>
      <c r="O37" s="247"/>
      <c r="P37" s="247"/>
      <c r="Q37" s="247"/>
      <c r="R37" s="400" t="str">
        <f t="array" ref="R37">IFERROR(IF(D37&lt;&gt;"Futuros",
(INDEX('Histórico'!$B$1:$ADT1002, MATCH($B$3, 'Histórico'!$A$1:$A1002, 0), MATCH(B37, 'Histórico'!$1:$1, 0)-1)/INDEX('Histórico'!$B$1:$ADT1002, MATCH($C$3, 'Histórico'!$A$1:$A1002, 0), MATCH(B37, 'Histórico'!$1:$1, 0)-1)-1),
""),"")</f>
        <v/>
      </c>
      <c r="S37" s="348"/>
      <c r="T37" s="348"/>
      <c r="U37" s="348"/>
      <c r="V37" s="307"/>
      <c r="W37" s="247"/>
      <c r="X37" s="247"/>
      <c r="Y37" s="348"/>
      <c r="Z37" s="427" t="str">
        <f>IF(D37&lt;&gt;"Futuros","",HLOOKUP(B37,'Preços Futuros'!$A$1:$Z$1000,$B$3))</f>
        <v/>
      </c>
      <c r="AA37" s="307"/>
      <c r="AB37" s="307"/>
    </row>
    <row r="38" ht="15.75" customHeight="1">
      <c r="A38" s="306"/>
      <c r="B38" s="306"/>
      <c r="C38" s="306"/>
      <c r="D38" s="306"/>
      <c r="E38" s="306"/>
      <c r="F38" s="306"/>
      <c r="G38" s="306"/>
      <c r="H38" s="306"/>
      <c r="I38" s="435"/>
      <c r="J38" s="435"/>
      <c r="K38" s="306"/>
      <c r="L38" s="307"/>
      <c r="M38" s="307"/>
      <c r="N38" s="307"/>
      <c r="O38" s="307"/>
      <c r="P38" s="307"/>
      <c r="Q38" s="307"/>
      <c r="R38" s="307"/>
      <c r="S38" s="348"/>
      <c r="T38" s="348"/>
      <c r="U38" s="348"/>
      <c r="V38" s="307"/>
      <c r="W38" s="307"/>
      <c r="X38" s="307"/>
      <c r="Y38" s="348"/>
      <c r="Z38" s="307"/>
      <c r="AA38" s="307"/>
      <c r="AB38" s="307"/>
    </row>
    <row r="39" ht="15.75" customHeight="1">
      <c r="A39" s="306"/>
      <c r="B39" s="306"/>
      <c r="C39" s="306"/>
      <c r="D39" s="306"/>
      <c r="E39" s="306"/>
      <c r="F39" s="306"/>
      <c r="G39" s="306"/>
      <c r="H39" s="306"/>
      <c r="I39" s="427"/>
      <c r="J39" s="306"/>
      <c r="K39" s="306"/>
      <c r="L39" s="307"/>
      <c r="M39" s="307"/>
      <c r="N39" s="307"/>
      <c r="O39" s="307"/>
      <c r="P39" s="307"/>
      <c r="Q39" s="307"/>
      <c r="R39" s="307"/>
      <c r="S39" s="348"/>
      <c r="T39" s="348"/>
      <c r="U39" s="348"/>
      <c r="V39" s="307"/>
      <c r="W39" s="307"/>
      <c r="X39" s="307"/>
      <c r="Y39" s="307"/>
      <c r="Z39" s="307"/>
      <c r="AA39" s="307"/>
      <c r="AB39" s="307"/>
    </row>
    <row r="40" ht="15.75" customHeight="1">
      <c r="A40" s="306"/>
      <c r="B40" s="306"/>
      <c r="C40" s="306"/>
      <c r="D40" s="306"/>
      <c r="E40" s="306"/>
      <c r="F40" s="306"/>
      <c r="G40" s="306"/>
      <c r="H40" s="306"/>
      <c r="I40" s="427"/>
      <c r="J40" s="306"/>
      <c r="K40" s="306"/>
      <c r="L40" s="307"/>
      <c r="M40" s="307"/>
      <c r="N40" s="307"/>
      <c r="O40" s="307"/>
      <c r="P40" s="307"/>
      <c r="Q40" s="307"/>
      <c r="R40" s="307"/>
      <c r="S40" s="348"/>
      <c r="T40" s="348"/>
      <c r="U40" s="348"/>
      <c r="V40" s="307"/>
      <c r="W40" s="307"/>
      <c r="X40" s="307"/>
      <c r="Y40" s="307"/>
      <c r="Z40" s="307"/>
      <c r="AA40" s="307"/>
      <c r="AB40" s="307"/>
    </row>
    <row r="41" ht="15.75" customHeight="1">
      <c r="A41" s="306"/>
      <c r="B41" s="306"/>
      <c r="C41" s="306"/>
      <c r="D41" s="306"/>
      <c r="E41" s="306"/>
      <c r="F41" s="306"/>
      <c r="G41" s="306"/>
      <c r="H41" s="306"/>
      <c r="I41" s="427"/>
      <c r="J41" s="306"/>
      <c r="K41" s="306"/>
      <c r="L41" s="307"/>
      <c r="M41" s="307"/>
      <c r="N41" s="307"/>
      <c r="O41" s="307"/>
      <c r="P41" s="307"/>
      <c r="Q41" s="307"/>
      <c r="R41" s="307"/>
      <c r="S41" s="348"/>
      <c r="T41" s="348"/>
      <c r="U41" s="348"/>
      <c r="V41" s="307"/>
      <c r="W41" s="307"/>
      <c r="X41" s="307"/>
      <c r="Y41" s="307"/>
      <c r="Z41" s="307"/>
      <c r="AA41" s="307"/>
      <c r="AB41" s="307"/>
    </row>
    <row r="42" ht="15.75" customHeight="1">
      <c r="A42" s="306"/>
      <c r="B42" s="306"/>
      <c r="C42" s="306"/>
      <c r="D42" s="306"/>
      <c r="E42" s="306"/>
      <c r="F42" s="306"/>
      <c r="G42" s="306"/>
      <c r="H42" s="306"/>
      <c r="I42" s="427"/>
      <c r="J42" s="306"/>
      <c r="K42" s="306"/>
      <c r="L42" s="307"/>
      <c r="M42" s="307"/>
      <c r="N42" s="307"/>
      <c r="O42" s="307"/>
      <c r="P42" s="307"/>
      <c r="Q42" s="307"/>
      <c r="R42" s="307"/>
      <c r="S42" s="348"/>
      <c r="T42" s="348"/>
      <c r="U42" s="348"/>
      <c r="V42" s="307"/>
      <c r="W42" s="307"/>
      <c r="X42" s="307"/>
      <c r="Y42" s="307"/>
      <c r="Z42" s="307"/>
      <c r="AA42" s="307"/>
      <c r="AB42" s="307"/>
    </row>
    <row r="43" ht="15.75" customHeight="1">
      <c r="A43" s="306"/>
      <c r="B43" s="306"/>
      <c r="C43" s="306"/>
      <c r="D43" s="306"/>
      <c r="E43" s="306"/>
      <c r="F43" s="306"/>
      <c r="G43" s="306"/>
      <c r="H43" s="306"/>
      <c r="I43" s="427"/>
      <c r="J43" s="306"/>
      <c r="K43" s="306"/>
      <c r="L43" s="307"/>
      <c r="M43" s="307"/>
      <c r="N43" s="307"/>
      <c r="O43" s="307"/>
      <c r="P43" s="307"/>
      <c r="Q43" s="307"/>
      <c r="R43" s="307"/>
      <c r="S43" s="348"/>
      <c r="T43" s="348"/>
      <c r="U43" s="348"/>
      <c r="V43" s="307"/>
      <c r="W43" s="307"/>
      <c r="X43" s="307"/>
      <c r="Y43" s="307"/>
      <c r="Z43" s="307"/>
      <c r="AA43" s="307"/>
      <c r="AB43" s="307"/>
    </row>
    <row r="44" ht="15.75" customHeight="1">
      <c r="A44" s="306"/>
      <c r="B44" s="306"/>
      <c r="C44" s="306"/>
      <c r="D44" s="306"/>
      <c r="E44" s="306"/>
      <c r="F44" s="306"/>
      <c r="G44" s="306"/>
      <c r="H44" s="306"/>
      <c r="I44" s="427"/>
      <c r="J44" s="306"/>
      <c r="K44" s="306"/>
      <c r="L44" s="307"/>
      <c r="M44" s="307"/>
      <c r="N44" s="307"/>
      <c r="O44" s="307"/>
      <c r="P44" s="307"/>
      <c r="Q44" s="307"/>
      <c r="R44" s="307"/>
      <c r="S44" s="348"/>
      <c r="T44" s="348"/>
      <c r="U44" s="348"/>
      <c r="V44" s="307"/>
      <c r="W44" s="307"/>
      <c r="X44" s="307"/>
      <c r="Y44" s="307"/>
      <c r="Z44" s="307"/>
      <c r="AA44" s="307"/>
      <c r="AB44" s="307"/>
    </row>
    <row r="45" ht="15.75" customHeight="1">
      <c r="A45" s="306"/>
      <c r="B45" s="306"/>
      <c r="C45" s="306"/>
      <c r="D45" s="306"/>
      <c r="E45" s="306"/>
      <c r="F45" s="306"/>
      <c r="G45" s="306"/>
      <c r="H45" s="306"/>
      <c r="I45" s="427"/>
      <c r="J45" s="306"/>
      <c r="K45" s="306"/>
      <c r="L45" s="307"/>
      <c r="M45" s="307"/>
      <c r="N45" s="307"/>
      <c r="O45" s="307"/>
      <c r="P45" s="307"/>
      <c r="Q45" s="307"/>
      <c r="R45" s="307"/>
      <c r="S45" s="348"/>
      <c r="T45" s="348"/>
      <c r="U45" s="348"/>
      <c r="V45" s="307"/>
      <c r="W45" s="307"/>
      <c r="X45" s="307"/>
      <c r="Y45" s="307"/>
      <c r="Z45" s="307"/>
      <c r="AA45" s="307"/>
      <c r="AB45" s="307"/>
    </row>
    <row r="46" ht="15.75" customHeight="1">
      <c r="A46" s="306"/>
      <c r="B46" s="306"/>
      <c r="C46" s="306"/>
      <c r="D46" s="306"/>
      <c r="E46" s="306"/>
      <c r="F46" s="306"/>
      <c r="G46" s="306"/>
      <c r="H46" s="306"/>
      <c r="I46" s="427"/>
      <c r="J46" s="306"/>
      <c r="K46" s="306"/>
      <c r="L46" s="307"/>
      <c r="M46" s="307"/>
      <c r="N46" s="307"/>
      <c r="O46" s="307"/>
      <c r="P46" s="307"/>
      <c r="Q46" s="307"/>
      <c r="R46" s="307"/>
      <c r="S46" s="348"/>
      <c r="T46" s="348"/>
      <c r="U46" s="348"/>
      <c r="V46" s="307"/>
      <c r="W46" s="307"/>
      <c r="X46" s="307"/>
      <c r="Y46" s="307"/>
      <c r="Z46" s="307"/>
      <c r="AA46" s="307"/>
      <c r="AB46" s="307"/>
    </row>
    <row r="47" ht="15.75" customHeight="1">
      <c r="A47" s="306"/>
      <c r="B47" s="306"/>
      <c r="C47" s="306"/>
      <c r="D47" s="306"/>
      <c r="E47" s="306"/>
      <c r="F47" s="306"/>
      <c r="G47" s="306"/>
      <c r="H47" s="306"/>
      <c r="I47" s="427"/>
      <c r="J47" s="306"/>
      <c r="K47" s="306"/>
      <c r="L47" s="307"/>
      <c r="M47" s="307"/>
      <c r="N47" s="307"/>
      <c r="O47" s="307"/>
      <c r="P47" s="307"/>
      <c r="Q47" s="307"/>
      <c r="R47" s="307"/>
      <c r="S47" s="348"/>
      <c r="T47" s="348"/>
      <c r="U47" s="348"/>
      <c r="V47" s="307"/>
      <c r="W47" s="307"/>
      <c r="X47" s="307"/>
      <c r="Y47" s="307"/>
      <c r="Z47" s="307"/>
      <c r="AA47" s="307"/>
      <c r="AB47" s="307"/>
    </row>
    <row r="48" ht="15.75" customHeight="1">
      <c r="A48" s="306"/>
      <c r="B48" s="306"/>
      <c r="C48" s="306"/>
      <c r="D48" s="306"/>
      <c r="E48" s="306"/>
      <c r="F48" s="306"/>
      <c r="G48" s="306"/>
      <c r="H48" s="306"/>
      <c r="I48" s="427"/>
      <c r="J48" s="306"/>
      <c r="K48" s="306"/>
      <c r="L48" s="307"/>
      <c r="M48" s="307"/>
      <c r="N48" s="307"/>
      <c r="O48" s="307"/>
      <c r="P48" s="307"/>
      <c r="Q48" s="307"/>
      <c r="R48" s="307"/>
      <c r="S48" s="348"/>
      <c r="T48" s="348"/>
      <c r="U48" s="348"/>
      <c r="V48" s="307"/>
      <c r="W48" s="307"/>
      <c r="X48" s="307"/>
      <c r="Y48" s="307"/>
      <c r="Z48" s="307"/>
      <c r="AA48" s="307"/>
      <c r="AB48" s="307"/>
    </row>
    <row r="49" ht="15.75" customHeight="1">
      <c r="A49" s="306"/>
      <c r="B49" s="306"/>
      <c r="C49" s="306"/>
      <c r="D49" s="306"/>
      <c r="E49" s="306"/>
      <c r="F49" s="306"/>
      <c r="G49" s="306"/>
      <c r="H49" s="306"/>
      <c r="I49" s="427"/>
      <c r="J49" s="306"/>
      <c r="K49" s="306"/>
      <c r="L49" s="307"/>
      <c r="M49" s="307"/>
      <c r="N49" s="307"/>
      <c r="O49" s="307"/>
      <c r="P49" s="307"/>
      <c r="Q49" s="307"/>
      <c r="R49" s="307"/>
      <c r="S49" s="348"/>
      <c r="T49" s="348"/>
      <c r="U49" s="348"/>
      <c r="V49" s="307"/>
      <c r="W49" s="307"/>
      <c r="X49" s="307"/>
      <c r="Y49" s="307"/>
      <c r="Z49" s="307"/>
      <c r="AA49" s="307"/>
      <c r="AB49" s="307"/>
    </row>
    <row r="50" ht="15.75" customHeight="1">
      <c r="A50" s="306"/>
      <c r="B50" s="306"/>
      <c r="C50" s="306"/>
      <c r="D50" s="306"/>
      <c r="E50" s="306"/>
      <c r="F50" s="306"/>
      <c r="G50" s="306"/>
      <c r="H50" s="306"/>
      <c r="I50" s="427"/>
      <c r="J50" s="306"/>
      <c r="K50" s="306"/>
      <c r="L50" s="307"/>
      <c r="M50" s="307"/>
      <c r="N50" s="307"/>
      <c r="O50" s="307"/>
      <c r="P50" s="307"/>
      <c r="Q50" s="307"/>
      <c r="R50" s="307"/>
      <c r="S50" s="348"/>
      <c r="T50" s="348"/>
      <c r="U50" s="348"/>
      <c r="V50" s="307"/>
      <c r="W50" s="307"/>
      <c r="X50" s="307"/>
      <c r="Y50" s="307"/>
      <c r="Z50" s="307"/>
      <c r="AA50" s="307"/>
      <c r="AB50" s="307"/>
    </row>
    <row r="51" ht="15.75" customHeight="1">
      <c r="A51" s="306"/>
      <c r="B51" s="306"/>
      <c r="C51" s="306"/>
      <c r="D51" s="306"/>
      <c r="E51" s="306"/>
      <c r="F51" s="306"/>
      <c r="G51" s="306"/>
      <c r="H51" s="306"/>
      <c r="I51" s="427"/>
      <c r="J51" s="306"/>
      <c r="K51" s="306"/>
      <c r="L51" s="307"/>
      <c r="M51" s="307"/>
      <c r="N51" s="307"/>
      <c r="O51" s="307"/>
      <c r="P51" s="307"/>
      <c r="Q51" s="307"/>
      <c r="R51" s="307"/>
      <c r="S51" s="348"/>
      <c r="T51" s="348"/>
      <c r="U51" s="348"/>
      <c r="V51" s="307"/>
      <c r="W51" s="307"/>
      <c r="X51" s="307"/>
      <c r="Y51" s="307"/>
      <c r="Z51" s="307"/>
      <c r="AA51" s="307"/>
      <c r="AB51" s="307"/>
    </row>
    <row r="52" ht="15.75" customHeight="1">
      <c r="A52" s="306"/>
      <c r="B52" s="306"/>
      <c r="C52" s="306"/>
      <c r="D52" s="306"/>
      <c r="E52" s="306"/>
      <c r="F52" s="306"/>
      <c r="G52" s="306"/>
      <c r="H52" s="306"/>
      <c r="I52" s="427"/>
      <c r="J52" s="306"/>
      <c r="K52" s="306"/>
      <c r="L52" s="307"/>
      <c r="M52" s="307"/>
      <c r="N52" s="307"/>
      <c r="O52" s="307"/>
      <c r="P52" s="307"/>
      <c r="Q52" s="307"/>
      <c r="R52" s="307"/>
      <c r="S52" s="348"/>
      <c r="T52" s="348"/>
      <c r="U52" s="348"/>
      <c r="V52" s="307"/>
      <c r="W52" s="307"/>
      <c r="X52" s="307"/>
      <c r="Y52" s="307"/>
      <c r="Z52" s="307"/>
      <c r="AA52" s="307"/>
      <c r="AB52" s="307"/>
    </row>
    <row r="53" ht="15.75" customHeight="1">
      <c r="A53" s="306"/>
      <c r="B53" s="306"/>
      <c r="C53" s="306"/>
      <c r="D53" s="306"/>
      <c r="E53" s="306"/>
      <c r="F53" s="306"/>
      <c r="G53" s="306"/>
      <c r="H53" s="306"/>
      <c r="I53" s="427"/>
      <c r="J53" s="306"/>
      <c r="K53" s="306"/>
      <c r="L53" s="307"/>
      <c r="M53" s="307"/>
      <c r="N53" s="307"/>
      <c r="O53" s="307"/>
      <c r="P53" s="307"/>
      <c r="Q53" s="307"/>
      <c r="R53" s="307"/>
      <c r="S53" s="348"/>
      <c r="T53" s="348"/>
      <c r="U53" s="348"/>
      <c r="V53" s="307"/>
      <c r="W53" s="307"/>
      <c r="X53" s="307"/>
      <c r="Y53" s="307"/>
      <c r="Z53" s="307"/>
      <c r="AA53" s="307"/>
      <c r="AB53" s="307"/>
    </row>
    <row r="54" ht="15.75" customHeight="1">
      <c r="A54" s="306"/>
      <c r="B54" s="306"/>
      <c r="C54" s="306"/>
      <c r="D54" s="306"/>
      <c r="E54" s="306"/>
      <c r="F54" s="306"/>
      <c r="G54" s="306"/>
      <c r="H54" s="306"/>
      <c r="I54" s="427"/>
      <c r="J54" s="306"/>
      <c r="K54" s="306"/>
      <c r="L54" s="307"/>
      <c r="M54" s="307"/>
      <c r="N54" s="307"/>
      <c r="O54" s="307"/>
      <c r="P54" s="307"/>
      <c r="Q54" s="307"/>
      <c r="R54" s="307"/>
      <c r="S54" s="427" t="s">
        <v>377</v>
      </c>
      <c r="T54" s="436" t="s">
        <v>378</v>
      </c>
      <c r="U54" s="348" t="s">
        <v>379</v>
      </c>
      <c r="V54" s="307"/>
      <c r="W54" s="307"/>
      <c r="X54" s="307"/>
      <c r="Y54" s="307"/>
      <c r="Z54" s="307"/>
      <c r="AA54" s="307"/>
      <c r="AB54" s="307"/>
    </row>
    <row r="55" ht="15.75" customHeight="1">
      <c r="A55" s="306"/>
      <c r="B55" s="306"/>
      <c r="C55" s="306"/>
      <c r="D55" s="306"/>
      <c r="E55" s="306"/>
      <c r="F55" s="306"/>
      <c r="G55" s="306"/>
      <c r="H55" s="306"/>
      <c r="I55" s="427"/>
      <c r="J55" s="306"/>
      <c r="K55" s="306"/>
      <c r="L55" s="307"/>
      <c r="M55" s="307"/>
      <c r="N55" s="307"/>
      <c r="O55" s="307"/>
      <c r="P55" s="307"/>
      <c r="Q55" s="307"/>
      <c r="R55" s="307"/>
      <c r="S55" s="437">
        <f t="array" ref="S55">ABS(IF($D18="Ações Americanas",
$C18*(INDEX('Histórico'!$1:$991,MATCH($B$3,'Histórico'!$A:$A,0),MATCH($B18,'Histórico'!$1:$1,0))-INDEX('Histórico'!$1:$991,MATCH($C$3,'Histórico'!$A:$A,0),MATCH($B18,'Histórico'!$1:$1,0)))*INDEX('Histórico'!$1:$991,MATCH($B$3,'Histórico'!$A:$A,0),MATCH("PTAX",'Histórico'!$1:$1,0)),
IF($D18="Futuros",$C18*INDEX('Histórico'!$1:$991,MATCH($B$3,'Histórico'!$A:$A,0),MATCH($B18,'Histórico'!$1:$1,0)),
$C18*(INDEX('Histórico'!$1:$991,MATCH($B$3,'Histórico'!$A:$A,0),MATCH($B18,'Histórico'!$1:$1,0))-INDEX('Histórico'!$1:$991,MATCH($C$3,'Histórico'!$A:$A,0),MATCH($B18,'Histórico'!$1:$1,0))))))</f>
        <v>0.4400005341</v>
      </c>
      <c r="T55" s="427" t="str">
        <f>IF(D18&lt;&gt;"Futuros","",HLOOKUP(B18,'Preços Futuros'!$A$1:$Z$1000,$B$3))</f>
        <v/>
      </c>
      <c r="U55" s="311"/>
      <c r="V55" s="307"/>
      <c r="W55" s="307"/>
      <c r="X55" s="307"/>
      <c r="Y55" s="307"/>
      <c r="Z55" s="307"/>
      <c r="AA55" s="307"/>
      <c r="AB55" s="307"/>
    </row>
    <row r="56" ht="15.75" customHeight="1">
      <c r="A56" s="306"/>
      <c r="B56" s="306"/>
      <c r="C56" s="306"/>
      <c r="D56" s="306"/>
      <c r="E56" s="306"/>
      <c r="F56" s="306"/>
      <c r="G56" s="306"/>
      <c r="H56" s="306"/>
      <c r="I56" s="427"/>
      <c r="J56" s="306"/>
      <c r="K56" s="306"/>
      <c r="L56" s="307"/>
      <c r="M56" s="307"/>
      <c r="N56" s="307"/>
      <c r="O56" s="307"/>
      <c r="P56" s="307"/>
      <c r="Q56" s="307"/>
      <c r="R56" s="307"/>
      <c r="S56" s="437">
        <f t="array" ref="S56">ABS(IF($D19="Ações Americanas",
$C19*(INDEX('Histórico'!$1:$991,MATCH($B$3,'Histórico'!$A:$A,0),MATCH($B19,'Histórico'!$1:$1,0))-INDEX('Histórico'!$1:$991,MATCH($C$3,'Histórico'!$A:$A,0),MATCH($B19,'Histórico'!$1:$1,0)))*INDEX('Histórico'!$1:$991,MATCH($B$3,'Histórico'!$A:$A,0),MATCH("PTAX",'Histórico'!$1:$1,0)),
IF($D19="Futuros",$C19*INDEX('Histórico'!$1:$991,MATCH($B$3,'Histórico'!$A:$A,0),MATCH($B19,'Histórico'!$1:$1,0)),
$C19*(INDEX('Histórico'!$1:$991,MATCH($B$3,'Histórico'!$A:$A,0),MATCH($B19,'Histórico'!$1:$1,0))-INDEX('Histórico'!$1:$991,MATCH($C$3,'Histórico'!$A:$A,0),MATCH($B19,'Histórico'!$1:$1,0))))))</f>
        <v>147900.4669</v>
      </c>
      <c r="T56" s="427" t="str">
        <f>IF(D19&lt;&gt;"Futuros","",HLOOKUP(B19,'Preços Futuros'!$A$1:$Z$1000,$B$3))</f>
        <v/>
      </c>
      <c r="U56" s="311"/>
      <c r="V56" s="307"/>
      <c r="W56" s="307"/>
      <c r="X56" s="307"/>
      <c r="Y56" s="307"/>
      <c r="Z56" s="307"/>
      <c r="AA56" s="307"/>
      <c r="AB56" s="307"/>
    </row>
    <row r="57" ht="15.75" customHeight="1">
      <c r="A57" s="306"/>
      <c r="B57" s="306"/>
      <c r="C57" s="306"/>
      <c r="D57" s="306"/>
      <c r="E57" s="306"/>
      <c r="F57" s="306"/>
      <c r="G57" s="306"/>
      <c r="H57" s="306"/>
      <c r="I57" s="427"/>
      <c r="J57" s="306"/>
      <c r="K57" s="306"/>
      <c r="L57" s="307"/>
      <c r="M57" s="307"/>
      <c r="N57" s="307"/>
      <c r="O57" s="307"/>
      <c r="P57" s="307"/>
      <c r="Q57" s="307"/>
      <c r="R57" s="307"/>
      <c r="S57" s="437">
        <f t="array" ref="S57">ABS(IF($D20="Ações Americanas",
$C20*(INDEX('Histórico'!$1:$991,MATCH($B$3,'Histórico'!$A:$A,0),MATCH($B20,'Histórico'!$1:$1,0))-INDEX('Histórico'!$1:$991,MATCH($C$3,'Histórico'!$A:$A,0),MATCH($B20,'Histórico'!$1:$1,0)))*INDEX('Histórico'!$1:$991,MATCH($B$3,'Histórico'!$A:$A,0),MATCH("PTAX",'Histórico'!$1:$1,0)),
IF($D20="Futuros",$C20*INDEX('Histórico'!$1:$991,MATCH($B$3,'Histórico'!$A:$A,0),MATCH($B20,'Histórico'!$1:$1,0)),
$C20*(INDEX('Histórico'!$1:$991,MATCH($B$3,'Histórico'!$A:$A,0),MATCH($B20,'Histórico'!$1:$1,0))-INDEX('Histórico'!$1:$991,MATCH($C$3,'Histórico'!$A:$A,0),MATCH($B20,'Histórico'!$1:$1,0))))))</f>
        <v>0</v>
      </c>
      <c r="T57" s="307"/>
      <c r="U57" s="307"/>
      <c r="V57" s="307"/>
      <c r="W57" s="307"/>
      <c r="X57" s="307"/>
      <c r="Y57" s="307"/>
      <c r="Z57" s="307"/>
      <c r="AA57" s="307"/>
      <c r="AB57" s="307"/>
    </row>
    <row r="58" ht="15.75" customHeight="1">
      <c r="A58" s="306"/>
      <c r="B58" s="306"/>
      <c r="C58" s="306"/>
      <c r="D58" s="306"/>
      <c r="E58" s="306"/>
      <c r="F58" s="306"/>
      <c r="G58" s="306"/>
      <c r="H58" s="306"/>
      <c r="I58" s="427"/>
      <c r="J58" s="306"/>
      <c r="K58" s="306"/>
      <c r="L58" s="307"/>
      <c r="M58" s="307"/>
      <c r="N58" s="307"/>
      <c r="O58" s="307"/>
      <c r="P58" s="307"/>
      <c r="Q58" s="307"/>
      <c r="R58" s="307"/>
      <c r="S58" s="437" t="str">
        <f t="array" ref="S58">ABS(IF($D21="Ações Americanas",
$C21*(INDEX('Histórico'!$1:$991,MATCH($B$3,'Histórico'!$A:$A,0),MATCH($B21,'Histórico'!$1:$1,0))-INDEX('Histórico'!$1:$991,MATCH($C$3,'Histórico'!$A:$A,0),MATCH($B21,'Histórico'!$1:$1,0)))*INDEX('Histórico'!$1:$991,MATCH($B$3,'Histórico'!$A:$A,0),MATCH("PTAX",'Histórico'!$1:$1,0)),
IF($D21="Futuros",$C21*INDEX('Histórico'!$1:$991,MATCH($B$3,'Histórico'!$A:$A,0),MATCH($B21,'Histórico'!$1:$1,0)),
$C21*(INDEX('Histórico'!$1:$991,MATCH($B$3,'Histórico'!$A:$A,0),MATCH($B21,'Histórico'!$1:$1,0))-INDEX('Histórico'!$1:$991,MATCH($C$3,'Histórico'!$A:$A,0),MATCH($B21,'Histórico'!$1:$1,0))))))</f>
        <v>#N/A</v>
      </c>
      <c r="T58" s="307"/>
      <c r="U58" s="307"/>
      <c r="V58" s="307"/>
      <c r="W58" s="307"/>
      <c r="X58" s="307"/>
      <c r="Y58" s="307"/>
      <c r="Z58" s="307"/>
      <c r="AA58" s="307"/>
      <c r="AB58" s="307"/>
    </row>
    <row r="59" ht="15.75" customHeight="1">
      <c r="A59" s="306"/>
      <c r="B59" s="306"/>
      <c r="C59" s="306"/>
      <c r="D59" s="306"/>
      <c r="E59" s="306"/>
      <c r="F59" s="306"/>
      <c r="G59" s="306"/>
      <c r="H59" s="306"/>
      <c r="I59" s="427"/>
      <c r="J59" s="306"/>
      <c r="K59" s="306"/>
      <c r="L59" s="307"/>
      <c r="M59" s="307"/>
      <c r="N59" s="307"/>
      <c r="O59" s="307"/>
      <c r="P59" s="307"/>
      <c r="Q59" s="307"/>
      <c r="R59" s="307"/>
      <c r="S59" s="437">
        <f t="array" ref="S59">ABS(IF($D22="Ações Americanas",
$C22*(INDEX('Histórico'!$1:$991,MATCH($B$3,'Histórico'!$A:$A,0),MATCH($B22,'Histórico'!$1:$1,0))-INDEX('Histórico'!$1:$991,MATCH($C$3,'Histórico'!$A:$A,0),MATCH($B22,'Histórico'!$1:$1,0)))*INDEX('Histórico'!$1:$991,MATCH($B$3,'Histórico'!$A:$A,0),MATCH("PTAX",'Histórico'!$1:$1,0)),
IF($D22="Futuros",$C22*INDEX('Histórico'!$1:$991,MATCH($B$3,'Histórico'!$A:$A,0),MATCH($B22,'Histórico'!$1:$1,0)),
$C22*(INDEX('Histórico'!$1:$991,MATCH($B$3,'Histórico'!$A:$A,0),MATCH($B22,'Histórico'!$1:$1,0))-INDEX('Histórico'!$1:$991,MATCH($C$3,'Histórico'!$A:$A,0),MATCH($B22,'Histórico'!$1:$1,0))))))</f>
        <v>174093.75</v>
      </c>
      <c r="T59" s="307"/>
      <c r="U59" s="307"/>
      <c r="V59" s="307"/>
      <c r="W59" s="307"/>
      <c r="X59" s="307"/>
      <c r="Y59" s="307"/>
      <c r="Z59" s="307"/>
      <c r="AA59" s="307"/>
      <c r="AB59" s="307"/>
    </row>
    <row r="60" ht="15.75" customHeight="1">
      <c r="A60" s="306"/>
      <c r="B60" s="306"/>
      <c r="C60" s="306"/>
      <c r="D60" s="306"/>
      <c r="E60" s="306"/>
      <c r="F60" s="306"/>
      <c r="G60" s="306"/>
      <c r="H60" s="306"/>
      <c r="I60" s="427"/>
      <c r="J60" s="306"/>
      <c r="K60" s="306"/>
      <c r="L60" s="307"/>
      <c r="M60" s="307"/>
      <c r="N60" s="307"/>
      <c r="O60" s="307"/>
      <c r="P60" s="307"/>
      <c r="Q60" s="307"/>
      <c r="R60" s="307"/>
      <c r="S60" s="437">
        <f t="array" ref="S60">ABS(IF($D23="Ações Americanas",
$C23*(INDEX('Histórico'!$1:$991,MATCH($B$3,'Histórico'!$A:$A,0),MATCH($B23,'Histórico'!$1:$1,0))-INDEX('Histórico'!$1:$991,MATCH($C$3,'Histórico'!$A:$A,0),MATCH($B23,'Histórico'!$1:$1,0)))*INDEX('Histórico'!$1:$991,MATCH($B$3,'Histórico'!$A:$A,0),MATCH("PTAX",'Histórico'!$1:$1,0)),
IF($D23="Futuros",$C23*INDEX('Histórico'!$1:$991,MATCH($B$3,'Histórico'!$A:$A,0),MATCH($B23,'Histórico'!$1:$1,0)),
$C23*(INDEX('Histórico'!$1:$991,MATCH($B$3,'Histórico'!$A:$A,0),MATCH($B23,'Histórico'!$1:$1,0))-INDEX('Histórico'!$1:$991,MATCH($C$3,'Histórico'!$A:$A,0),MATCH($B23,'Histórico'!$1:$1,0))))))</f>
        <v>6390</v>
      </c>
      <c r="T60" s="307"/>
      <c r="U60" s="307"/>
      <c r="V60" s="307"/>
      <c r="W60" s="307"/>
      <c r="X60" s="307"/>
      <c r="Y60" s="307"/>
      <c r="Z60" s="307"/>
      <c r="AA60" s="307"/>
      <c r="AB60" s="307"/>
    </row>
    <row r="61" ht="15.75" customHeight="1">
      <c r="A61" s="306"/>
      <c r="B61" s="306"/>
      <c r="C61" s="306"/>
      <c r="D61" s="306"/>
      <c r="E61" s="306"/>
      <c r="F61" s="306"/>
      <c r="G61" s="306"/>
      <c r="H61" s="306"/>
      <c r="I61" s="427"/>
      <c r="J61" s="306"/>
      <c r="K61" s="306"/>
      <c r="L61" s="307"/>
      <c r="M61" s="307"/>
      <c r="N61" s="307"/>
      <c r="O61" s="307"/>
      <c r="P61" s="307"/>
      <c r="Q61" s="307"/>
      <c r="R61" s="307"/>
      <c r="S61" s="437">
        <f t="array" ref="S61">ABS(IF($D24="Ações Americanas",
$C24*(INDEX('Histórico'!$1:$991,MATCH($B$3,'Histórico'!$A:$A,0),MATCH($B24,'Histórico'!$1:$1,0))-INDEX('Histórico'!$1:$991,MATCH($C$3,'Histórico'!$A:$A,0),MATCH($B24,'Histórico'!$1:$1,0)))*INDEX('Histórico'!$1:$991,MATCH($B$3,'Histórico'!$A:$A,0),MATCH("PTAX",'Histórico'!$1:$1,0)),
IF($D24="Futuros",$C24*INDEX('Histórico'!$1:$991,MATCH($B$3,'Histórico'!$A:$A,0),MATCH($B24,'Histórico'!$1:$1,0)),
$C24*(INDEX('Histórico'!$1:$991,MATCH($B$3,'Histórico'!$A:$A,0),MATCH($B24,'Histórico'!$1:$1,0))-INDEX('Histórico'!$1:$991,MATCH($C$3,'Histórico'!$A:$A,0),MATCH($B24,'Histórico'!$1:$1,0))))))</f>
        <v>1983</v>
      </c>
      <c r="T61" s="307"/>
      <c r="U61" s="307"/>
      <c r="V61" s="307"/>
      <c r="W61" s="307"/>
      <c r="X61" s="307"/>
      <c r="Y61" s="307"/>
      <c r="Z61" s="307"/>
      <c r="AA61" s="307"/>
      <c r="AB61" s="307"/>
    </row>
    <row r="62" ht="15.75" customHeight="1">
      <c r="A62" s="306"/>
      <c r="B62" s="306"/>
      <c r="C62" s="306"/>
      <c r="D62" s="306"/>
      <c r="E62" s="306"/>
      <c r="F62" s="306"/>
      <c r="G62" s="306"/>
      <c r="H62" s="306"/>
      <c r="I62" s="427"/>
      <c r="J62" s="306"/>
      <c r="K62" s="306"/>
      <c r="L62" s="307"/>
      <c r="M62" s="307"/>
      <c r="N62" s="307"/>
      <c r="O62" s="307"/>
      <c r="P62" s="307"/>
      <c r="Q62" s="307"/>
      <c r="R62" s="307"/>
      <c r="S62" s="437" t="str">
        <f t="array" ref="S62">ABS(IF($D25="Ações Americanas",
$C25*(INDEX('Histórico'!$1:$991,MATCH($B$3,'Histórico'!$A:$A,0),MATCH($B25,'Histórico'!$1:$1,0))-INDEX('Histórico'!$1:$991,MATCH($C$3,'Histórico'!$A:$A,0),MATCH($B25,'Histórico'!$1:$1,0)))*INDEX('Histórico'!$1:$991,MATCH($B$3,'Histórico'!$A:$A,0),MATCH("PTAX",'Histórico'!$1:$1,0)),
IF($D25="Futuros",$C25*INDEX('Histórico'!$1:$991,MATCH($B$3,'Histórico'!$A:$A,0),MATCH($B25,'Histórico'!$1:$1,0)),
$C25*(INDEX('Histórico'!$1:$991,MATCH($B$3,'Histórico'!$A:$A,0),MATCH($B25,'Histórico'!$1:$1,0))-INDEX('Histórico'!$1:$991,MATCH($C$3,'Histórico'!$A:$A,0),MATCH($B25,'Histórico'!$1:$1,0))))))</f>
        <v>#N/A</v>
      </c>
      <c r="T62" s="307"/>
      <c r="U62" s="307"/>
      <c r="V62" s="307"/>
      <c r="W62" s="307"/>
      <c r="X62" s="307"/>
      <c r="Y62" s="307"/>
      <c r="Z62" s="307"/>
      <c r="AA62" s="307"/>
      <c r="AB62" s="307"/>
    </row>
    <row r="63" ht="15.75" customHeight="1">
      <c r="A63" s="306"/>
      <c r="B63" s="306"/>
      <c r="C63" s="306"/>
      <c r="D63" s="306"/>
      <c r="E63" s="306"/>
      <c r="F63" s="306"/>
      <c r="G63" s="306"/>
      <c r="H63" s="306"/>
      <c r="I63" s="427"/>
      <c r="J63" s="306"/>
      <c r="K63" s="306"/>
      <c r="L63" s="307"/>
      <c r="M63" s="307"/>
      <c r="N63" s="307"/>
      <c r="O63" s="307"/>
      <c r="P63" s="307"/>
      <c r="Q63" s="307"/>
      <c r="R63" s="307"/>
      <c r="S63" s="437" t="str">
        <f t="array" ref="S63">ABS(IF($D26="Ações Americanas",
$C26*(INDEX('Histórico'!$1:$991,MATCH($B$3,'Histórico'!$A:$A,0),MATCH($B26,'Histórico'!$1:$1,0))-INDEX('Histórico'!$1:$991,MATCH($C$3,'Histórico'!$A:$A,0),MATCH($B26,'Histórico'!$1:$1,0)))*INDEX('Histórico'!$1:$991,MATCH($B$3,'Histórico'!$A:$A,0),MATCH("PTAX",'Histórico'!$1:$1,0)),
IF($D26="Futuros",$C26*INDEX('Histórico'!$1:$991,MATCH($B$3,'Histórico'!$A:$A,0),MATCH($B26,'Histórico'!$1:$1,0)),
$C26*(INDEX('Histórico'!$1:$991,MATCH($B$3,'Histórico'!$A:$A,0),MATCH($B26,'Histórico'!$1:$1,0))-INDEX('Histórico'!$1:$991,MATCH($C$3,'Histórico'!$A:$A,0),MATCH($B26,'Histórico'!$1:$1,0))))))</f>
        <v>#N/A</v>
      </c>
      <c r="T63" s="307"/>
      <c r="U63" s="307"/>
      <c r="V63" s="307"/>
      <c r="W63" s="307"/>
      <c r="X63" s="307"/>
      <c r="Y63" s="307"/>
      <c r="Z63" s="307"/>
      <c r="AA63" s="307"/>
      <c r="AB63" s="307"/>
    </row>
    <row r="64" ht="15.75" customHeight="1">
      <c r="A64" s="306"/>
      <c r="B64" s="306"/>
      <c r="C64" s="306"/>
      <c r="D64" s="306"/>
      <c r="E64" s="306"/>
      <c r="F64" s="306"/>
      <c r="G64" s="306"/>
      <c r="H64" s="306"/>
      <c r="I64" s="427"/>
      <c r="J64" s="306"/>
      <c r="K64" s="306"/>
      <c r="L64" s="307"/>
      <c r="M64" s="307"/>
      <c r="N64" s="307"/>
      <c r="O64" s="307"/>
      <c r="P64" s="307"/>
      <c r="Q64" s="307"/>
      <c r="R64" s="307"/>
      <c r="S64" s="307"/>
      <c r="T64" s="307"/>
      <c r="U64" s="307"/>
      <c r="V64" s="307"/>
      <c r="W64" s="307"/>
      <c r="X64" s="307"/>
      <c r="Y64" s="307"/>
      <c r="Z64" s="307"/>
      <c r="AA64" s="307"/>
      <c r="AB64" s="307"/>
    </row>
    <row r="65" ht="15.75" customHeight="1">
      <c r="A65" s="306"/>
      <c r="B65" s="306"/>
      <c r="C65" s="306"/>
      <c r="D65" s="306"/>
      <c r="E65" s="306"/>
      <c r="F65" s="306"/>
      <c r="G65" s="306"/>
      <c r="H65" s="306"/>
      <c r="I65" s="427"/>
      <c r="J65" s="306"/>
      <c r="K65" s="306"/>
      <c r="L65" s="307"/>
      <c r="M65" s="307"/>
      <c r="N65" s="307"/>
      <c r="O65" s="307"/>
      <c r="P65" s="307"/>
      <c r="Q65" s="307"/>
      <c r="R65" s="307"/>
      <c r="S65" s="307"/>
      <c r="T65" s="307"/>
      <c r="U65" s="307"/>
      <c r="V65" s="307"/>
      <c r="W65" s="307"/>
      <c r="X65" s="307"/>
      <c r="Y65" s="307"/>
      <c r="Z65" s="307"/>
      <c r="AA65" s="307"/>
      <c r="AB65" s="307"/>
    </row>
    <row r="66" ht="15.75" customHeight="1">
      <c r="A66" s="306"/>
      <c r="B66" s="306"/>
      <c r="C66" s="306"/>
      <c r="D66" s="306"/>
      <c r="E66" s="306"/>
      <c r="F66" s="306"/>
      <c r="G66" s="306"/>
      <c r="H66" s="306"/>
      <c r="I66" s="427"/>
      <c r="J66" s="306"/>
      <c r="K66" s="306"/>
      <c r="L66" s="307"/>
      <c r="M66" s="307"/>
      <c r="N66" s="307"/>
      <c r="O66" s="307"/>
      <c r="P66" s="307"/>
      <c r="Q66" s="307"/>
      <c r="R66" s="307"/>
      <c r="S66" s="307"/>
      <c r="T66" s="307"/>
      <c r="U66" s="307"/>
      <c r="V66" s="307"/>
      <c r="W66" s="307"/>
      <c r="X66" s="307"/>
      <c r="Y66" s="307"/>
      <c r="Z66" s="307"/>
      <c r="AA66" s="307"/>
      <c r="AB66" s="307"/>
    </row>
    <row r="67" ht="15.75" customHeight="1">
      <c r="A67" s="306"/>
      <c r="B67" s="306"/>
      <c r="C67" s="306"/>
      <c r="D67" s="306"/>
      <c r="E67" s="306"/>
      <c r="F67" s="306"/>
      <c r="G67" s="306"/>
      <c r="H67" s="306"/>
      <c r="I67" s="427"/>
      <c r="J67" s="306"/>
      <c r="K67" s="306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307"/>
      <c r="W67" s="307"/>
      <c r="X67" s="307"/>
      <c r="Y67" s="307"/>
      <c r="Z67" s="307"/>
      <c r="AA67" s="307"/>
      <c r="AB67" s="307"/>
    </row>
    <row r="68" ht="15.75" customHeight="1">
      <c r="A68" s="306"/>
      <c r="B68" s="306"/>
      <c r="C68" s="306"/>
      <c r="D68" s="306"/>
      <c r="E68" s="306"/>
      <c r="F68" s="306"/>
      <c r="G68" s="306"/>
      <c r="H68" s="306"/>
      <c r="I68" s="427"/>
      <c r="J68" s="306"/>
      <c r="K68" s="306"/>
      <c r="L68" s="307"/>
      <c r="M68" s="307"/>
      <c r="N68" s="307"/>
      <c r="O68" s="307"/>
      <c r="P68" s="307"/>
      <c r="Q68" s="307"/>
      <c r="R68" s="307"/>
      <c r="S68" s="307"/>
      <c r="T68" s="307"/>
      <c r="U68" s="307"/>
      <c r="V68" s="307"/>
      <c r="W68" s="307"/>
      <c r="X68" s="307"/>
      <c r="Y68" s="307"/>
      <c r="Z68" s="307"/>
      <c r="AA68" s="307"/>
      <c r="AB68" s="307"/>
    </row>
    <row r="69" ht="15.75" customHeight="1">
      <c r="A69" s="306"/>
      <c r="B69" s="306"/>
      <c r="C69" s="306"/>
      <c r="D69" s="306"/>
      <c r="E69" s="306"/>
      <c r="F69" s="306"/>
      <c r="G69" s="306"/>
      <c r="H69" s="306"/>
      <c r="I69" s="427"/>
      <c r="J69" s="306"/>
      <c r="K69" s="306"/>
      <c r="L69" s="307"/>
      <c r="M69" s="307"/>
      <c r="N69" s="307"/>
      <c r="O69" s="307"/>
      <c r="P69" s="307"/>
      <c r="Q69" s="307"/>
      <c r="R69" s="307"/>
      <c r="S69" s="307"/>
      <c r="T69" s="307"/>
      <c r="U69" s="307"/>
      <c r="V69" s="307"/>
      <c r="W69" s="307"/>
      <c r="X69" s="307"/>
      <c r="Y69" s="307"/>
      <c r="Z69" s="307"/>
      <c r="AA69" s="307"/>
      <c r="AB69" s="307"/>
    </row>
    <row r="70" ht="15.75" customHeight="1">
      <c r="A70" s="306"/>
      <c r="B70" s="306"/>
      <c r="C70" s="306"/>
      <c r="D70" s="306"/>
      <c r="E70" s="306"/>
      <c r="F70" s="306"/>
      <c r="G70" s="306"/>
      <c r="H70" s="306"/>
      <c r="I70" s="427"/>
      <c r="J70" s="306"/>
      <c r="K70" s="306"/>
      <c r="L70" s="307"/>
      <c r="M70" s="307"/>
      <c r="N70" s="307"/>
      <c r="O70" s="307"/>
      <c r="P70" s="307"/>
      <c r="Q70" s="307"/>
      <c r="R70" s="307"/>
      <c r="S70" s="307"/>
      <c r="T70" s="307"/>
      <c r="U70" s="307"/>
      <c r="V70" s="307"/>
      <c r="W70" s="307"/>
      <c r="X70" s="307"/>
      <c r="Y70" s="307"/>
      <c r="Z70" s="307"/>
      <c r="AA70" s="307"/>
      <c r="AB70" s="307"/>
    </row>
    <row r="71" ht="15.75" customHeight="1">
      <c r="A71" s="306"/>
      <c r="B71" s="306"/>
      <c r="C71" s="306"/>
      <c r="D71" s="306"/>
      <c r="E71" s="306"/>
      <c r="F71" s="306"/>
      <c r="G71" s="306"/>
      <c r="H71" s="306"/>
      <c r="I71" s="427"/>
      <c r="J71" s="306"/>
      <c r="K71" s="306"/>
      <c r="L71" s="307"/>
      <c r="M71" s="307"/>
      <c r="N71" s="307"/>
      <c r="O71" s="307"/>
      <c r="P71" s="307"/>
      <c r="Q71" s="307"/>
      <c r="R71" s="307"/>
      <c r="S71" s="307"/>
      <c r="T71" s="307"/>
      <c r="U71" s="307"/>
      <c r="V71" s="307"/>
      <c r="W71" s="307"/>
      <c r="X71" s="307"/>
      <c r="Y71" s="307"/>
      <c r="Z71" s="307"/>
      <c r="AA71" s="307"/>
      <c r="AB71" s="307"/>
    </row>
    <row r="72" ht="15.75" customHeight="1">
      <c r="A72" s="306"/>
      <c r="B72" s="306"/>
      <c r="C72" s="306"/>
      <c r="D72" s="306"/>
      <c r="E72" s="306"/>
      <c r="F72" s="306"/>
      <c r="G72" s="306"/>
      <c r="H72" s="306"/>
      <c r="I72" s="427"/>
      <c r="J72" s="306"/>
      <c r="K72" s="306"/>
      <c r="L72" s="307"/>
      <c r="M72" s="307"/>
      <c r="N72" s="307"/>
      <c r="O72" s="307"/>
      <c r="P72" s="307"/>
      <c r="Q72" s="307"/>
      <c r="R72" s="307"/>
      <c r="S72" s="307"/>
      <c r="T72" s="307"/>
      <c r="U72" s="307"/>
      <c r="V72" s="307"/>
      <c r="W72" s="307"/>
      <c r="X72" s="307"/>
      <c r="Y72" s="307"/>
      <c r="Z72" s="307"/>
      <c r="AA72" s="307"/>
      <c r="AB72" s="307"/>
    </row>
    <row r="73" ht="15.75" customHeight="1">
      <c r="A73" s="306"/>
      <c r="B73" s="306"/>
      <c r="C73" s="306"/>
      <c r="D73" s="306"/>
      <c r="E73" s="306"/>
      <c r="F73" s="306"/>
      <c r="G73" s="306"/>
      <c r="H73" s="306"/>
      <c r="I73" s="427"/>
      <c r="J73" s="306"/>
      <c r="K73" s="306"/>
      <c r="L73" s="307"/>
      <c r="M73" s="307"/>
      <c r="N73" s="307"/>
      <c r="O73" s="307"/>
      <c r="P73" s="307"/>
      <c r="Q73" s="307"/>
      <c r="R73" s="307"/>
      <c r="S73" s="307"/>
      <c r="T73" s="307"/>
      <c r="U73" s="307"/>
      <c r="V73" s="307"/>
      <c r="W73" s="307"/>
      <c r="X73" s="307"/>
      <c r="Y73" s="307"/>
      <c r="Z73" s="307"/>
      <c r="AA73" s="307"/>
      <c r="AB73" s="307"/>
    </row>
    <row r="74" ht="15.75" customHeight="1">
      <c r="A74" s="306"/>
      <c r="B74" s="306"/>
      <c r="C74" s="306"/>
      <c r="D74" s="306"/>
      <c r="E74" s="306"/>
      <c r="F74" s="306"/>
      <c r="G74" s="306"/>
      <c r="H74" s="306"/>
      <c r="I74" s="427"/>
      <c r="J74" s="306"/>
      <c r="K74" s="306"/>
      <c r="L74" s="307"/>
      <c r="M74" s="307"/>
      <c r="N74" s="307"/>
      <c r="O74" s="307"/>
      <c r="P74" s="307"/>
      <c r="Q74" s="307"/>
      <c r="R74" s="307"/>
      <c r="S74" s="307"/>
      <c r="T74" s="307"/>
      <c r="U74" s="307"/>
      <c r="V74" s="307"/>
      <c r="W74" s="307"/>
      <c r="X74" s="307"/>
      <c r="Y74" s="307"/>
      <c r="Z74" s="307"/>
      <c r="AA74" s="307"/>
      <c r="AB74" s="307"/>
    </row>
    <row r="75" ht="15.75" customHeight="1">
      <c r="A75" s="306"/>
      <c r="B75" s="306"/>
      <c r="C75" s="306"/>
      <c r="D75" s="306"/>
      <c r="E75" s="306"/>
      <c r="F75" s="306"/>
      <c r="G75" s="306"/>
      <c r="H75" s="306"/>
      <c r="I75" s="427"/>
      <c r="J75" s="306"/>
      <c r="K75" s="306"/>
      <c r="L75" s="307"/>
      <c r="M75" s="307"/>
      <c r="N75" s="307"/>
      <c r="O75" s="307"/>
      <c r="P75" s="307"/>
      <c r="Q75" s="307"/>
      <c r="R75" s="307"/>
      <c r="S75" s="307"/>
      <c r="T75" s="307"/>
      <c r="U75" s="307"/>
      <c r="V75" s="307"/>
      <c r="W75" s="307"/>
      <c r="X75" s="307"/>
      <c r="Y75" s="307"/>
      <c r="Z75" s="307"/>
      <c r="AA75" s="307"/>
      <c r="AB75" s="307"/>
    </row>
    <row r="76" ht="15.75" customHeight="1">
      <c r="A76" s="306"/>
      <c r="B76" s="306"/>
      <c r="C76" s="306"/>
      <c r="D76" s="306"/>
      <c r="E76" s="306"/>
      <c r="F76" s="306"/>
      <c r="G76" s="306"/>
      <c r="H76" s="306"/>
      <c r="I76" s="427"/>
      <c r="J76" s="306"/>
      <c r="K76" s="306"/>
      <c r="L76" s="307"/>
      <c r="M76" s="307"/>
      <c r="N76" s="307"/>
      <c r="O76" s="307"/>
      <c r="P76" s="307"/>
      <c r="Q76" s="307"/>
      <c r="R76" s="307"/>
      <c r="S76" s="307"/>
      <c r="T76" s="307"/>
      <c r="U76" s="307"/>
      <c r="V76" s="307"/>
      <c r="W76" s="307"/>
      <c r="X76" s="307"/>
      <c r="Y76" s="307"/>
      <c r="Z76" s="307"/>
      <c r="AA76" s="307"/>
      <c r="AB76" s="307"/>
    </row>
    <row r="77" ht="15.75" customHeight="1">
      <c r="A77" s="306"/>
      <c r="B77" s="306"/>
      <c r="C77" s="306"/>
      <c r="D77" s="306"/>
      <c r="E77" s="306"/>
      <c r="F77" s="306"/>
      <c r="G77" s="306"/>
      <c r="H77" s="306"/>
      <c r="I77" s="427"/>
      <c r="J77" s="306"/>
      <c r="K77" s="306"/>
      <c r="L77" s="307"/>
      <c r="M77" s="307"/>
      <c r="N77" s="307"/>
      <c r="O77" s="307"/>
      <c r="P77" s="307"/>
      <c r="Q77" s="307"/>
      <c r="R77" s="307"/>
      <c r="S77" s="307"/>
      <c r="T77" s="307"/>
      <c r="U77" s="307"/>
      <c r="V77" s="307"/>
      <c r="W77" s="307"/>
      <c r="X77" s="307"/>
      <c r="Y77" s="307"/>
      <c r="Z77" s="307"/>
      <c r="AA77" s="307"/>
      <c r="AB77" s="307"/>
    </row>
    <row r="78" ht="15.75" customHeight="1">
      <c r="A78" s="306"/>
      <c r="B78" s="306"/>
      <c r="C78" s="306"/>
      <c r="D78" s="306"/>
      <c r="E78" s="306"/>
      <c r="F78" s="306"/>
      <c r="G78" s="306"/>
      <c r="H78" s="306"/>
      <c r="I78" s="427"/>
      <c r="J78" s="306"/>
      <c r="K78" s="306"/>
      <c r="L78" s="307"/>
      <c r="M78" s="307"/>
      <c r="N78" s="307"/>
      <c r="O78" s="307"/>
      <c r="P78" s="307"/>
      <c r="Q78" s="307"/>
      <c r="R78" s="307"/>
      <c r="S78" s="307"/>
      <c r="T78" s="307"/>
      <c r="U78" s="307"/>
      <c r="V78" s="307"/>
      <c r="W78" s="307"/>
      <c r="X78" s="307"/>
      <c r="Y78" s="307"/>
      <c r="Z78" s="307"/>
      <c r="AA78" s="307"/>
      <c r="AB78" s="307"/>
    </row>
    <row r="79" ht="15.75" customHeight="1">
      <c r="A79" s="306"/>
      <c r="B79" s="306"/>
      <c r="C79" s="306"/>
      <c r="D79" s="306"/>
      <c r="E79" s="306"/>
      <c r="F79" s="306"/>
      <c r="G79" s="306"/>
      <c r="H79" s="306"/>
      <c r="I79" s="427"/>
      <c r="J79" s="306"/>
      <c r="K79" s="306"/>
      <c r="L79" s="307"/>
      <c r="M79" s="307"/>
      <c r="N79" s="307"/>
      <c r="O79" s="307"/>
      <c r="P79" s="307"/>
      <c r="Q79" s="307"/>
      <c r="R79" s="307"/>
      <c r="S79" s="307"/>
      <c r="T79" s="307"/>
      <c r="U79" s="307"/>
      <c r="V79" s="307"/>
      <c r="W79" s="307"/>
      <c r="X79" s="307"/>
      <c r="Y79" s="307"/>
      <c r="Z79" s="307"/>
      <c r="AA79" s="307"/>
      <c r="AB79" s="307"/>
    </row>
    <row r="80" ht="15.75" customHeight="1">
      <c r="A80" s="306"/>
      <c r="B80" s="306"/>
      <c r="C80" s="306"/>
      <c r="D80" s="306"/>
      <c r="E80" s="306"/>
      <c r="F80" s="306"/>
      <c r="G80" s="306"/>
      <c r="H80" s="306"/>
      <c r="I80" s="427"/>
      <c r="J80" s="306"/>
      <c r="K80" s="306"/>
      <c r="L80" s="307"/>
      <c r="M80" s="307"/>
      <c r="N80" s="307"/>
      <c r="O80" s="307"/>
      <c r="P80" s="307"/>
      <c r="Q80" s="307"/>
      <c r="R80" s="307"/>
      <c r="S80" s="307"/>
      <c r="T80" s="307"/>
      <c r="U80" s="307"/>
      <c r="V80" s="307"/>
      <c r="W80" s="307"/>
      <c r="X80" s="307"/>
      <c r="Y80" s="307"/>
      <c r="Z80" s="307"/>
      <c r="AA80" s="307"/>
      <c r="AB80" s="307"/>
    </row>
    <row r="81" ht="15.75" customHeight="1">
      <c r="A81" s="306"/>
      <c r="B81" s="306"/>
      <c r="C81" s="306"/>
      <c r="D81" s="306"/>
      <c r="E81" s="306"/>
      <c r="F81" s="306"/>
      <c r="G81" s="306"/>
      <c r="H81" s="306"/>
      <c r="I81" s="427"/>
      <c r="J81" s="306"/>
      <c r="K81" s="306"/>
      <c r="L81" s="307"/>
      <c r="M81" s="307"/>
      <c r="N81" s="307"/>
      <c r="O81" s="307"/>
      <c r="P81" s="307"/>
      <c r="Q81" s="307"/>
      <c r="R81" s="307"/>
      <c r="S81" s="307"/>
      <c r="T81" s="307"/>
      <c r="U81" s="307"/>
      <c r="V81" s="307"/>
      <c r="W81" s="307"/>
      <c r="X81" s="307"/>
      <c r="Y81" s="307"/>
      <c r="Z81" s="307"/>
      <c r="AA81" s="307"/>
      <c r="AB81" s="307"/>
    </row>
    <row r="82" ht="15.75" customHeight="1">
      <c r="A82" s="306"/>
      <c r="B82" s="306"/>
      <c r="C82" s="306"/>
      <c r="D82" s="306"/>
      <c r="E82" s="306"/>
      <c r="F82" s="306"/>
      <c r="G82" s="306"/>
      <c r="H82" s="306"/>
      <c r="I82" s="427"/>
      <c r="J82" s="306"/>
      <c r="K82" s="306"/>
      <c r="L82" s="307"/>
      <c r="M82" s="307"/>
      <c r="N82" s="307"/>
      <c r="O82" s="307"/>
      <c r="P82" s="307"/>
      <c r="Q82" s="307"/>
      <c r="R82" s="307"/>
      <c r="S82" s="307"/>
      <c r="T82" s="307"/>
      <c r="U82" s="307"/>
      <c r="V82" s="307"/>
      <c r="W82" s="307"/>
      <c r="X82" s="307"/>
      <c r="Y82" s="307"/>
      <c r="Z82" s="307"/>
      <c r="AA82" s="307"/>
      <c r="AB82" s="307"/>
    </row>
    <row r="83" ht="15.75" customHeight="1">
      <c r="A83" s="306"/>
      <c r="B83" s="306"/>
      <c r="C83" s="306"/>
      <c r="D83" s="306"/>
      <c r="E83" s="306"/>
      <c r="F83" s="306"/>
      <c r="G83" s="306"/>
      <c r="H83" s="306"/>
      <c r="I83" s="427"/>
      <c r="J83" s="306"/>
      <c r="K83" s="306"/>
      <c r="L83" s="307"/>
      <c r="M83" s="307"/>
      <c r="N83" s="307"/>
      <c r="O83" s="307"/>
      <c r="P83" s="307"/>
      <c r="Q83" s="307"/>
      <c r="R83" s="307"/>
      <c r="S83" s="307"/>
      <c r="T83" s="307"/>
      <c r="U83" s="307"/>
      <c r="V83" s="307"/>
      <c r="W83" s="307"/>
      <c r="X83" s="307"/>
      <c r="Y83" s="307"/>
      <c r="Z83" s="307"/>
      <c r="AA83" s="307"/>
      <c r="AB83" s="307"/>
    </row>
    <row r="84" ht="15.75" customHeight="1">
      <c r="A84" s="306"/>
      <c r="B84" s="306"/>
      <c r="C84" s="306"/>
      <c r="D84" s="306"/>
      <c r="E84" s="306"/>
      <c r="F84" s="306"/>
      <c r="G84" s="306"/>
      <c r="H84" s="306"/>
      <c r="I84" s="427"/>
      <c r="J84" s="306"/>
      <c r="K84" s="306"/>
      <c r="L84" s="307"/>
      <c r="M84" s="307"/>
      <c r="N84" s="307"/>
      <c r="O84" s="307"/>
      <c r="P84" s="307"/>
      <c r="Q84" s="307"/>
      <c r="R84" s="307"/>
      <c r="S84" s="307"/>
      <c r="T84" s="307"/>
      <c r="U84" s="307"/>
      <c r="V84" s="307"/>
      <c r="W84" s="307"/>
      <c r="X84" s="307"/>
      <c r="Y84" s="307"/>
      <c r="Z84" s="307"/>
      <c r="AA84" s="307"/>
      <c r="AB84" s="307"/>
    </row>
    <row r="85" ht="15.75" customHeight="1">
      <c r="A85" s="306"/>
      <c r="B85" s="306"/>
      <c r="C85" s="306"/>
      <c r="D85" s="306"/>
      <c r="E85" s="306"/>
      <c r="F85" s="306"/>
      <c r="G85" s="306"/>
      <c r="H85" s="306"/>
      <c r="I85" s="427"/>
      <c r="J85" s="306"/>
      <c r="K85" s="306"/>
      <c r="L85" s="307"/>
      <c r="M85" s="307"/>
      <c r="N85" s="307"/>
      <c r="O85" s="307"/>
      <c r="P85" s="307"/>
      <c r="Q85" s="307"/>
      <c r="R85" s="307"/>
      <c r="S85" s="307"/>
      <c r="T85" s="307"/>
      <c r="U85" s="307"/>
      <c r="V85" s="307"/>
      <c r="W85" s="307"/>
      <c r="X85" s="307"/>
      <c r="Y85" s="307"/>
      <c r="Z85" s="307"/>
      <c r="AA85" s="307"/>
      <c r="AB85" s="307"/>
    </row>
    <row r="86" ht="15.75" customHeight="1">
      <c r="A86" s="306"/>
      <c r="B86" s="306"/>
      <c r="C86" s="306"/>
      <c r="D86" s="306"/>
      <c r="E86" s="306"/>
      <c r="F86" s="306"/>
      <c r="G86" s="306"/>
      <c r="H86" s="306"/>
      <c r="I86" s="427"/>
      <c r="J86" s="306"/>
      <c r="K86" s="306"/>
      <c r="L86" s="307"/>
      <c r="M86" s="307"/>
      <c r="N86" s="307"/>
      <c r="O86" s="307"/>
      <c r="P86" s="307"/>
      <c r="Q86" s="307"/>
      <c r="R86" s="307"/>
      <c r="S86" s="307"/>
      <c r="T86" s="307"/>
      <c r="U86" s="307"/>
      <c r="V86" s="307"/>
      <c r="W86" s="307"/>
      <c r="X86" s="307"/>
      <c r="Y86" s="307"/>
      <c r="Z86" s="307"/>
      <c r="AA86" s="307"/>
      <c r="AB86" s="307"/>
    </row>
    <row r="87" ht="15.75" customHeight="1">
      <c r="A87" s="306"/>
      <c r="B87" s="306"/>
      <c r="C87" s="306"/>
      <c r="D87" s="306"/>
      <c r="E87" s="306"/>
      <c r="F87" s="306"/>
      <c r="G87" s="306"/>
      <c r="H87" s="306"/>
      <c r="I87" s="427"/>
      <c r="J87" s="306"/>
      <c r="K87" s="306"/>
      <c r="L87" s="307"/>
      <c r="M87" s="307"/>
      <c r="N87" s="307"/>
      <c r="O87" s="307"/>
      <c r="P87" s="307"/>
      <c r="Q87" s="307"/>
      <c r="R87" s="307"/>
      <c r="S87" s="307"/>
      <c r="T87" s="307"/>
      <c r="U87" s="307"/>
      <c r="V87" s="307"/>
      <c r="W87" s="307"/>
      <c r="X87" s="307"/>
      <c r="Y87" s="307"/>
      <c r="Z87" s="307"/>
      <c r="AA87" s="307"/>
      <c r="AB87" s="307"/>
    </row>
    <row r="88" ht="15.75" customHeight="1">
      <c r="A88" s="306"/>
      <c r="B88" s="306"/>
      <c r="C88" s="306"/>
      <c r="D88" s="306"/>
      <c r="E88" s="306"/>
      <c r="F88" s="306"/>
      <c r="G88" s="306"/>
      <c r="H88" s="306"/>
      <c r="I88" s="427"/>
      <c r="J88" s="306"/>
      <c r="K88" s="306"/>
      <c r="L88" s="307"/>
      <c r="M88" s="307"/>
      <c r="N88" s="307"/>
      <c r="O88" s="307"/>
      <c r="P88" s="307"/>
      <c r="Q88" s="307"/>
      <c r="R88" s="307"/>
      <c r="S88" s="307"/>
      <c r="T88" s="307"/>
      <c r="U88" s="307"/>
      <c r="V88" s="307"/>
      <c r="W88" s="307"/>
      <c r="X88" s="307"/>
      <c r="Y88" s="307"/>
      <c r="Z88" s="307"/>
      <c r="AA88" s="307"/>
      <c r="AB88" s="307"/>
    </row>
    <row r="89" ht="15.75" customHeight="1">
      <c r="A89" s="306"/>
      <c r="B89" s="306"/>
      <c r="C89" s="306"/>
      <c r="D89" s="306"/>
      <c r="E89" s="306"/>
      <c r="F89" s="306"/>
      <c r="G89" s="306"/>
      <c r="H89" s="306"/>
      <c r="I89" s="427"/>
      <c r="J89" s="306"/>
      <c r="K89" s="306"/>
      <c r="L89" s="307"/>
      <c r="M89" s="307"/>
      <c r="N89" s="307"/>
      <c r="O89" s="307"/>
      <c r="P89" s="307"/>
      <c r="Q89" s="307"/>
      <c r="R89" s="307"/>
      <c r="S89" s="307"/>
      <c r="T89" s="307"/>
      <c r="U89" s="307"/>
      <c r="V89" s="307"/>
      <c r="W89" s="307"/>
      <c r="X89" s="307"/>
      <c r="Y89" s="307"/>
      <c r="Z89" s="307"/>
      <c r="AA89" s="307"/>
      <c r="AB89" s="307"/>
    </row>
    <row r="90" ht="15.75" customHeight="1">
      <c r="A90" s="306"/>
      <c r="B90" s="306"/>
      <c r="C90" s="306"/>
      <c r="D90" s="306"/>
      <c r="E90" s="306"/>
      <c r="F90" s="306"/>
      <c r="G90" s="306"/>
      <c r="H90" s="306"/>
      <c r="I90" s="427"/>
      <c r="J90" s="306"/>
      <c r="K90" s="306"/>
      <c r="L90" s="307"/>
      <c r="M90" s="307"/>
      <c r="N90" s="307"/>
      <c r="O90" s="307"/>
      <c r="P90" s="307"/>
      <c r="Q90" s="307"/>
      <c r="R90" s="307"/>
      <c r="S90" s="307"/>
      <c r="T90" s="307"/>
      <c r="U90" s="307"/>
      <c r="V90" s="307"/>
      <c r="W90" s="307"/>
      <c r="X90" s="307"/>
      <c r="Y90" s="307"/>
      <c r="Z90" s="307"/>
      <c r="AA90" s="307"/>
      <c r="AB90" s="307"/>
    </row>
    <row r="91" ht="15.75" customHeight="1">
      <c r="A91" s="306"/>
      <c r="B91" s="306"/>
      <c r="C91" s="306"/>
      <c r="D91" s="306"/>
      <c r="E91" s="306"/>
      <c r="F91" s="306"/>
      <c r="G91" s="306"/>
      <c r="H91" s="306"/>
      <c r="I91" s="427"/>
      <c r="J91" s="306"/>
      <c r="K91" s="306"/>
      <c r="L91" s="307"/>
      <c r="M91" s="307"/>
      <c r="N91" s="307"/>
      <c r="O91" s="307"/>
      <c r="P91" s="307"/>
      <c r="Q91" s="307"/>
      <c r="R91" s="307"/>
      <c r="S91" s="307"/>
      <c r="T91" s="307"/>
      <c r="U91" s="307"/>
      <c r="V91" s="307"/>
      <c r="W91" s="307"/>
      <c r="X91" s="307"/>
      <c r="Y91" s="307"/>
      <c r="Z91" s="307"/>
      <c r="AA91" s="307"/>
      <c r="AB91" s="307"/>
    </row>
    <row r="92" ht="15.75" customHeight="1">
      <c r="A92" s="306"/>
      <c r="B92" s="306"/>
      <c r="C92" s="306"/>
      <c r="D92" s="306"/>
      <c r="E92" s="306"/>
      <c r="F92" s="306"/>
      <c r="G92" s="306"/>
      <c r="H92" s="306"/>
      <c r="I92" s="427"/>
      <c r="J92" s="306"/>
      <c r="K92" s="306"/>
      <c r="L92" s="307"/>
      <c r="M92" s="307"/>
      <c r="N92" s="307"/>
      <c r="O92" s="307"/>
      <c r="P92" s="307"/>
      <c r="Q92" s="307"/>
      <c r="R92" s="307"/>
      <c r="S92" s="307"/>
      <c r="T92" s="307"/>
      <c r="U92" s="307"/>
      <c r="V92" s="307"/>
      <c r="W92" s="307"/>
      <c r="X92" s="307"/>
      <c r="Y92" s="307"/>
      <c r="Z92" s="307"/>
      <c r="AA92" s="307"/>
      <c r="AB92" s="307"/>
    </row>
    <row r="93" ht="15.75" customHeight="1">
      <c r="A93" s="306"/>
      <c r="B93" s="306"/>
      <c r="C93" s="306"/>
      <c r="D93" s="306"/>
      <c r="E93" s="306"/>
      <c r="F93" s="306"/>
      <c r="G93" s="306"/>
      <c r="H93" s="306"/>
      <c r="I93" s="427"/>
      <c r="J93" s="306"/>
      <c r="K93" s="306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7"/>
      <c r="AA93" s="307"/>
      <c r="AB93" s="307"/>
    </row>
    <row r="94" ht="15.75" customHeight="1">
      <c r="A94" s="306"/>
      <c r="B94" s="306"/>
      <c r="C94" s="306"/>
      <c r="D94" s="306"/>
      <c r="E94" s="306"/>
      <c r="F94" s="306"/>
      <c r="G94" s="306"/>
      <c r="H94" s="306"/>
      <c r="I94" s="427"/>
      <c r="J94" s="306"/>
      <c r="K94" s="306"/>
      <c r="L94" s="307"/>
      <c r="M94" s="307"/>
      <c r="N94" s="307"/>
      <c r="O94" s="307"/>
      <c r="P94" s="307"/>
      <c r="Q94" s="307"/>
      <c r="R94" s="307"/>
      <c r="S94" s="307"/>
      <c r="T94" s="307"/>
      <c r="U94" s="307"/>
      <c r="V94" s="307"/>
      <c r="W94" s="307"/>
      <c r="X94" s="307"/>
      <c r="Y94" s="307"/>
      <c r="Z94" s="307"/>
      <c r="AA94" s="307"/>
      <c r="AB94" s="307"/>
    </row>
    <row r="95" ht="15.75" customHeight="1">
      <c r="A95" s="306"/>
      <c r="B95" s="306"/>
      <c r="C95" s="306"/>
      <c r="D95" s="306"/>
      <c r="E95" s="306"/>
      <c r="F95" s="306"/>
      <c r="G95" s="306"/>
      <c r="H95" s="306"/>
      <c r="I95" s="427"/>
      <c r="J95" s="306"/>
      <c r="K95" s="306"/>
      <c r="L95" s="307"/>
      <c r="M95" s="307"/>
      <c r="N95" s="307"/>
      <c r="O95" s="307"/>
      <c r="P95" s="307"/>
      <c r="Q95" s="307"/>
      <c r="R95" s="307"/>
      <c r="S95" s="307"/>
      <c r="T95" s="307"/>
      <c r="U95" s="307"/>
      <c r="V95" s="307"/>
      <c r="W95" s="307"/>
      <c r="X95" s="307"/>
      <c r="Y95" s="307"/>
      <c r="Z95" s="307"/>
      <c r="AA95" s="307"/>
      <c r="AB95" s="307"/>
    </row>
    <row r="96" ht="15.75" customHeight="1">
      <c r="A96" s="306"/>
      <c r="B96" s="306"/>
      <c r="C96" s="306"/>
      <c r="D96" s="306"/>
      <c r="E96" s="306"/>
      <c r="F96" s="306"/>
      <c r="G96" s="306"/>
      <c r="H96" s="306"/>
      <c r="I96" s="427"/>
      <c r="J96" s="306"/>
      <c r="K96" s="306"/>
      <c r="L96" s="307"/>
      <c r="M96" s="307"/>
      <c r="N96" s="307"/>
      <c r="O96" s="307"/>
      <c r="P96" s="307"/>
      <c r="Q96" s="307"/>
      <c r="R96" s="307"/>
      <c r="S96" s="307"/>
      <c r="T96" s="307"/>
      <c r="U96" s="307"/>
      <c r="V96" s="307"/>
      <c r="W96" s="307"/>
      <c r="X96" s="307"/>
      <c r="Y96" s="307"/>
      <c r="Z96" s="307"/>
      <c r="AA96" s="307"/>
      <c r="AB96" s="307"/>
    </row>
    <row r="97" ht="15.75" customHeight="1">
      <c r="A97" s="306"/>
      <c r="B97" s="306"/>
      <c r="C97" s="306"/>
      <c r="D97" s="306"/>
      <c r="E97" s="306"/>
      <c r="F97" s="306"/>
      <c r="G97" s="306"/>
      <c r="H97" s="306"/>
      <c r="I97" s="427"/>
      <c r="J97" s="306"/>
      <c r="K97" s="306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307"/>
      <c r="W97" s="307"/>
      <c r="X97" s="307"/>
      <c r="Y97" s="307"/>
      <c r="Z97" s="307"/>
      <c r="AA97" s="307"/>
      <c r="AB97" s="307"/>
    </row>
    <row r="98" ht="15.75" customHeight="1">
      <c r="A98" s="306"/>
      <c r="B98" s="306"/>
      <c r="C98" s="306"/>
      <c r="D98" s="306"/>
      <c r="E98" s="306"/>
      <c r="F98" s="306"/>
      <c r="G98" s="306"/>
      <c r="H98" s="306"/>
      <c r="I98" s="427"/>
      <c r="J98" s="306"/>
      <c r="K98" s="306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307"/>
      <c r="W98" s="307"/>
      <c r="X98" s="307"/>
      <c r="Y98" s="307"/>
      <c r="Z98" s="307"/>
      <c r="AA98" s="307"/>
      <c r="AB98" s="307"/>
    </row>
    <row r="99" ht="15.75" customHeight="1">
      <c r="A99" s="306"/>
      <c r="B99" s="306"/>
      <c r="C99" s="306"/>
      <c r="D99" s="306"/>
      <c r="E99" s="306"/>
      <c r="F99" s="306"/>
      <c r="G99" s="306"/>
      <c r="H99" s="306"/>
      <c r="I99" s="427"/>
      <c r="J99" s="306"/>
      <c r="K99" s="306"/>
      <c r="L99" s="307"/>
      <c r="M99" s="307"/>
      <c r="N99" s="307"/>
      <c r="O99" s="307"/>
      <c r="P99" s="307"/>
      <c r="Q99" s="307"/>
      <c r="R99" s="307"/>
      <c r="S99" s="307"/>
      <c r="T99" s="307"/>
      <c r="U99" s="307"/>
      <c r="V99" s="307"/>
      <c r="W99" s="307"/>
      <c r="X99" s="307"/>
      <c r="Y99" s="307"/>
      <c r="Z99" s="307"/>
      <c r="AA99" s="307"/>
      <c r="AB99" s="307"/>
    </row>
    <row r="100" ht="15.75" customHeight="1">
      <c r="A100" s="306"/>
      <c r="B100" s="306"/>
      <c r="C100" s="306"/>
      <c r="D100" s="306"/>
      <c r="E100" s="306"/>
      <c r="F100" s="306"/>
      <c r="G100" s="306"/>
      <c r="H100" s="306"/>
      <c r="I100" s="427"/>
      <c r="J100" s="306"/>
      <c r="K100" s="306"/>
      <c r="L100" s="307"/>
      <c r="M100" s="307"/>
      <c r="N100" s="307"/>
      <c r="O100" s="307"/>
      <c r="P100" s="307"/>
      <c r="Q100" s="307"/>
      <c r="R100" s="307"/>
      <c r="S100" s="307"/>
      <c r="T100" s="307"/>
      <c r="U100" s="307"/>
      <c r="V100" s="307"/>
      <c r="W100" s="307"/>
      <c r="X100" s="307"/>
      <c r="Y100" s="307"/>
      <c r="Z100" s="307"/>
      <c r="AA100" s="307"/>
      <c r="AB100" s="307"/>
    </row>
    <row r="101" ht="15.75" customHeight="1">
      <c r="A101" s="306"/>
      <c r="B101" s="306"/>
      <c r="C101" s="306"/>
      <c r="D101" s="306"/>
      <c r="E101" s="306"/>
      <c r="F101" s="306"/>
      <c r="G101" s="306"/>
      <c r="H101" s="306"/>
      <c r="I101" s="427"/>
      <c r="J101" s="306"/>
      <c r="K101" s="306"/>
      <c r="L101" s="307"/>
      <c r="M101" s="307"/>
      <c r="N101" s="307"/>
      <c r="O101" s="307"/>
      <c r="P101" s="307"/>
      <c r="Q101" s="307"/>
      <c r="R101" s="307"/>
      <c r="S101" s="307"/>
      <c r="T101" s="307"/>
      <c r="U101" s="307"/>
      <c r="V101" s="307"/>
      <c r="W101" s="307"/>
      <c r="X101" s="307"/>
      <c r="Y101" s="307"/>
      <c r="Z101" s="307"/>
      <c r="AA101" s="307"/>
      <c r="AB101" s="307"/>
    </row>
    <row r="102" ht="15.75" customHeight="1">
      <c r="A102" s="306"/>
      <c r="B102" s="306"/>
      <c r="C102" s="306"/>
      <c r="D102" s="306"/>
      <c r="E102" s="306"/>
      <c r="F102" s="306"/>
      <c r="G102" s="306"/>
      <c r="H102" s="306"/>
      <c r="I102" s="427"/>
      <c r="J102" s="306"/>
      <c r="K102" s="306"/>
      <c r="L102" s="307"/>
      <c r="M102" s="307"/>
      <c r="N102" s="307"/>
      <c r="O102" s="307"/>
      <c r="P102" s="307"/>
      <c r="Q102" s="307"/>
      <c r="R102" s="307"/>
      <c r="S102" s="307"/>
      <c r="T102" s="307"/>
      <c r="U102" s="307"/>
      <c r="V102" s="307"/>
      <c r="W102" s="307"/>
      <c r="X102" s="307"/>
      <c r="Y102" s="307"/>
      <c r="Z102" s="307"/>
      <c r="AA102" s="307"/>
      <c r="AB102" s="307"/>
    </row>
    <row r="103" ht="15.75" customHeight="1">
      <c r="A103" s="306"/>
      <c r="B103" s="306"/>
      <c r="C103" s="306"/>
      <c r="D103" s="306"/>
      <c r="E103" s="306"/>
      <c r="F103" s="306"/>
      <c r="G103" s="306"/>
      <c r="H103" s="306"/>
      <c r="I103" s="427"/>
      <c r="J103" s="306"/>
      <c r="K103" s="306"/>
      <c r="L103" s="307"/>
      <c r="M103" s="307"/>
      <c r="N103" s="307"/>
      <c r="O103" s="307"/>
      <c r="P103" s="307"/>
      <c r="Q103" s="307"/>
      <c r="R103" s="307"/>
      <c r="S103" s="307"/>
      <c r="T103" s="307"/>
      <c r="U103" s="307"/>
      <c r="V103" s="307"/>
      <c r="W103" s="307"/>
      <c r="X103" s="307"/>
      <c r="Y103" s="307"/>
      <c r="Z103" s="307"/>
      <c r="AA103" s="307"/>
      <c r="AB103" s="307"/>
    </row>
    <row r="104" ht="15.75" customHeight="1">
      <c r="A104" s="306"/>
      <c r="B104" s="306"/>
      <c r="C104" s="306"/>
      <c r="D104" s="306"/>
      <c r="E104" s="306"/>
      <c r="F104" s="306"/>
      <c r="G104" s="306"/>
      <c r="H104" s="306"/>
      <c r="I104" s="427"/>
      <c r="J104" s="306"/>
      <c r="K104" s="306"/>
      <c r="L104" s="307"/>
      <c r="M104" s="307"/>
      <c r="N104" s="307"/>
      <c r="O104" s="307"/>
      <c r="P104" s="307"/>
      <c r="Q104" s="307"/>
      <c r="R104" s="307"/>
      <c r="S104" s="307"/>
      <c r="T104" s="307"/>
      <c r="U104" s="307"/>
      <c r="V104" s="307"/>
      <c r="W104" s="307"/>
      <c r="X104" s="307"/>
      <c r="Y104" s="307"/>
      <c r="Z104" s="307"/>
      <c r="AA104" s="307"/>
      <c r="AB104" s="307"/>
    </row>
    <row r="105" ht="15.75" customHeight="1">
      <c r="A105" s="306"/>
      <c r="B105" s="306"/>
      <c r="C105" s="306"/>
      <c r="D105" s="306"/>
      <c r="E105" s="306"/>
      <c r="F105" s="306"/>
      <c r="G105" s="306"/>
      <c r="H105" s="306"/>
      <c r="I105" s="427"/>
      <c r="J105" s="306"/>
      <c r="K105" s="306"/>
      <c r="L105" s="307"/>
      <c r="M105" s="307"/>
      <c r="N105" s="307"/>
      <c r="O105" s="307"/>
      <c r="P105" s="307"/>
      <c r="Q105" s="307"/>
      <c r="R105" s="307"/>
      <c r="S105" s="307"/>
      <c r="T105" s="307"/>
      <c r="U105" s="307"/>
      <c r="V105" s="307"/>
      <c r="W105" s="307"/>
      <c r="X105" s="307"/>
      <c r="Y105" s="307"/>
      <c r="Z105" s="307"/>
      <c r="AA105" s="307"/>
      <c r="AB105" s="307"/>
    </row>
    <row r="106" ht="15.75" customHeight="1">
      <c r="A106" s="306"/>
      <c r="B106" s="306"/>
      <c r="C106" s="306"/>
      <c r="D106" s="306"/>
      <c r="E106" s="306"/>
      <c r="F106" s="306"/>
      <c r="G106" s="306"/>
      <c r="H106" s="306"/>
      <c r="I106" s="427"/>
      <c r="J106" s="306"/>
      <c r="K106" s="306"/>
      <c r="L106" s="307"/>
      <c r="M106" s="307"/>
      <c r="N106" s="307"/>
      <c r="O106" s="307"/>
      <c r="P106" s="307"/>
      <c r="Q106" s="307"/>
      <c r="R106" s="307"/>
      <c r="S106" s="307"/>
      <c r="T106" s="307"/>
      <c r="U106" s="307"/>
      <c r="V106" s="307"/>
      <c r="W106" s="307"/>
      <c r="X106" s="307"/>
      <c r="Y106" s="307"/>
      <c r="Z106" s="307"/>
      <c r="AA106" s="307"/>
      <c r="AB106" s="307"/>
    </row>
    <row r="107" ht="15.75" customHeight="1">
      <c r="A107" s="306"/>
      <c r="B107" s="306"/>
      <c r="C107" s="306"/>
      <c r="D107" s="306"/>
      <c r="E107" s="306"/>
      <c r="F107" s="306"/>
      <c r="G107" s="306"/>
      <c r="H107" s="306"/>
      <c r="I107" s="427"/>
      <c r="J107" s="306"/>
      <c r="K107" s="306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307"/>
      <c r="Z107" s="307"/>
      <c r="AA107" s="307"/>
      <c r="AB107" s="307"/>
    </row>
    <row r="108" ht="15.75" customHeight="1">
      <c r="A108" s="306"/>
      <c r="B108" s="306"/>
      <c r="C108" s="306"/>
      <c r="D108" s="306"/>
      <c r="E108" s="306"/>
      <c r="F108" s="306"/>
      <c r="G108" s="306"/>
      <c r="H108" s="306"/>
      <c r="I108" s="427"/>
      <c r="J108" s="306"/>
      <c r="K108" s="306"/>
      <c r="L108" s="307"/>
      <c r="M108" s="307"/>
      <c r="N108" s="307"/>
      <c r="O108" s="307"/>
      <c r="P108" s="307"/>
      <c r="Q108" s="307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</row>
    <row r="109" ht="15.75" customHeight="1">
      <c r="A109" s="306"/>
      <c r="B109" s="306"/>
      <c r="C109" s="306"/>
      <c r="D109" s="306"/>
      <c r="E109" s="306"/>
      <c r="F109" s="306"/>
      <c r="G109" s="306"/>
      <c r="H109" s="306"/>
      <c r="I109" s="427"/>
      <c r="J109" s="306"/>
      <c r="K109" s="306"/>
      <c r="L109" s="307"/>
      <c r="M109" s="307"/>
      <c r="N109" s="307"/>
      <c r="O109" s="307"/>
      <c r="P109" s="307"/>
      <c r="Q109" s="307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</row>
    <row r="110" ht="15.75" customHeight="1">
      <c r="A110" s="306"/>
      <c r="B110" s="306"/>
      <c r="C110" s="306"/>
      <c r="D110" s="306"/>
      <c r="E110" s="306"/>
      <c r="F110" s="306"/>
      <c r="G110" s="306"/>
      <c r="H110" s="306"/>
      <c r="I110" s="427"/>
      <c r="J110" s="306"/>
      <c r="K110" s="306"/>
      <c r="L110" s="307"/>
      <c r="M110" s="307"/>
      <c r="N110" s="307"/>
      <c r="O110" s="307"/>
      <c r="P110" s="307"/>
      <c r="Q110" s="307"/>
      <c r="R110" s="307"/>
      <c r="S110" s="307"/>
      <c r="T110" s="307"/>
      <c r="U110" s="307"/>
      <c r="V110" s="307"/>
      <c r="W110" s="307"/>
      <c r="X110" s="307"/>
      <c r="Y110" s="307"/>
      <c r="Z110" s="307"/>
      <c r="AA110" s="307"/>
      <c r="AB110" s="307"/>
    </row>
    <row r="111" ht="15.75" customHeight="1">
      <c r="A111" s="306"/>
      <c r="B111" s="306"/>
      <c r="C111" s="306"/>
      <c r="D111" s="306"/>
      <c r="E111" s="306"/>
      <c r="F111" s="306"/>
      <c r="G111" s="306"/>
      <c r="H111" s="306"/>
      <c r="I111" s="427"/>
      <c r="J111" s="306"/>
      <c r="K111" s="306"/>
      <c r="L111" s="307"/>
      <c r="M111" s="307"/>
      <c r="N111" s="307"/>
      <c r="O111" s="307"/>
      <c r="P111" s="307"/>
      <c r="Q111" s="307"/>
      <c r="R111" s="307"/>
      <c r="S111" s="307"/>
      <c r="T111" s="307"/>
      <c r="U111" s="307"/>
      <c r="V111" s="307"/>
      <c r="W111" s="307"/>
      <c r="X111" s="307"/>
      <c r="Y111" s="307"/>
      <c r="Z111" s="307"/>
      <c r="AA111" s="307"/>
      <c r="AB111" s="307"/>
    </row>
    <row r="112" ht="15.75" customHeight="1">
      <c r="A112" s="306"/>
      <c r="B112" s="306"/>
      <c r="C112" s="306"/>
      <c r="D112" s="306"/>
      <c r="E112" s="306"/>
      <c r="F112" s="306"/>
      <c r="G112" s="306"/>
      <c r="H112" s="306"/>
      <c r="I112" s="427"/>
      <c r="J112" s="306"/>
      <c r="K112" s="306"/>
      <c r="L112" s="307"/>
      <c r="M112" s="307"/>
      <c r="N112" s="307"/>
      <c r="O112" s="307"/>
      <c r="P112" s="307"/>
      <c r="Q112" s="307"/>
      <c r="R112" s="307"/>
      <c r="S112" s="307"/>
      <c r="T112" s="307"/>
      <c r="U112" s="307"/>
      <c r="V112" s="307"/>
      <c r="W112" s="307"/>
      <c r="X112" s="307"/>
      <c r="Y112" s="307"/>
      <c r="Z112" s="307"/>
      <c r="AA112" s="307"/>
      <c r="AB112" s="307"/>
    </row>
    <row r="113" ht="15.75" customHeight="1">
      <c r="A113" s="306"/>
      <c r="B113" s="306"/>
      <c r="C113" s="306"/>
      <c r="D113" s="306"/>
      <c r="E113" s="306"/>
      <c r="F113" s="306"/>
      <c r="G113" s="306"/>
      <c r="H113" s="306"/>
      <c r="I113" s="427"/>
      <c r="J113" s="306"/>
      <c r="K113" s="306"/>
      <c r="L113" s="307"/>
      <c r="M113" s="307"/>
      <c r="N113" s="307"/>
      <c r="O113" s="307"/>
      <c r="P113" s="307"/>
      <c r="Q113" s="307"/>
      <c r="R113" s="307"/>
      <c r="S113" s="307"/>
      <c r="T113" s="307"/>
      <c r="U113" s="307"/>
      <c r="V113" s="307"/>
      <c r="W113" s="307"/>
      <c r="X113" s="307"/>
      <c r="Y113" s="307"/>
      <c r="Z113" s="307"/>
      <c r="AA113" s="307"/>
      <c r="AB113" s="307"/>
    </row>
    <row r="114" ht="15.75" customHeight="1">
      <c r="A114" s="306"/>
      <c r="B114" s="306"/>
      <c r="C114" s="306"/>
      <c r="D114" s="306"/>
      <c r="E114" s="306"/>
      <c r="F114" s="306"/>
      <c r="G114" s="306"/>
      <c r="H114" s="306"/>
      <c r="I114" s="427"/>
      <c r="J114" s="306"/>
      <c r="K114" s="306"/>
      <c r="L114" s="307"/>
      <c r="M114" s="307"/>
      <c r="N114" s="307"/>
      <c r="O114" s="307"/>
      <c r="P114" s="307"/>
      <c r="Q114" s="307"/>
      <c r="R114" s="307"/>
      <c r="S114" s="307"/>
      <c r="T114" s="307"/>
      <c r="U114" s="307"/>
      <c r="V114" s="307"/>
      <c r="W114" s="307"/>
      <c r="X114" s="307"/>
      <c r="Y114" s="307"/>
      <c r="Z114" s="307"/>
      <c r="AA114" s="307"/>
      <c r="AB114" s="307"/>
    </row>
    <row r="115" ht="15.75" customHeight="1">
      <c r="A115" s="306"/>
      <c r="B115" s="306"/>
      <c r="C115" s="306"/>
      <c r="D115" s="306"/>
      <c r="E115" s="306"/>
      <c r="F115" s="306"/>
      <c r="G115" s="306"/>
      <c r="H115" s="306"/>
      <c r="I115" s="427"/>
      <c r="J115" s="306"/>
      <c r="K115" s="306"/>
      <c r="L115" s="307"/>
      <c r="M115" s="307"/>
      <c r="N115" s="307"/>
      <c r="O115" s="307"/>
      <c r="P115" s="307"/>
      <c r="Q115" s="307"/>
      <c r="R115" s="307"/>
      <c r="S115" s="307"/>
      <c r="T115" s="307"/>
      <c r="U115" s="307"/>
      <c r="V115" s="307"/>
      <c r="W115" s="307"/>
      <c r="X115" s="307"/>
      <c r="Y115" s="307"/>
      <c r="Z115" s="307"/>
      <c r="AA115" s="307"/>
      <c r="AB115" s="307"/>
    </row>
    <row r="116" ht="15.75" customHeight="1">
      <c r="A116" s="306"/>
      <c r="B116" s="306"/>
      <c r="C116" s="306"/>
      <c r="D116" s="306"/>
      <c r="E116" s="306"/>
      <c r="F116" s="306"/>
      <c r="G116" s="306"/>
      <c r="H116" s="306"/>
      <c r="I116" s="427"/>
      <c r="J116" s="306"/>
      <c r="K116" s="306"/>
      <c r="L116" s="307"/>
      <c r="M116" s="307"/>
      <c r="N116" s="307"/>
      <c r="O116" s="307"/>
      <c r="P116" s="307"/>
      <c r="Q116" s="307"/>
      <c r="R116" s="307"/>
      <c r="S116" s="307"/>
      <c r="T116" s="307"/>
      <c r="U116" s="307"/>
      <c r="V116" s="307"/>
      <c r="W116" s="307"/>
      <c r="X116" s="307"/>
      <c r="Y116" s="307"/>
      <c r="Z116" s="307"/>
      <c r="AA116" s="307"/>
      <c r="AB116" s="307"/>
    </row>
    <row r="117" ht="15.75" customHeight="1">
      <c r="A117" s="306"/>
      <c r="B117" s="306"/>
      <c r="C117" s="306"/>
      <c r="D117" s="306"/>
      <c r="E117" s="306"/>
      <c r="F117" s="306"/>
      <c r="G117" s="306"/>
      <c r="H117" s="306"/>
      <c r="I117" s="427"/>
      <c r="J117" s="306"/>
      <c r="K117" s="306"/>
      <c r="L117" s="307"/>
      <c r="M117" s="307"/>
      <c r="N117" s="307"/>
      <c r="O117" s="307"/>
      <c r="P117" s="307"/>
      <c r="Q117" s="307"/>
      <c r="R117" s="307"/>
      <c r="S117" s="307"/>
      <c r="T117" s="307"/>
      <c r="U117" s="307"/>
      <c r="V117" s="307"/>
      <c r="W117" s="307"/>
      <c r="X117" s="307"/>
      <c r="Y117" s="307"/>
      <c r="Z117" s="307"/>
      <c r="AA117" s="307"/>
      <c r="AB117" s="307"/>
    </row>
    <row r="118" ht="15.75" customHeight="1">
      <c r="A118" s="306"/>
      <c r="B118" s="306"/>
      <c r="C118" s="306"/>
      <c r="D118" s="306"/>
      <c r="E118" s="306"/>
      <c r="F118" s="306"/>
      <c r="G118" s="306"/>
      <c r="H118" s="306"/>
      <c r="I118" s="427"/>
      <c r="J118" s="306"/>
      <c r="K118" s="306"/>
      <c r="L118" s="307"/>
      <c r="M118" s="307"/>
      <c r="N118" s="307"/>
      <c r="O118" s="307"/>
      <c r="P118" s="307"/>
      <c r="Q118" s="307"/>
      <c r="R118" s="307"/>
      <c r="S118" s="307"/>
      <c r="T118" s="307"/>
      <c r="U118" s="307"/>
      <c r="V118" s="307"/>
      <c r="W118" s="307"/>
      <c r="X118" s="307"/>
      <c r="Y118" s="307"/>
      <c r="Z118" s="307"/>
      <c r="AA118" s="307"/>
      <c r="AB118" s="307"/>
    </row>
    <row r="119" ht="15.75" customHeight="1">
      <c r="A119" s="306"/>
      <c r="B119" s="306"/>
      <c r="C119" s="306"/>
      <c r="D119" s="306"/>
      <c r="E119" s="306"/>
      <c r="F119" s="306"/>
      <c r="G119" s="306"/>
      <c r="H119" s="306"/>
      <c r="I119" s="427"/>
      <c r="J119" s="306"/>
      <c r="K119" s="306"/>
      <c r="L119" s="307"/>
      <c r="M119" s="307"/>
      <c r="N119" s="307"/>
      <c r="O119" s="307"/>
      <c r="P119" s="307"/>
      <c r="Q119" s="307"/>
      <c r="R119" s="307"/>
      <c r="S119" s="307"/>
      <c r="T119" s="307"/>
      <c r="U119" s="307"/>
      <c r="V119" s="307"/>
      <c r="W119" s="307"/>
      <c r="X119" s="307"/>
      <c r="Y119" s="307"/>
      <c r="Z119" s="307"/>
      <c r="AA119" s="307"/>
      <c r="AB119" s="307"/>
    </row>
    <row r="120" ht="15.75" customHeight="1">
      <c r="A120" s="306"/>
      <c r="B120" s="306"/>
      <c r="C120" s="306"/>
      <c r="D120" s="306"/>
      <c r="E120" s="306"/>
      <c r="F120" s="306"/>
      <c r="G120" s="306"/>
      <c r="H120" s="306"/>
      <c r="I120" s="427"/>
      <c r="J120" s="306"/>
      <c r="K120" s="306"/>
      <c r="L120" s="307"/>
      <c r="M120" s="307"/>
      <c r="N120" s="307"/>
      <c r="O120" s="307"/>
      <c r="P120" s="307"/>
      <c r="Q120" s="307"/>
      <c r="R120" s="307"/>
      <c r="S120" s="307"/>
      <c r="T120" s="307"/>
      <c r="U120" s="307"/>
      <c r="V120" s="307"/>
      <c r="W120" s="307"/>
      <c r="X120" s="307"/>
      <c r="Y120" s="307"/>
      <c r="Z120" s="307"/>
      <c r="AA120" s="307"/>
      <c r="AB120" s="307"/>
    </row>
    <row r="121" ht="15.75" customHeight="1">
      <c r="A121" s="306"/>
      <c r="B121" s="306"/>
      <c r="C121" s="306"/>
      <c r="D121" s="306"/>
      <c r="E121" s="306"/>
      <c r="F121" s="306"/>
      <c r="G121" s="306"/>
      <c r="H121" s="306"/>
      <c r="I121" s="427"/>
      <c r="J121" s="306"/>
      <c r="K121" s="306"/>
      <c r="L121" s="307"/>
      <c r="M121" s="307"/>
      <c r="N121" s="307"/>
      <c r="O121" s="307"/>
      <c r="P121" s="307"/>
      <c r="Q121" s="307"/>
      <c r="R121" s="307"/>
      <c r="S121" s="307"/>
      <c r="T121" s="307"/>
      <c r="U121" s="307"/>
      <c r="V121" s="307"/>
      <c r="W121" s="307"/>
      <c r="X121" s="307"/>
      <c r="Y121" s="307"/>
      <c r="Z121" s="307"/>
      <c r="AA121" s="307"/>
      <c r="AB121" s="307"/>
    </row>
    <row r="122" ht="15.75" customHeight="1">
      <c r="A122" s="306"/>
      <c r="B122" s="306"/>
      <c r="C122" s="306"/>
      <c r="D122" s="306"/>
      <c r="E122" s="306"/>
      <c r="F122" s="306"/>
      <c r="G122" s="306"/>
      <c r="H122" s="306"/>
      <c r="I122" s="427"/>
      <c r="J122" s="306"/>
      <c r="K122" s="306"/>
      <c r="L122" s="307"/>
      <c r="M122" s="307"/>
      <c r="N122" s="307"/>
      <c r="O122" s="307"/>
      <c r="P122" s="307"/>
      <c r="Q122" s="307"/>
      <c r="R122" s="307"/>
      <c r="S122" s="307"/>
      <c r="T122" s="307"/>
      <c r="U122" s="307"/>
      <c r="V122" s="307"/>
      <c r="W122" s="307"/>
      <c r="X122" s="307"/>
      <c r="Y122" s="307"/>
      <c r="Z122" s="307"/>
      <c r="AA122" s="307"/>
      <c r="AB122" s="307"/>
    </row>
    <row r="123" ht="15.75" customHeight="1">
      <c r="A123" s="306"/>
      <c r="B123" s="306"/>
      <c r="C123" s="306"/>
      <c r="D123" s="306"/>
      <c r="E123" s="306"/>
      <c r="F123" s="306"/>
      <c r="G123" s="306"/>
      <c r="H123" s="306"/>
      <c r="I123" s="427"/>
      <c r="J123" s="306"/>
      <c r="K123" s="306"/>
      <c r="L123" s="307"/>
      <c r="M123" s="307"/>
      <c r="N123" s="307"/>
      <c r="O123" s="307"/>
      <c r="P123" s="307"/>
      <c r="Q123" s="307"/>
      <c r="R123" s="307"/>
      <c r="S123" s="307"/>
      <c r="T123" s="307"/>
      <c r="U123" s="307"/>
      <c r="V123" s="307"/>
      <c r="W123" s="307"/>
      <c r="X123" s="307"/>
      <c r="Y123" s="307"/>
      <c r="Z123" s="307"/>
      <c r="AA123" s="307"/>
      <c r="AB123" s="307"/>
    </row>
    <row r="124" ht="15.75" customHeight="1">
      <c r="A124" s="306"/>
      <c r="B124" s="306"/>
      <c r="C124" s="306"/>
      <c r="D124" s="306"/>
      <c r="E124" s="306"/>
      <c r="F124" s="306"/>
      <c r="G124" s="306"/>
      <c r="H124" s="306"/>
      <c r="I124" s="427"/>
      <c r="J124" s="306"/>
      <c r="K124" s="306"/>
      <c r="L124" s="307"/>
      <c r="M124" s="307"/>
      <c r="N124" s="307"/>
      <c r="O124" s="307"/>
      <c r="P124" s="307"/>
      <c r="Q124" s="307"/>
      <c r="R124" s="307"/>
      <c r="S124" s="307"/>
      <c r="T124" s="307"/>
      <c r="U124" s="307"/>
      <c r="V124" s="307"/>
      <c r="W124" s="307"/>
      <c r="X124" s="307"/>
      <c r="Y124" s="307"/>
      <c r="Z124" s="307"/>
      <c r="AA124" s="307"/>
      <c r="AB124" s="307"/>
    </row>
    <row r="125" ht="15.75" customHeight="1">
      <c r="A125" s="306"/>
      <c r="B125" s="306"/>
      <c r="C125" s="306"/>
      <c r="D125" s="306"/>
      <c r="E125" s="306"/>
      <c r="F125" s="306"/>
      <c r="G125" s="306"/>
      <c r="H125" s="306"/>
      <c r="I125" s="427"/>
      <c r="J125" s="306"/>
      <c r="K125" s="306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W125" s="307"/>
      <c r="X125" s="307"/>
      <c r="Y125" s="307"/>
      <c r="Z125" s="307"/>
      <c r="AA125" s="307"/>
      <c r="AB125" s="307"/>
    </row>
    <row r="126" ht="15.75" customHeight="1">
      <c r="A126" s="306"/>
      <c r="B126" s="306"/>
      <c r="C126" s="306"/>
      <c r="D126" s="306"/>
      <c r="E126" s="306"/>
      <c r="F126" s="306"/>
      <c r="G126" s="306"/>
      <c r="H126" s="306"/>
      <c r="I126" s="427"/>
      <c r="J126" s="306"/>
      <c r="K126" s="306"/>
      <c r="L126" s="307"/>
      <c r="M126" s="307"/>
      <c r="N126" s="307"/>
      <c r="O126" s="307"/>
      <c r="P126" s="307"/>
      <c r="Q126" s="307"/>
      <c r="R126" s="307"/>
      <c r="S126" s="307"/>
      <c r="T126" s="307"/>
      <c r="U126" s="307"/>
      <c r="V126" s="307"/>
      <c r="W126" s="307"/>
      <c r="X126" s="307"/>
      <c r="Y126" s="307"/>
      <c r="Z126" s="307"/>
      <c r="AA126" s="307"/>
      <c r="AB126" s="307"/>
    </row>
    <row r="127" ht="15.75" customHeight="1">
      <c r="A127" s="306"/>
      <c r="B127" s="306"/>
      <c r="C127" s="306"/>
      <c r="D127" s="306"/>
      <c r="E127" s="306"/>
      <c r="F127" s="306"/>
      <c r="G127" s="306"/>
      <c r="H127" s="306"/>
      <c r="I127" s="427"/>
      <c r="J127" s="306"/>
      <c r="K127" s="306"/>
      <c r="L127" s="307"/>
      <c r="M127" s="307"/>
      <c r="N127" s="307"/>
      <c r="O127" s="307"/>
      <c r="P127" s="307"/>
      <c r="Q127" s="307"/>
      <c r="R127" s="307"/>
      <c r="S127" s="307"/>
      <c r="T127" s="307"/>
      <c r="U127" s="307"/>
      <c r="V127" s="307"/>
      <c r="W127" s="307"/>
      <c r="X127" s="307"/>
      <c r="Y127" s="307"/>
      <c r="Z127" s="307"/>
      <c r="AA127" s="307"/>
      <c r="AB127" s="307"/>
    </row>
    <row r="128" ht="15.75" customHeight="1">
      <c r="A128" s="306"/>
      <c r="B128" s="306"/>
      <c r="C128" s="306"/>
      <c r="D128" s="306"/>
      <c r="E128" s="306"/>
      <c r="F128" s="306"/>
      <c r="G128" s="306"/>
      <c r="H128" s="306"/>
      <c r="I128" s="427"/>
      <c r="J128" s="306"/>
      <c r="K128" s="306"/>
      <c r="L128" s="307"/>
      <c r="M128" s="307"/>
      <c r="N128" s="307"/>
      <c r="O128" s="307"/>
      <c r="P128" s="307"/>
      <c r="Q128" s="307"/>
      <c r="R128" s="307"/>
      <c r="S128" s="307"/>
      <c r="T128" s="307"/>
      <c r="U128" s="307"/>
      <c r="V128" s="307"/>
      <c r="W128" s="307"/>
      <c r="X128" s="307"/>
      <c r="Y128" s="307"/>
      <c r="Z128" s="307"/>
      <c r="AA128" s="307"/>
      <c r="AB128" s="307"/>
    </row>
    <row r="129" ht="15.75" customHeight="1">
      <c r="A129" s="306"/>
      <c r="B129" s="306"/>
      <c r="C129" s="306"/>
      <c r="D129" s="306"/>
      <c r="E129" s="306"/>
      <c r="F129" s="306"/>
      <c r="G129" s="306"/>
      <c r="H129" s="306"/>
      <c r="I129" s="427"/>
      <c r="J129" s="306"/>
      <c r="K129" s="306"/>
      <c r="L129" s="307"/>
      <c r="M129" s="307"/>
      <c r="N129" s="307"/>
      <c r="O129" s="307"/>
      <c r="P129" s="307"/>
      <c r="Q129" s="307"/>
      <c r="R129" s="307"/>
      <c r="S129" s="307"/>
      <c r="T129" s="307"/>
      <c r="U129" s="307"/>
      <c r="V129" s="307"/>
      <c r="W129" s="307"/>
      <c r="X129" s="307"/>
      <c r="Y129" s="307"/>
      <c r="Z129" s="307"/>
      <c r="AA129" s="307"/>
      <c r="AB129" s="307"/>
    </row>
    <row r="130" ht="15.75" customHeight="1">
      <c r="A130" s="306"/>
      <c r="B130" s="306"/>
      <c r="C130" s="306"/>
      <c r="D130" s="306"/>
      <c r="E130" s="306"/>
      <c r="F130" s="306"/>
      <c r="G130" s="306"/>
      <c r="H130" s="306"/>
      <c r="I130" s="427"/>
      <c r="J130" s="306"/>
      <c r="K130" s="306"/>
      <c r="L130" s="307"/>
      <c r="M130" s="307"/>
      <c r="N130" s="307"/>
      <c r="O130" s="307"/>
      <c r="P130" s="307"/>
      <c r="Q130" s="307"/>
      <c r="R130" s="307"/>
      <c r="S130" s="307"/>
      <c r="T130" s="307"/>
      <c r="U130" s="307"/>
      <c r="V130" s="307"/>
      <c r="W130" s="307"/>
      <c r="X130" s="307"/>
      <c r="Y130" s="307"/>
      <c r="Z130" s="307"/>
      <c r="AA130" s="307"/>
      <c r="AB130" s="307"/>
    </row>
    <row r="131" ht="15.75" customHeight="1">
      <c r="A131" s="306"/>
      <c r="B131" s="306"/>
      <c r="C131" s="306"/>
      <c r="D131" s="306"/>
      <c r="E131" s="306"/>
      <c r="F131" s="306"/>
      <c r="G131" s="306"/>
      <c r="H131" s="306"/>
      <c r="I131" s="427"/>
      <c r="J131" s="306"/>
      <c r="K131" s="306"/>
      <c r="L131" s="307"/>
      <c r="M131" s="307"/>
      <c r="N131" s="307"/>
      <c r="O131" s="307"/>
      <c r="P131" s="307"/>
      <c r="Q131" s="307"/>
      <c r="R131" s="307"/>
      <c r="S131" s="307"/>
      <c r="T131" s="307"/>
      <c r="U131" s="307"/>
      <c r="V131" s="307"/>
      <c r="W131" s="307"/>
      <c r="X131" s="307"/>
      <c r="Y131" s="307"/>
      <c r="Z131" s="307"/>
      <c r="AA131" s="307"/>
      <c r="AB131" s="307"/>
    </row>
    <row r="132" ht="15.75" customHeight="1">
      <c r="A132" s="306"/>
      <c r="B132" s="306"/>
      <c r="C132" s="306"/>
      <c r="D132" s="306"/>
      <c r="E132" s="306"/>
      <c r="F132" s="306"/>
      <c r="G132" s="306"/>
      <c r="H132" s="306"/>
      <c r="I132" s="427"/>
      <c r="J132" s="306"/>
      <c r="K132" s="306"/>
      <c r="L132" s="307"/>
      <c r="M132" s="307"/>
      <c r="N132" s="307"/>
      <c r="O132" s="307"/>
      <c r="P132" s="307"/>
      <c r="Q132" s="307"/>
      <c r="R132" s="307"/>
      <c r="S132" s="307"/>
      <c r="T132" s="307"/>
      <c r="U132" s="307"/>
      <c r="V132" s="307"/>
      <c r="W132" s="307"/>
      <c r="X132" s="307"/>
      <c r="Y132" s="307"/>
      <c r="Z132" s="307"/>
      <c r="AA132" s="307"/>
      <c r="AB132" s="307"/>
    </row>
    <row r="133" ht="15.75" customHeight="1">
      <c r="A133" s="306"/>
      <c r="B133" s="306"/>
      <c r="C133" s="306"/>
      <c r="D133" s="306"/>
      <c r="E133" s="306"/>
      <c r="F133" s="306"/>
      <c r="G133" s="306"/>
      <c r="H133" s="306"/>
      <c r="I133" s="427"/>
      <c r="J133" s="306"/>
      <c r="K133" s="306"/>
      <c r="L133" s="307"/>
      <c r="M133" s="307"/>
      <c r="N133" s="307"/>
      <c r="O133" s="307"/>
      <c r="P133" s="307"/>
      <c r="Q133" s="307"/>
      <c r="R133" s="307"/>
      <c r="S133" s="307"/>
      <c r="T133" s="307"/>
      <c r="U133" s="307"/>
      <c r="V133" s="307"/>
      <c r="W133" s="307"/>
      <c r="X133" s="307"/>
      <c r="Y133" s="307"/>
      <c r="Z133" s="307"/>
      <c r="AA133" s="307"/>
      <c r="AB133" s="307"/>
    </row>
    <row r="134" ht="15.75" customHeight="1">
      <c r="A134" s="306"/>
      <c r="B134" s="306"/>
      <c r="C134" s="306"/>
      <c r="D134" s="306"/>
      <c r="E134" s="306"/>
      <c r="F134" s="306"/>
      <c r="G134" s="306"/>
      <c r="H134" s="306"/>
      <c r="I134" s="427"/>
      <c r="J134" s="306"/>
      <c r="K134" s="306"/>
      <c r="L134" s="307"/>
      <c r="M134" s="307"/>
      <c r="N134" s="307"/>
      <c r="O134" s="307"/>
      <c r="P134" s="307"/>
      <c r="Q134" s="307"/>
      <c r="R134" s="307"/>
      <c r="S134" s="307"/>
      <c r="T134" s="307"/>
      <c r="U134" s="307"/>
      <c r="V134" s="307"/>
      <c r="W134" s="307"/>
      <c r="X134" s="307"/>
      <c r="Y134" s="307"/>
      <c r="Z134" s="307"/>
      <c r="AA134" s="307"/>
      <c r="AB134" s="307"/>
    </row>
    <row r="135" ht="15.75" customHeight="1">
      <c r="A135" s="306"/>
      <c r="B135" s="306"/>
      <c r="C135" s="306"/>
      <c r="D135" s="306"/>
      <c r="E135" s="306"/>
      <c r="F135" s="306"/>
      <c r="G135" s="306"/>
      <c r="H135" s="306"/>
      <c r="I135" s="427"/>
      <c r="J135" s="306"/>
      <c r="K135" s="306"/>
      <c r="L135" s="307"/>
      <c r="M135" s="307"/>
      <c r="N135" s="307"/>
      <c r="O135" s="307"/>
      <c r="P135" s="307"/>
      <c r="Q135" s="307"/>
      <c r="R135" s="307"/>
      <c r="S135" s="307"/>
      <c r="T135" s="307"/>
      <c r="U135" s="307"/>
      <c r="V135" s="307"/>
      <c r="W135" s="307"/>
      <c r="X135" s="307"/>
      <c r="Y135" s="307"/>
      <c r="Z135" s="307"/>
      <c r="AA135" s="307"/>
      <c r="AB135" s="307"/>
    </row>
    <row r="136" ht="15.75" customHeight="1">
      <c r="A136" s="306"/>
      <c r="B136" s="306"/>
      <c r="C136" s="306"/>
      <c r="D136" s="306"/>
      <c r="E136" s="306"/>
      <c r="F136" s="306"/>
      <c r="G136" s="306"/>
      <c r="H136" s="306"/>
      <c r="I136" s="427"/>
      <c r="J136" s="306"/>
      <c r="K136" s="306"/>
      <c r="L136" s="307"/>
      <c r="M136" s="307"/>
      <c r="N136" s="307"/>
      <c r="O136" s="307"/>
      <c r="P136" s="307"/>
      <c r="Q136" s="307"/>
      <c r="R136" s="307"/>
      <c r="S136" s="307"/>
      <c r="T136" s="307"/>
      <c r="U136" s="307"/>
      <c r="V136" s="307"/>
      <c r="W136" s="307"/>
      <c r="X136" s="307"/>
      <c r="Y136" s="307"/>
      <c r="Z136" s="307"/>
      <c r="AA136" s="307"/>
      <c r="AB136" s="307"/>
    </row>
    <row r="137" ht="15.75" customHeight="1">
      <c r="A137" s="306"/>
      <c r="B137" s="306"/>
      <c r="C137" s="306"/>
      <c r="D137" s="306"/>
      <c r="E137" s="306"/>
      <c r="F137" s="306"/>
      <c r="G137" s="306"/>
      <c r="H137" s="306"/>
      <c r="I137" s="427"/>
      <c r="J137" s="306"/>
      <c r="K137" s="306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307"/>
      <c r="Z137" s="307"/>
      <c r="AA137" s="307"/>
      <c r="AB137" s="307"/>
    </row>
    <row r="138" ht="15.75" customHeight="1">
      <c r="A138" s="306"/>
      <c r="B138" s="306"/>
      <c r="C138" s="306"/>
      <c r="D138" s="306"/>
      <c r="E138" s="306"/>
      <c r="F138" s="306"/>
      <c r="G138" s="306"/>
      <c r="H138" s="306"/>
      <c r="I138" s="427"/>
      <c r="J138" s="306"/>
      <c r="K138" s="306"/>
      <c r="L138" s="307"/>
      <c r="M138" s="307"/>
      <c r="N138" s="307"/>
      <c r="O138" s="307"/>
      <c r="P138" s="307"/>
      <c r="Q138" s="307"/>
      <c r="R138" s="307"/>
      <c r="S138" s="307"/>
      <c r="T138" s="307"/>
      <c r="U138" s="307"/>
      <c r="V138" s="307"/>
      <c r="W138" s="307"/>
      <c r="X138" s="307"/>
      <c r="Y138" s="307"/>
      <c r="Z138" s="307"/>
      <c r="AA138" s="307"/>
      <c r="AB138" s="307"/>
    </row>
    <row r="139" ht="15.75" customHeight="1">
      <c r="A139" s="306"/>
      <c r="B139" s="306"/>
      <c r="C139" s="306"/>
      <c r="D139" s="306"/>
      <c r="E139" s="306"/>
      <c r="F139" s="306"/>
      <c r="G139" s="306"/>
      <c r="H139" s="306"/>
      <c r="I139" s="427"/>
      <c r="J139" s="306"/>
      <c r="K139" s="306"/>
      <c r="L139" s="307"/>
      <c r="M139" s="307"/>
      <c r="N139" s="307"/>
      <c r="O139" s="307"/>
      <c r="P139" s="307"/>
      <c r="Q139" s="307"/>
      <c r="R139" s="307"/>
      <c r="S139" s="307"/>
      <c r="T139" s="307"/>
      <c r="U139" s="307"/>
      <c r="V139" s="307"/>
      <c r="W139" s="307"/>
      <c r="X139" s="307"/>
      <c r="Y139" s="307"/>
      <c r="Z139" s="307"/>
      <c r="AA139" s="307"/>
      <c r="AB139" s="307"/>
    </row>
    <row r="140" ht="15.75" customHeight="1">
      <c r="A140" s="306"/>
      <c r="B140" s="306"/>
      <c r="C140" s="306"/>
      <c r="D140" s="306"/>
      <c r="E140" s="306"/>
      <c r="F140" s="306"/>
      <c r="G140" s="306"/>
      <c r="H140" s="306"/>
      <c r="I140" s="427"/>
      <c r="J140" s="306"/>
      <c r="K140" s="306"/>
      <c r="L140" s="307"/>
      <c r="M140" s="307"/>
      <c r="N140" s="307"/>
      <c r="O140" s="307"/>
      <c r="P140" s="307"/>
      <c r="Q140" s="307"/>
      <c r="R140" s="307"/>
      <c r="S140" s="307"/>
      <c r="T140" s="307"/>
      <c r="U140" s="307"/>
      <c r="V140" s="307"/>
      <c r="W140" s="307"/>
      <c r="X140" s="307"/>
      <c r="Y140" s="307"/>
      <c r="Z140" s="307"/>
      <c r="AA140" s="307"/>
      <c r="AB140" s="307"/>
    </row>
    <row r="141" ht="15.75" customHeight="1">
      <c r="A141" s="306"/>
      <c r="B141" s="306"/>
      <c r="C141" s="306"/>
      <c r="D141" s="306"/>
      <c r="E141" s="306"/>
      <c r="F141" s="306"/>
      <c r="G141" s="306"/>
      <c r="H141" s="306"/>
      <c r="I141" s="427"/>
      <c r="J141" s="306"/>
      <c r="K141" s="306"/>
      <c r="L141" s="307"/>
      <c r="M141" s="307"/>
      <c r="N141" s="307"/>
      <c r="O141" s="307"/>
      <c r="P141" s="307"/>
      <c r="Q141" s="307"/>
      <c r="R141" s="307"/>
      <c r="S141" s="307"/>
      <c r="T141" s="307"/>
      <c r="U141" s="307"/>
      <c r="V141" s="307"/>
      <c r="W141" s="307"/>
      <c r="X141" s="307"/>
      <c r="Y141" s="307"/>
      <c r="Z141" s="307"/>
      <c r="AA141" s="307"/>
      <c r="AB141" s="307"/>
    </row>
    <row r="142" ht="15.75" customHeight="1">
      <c r="A142" s="306"/>
      <c r="B142" s="306"/>
      <c r="C142" s="306"/>
      <c r="D142" s="306"/>
      <c r="E142" s="306"/>
      <c r="F142" s="306"/>
      <c r="G142" s="306"/>
      <c r="H142" s="306"/>
      <c r="I142" s="427"/>
      <c r="J142" s="306"/>
      <c r="K142" s="306"/>
      <c r="L142" s="307"/>
      <c r="M142" s="307"/>
      <c r="N142" s="307"/>
      <c r="O142" s="307"/>
      <c r="P142" s="307"/>
      <c r="Q142" s="307"/>
      <c r="R142" s="307"/>
      <c r="S142" s="307"/>
      <c r="T142" s="307"/>
      <c r="U142" s="307"/>
      <c r="V142" s="307"/>
      <c r="W142" s="307"/>
      <c r="X142" s="307"/>
      <c r="Y142" s="307"/>
      <c r="Z142" s="307"/>
      <c r="AA142" s="307"/>
      <c r="AB142" s="307"/>
    </row>
    <row r="143" ht="15.75" customHeight="1">
      <c r="A143" s="306"/>
      <c r="B143" s="306"/>
      <c r="C143" s="306"/>
      <c r="D143" s="306"/>
      <c r="E143" s="306"/>
      <c r="F143" s="306"/>
      <c r="G143" s="306"/>
      <c r="H143" s="306"/>
      <c r="I143" s="427"/>
      <c r="J143" s="306"/>
      <c r="K143" s="306"/>
      <c r="L143" s="307"/>
      <c r="M143" s="307"/>
      <c r="N143" s="307"/>
      <c r="O143" s="307"/>
      <c r="P143" s="307"/>
      <c r="Q143" s="307"/>
      <c r="R143" s="307"/>
      <c r="S143" s="307"/>
      <c r="T143" s="307"/>
      <c r="U143" s="307"/>
      <c r="V143" s="307"/>
      <c r="W143" s="307"/>
      <c r="X143" s="307"/>
      <c r="Y143" s="307"/>
      <c r="Z143" s="307"/>
      <c r="AA143" s="307"/>
      <c r="AB143" s="307"/>
    </row>
    <row r="144" ht="15.75" customHeight="1">
      <c r="A144" s="306"/>
      <c r="B144" s="306"/>
      <c r="C144" s="306"/>
      <c r="D144" s="306"/>
      <c r="E144" s="306"/>
      <c r="F144" s="306"/>
      <c r="G144" s="306"/>
      <c r="H144" s="306"/>
      <c r="I144" s="427"/>
      <c r="J144" s="306"/>
      <c r="K144" s="306"/>
      <c r="L144" s="307"/>
      <c r="M144" s="307"/>
      <c r="N144" s="307"/>
      <c r="O144" s="307"/>
      <c r="P144" s="307"/>
      <c r="Q144" s="307"/>
      <c r="R144" s="307"/>
      <c r="S144" s="307"/>
      <c r="T144" s="307"/>
      <c r="U144" s="307"/>
      <c r="V144" s="307"/>
      <c r="W144" s="307"/>
      <c r="X144" s="307"/>
      <c r="Y144" s="307"/>
      <c r="Z144" s="307"/>
      <c r="AA144" s="307"/>
      <c r="AB144" s="307"/>
    </row>
    <row r="145" ht="15.75" customHeight="1">
      <c r="A145" s="306"/>
      <c r="B145" s="306"/>
      <c r="C145" s="306"/>
      <c r="D145" s="306"/>
      <c r="E145" s="306"/>
      <c r="F145" s="306"/>
      <c r="G145" s="306"/>
      <c r="H145" s="306"/>
      <c r="I145" s="427"/>
      <c r="J145" s="306"/>
      <c r="K145" s="306"/>
      <c r="L145" s="307"/>
      <c r="M145" s="307"/>
      <c r="N145" s="307"/>
      <c r="O145" s="307"/>
      <c r="P145" s="307"/>
      <c r="Q145" s="307"/>
      <c r="R145" s="307"/>
      <c r="S145" s="307"/>
      <c r="T145" s="307"/>
      <c r="U145" s="307"/>
      <c r="V145" s="307"/>
      <c r="W145" s="307"/>
      <c r="X145" s="307"/>
      <c r="Y145" s="307"/>
      <c r="Z145" s="307"/>
      <c r="AA145" s="307"/>
      <c r="AB145" s="307"/>
    </row>
    <row r="146" ht="15.75" customHeight="1">
      <c r="A146" s="306"/>
      <c r="B146" s="306"/>
      <c r="C146" s="306"/>
      <c r="D146" s="306"/>
      <c r="E146" s="306"/>
      <c r="F146" s="306"/>
      <c r="G146" s="306"/>
      <c r="H146" s="306"/>
      <c r="I146" s="427"/>
      <c r="J146" s="306"/>
      <c r="K146" s="306"/>
      <c r="L146" s="307"/>
      <c r="M146" s="307"/>
      <c r="N146" s="307"/>
      <c r="O146" s="307"/>
      <c r="P146" s="307"/>
      <c r="Q146" s="307"/>
      <c r="R146" s="307"/>
      <c r="S146" s="307"/>
      <c r="T146" s="307"/>
      <c r="U146" s="307"/>
      <c r="V146" s="307"/>
      <c r="W146" s="307"/>
      <c r="X146" s="307"/>
      <c r="Y146" s="307"/>
      <c r="Z146" s="307"/>
      <c r="AA146" s="307"/>
      <c r="AB146" s="307"/>
    </row>
    <row r="147" ht="15.75" customHeight="1">
      <c r="A147" s="306"/>
      <c r="B147" s="306"/>
      <c r="C147" s="306"/>
      <c r="D147" s="306"/>
      <c r="E147" s="306"/>
      <c r="F147" s="306"/>
      <c r="G147" s="306"/>
      <c r="H147" s="306"/>
      <c r="I147" s="427"/>
      <c r="J147" s="306"/>
      <c r="K147" s="306"/>
      <c r="L147" s="307"/>
      <c r="M147" s="307"/>
      <c r="N147" s="307"/>
      <c r="O147" s="307"/>
      <c r="P147" s="307"/>
      <c r="Q147" s="307"/>
      <c r="R147" s="307"/>
      <c r="S147" s="307"/>
      <c r="T147" s="307"/>
      <c r="U147" s="307"/>
      <c r="V147" s="307"/>
      <c r="W147" s="307"/>
      <c r="X147" s="307"/>
      <c r="Y147" s="307"/>
      <c r="Z147" s="307"/>
      <c r="AA147" s="307"/>
      <c r="AB147" s="307"/>
    </row>
    <row r="148" ht="15.75" customHeight="1">
      <c r="A148" s="306"/>
      <c r="B148" s="306"/>
      <c r="C148" s="306"/>
      <c r="D148" s="306"/>
      <c r="E148" s="306"/>
      <c r="F148" s="306"/>
      <c r="G148" s="306"/>
      <c r="H148" s="306"/>
      <c r="I148" s="427"/>
      <c r="J148" s="306"/>
      <c r="K148" s="306"/>
      <c r="L148" s="307"/>
      <c r="M148" s="307"/>
      <c r="N148" s="307"/>
      <c r="O148" s="307"/>
      <c r="P148" s="307"/>
      <c r="Q148" s="307"/>
      <c r="R148" s="307"/>
      <c r="S148" s="307"/>
      <c r="T148" s="307"/>
      <c r="U148" s="307"/>
      <c r="V148" s="307"/>
      <c r="W148" s="307"/>
      <c r="X148" s="307"/>
      <c r="Y148" s="307"/>
      <c r="Z148" s="307"/>
      <c r="AA148" s="307"/>
      <c r="AB148" s="307"/>
    </row>
    <row r="149" ht="15.75" customHeight="1">
      <c r="A149" s="306"/>
      <c r="B149" s="306"/>
      <c r="C149" s="306"/>
      <c r="D149" s="306"/>
      <c r="E149" s="306"/>
      <c r="F149" s="306"/>
      <c r="G149" s="306"/>
      <c r="H149" s="306"/>
      <c r="I149" s="427"/>
      <c r="J149" s="306"/>
      <c r="K149" s="306"/>
      <c r="L149" s="307"/>
      <c r="M149" s="307"/>
      <c r="N149" s="307"/>
      <c r="O149" s="307"/>
      <c r="P149" s="307"/>
      <c r="Q149" s="307"/>
      <c r="R149" s="307"/>
      <c r="S149" s="307"/>
      <c r="T149" s="307"/>
      <c r="U149" s="307"/>
      <c r="V149" s="307"/>
      <c r="W149" s="307"/>
      <c r="X149" s="307"/>
      <c r="Y149" s="307"/>
      <c r="Z149" s="307"/>
      <c r="AA149" s="307"/>
      <c r="AB149" s="307"/>
    </row>
    <row r="150" ht="15.75" customHeight="1">
      <c r="A150" s="306"/>
      <c r="B150" s="306"/>
      <c r="C150" s="306"/>
      <c r="D150" s="306"/>
      <c r="E150" s="306"/>
      <c r="F150" s="306"/>
      <c r="G150" s="306"/>
      <c r="H150" s="306"/>
      <c r="I150" s="427"/>
      <c r="J150" s="306"/>
      <c r="K150" s="306"/>
      <c r="L150" s="307"/>
      <c r="M150" s="307"/>
      <c r="N150" s="307"/>
      <c r="O150" s="307"/>
      <c r="P150" s="307"/>
      <c r="Q150" s="307"/>
      <c r="R150" s="307"/>
      <c r="S150" s="307"/>
      <c r="T150" s="307"/>
      <c r="U150" s="307"/>
      <c r="V150" s="307"/>
      <c r="W150" s="307"/>
      <c r="X150" s="307"/>
      <c r="Y150" s="307"/>
      <c r="Z150" s="307"/>
      <c r="AA150" s="307"/>
      <c r="AB150" s="307"/>
    </row>
    <row r="151" ht="15.75" customHeight="1">
      <c r="A151" s="306"/>
      <c r="B151" s="306"/>
      <c r="C151" s="306"/>
      <c r="D151" s="306"/>
      <c r="E151" s="306"/>
      <c r="F151" s="306"/>
      <c r="G151" s="306"/>
      <c r="H151" s="306"/>
      <c r="I151" s="427"/>
      <c r="J151" s="306"/>
      <c r="K151" s="306"/>
      <c r="L151" s="307"/>
      <c r="M151" s="307"/>
      <c r="N151" s="307"/>
      <c r="O151" s="307"/>
      <c r="P151" s="307"/>
      <c r="Q151" s="307"/>
      <c r="R151" s="307"/>
      <c r="S151" s="307"/>
      <c r="T151" s="307"/>
      <c r="U151" s="307"/>
      <c r="V151" s="307"/>
      <c r="W151" s="307"/>
      <c r="X151" s="307"/>
      <c r="Y151" s="307"/>
      <c r="Z151" s="307"/>
      <c r="AA151" s="307"/>
      <c r="AB151" s="307"/>
    </row>
    <row r="152" ht="15.75" customHeight="1">
      <c r="A152" s="306"/>
      <c r="B152" s="306"/>
      <c r="C152" s="306"/>
      <c r="D152" s="306"/>
      <c r="E152" s="306"/>
      <c r="F152" s="306"/>
      <c r="G152" s="306"/>
      <c r="H152" s="306"/>
      <c r="I152" s="427"/>
      <c r="J152" s="306"/>
      <c r="K152" s="306"/>
      <c r="L152" s="307"/>
      <c r="M152" s="307"/>
      <c r="N152" s="307"/>
      <c r="O152" s="307"/>
      <c r="P152" s="307"/>
      <c r="Q152" s="307"/>
      <c r="R152" s="307"/>
      <c r="S152" s="307"/>
      <c r="T152" s="307"/>
      <c r="U152" s="307"/>
      <c r="V152" s="307"/>
      <c r="W152" s="307"/>
      <c r="X152" s="307"/>
      <c r="Y152" s="307"/>
      <c r="Z152" s="307"/>
      <c r="AA152" s="307"/>
      <c r="AB152" s="307"/>
    </row>
    <row r="153" ht="15.75" customHeight="1">
      <c r="A153" s="306"/>
      <c r="B153" s="306"/>
      <c r="C153" s="306"/>
      <c r="D153" s="306"/>
      <c r="E153" s="306"/>
      <c r="F153" s="306"/>
      <c r="G153" s="306"/>
      <c r="H153" s="306"/>
      <c r="I153" s="427"/>
      <c r="J153" s="306"/>
      <c r="K153" s="306"/>
      <c r="L153" s="307"/>
      <c r="M153" s="307"/>
      <c r="N153" s="307"/>
      <c r="O153" s="307"/>
      <c r="P153" s="307"/>
      <c r="Q153" s="307"/>
      <c r="R153" s="307"/>
      <c r="S153" s="307"/>
      <c r="T153" s="307"/>
      <c r="U153" s="307"/>
      <c r="V153" s="307"/>
      <c r="W153" s="307"/>
      <c r="X153" s="307"/>
      <c r="Y153" s="307"/>
      <c r="Z153" s="307"/>
      <c r="AA153" s="307"/>
      <c r="AB153" s="307"/>
    </row>
    <row r="154" ht="15.75" customHeight="1">
      <c r="A154" s="306"/>
      <c r="B154" s="306"/>
      <c r="C154" s="306"/>
      <c r="D154" s="306"/>
      <c r="E154" s="306"/>
      <c r="F154" s="306"/>
      <c r="G154" s="306"/>
      <c r="H154" s="306"/>
      <c r="I154" s="427"/>
      <c r="J154" s="306"/>
      <c r="K154" s="306"/>
      <c r="L154" s="307"/>
      <c r="M154" s="307"/>
      <c r="N154" s="307"/>
      <c r="O154" s="307"/>
      <c r="P154" s="307"/>
      <c r="Q154" s="307"/>
      <c r="R154" s="307"/>
      <c r="S154" s="307"/>
      <c r="T154" s="307"/>
      <c r="U154" s="307"/>
      <c r="V154" s="307"/>
      <c r="W154" s="307"/>
      <c r="X154" s="307"/>
      <c r="Y154" s="307"/>
      <c r="Z154" s="307"/>
      <c r="AA154" s="307"/>
      <c r="AB154" s="307"/>
    </row>
    <row r="155" ht="15.75" customHeight="1">
      <c r="A155" s="306"/>
      <c r="B155" s="306"/>
      <c r="C155" s="306"/>
      <c r="D155" s="306"/>
      <c r="E155" s="306"/>
      <c r="F155" s="306"/>
      <c r="G155" s="306"/>
      <c r="H155" s="306"/>
      <c r="I155" s="427"/>
      <c r="J155" s="306"/>
      <c r="K155" s="306"/>
      <c r="L155" s="307"/>
      <c r="M155" s="307"/>
      <c r="N155" s="307"/>
      <c r="O155" s="307"/>
      <c r="P155" s="307"/>
      <c r="Q155" s="307"/>
      <c r="R155" s="307"/>
      <c r="S155" s="307"/>
      <c r="T155" s="307"/>
      <c r="U155" s="307"/>
      <c r="V155" s="307"/>
      <c r="W155" s="307"/>
      <c r="X155" s="307"/>
      <c r="Y155" s="307"/>
      <c r="Z155" s="307"/>
      <c r="AA155" s="307"/>
      <c r="AB155" s="307"/>
    </row>
    <row r="156" ht="15.75" customHeight="1">
      <c r="A156" s="306"/>
      <c r="B156" s="306"/>
      <c r="C156" s="306"/>
      <c r="D156" s="306"/>
      <c r="E156" s="306"/>
      <c r="F156" s="306"/>
      <c r="G156" s="306"/>
      <c r="H156" s="306"/>
      <c r="I156" s="427"/>
      <c r="J156" s="306"/>
      <c r="K156" s="306"/>
      <c r="L156" s="307"/>
      <c r="M156" s="307"/>
      <c r="N156" s="307"/>
      <c r="O156" s="307"/>
      <c r="P156" s="307"/>
      <c r="Q156" s="307"/>
      <c r="R156" s="307"/>
      <c r="S156" s="307"/>
      <c r="T156" s="307"/>
      <c r="U156" s="307"/>
      <c r="V156" s="307"/>
      <c r="W156" s="307"/>
      <c r="X156" s="307"/>
      <c r="Y156" s="307"/>
      <c r="Z156" s="307"/>
      <c r="AA156" s="307"/>
      <c r="AB156" s="307"/>
    </row>
    <row r="157" ht="15.75" customHeight="1">
      <c r="A157" s="306"/>
      <c r="B157" s="306"/>
      <c r="C157" s="306"/>
      <c r="D157" s="306"/>
      <c r="E157" s="306"/>
      <c r="F157" s="306"/>
      <c r="G157" s="306"/>
      <c r="H157" s="306"/>
      <c r="I157" s="427"/>
      <c r="J157" s="306"/>
      <c r="K157" s="306"/>
      <c r="L157" s="307"/>
      <c r="M157" s="307"/>
      <c r="N157" s="307"/>
      <c r="O157" s="307"/>
      <c r="P157" s="307"/>
      <c r="Q157" s="307"/>
      <c r="R157" s="307"/>
      <c r="S157" s="307"/>
      <c r="T157" s="307"/>
      <c r="U157" s="307"/>
      <c r="V157" s="307"/>
      <c r="W157" s="307"/>
      <c r="X157" s="307"/>
      <c r="Y157" s="307"/>
      <c r="Z157" s="307"/>
      <c r="AA157" s="307"/>
      <c r="AB157" s="307"/>
    </row>
    <row r="158" ht="15.75" customHeight="1">
      <c r="A158" s="306"/>
      <c r="B158" s="306"/>
      <c r="C158" s="306"/>
      <c r="D158" s="306"/>
      <c r="E158" s="306"/>
      <c r="F158" s="306"/>
      <c r="G158" s="306"/>
      <c r="H158" s="306"/>
      <c r="I158" s="427"/>
      <c r="J158" s="306"/>
      <c r="K158" s="306"/>
      <c r="L158" s="307"/>
      <c r="M158" s="307"/>
      <c r="N158" s="307"/>
      <c r="O158" s="307"/>
      <c r="P158" s="307"/>
      <c r="Q158" s="307"/>
      <c r="R158" s="307"/>
      <c r="S158" s="307"/>
      <c r="T158" s="307"/>
      <c r="U158" s="307"/>
      <c r="V158" s="307"/>
      <c r="W158" s="307"/>
      <c r="X158" s="307"/>
      <c r="Y158" s="307"/>
      <c r="Z158" s="307"/>
      <c r="AA158" s="307"/>
      <c r="AB158" s="307"/>
    </row>
    <row r="159" ht="15.75" customHeight="1">
      <c r="A159" s="306"/>
      <c r="B159" s="306"/>
      <c r="C159" s="306"/>
      <c r="D159" s="306"/>
      <c r="E159" s="306"/>
      <c r="F159" s="306"/>
      <c r="G159" s="306"/>
      <c r="H159" s="306"/>
      <c r="I159" s="427"/>
      <c r="J159" s="306"/>
      <c r="K159" s="306"/>
      <c r="L159" s="307"/>
      <c r="M159" s="307"/>
      <c r="N159" s="307"/>
      <c r="O159" s="307"/>
      <c r="P159" s="307"/>
      <c r="Q159" s="307"/>
      <c r="R159" s="307"/>
      <c r="S159" s="307"/>
      <c r="T159" s="307"/>
      <c r="U159" s="307"/>
      <c r="V159" s="307"/>
      <c r="W159" s="307"/>
      <c r="X159" s="307"/>
      <c r="Y159" s="307"/>
      <c r="Z159" s="307"/>
      <c r="AA159" s="307"/>
      <c r="AB159" s="307"/>
    </row>
    <row r="160" ht="15.75" customHeight="1">
      <c r="A160" s="306"/>
      <c r="B160" s="306"/>
      <c r="C160" s="306"/>
      <c r="D160" s="306"/>
      <c r="E160" s="306"/>
      <c r="F160" s="306"/>
      <c r="G160" s="306"/>
      <c r="H160" s="306"/>
      <c r="I160" s="427"/>
      <c r="J160" s="306"/>
      <c r="K160" s="306"/>
      <c r="L160" s="307"/>
      <c r="M160" s="307"/>
      <c r="N160" s="307"/>
      <c r="O160" s="307"/>
      <c r="P160" s="307"/>
      <c r="Q160" s="307"/>
      <c r="R160" s="307"/>
      <c r="S160" s="307"/>
      <c r="T160" s="307"/>
      <c r="U160" s="307"/>
      <c r="V160" s="307"/>
      <c r="W160" s="307"/>
      <c r="X160" s="307"/>
      <c r="Y160" s="307"/>
      <c r="Z160" s="307"/>
      <c r="AA160" s="307"/>
      <c r="AB160" s="307"/>
    </row>
    <row r="161" ht="15.75" customHeight="1">
      <c r="A161" s="306"/>
      <c r="B161" s="306"/>
      <c r="C161" s="306"/>
      <c r="D161" s="306"/>
      <c r="E161" s="306"/>
      <c r="F161" s="306"/>
      <c r="G161" s="306"/>
      <c r="H161" s="306"/>
      <c r="I161" s="427"/>
      <c r="J161" s="306"/>
      <c r="K161" s="306"/>
      <c r="L161" s="307"/>
      <c r="M161" s="307"/>
      <c r="N161" s="307"/>
      <c r="O161" s="307"/>
      <c r="P161" s="307"/>
      <c r="Q161" s="307"/>
      <c r="R161" s="307"/>
      <c r="S161" s="307"/>
      <c r="T161" s="307"/>
      <c r="U161" s="307"/>
      <c r="V161" s="307"/>
      <c r="W161" s="307"/>
      <c r="X161" s="307"/>
      <c r="Y161" s="307"/>
      <c r="Z161" s="307"/>
      <c r="AA161" s="307"/>
      <c r="AB161" s="307"/>
    </row>
    <row r="162" ht="15.75" customHeight="1">
      <c r="A162" s="306"/>
      <c r="B162" s="306"/>
      <c r="C162" s="306"/>
      <c r="D162" s="306"/>
      <c r="E162" s="306"/>
      <c r="F162" s="306"/>
      <c r="G162" s="306"/>
      <c r="H162" s="306"/>
      <c r="I162" s="427"/>
      <c r="J162" s="306"/>
      <c r="K162" s="306"/>
      <c r="L162" s="307"/>
      <c r="M162" s="307"/>
      <c r="N162" s="307"/>
      <c r="O162" s="307"/>
      <c r="P162" s="307"/>
      <c r="Q162" s="307"/>
      <c r="R162" s="307"/>
      <c r="S162" s="307"/>
      <c r="T162" s="307"/>
      <c r="U162" s="307"/>
      <c r="V162" s="307"/>
      <c r="W162" s="307"/>
      <c r="X162" s="307"/>
      <c r="Y162" s="307"/>
      <c r="Z162" s="307"/>
      <c r="AA162" s="307"/>
      <c r="AB162" s="307"/>
    </row>
    <row r="163" ht="15.75" customHeight="1">
      <c r="A163" s="306"/>
      <c r="B163" s="306"/>
      <c r="C163" s="306"/>
      <c r="D163" s="306"/>
      <c r="E163" s="306"/>
      <c r="F163" s="306"/>
      <c r="G163" s="306"/>
      <c r="H163" s="306"/>
      <c r="I163" s="427"/>
      <c r="J163" s="306"/>
      <c r="K163" s="306"/>
      <c r="L163" s="307"/>
      <c r="M163" s="307"/>
      <c r="N163" s="307"/>
      <c r="O163" s="307"/>
      <c r="P163" s="307"/>
      <c r="Q163" s="307"/>
      <c r="R163" s="307"/>
      <c r="S163" s="307"/>
      <c r="T163" s="307"/>
      <c r="U163" s="307"/>
      <c r="V163" s="307"/>
      <c r="W163" s="307"/>
      <c r="X163" s="307"/>
      <c r="Y163" s="307"/>
      <c r="Z163" s="307"/>
      <c r="AA163" s="307"/>
      <c r="AB163" s="307"/>
    </row>
    <row r="164" ht="15.75" customHeight="1">
      <c r="A164" s="306"/>
      <c r="B164" s="306"/>
      <c r="C164" s="306"/>
      <c r="D164" s="306"/>
      <c r="E164" s="306"/>
      <c r="F164" s="306"/>
      <c r="G164" s="306"/>
      <c r="H164" s="306"/>
      <c r="I164" s="427"/>
      <c r="J164" s="306"/>
      <c r="K164" s="306"/>
      <c r="L164" s="307"/>
      <c r="M164" s="307"/>
      <c r="N164" s="307"/>
      <c r="O164" s="307"/>
      <c r="P164" s="307"/>
      <c r="Q164" s="307"/>
      <c r="R164" s="307"/>
      <c r="S164" s="307"/>
      <c r="T164" s="307"/>
      <c r="U164" s="307"/>
      <c r="V164" s="307"/>
      <c r="W164" s="307"/>
      <c r="X164" s="307"/>
      <c r="Y164" s="307"/>
      <c r="Z164" s="307"/>
      <c r="AA164" s="307"/>
      <c r="AB164" s="307"/>
    </row>
    <row r="165" ht="15.75" customHeight="1">
      <c r="A165" s="306"/>
      <c r="B165" s="306"/>
      <c r="C165" s="306"/>
      <c r="D165" s="306"/>
      <c r="E165" s="306"/>
      <c r="F165" s="306"/>
      <c r="G165" s="306"/>
      <c r="H165" s="306"/>
      <c r="I165" s="427"/>
      <c r="J165" s="306"/>
      <c r="K165" s="306"/>
      <c r="L165" s="307"/>
      <c r="M165" s="307"/>
      <c r="N165" s="307"/>
      <c r="O165" s="307"/>
      <c r="P165" s="307"/>
      <c r="Q165" s="307"/>
      <c r="R165" s="307"/>
      <c r="S165" s="307"/>
      <c r="T165" s="307"/>
      <c r="U165" s="307"/>
      <c r="V165" s="307"/>
      <c r="W165" s="307"/>
      <c r="X165" s="307"/>
      <c r="Y165" s="307"/>
      <c r="Z165" s="307"/>
      <c r="AA165" s="307"/>
      <c r="AB165" s="307"/>
    </row>
    <row r="166" ht="15.75" customHeight="1">
      <c r="A166" s="306"/>
      <c r="B166" s="306"/>
      <c r="C166" s="306"/>
      <c r="D166" s="306"/>
      <c r="E166" s="306"/>
      <c r="F166" s="306"/>
      <c r="G166" s="306"/>
      <c r="H166" s="306"/>
      <c r="I166" s="427"/>
      <c r="J166" s="306"/>
      <c r="K166" s="306"/>
      <c r="L166" s="307"/>
      <c r="M166" s="307"/>
      <c r="N166" s="307"/>
      <c r="O166" s="307"/>
      <c r="P166" s="307"/>
      <c r="Q166" s="307"/>
      <c r="R166" s="307"/>
      <c r="S166" s="307"/>
      <c r="T166" s="307"/>
      <c r="U166" s="307"/>
      <c r="V166" s="307"/>
      <c r="W166" s="307"/>
      <c r="X166" s="307"/>
      <c r="Y166" s="307"/>
      <c r="Z166" s="307"/>
      <c r="AA166" s="307"/>
      <c r="AB166" s="307"/>
    </row>
    <row r="167" ht="15.75" customHeight="1">
      <c r="A167" s="306"/>
      <c r="B167" s="306"/>
      <c r="C167" s="306"/>
      <c r="D167" s="306"/>
      <c r="E167" s="306"/>
      <c r="F167" s="306"/>
      <c r="G167" s="306"/>
      <c r="H167" s="306"/>
      <c r="I167" s="427"/>
      <c r="J167" s="306"/>
      <c r="K167" s="306"/>
      <c r="L167" s="307"/>
      <c r="M167" s="307"/>
      <c r="N167" s="307"/>
      <c r="O167" s="307"/>
      <c r="P167" s="307"/>
      <c r="Q167" s="307"/>
      <c r="R167" s="307"/>
      <c r="S167" s="307"/>
      <c r="T167" s="307"/>
      <c r="U167" s="307"/>
      <c r="V167" s="307"/>
      <c r="W167" s="307"/>
      <c r="X167" s="307"/>
      <c r="Y167" s="307"/>
      <c r="Z167" s="307"/>
      <c r="AA167" s="307"/>
      <c r="AB167" s="307"/>
    </row>
    <row r="168" ht="15.75" customHeight="1">
      <c r="A168" s="306"/>
      <c r="B168" s="306"/>
      <c r="C168" s="306"/>
      <c r="D168" s="306"/>
      <c r="E168" s="306"/>
      <c r="F168" s="306"/>
      <c r="G168" s="306"/>
      <c r="H168" s="306"/>
      <c r="I168" s="427"/>
      <c r="J168" s="306"/>
      <c r="K168" s="306"/>
      <c r="L168" s="307"/>
      <c r="M168" s="307"/>
      <c r="N168" s="307"/>
      <c r="O168" s="307"/>
      <c r="P168" s="307"/>
      <c r="Q168" s="307"/>
      <c r="R168" s="307"/>
      <c r="S168" s="307"/>
      <c r="T168" s="307"/>
      <c r="U168" s="307"/>
      <c r="V168" s="307"/>
      <c r="W168" s="307"/>
      <c r="X168" s="307"/>
      <c r="Y168" s="307"/>
      <c r="Z168" s="307"/>
      <c r="AA168" s="307"/>
      <c r="AB168" s="307"/>
    </row>
    <row r="169" ht="15.75" customHeight="1">
      <c r="A169" s="306"/>
      <c r="B169" s="306"/>
      <c r="C169" s="306"/>
      <c r="D169" s="306"/>
      <c r="E169" s="306"/>
      <c r="F169" s="306"/>
      <c r="G169" s="306"/>
      <c r="H169" s="306"/>
      <c r="I169" s="427"/>
      <c r="J169" s="306"/>
      <c r="K169" s="306"/>
      <c r="L169" s="307"/>
      <c r="M169" s="307"/>
      <c r="N169" s="307"/>
      <c r="O169" s="307"/>
      <c r="P169" s="307"/>
      <c r="Q169" s="307"/>
      <c r="R169" s="307"/>
      <c r="S169" s="307"/>
      <c r="T169" s="307"/>
      <c r="U169" s="307"/>
      <c r="V169" s="307"/>
      <c r="W169" s="307"/>
      <c r="X169" s="307"/>
      <c r="Y169" s="307"/>
      <c r="Z169" s="307"/>
      <c r="AA169" s="307"/>
      <c r="AB169" s="307"/>
    </row>
    <row r="170" ht="15.75" customHeight="1">
      <c r="A170" s="306"/>
      <c r="B170" s="306"/>
      <c r="C170" s="306"/>
      <c r="D170" s="306"/>
      <c r="E170" s="306"/>
      <c r="F170" s="306"/>
      <c r="G170" s="306"/>
      <c r="H170" s="306"/>
      <c r="I170" s="427"/>
      <c r="J170" s="306"/>
      <c r="K170" s="306"/>
      <c r="L170" s="307"/>
      <c r="M170" s="307"/>
      <c r="N170" s="307"/>
      <c r="O170" s="307"/>
      <c r="P170" s="307"/>
      <c r="Q170" s="307"/>
      <c r="R170" s="307"/>
      <c r="S170" s="307"/>
      <c r="T170" s="307"/>
      <c r="U170" s="307"/>
      <c r="V170" s="307"/>
      <c r="W170" s="307"/>
      <c r="X170" s="307"/>
      <c r="Y170" s="307"/>
      <c r="Z170" s="307"/>
      <c r="AA170" s="307"/>
      <c r="AB170" s="307"/>
    </row>
    <row r="171" ht="15.75" customHeight="1">
      <c r="A171" s="306"/>
      <c r="B171" s="306"/>
      <c r="C171" s="306"/>
      <c r="D171" s="306"/>
      <c r="E171" s="306"/>
      <c r="F171" s="306"/>
      <c r="G171" s="306"/>
      <c r="H171" s="306"/>
      <c r="I171" s="427"/>
      <c r="J171" s="306"/>
      <c r="K171" s="306"/>
      <c r="L171" s="307"/>
      <c r="M171" s="307"/>
      <c r="N171" s="307"/>
      <c r="O171" s="307"/>
      <c r="P171" s="307"/>
      <c r="Q171" s="307"/>
      <c r="R171" s="307"/>
      <c r="S171" s="307"/>
      <c r="T171" s="307"/>
      <c r="U171" s="307"/>
      <c r="V171" s="307"/>
      <c r="W171" s="307"/>
      <c r="X171" s="307"/>
      <c r="Y171" s="307"/>
      <c r="Z171" s="307"/>
      <c r="AA171" s="307"/>
      <c r="AB171" s="307"/>
    </row>
    <row r="172" ht="15.75" customHeight="1">
      <c r="A172" s="306"/>
      <c r="B172" s="306"/>
      <c r="C172" s="306"/>
      <c r="D172" s="306"/>
      <c r="E172" s="306"/>
      <c r="F172" s="306"/>
      <c r="G172" s="306"/>
      <c r="H172" s="306"/>
      <c r="I172" s="427"/>
      <c r="J172" s="306"/>
      <c r="K172" s="306"/>
      <c r="L172" s="307"/>
      <c r="M172" s="307"/>
      <c r="N172" s="307"/>
      <c r="O172" s="307"/>
      <c r="P172" s="307"/>
      <c r="Q172" s="307"/>
      <c r="R172" s="307"/>
      <c r="S172" s="307"/>
      <c r="T172" s="307"/>
      <c r="U172" s="307"/>
      <c r="V172" s="307"/>
      <c r="W172" s="307"/>
      <c r="X172" s="307"/>
      <c r="Y172" s="307"/>
      <c r="Z172" s="307"/>
      <c r="AA172" s="307"/>
      <c r="AB172" s="307"/>
    </row>
    <row r="173" ht="15.75" customHeight="1">
      <c r="A173" s="306"/>
      <c r="B173" s="306"/>
      <c r="C173" s="306"/>
      <c r="D173" s="306"/>
      <c r="E173" s="306"/>
      <c r="F173" s="306"/>
      <c r="G173" s="306"/>
      <c r="H173" s="306"/>
      <c r="I173" s="427"/>
      <c r="J173" s="306"/>
      <c r="K173" s="306"/>
      <c r="L173" s="307"/>
      <c r="M173" s="307"/>
      <c r="N173" s="307"/>
      <c r="O173" s="307"/>
      <c r="P173" s="307"/>
      <c r="Q173" s="307"/>
      <c r="R173" s="307"/>
      <c r="S173" s="307"/>
      <c r="T173" s="307"/>
      <c r="U173" s="307"/>
      <c r="V173" s="307"/>
      <c r="W173" s="307"/>
      <c r="X173" s="307"/>
      <c r="Y173" s="307"/>
      <c r="Z173" s="307"/>
      <c r="AA173" s="307"/>
      <c r="AB173" s="307"/>
    </row>
    <row r="174" ht="15.75" customHeight="1">
      <c r="A174" s="306"/>
      <c r="B174" s="306"/>
      <c r="C174" s="306"/>
      <c r="D174" s="306"/>
      <c r="E174" s="306"/>
      <c r="F174" s="306"/>
      <c r="G174" s="306"/>
      <c r="H174" s="306"/>
      <c r="I174" s="427"/>
      <c r="J174" s="306"/>
      <c r="K174" s="306"/>
      <c r="L174" s="307"/>
      <c r="M174" s="307"/>
      <c r="N174" s="307"/>
      <c r="O174" s="307"/>
      <c r="P174" s="307"/>
      <c r="Q174" s="307"/>
      <c r="R174" s="307"/>
      <c r="S174" s="307"/>
      <c r="T174" s="307"/>
      <c r="U174" s="307"/>
      <c r="V174" s="307"/>
      <c r="W174" s="307"/>
      <c r="X174" s="307"/>
      <c r="Y174" s="307"/>
      <c r="Z174" s="307"/>
      <c r="AA174" s="307"/>
      <c r="AB174" s="307"/>
    </row>
    <row r="175" ht="15.75" customHeight="1">
      <c r="A175" s="306"/>
      <c r="B175" s="306"/>
      <c r="C175" s="306"/>
      <c r="D175" s="306"/>
      <c r="E175" s="306"/>
      <c r="F175" s="306"/>
      <c r="G175" s="306"/>
      <c r="H175" s="306"/>
      <c r="I175" s="427"/>
      <c r="J175" s="306"/>
      <c r="K175" s="306"/>
      <c r="L175" s="307"/>
      <c r="M175" s="307"/>
      <c r="N175" s="307"/>
      <c r="O175" s="307"/>
      <c r="P175" s="307"/>
      <c r="Q175" s="307"/>
      <c r="R175" s="307"/>
      <c r="S175" s="307"/>
      <c r="T175" s="307"/>
      <c r="U175" s="307"/>
      <c r="V175" s="307"/>
      <c r="W175" s="307"/>
      <c r="X175" s="307"/>
      <c r="Y175" s="307"/>
      <c r="Z175" s="307"/>
      <c r="AA175" s="307"/>
      <c r="AB175" s="307"/>
    </row>
    <row r="176" ht="15.75" customHeight="1">
      <c r="A176" s="306"/>
      <c r="B176" s="306"/>
      <c r="C176" s="306"/>
      <c r="D176" s="306"/>
      <c r="E176" s="306"/>
      <c r="F176" s="306"/>
      <c r="G176" s="306"/>
      <c r="H176" s="306"/>
      <c r="I176" s="427"/>
      <c r="J176" s="306"/>
      <c r="K176" s="306"/>
      <c r="L176" s="307"/>
      <c r="M176" s="307"/>
      <c r="N176" s="307"/>
      <c r="O176" s="307"/>
      <c r="P176" s="307"/>
      <c r="Q176" s="307"/>
      <c r="R176" s="307"/>
      <c r="S176" s="307"/>
      <c r="T176" s="307"/>
      <c r="U176" s="307"/>
      <c r="V176" s="307"/>
      <c r="W176" s="307"/>
      <c r="X176" s="307"/>
      <c r="Y176" s="307"/>
      <c r="Z176" s="307"/>
      <c r="AA176" s="307"/>
      <c r="AB176" s="307"/>
    </row>
    <row r="177" ht="15.75" customHeight="1">
      <c r="A177" s="306"/>
      <c r="B177" s="306"/>
      <c r="C177" s="306"/>
      <c r="D177" s="306"/>
      <c r="E177" s="306"/>
      <c r="F177" s="306"/>
      <c r="G177" s="306"/>
      <c r="H177" s="306"/>
      <c r="I177" s="427"/>
      <c r="J177" s="306"/>
      <c r="K177" s="306"/>
      <c r="L177" s="307"/>
      <c r="M177" s="307"/>
      <c r="N177" s="307"/>
      <c r="O177" s="307"/>
      <c r="P177" s="307"/>
      <c r="Q177" s="307"/>
      <c r="R177" s="307"/>
      <c r="S177" s="307"/>
      <c r="T177" s="307"/>
      <c r="U177" s="307"/>
      <c r="V177" s="307"/>
      <c r="W177" s="307"/>
      <c r="X177" s="307"/>
      <c r="Y177" s="307"/>
      <c r="Z177" s="307"/>
      <c r="AA177" s="307"/>
      <c r="AB177" s="307"/>
    </row>
    <row r="178" ht="15.75" customHeight="1">
      <c r="A178" s="306"/>
      <c r="B178" s="306"/>
      <c r="C178" s="306"/>
      <c r="D178" s="306"/>
      <c r="E178" s="306"/>
      <c r="F178" s="306"/>
      <c r="G178" s="306"/>
      <c r="H178" s="306"/>
      <c r="I178" s="427"/>
      <c r="J178" s="306"/>
      <c r="K178" s="306"/>
      <c r="L178" s="307"/>
      <c r="M178" s="307"/>
      <c r="N178" s="307"/>
      <c r="O178" s="307"/>
      <c r="P178" s="307"/>
      <c r="Q178" s="307"/>
      <c r="R178" s="307"/>
      <c r="S178" s="307"/>
      <c r="T178" s="307"/>
      <c r="U178" s="307"/>
      <c r="V178" s="307"/>
      <c r="W178" s="307"/>
      <c r="X178" s="307"/>
      <c r="Y178" s="307"/>
      <c r="Z178" s="307"/>
      <c r="AA178" s="307"/>
      <c r="AB178" s="307"/>
    </row>
    <row r="179" ht="15.75" customHeight="1">
      <c r="A179" s="306"/>
      <c r="B179" s="306"/>
      <c r="C179" s="306"/>
      <c r="D179" s="306"/>
      <c r="E179" s="306"/>
      <c r="F179" s="306"/>
      <c r="G179" s="306"/>
      <c r="H179" s="306"/>
      <c r="I179" s="427"/>
      <c r="J179" s="306"/>
      <c r="K179" s="306"/>
      <c r="L179" s="307"/>
      <c r="M179" s="307"/>
      <c r="N179" s="307"/>
      <c r="O179" s="307"/>
      <c r="P179" s="307"/>
      <c r="Q179" s="307"/>
      <c r="R179" s="307"/>
      <c r="S179" s="307"/>
      <c r="T179" s="307"/>
      <c r="U179" s="307"/>
      <c r="V179" s="307"/>
      <c r="W179" s="307"/>
      <c r="X179" s="307"/>
      <c r="Y179" s="307"/>
      <c r="Z179" s="307"/>
      <c r="AA179" s="307"/>
      <c r="AB179" s="307"/>
    </row>
    <row r="180" ht="15.75" customHeight="1">
      <c r="A180" s="306"/>
      <c r="B180" s="306"/>
      <c r="C180" s="306"/>
      <c r="D180" s="306"/>
      <c r="E180" s="306"/>
      <c r="F180" s="306"/>
      <c r="G180" s="306"/>
      <c r="H180" s="306"/>
      <c r="I180" s="427"/>
      <c r="J180" s="306"/>
      <c r="K180" s="306"/>
      <c r="L180" s="307"/>
      <c r="M180" s="307"/>
      <c r="N180" s="307"/>
      <c r="O180" s="307"/>
      <c r="P180" s="307"/>
      <c r="Q180" s="307"/>
      <c r="R180" s="307"/>
      <c r="S180" s="307"/>
      <c r="T180" s="307"/>
      <c r="U180" s="307"/>
      <c r="V180" s="307"/>
      <c r="W180" s="307"/>
      <c r="X180" s="307"/>
      <c r="Y180" s="307"/>
      <c r="Z180" s="307"/>
      <c r="AA180" s="307"/>
      <c r="AB180" s="307"/>
    </row>
    <row r="181" ht="15.75" customHeight="1">
      <c r="A181" s="306"/>
      <c r="B181" s="306"/>
      <c r="C181" s="306"/>
      <c r="D181" s="306"/>
      <c r="E181" s="306"/>
      <c r="F181" s="306"/>
      <c r="G181" s="306"/>
      <c r="H181" s="306"/>
      <c r="I181" s="427"/>
      <c r="J181" s="306"/>
      <c r="K181" s="306"/>
      <c r="L181" s="307"/>
      <c r="M181" s="307"/>
      <c r="N181" s="307"/>
      <c r="O181" s="307"/>
      <c r="P181" s="307"/>
      <c r="Q181" s="307"/>
      <c r="R181" s="307"/>
      <c r="S181" s="307"/>
      <c r="T181" s="307"/>
      <c r="U181" s="307"/>
      <c r="V181" s="307"/>
      <c r="W181" s="307"/>
      <c r="X181" s="307"/>
      <c r="Y181" s="307"/>
      <c r="Z181" s="307"/>
      <c r="AA181" s="307"/>
      <c r="AB181" s="307"/>
    </row>
    <row r="182" ht="15.75" customHeight="1">
      <c r="A182" s="306"/>
      <c r="B182" s="306"/>
      <c r="C182" s="306"/>
      <c r="D182" s="306"/>
      <c r="E182" s="306"/>
      <c r="F182" s="306"/>
      <c r="G182" s="306"/>
      <c r="H182" s="306"/>
      <c r="I182" s="427"/>
      <c r="J182" s="306"/>
      <c r="K182" s="306"/>
      <c r="L182" s="307"/>
      <c r="M182" s="307"/>
      <c r="N182" s="307"/>
      <c r="O182" s="307"/>
      <c r="P182" s="307"/>
      <c r="Q182" s="307"/>
      <c r="R182" s="307"/>
      <c r="S182" s="307"/>
      <c r="T182" s="307"/>
      <c r="U182" s="307"/>
      <c r="V182" s="307"/>
      <c r="W182" s="307"/>
      <c r="X182" s="307"/>
      <c r="Y182" s="307"/>
      <c r="Z182" s="307"/>
      <c r="AA182" s="307"/>
      <c r="AB182" s="307"/>
    </row>
    <row r="183" ht="15.75" customHeight="1">
      <c r="A183" s="306"/>
      <c r="B183" s="306"/>
      <c r="C183" s="306"/>
      <c r="D183" s="306"/>
      <c r="E183" s="306"/>
      <c r="F183" s="306"/>
      <c r="G183" s="306"/>
      <c r="H183" s="306"/>
      <c r="I183" s="427"/>
      <c r="J183" s="306"/>
      <c r="K183" s="306"/>
      <c r="L183" s="307"/>
      <c r="M183" s="307"/>
      <c r="N183" s="307"/>
      <c r="O183" s="307"/>
      <c r="P183" s="307"/>
      <c r="Q183" s="307"/>
      <c r="R183" s="307"/>
      <c r="S183" s="307"/>
      <c r="T183" s="307"/>
      <c r="U183" s="307"/>
      <c r="V183" s="307"/>
      <c r="W183" s="307"/>
      <c r="X183" s="307"/>
      <c r="Y183" s="307"/>
      <c r="Z183" s="307"/>
      <c r="AA183" s="307"/>
      <c r="AB183" s="307"/>
    </row>
    <row r="184" ht="15.75" customHeight="1">
      <c r="A184" s="306"/>
      <c r="B184" s="306"/>
      <c r="C184" s="306"/>
      <c r="D184" s="306"/>
      <c r="E184" s="306"/>
      <c r="F184" s="306"/>
      <c r="G184" s="306"/>
      <c r="H184" s="306"/>
      <c r="I184" s="427"/>
      <c r="J184" s="306"/>
      <c r="K184" s="306"/>
      <c r="L184" s="307"/>
      <c r="M184" s="307"/>
      <c r="N184" s="307"/>
      <c r="O184" s="307"/>
      <c r="P184" s="307"/>
      <c r="Q184" s="307"/>
      <c r="R184" s="307"/>
      <c r="S184" s="307"/>
      <c r="T184" s="307"/>
      <c r="U184" s="307"/>
      <c r="V184" s="307"/>
      <c r="W184" s="307"/>
      <c r="X184" s="307"/>
      <c r="Y184" s="307"/>
      <c r="Z184" s="307"/>
      <c r="AA184" s="307"/>
      <c r="AB184" s="307"/>
    </row>
    <row r="185" ht="15.75" customHeight="1">
      <c r="A185" s="306"/>
      <c r="B185" s="306"/>
      <c r="C185" s="306"/>
      <c r="D185" s="306"/>
      <c r="E185" s="306"/>
      <c r="F185" s="306"/>
      <c r="G185" s="306"/>
      <c r="H185" s="306"/>
      <c r="I185" s="427"/>
      <c r="J185" s="306"/>
      <c r="K185" s="306"/>
      <c r="L185" s="307"/>
      <c r="M185" s="307"/>
      <c r="N185" s="307"/>
      <c r="O185" s="307"/>
      <c r="P185" s="307"/>
      <c r="Q185" s="307"/>
      <c r="R185" s="307"/>
      <c r="S185" s="307"/>
      <c r="T185" s="307"/>
      <c r="U185" s="307"/>
      <c r="V185" s="307"/>
      <c r="W185" s="307"/>
      <c r="X185" s="307"/>
      <c r="Y185" s="307"/>
      <c r="Z185" s="307"/>
      <c r="AA185" s="307"/>
      <c r="AB185" s="307"/>
    </row>
    <row r="186" ht="15.75" customHeight="1">
      <c r="A186" s="306"/>
      <c r="B186" s="306"/>
      <c r="C186" s="306"/>
      <c r="D186" s="306"/>
      <c r="E186" s="306"/>
      <c r="F186" s="306"/>
      <c r="G186" s="306"/>
      <c r="H186" s="306"/>
      <c r="I186" s="427"/>
      <c r="J186" s="306"/>
      <c r="K186" s="306"/>
      <c r="L186" s="307"/>
      <c r="M186" s="307"/>
      <c r="N186" s="307"/>
      <c r="O186" s="307"/>
      <c r="P186" s="307"/>
      <c r="Q186" s="307"/>
      <c r="R186" s="307"/>
      <c r="S186" s="307"/>
      <c r="T186" s="307"/>
      <c r="U186" s="307"/>
      <c r="V186" s="307"/>
      <c r="W186" s="307"/>
      <c r="X186" s="307"/>
      <c r="Y186" s="307"/>
      <c r="Z186" s="307"/>
      <c r="AA186" s="307"/>
      <c r="AB186" s="307"/>
    </row>
    <row r="187" ht="15.75" customHeight="1">
      <c r="A187" s="306"/>
      <c r="B187" s="306"/>
      <c r="C187" s="306"/>
      <c r="D187" s="306"/>
      <c r="E187" s="306"/>
      <c r="F187" s="306"/>
      <c r="G187" s="306"/>
      <c r="H187" s="306"/>
      <c r="I187" s="427"/>
      <c r="J187" s="306"/>
      <c r="K187" s="306"/>
      <c r="L187" s="307"/>
      <c r="M187" s="307"/>
      <c r="N187" s="307"/>
      <c r="O187" s="307"/>
      <c r="P187" s="307"/>
      <c r="Q187" s="307"/>
      <c r="R187" s="307"/>
      <c r="S187" s="307"/>
      <c r="T187" s="307"/>
      <c r="U187" s="307"/>
      <c r="V187" s="307"/>
      <c r="W187" s="307"/>
      <c r="X187" s="307"/>
      <c r="Y187" s="307"/>
      <c r="Z187" s="307"/>
      <c r="AA187" s="307"/>
      <c r="AB187" s="307"/>
    </row>
    <row r="188" ht="15.75" customHeight="1">
      <c r="A188" s="306"/>
      <c r="B188" s="306"/>
      <c r="C188" s="306"/>
      <c r="D188" s="306"/>
      <c r="E188" s="306"/>
      <c r="F188" s="306"/>
      <c r="G188" s="306"/>
      <c r="H188" s="306"/>
      <c r="I188" s="427"/>
      <c r="J188" s="306"/>
      <c r="K188" s="306"/>
      <c r="L188" s="307"/>
      <c r="M188" s="307"/>
      <c r="N188" s="307"/>
      <c r="O188" s="307"/>
      <c r="P188" s="307"/>
      <c r="Q188" s="307"/>
      <c r="R188" s="307"/>
      <c r="S188" s="307"/>
      <c r="T188" s="307"/>
      <c r="U188" s="307"/>
      <c r="V188" s="307"/>
      <c r="W188" s="307"/>
      <c r="X188" s="307"/>
      <c r="Y188" s="307"/>
      <c r="Z188" s="307"/>
      <c r="AA188" s="307"/>
      <c r="AB188" s="307"/>
    </row>
    <row r="189" ht="15.75" customHeight="1">
      <c r="A189" s="306"/>
      <c r="B189" s="306"/>
      <c r="C189" s="306"/>
      <c r="D189" s="306"/>
      <c r="E189" s="306"/>
      <c r="F189" s="306"/>
      <c r="G189" s="306"/>
      <c r="H189" s="306"/>
      <c r="I189" s="427"/>
      <c r="J189" s="306"/>
      <c r="K189" s="306"/>
      <c r="L189" s="307"/>
      <c r="M189" s="307"/>
      <c r="N189" s="307"/>
      <c r="O189" s="307"/>
      <c r="P189" s="307"/>
      <c r="Q189" s="307"/>
      <c r="R189" s="307"/>
      <c r="S189" s="307"/>
      <c r="T189" s="307"/>
      <c r="U189" s="307"/>
      <c r="V189" s="307"/>
      <c r="W189" s="307"/>
      <c r="X189" s="307"/>
      <c r="Y189" s="307"/>
      <c r="Z189" s="307"/>
      <c r="AA189" s="307"/>
      <c r="AB189" s="307"/>
    </row>
    <row r="190" ht="15.75" customHeight="1">
      <c r="A190" s="306"/>
      <c r="B190" s="306"/>
      <c r="C190" s="306"/>
      <c r="D190" s="306"/>
      <c r="E190" s="306"/>
      <c r="F190" s="306"/>
      <c r="G190" s="306"/>
      <c r="H190" s="306"/>
      <c r="I190" s="427"/>
      <c r="J190" s="306"/>
      <c r="K190" s="306"/>
      <c r="L190" s="307"/>
      <c r="M190" s="307"/>
      <c r="N190" s="307"/>
      <c r="O190" s="307"/>
      <c r="P190" s="307"/>
      <c r="Q190" s="307"/>
      <c r="R190" s="307"/>
      <c r="S190" s="307"/>
      <c r="T190" s="307"/>
      <c r="U190" s="307"/>
      <c r="V190" s="307"/>
      <c r="W190" s="307"/>
      <c r="X190" s="307"/>
      <c r="Y190" s="307"/>
      <c r="Z190" s="307"/>
      <c r="AA190" s="307"/>
      <c r="AB190" s="307"/>
    </row>
    <row r="191" ht="15.75" customHeight="1">
      <c r="A191" s="306"/>
      <c r="B191" s="306"/>
      <c r="C191" s="306"/>
      <c r="D191" s="306"/>
      <c r="E191" s="306"/>
      <c r="F191" s="306"/>
      <c r="G191" s="306"/>
      <c r="H191" s="306"/>
      <c r="I191" s="427"/>
      <c r="J191" s="306"/>
      <c r="K191" s="306"/>
      <c r="L191" s="307"/>
      <c r="M191" s="307"/>
      <c r="N191" s="307"/>
      <c r="O191" s="307"/>
      <c r="P191" s="307"/>
      <c r="Q191" s="307"/>
      <c r="R191" s="307"/>
      <c r="S191" s="307"/>
      <c r="T191" s="307"/>
      <c r="U191" s="307"/>
      <c r="V191" s="307"/>
      <c r="W191" s="307"/>
      <c r="X191" s="307"/>
      <c r="Y191" s="307"/>
      <c r="Z191" s="307"/>
      <c r="AA191" s="307"/>
      <c r="AB191" s="307"/>
    </row>
    <row r="192" ht="15.75" customHeight="1">
      <c r="A192" s="306"/>
      <c r="B192" s="306"/>
      <c r="C192" s="306"/>
      <c r="D192" s="306"/>
      <c r="E192" s="306"/>
      <c r="F192" s="306"/>
      <c r="G192" s="306"/>
      <c r="H192" s="306"/>
      <c r="I192" s="427"/>
      <c r="J192" s="306"/>
      <c r="K192" s="306"/>
      <c r="L192" s="307"/>
      <c r="M192" s="307"/>
      <c r="N192" s="307"/>
      <c r="O192" s="307"/>
      <c r="P192" s="307"/>
      <c r="Q192" s="307"/>
      <c r="R192" s="307"/>
      <c r="S192" s="307"/>
      <c r="T192" s="307"/>
      <c r="U192" s="307"/>
      <c r="V192" s="307"/>
      <c r="W192" s="307"/>
      <c r="X192" s="307"/>
      <c r="Y192" s="307"/>
      <c r="Z192" s="307"/>
      <c r="AA192" s="307"/>
      <c r="AB192" s="307"/>
    </row>
    <row r="193" ht="15.75" customHeight="1">
      <c r="A193" s="306"/>
      <c r="B193" s="306"/>
      <c r="C193" s="306"/>
      <c r="D193" s="306"/>
      <c r="E193" s="306"/>
      <c r="F193" s="306"/>
      <c r="G193" s="306"/>
      <c r="H193" s="306"/>
      <c r="I193" s="427"/>
      <c r="J193" s="306"/>
      <c r="K193" s="306"/>
      <c r="L193" s="307"/>
      <c r="M193" s="307"/>
      <c r="N193" s="307"/>
      <c r="O193" s="307"/>
      <c r="P193" s="307"/>
      <c r="Q193" s="307"/>
      <c r="R193" s="307"/>
      <c r="S193" s="307"/>
      <c r="T193" s="307"/>
      <c r="U193" s="307"/>
      <c r="V193" s="307"/>
      <c r="W193" s="307"/>
      <c r="X193" s="307"/>
      <c r="Y193" s="307"/>
      <c r="Z193" s="307"/>
      <c r="AA193" s="307"/>
      <c r="AB193" s="307"/>
    </row>
    <row r="194" ht="15.75" customHeight="1">
      <c r="A194" s="306"/>
      <c r="B194" s="306"/>
      <c r="C194" s="306"/>
      <c r="D194" s="306"/>
      <c r="E194" s="306"/>
      <c r="F194" s="306"/>
      <c r="G194" s="306"/>
      <c r="H194" s="306"/>
      <c r="I194" s="427"/>
      <c r="J194" s="306"/>
      <c r="K194" s="306"/>
      <c r="L194" s="307"/>
      <c r="M194" s="307"/>
      <c r="N194" s="307"/>
      <c r="O194" s="307"/>
      <c r="P194" s="307"/>
      <c r="Q194" s="307"/>
      <c r="R194" s="307"/>
      <c r="S194" s="307"/>
      <c r="T194" s="307"/>
      <c r="U194" s="307"/>
      <c r="V194" s="307"/>
      <c r="W194" s="307"/>
      <c r="X194" s="307"/>
      <c r="Y194" s="307"/>
      <c r="Z194" s="307"/>
      <c r="AA194" s="307"/>
      <c r="AB194" s="307"/>
    </row>
    <row r="195" ht="15.75" customHeight="1">
      <c r="A195" s="306"/>
      <c r="B195" s="306"/>
      <c r="C195" s="306"/>
      <c r="D195" s="306"/>
      <c r="E195" s="306"/>
      <c r="F195" s="306"/>
      <c r="G195" s="306"/>
      <c r="H195" s="306"/>
      <c r="I195" s="427"/>
      <c r="J195" s="306"/>
      <c r="K195" s="306"/>
      <c r="L195" s="307"/>
      <c r="M195" s="307"/>
      <c r="N195" s="307"/>
      <c r="O195" s="307"/>
      <c r="P195" s="307"/>
      <c r="Q195" s="307"/>
      <c r="R195" s="307"/>
      <c r="S195" s="307"/>
      <c r="T195" s="307"/>
      <c r="U195" s="307"/>
      <c r="V195" s="307"/>
      <c r="W195" s="307"/>
      <c r="X195" s="307"/>
      <c r="Y195" s="307"/>
      <c r="Z195" s="307"/>
      <c r="AA195" s="307"/>
      <c r="AB195" s="307"/>
    </row>
    <row r="196" ht="15.75" customHeight="1">
      <c r="A196" s="306"/>
      <c r="B196" s="306"/>
      <c r="C196" s="306"/>
      <c r="D196" s="306"/>
      <c r="E196" s="306"/>
      <c r="F196" s="306"/>
      <c r="G196" s="306"/>
      <c r="H196" s="306"/>
      <c r="I196" s="427"/>
      <c r="J196" s="306"/>
      <c r="K196" s="306"/>
      <c r="L196" s="307"/>
      <c r="M196" s="307"/>
      <c r="N196" s="307"/>
      <c r="O196" s="307"/>
      <c r="P196" s="307"/>
      <c r="Q196" s="307"/>
      <c r="R196" s="307"/>
      <c r="S196" s="307"/>
      <c r="T196" s="307"/>
      <c r="U196" s="307"/>
      <c r="V196" s="307"/>
      <c r="W196" s="307"/>
      <c r="X196" s="307"/>
      <c r="Y196" s="307"/>
      <c r="Z196" s="307"/>
      <c r="AA196" s="307"/>
      <c r="AB196" s="307"/>
    </row>
    <row r="197" ht="15.75" customHeight="1">
      <c r="A197" s="306"/>
      <c r="B197" s="306"/>
      <c r="C197" s="306"/>
      <c r="D197" s="306"/>
      <c r="E197" s="306"/>
      <c r="F197" s="306"/>
      <c r="G197" s="306"/>
      <c r="H197" s="306"/>
      <c r="I197" s="427"/>
      <c r="J197" s="306"/>
      <c r="K197" s="306"/>
      <c r="L197" s="307"/>
      <c r="M197" s="307"/>
      <c r="N197" s="307"/>
      <c r="O197" s="307"/>
      <c r="P197" s="307"/>
      <c r="Q197" s="307"/>
      <c r="R197" s="307"/>
      <c r="S197" s="307"/>
      <c r="T197" s="307"/>
      <c r="U197" s="307"/>
      <c r="V197" s="307"/>
      <c r="W197" s="307"/>
      <c r="X197" s="307"/>
      <c r="Y197" s="307"/>
      <c r="Z197" s="307"/>
      <c r="AA197" s="307"/>
      <c r="AB197" s="307"/>
    </row>
    <row r="198" ht="15.75" customHeight="1">
      <c r="A198" s="306"/>
      <c r="B198" s="306"/>
      <c r="C198" s="306"/>
      <c r="D198" s="306"/>
      <c r="E198" s="306"/>
      <c r="F198" s="306"/>
      <c r="G198" s="306"/>
      <c r="H198" s="306"/>
      <c r="I198" s="427"/>
      <c r="J198" s="306"/>
      <c r="K198" s="306"/>
      <c r="L198" s="307"/>
      <c r="M198" s="307"/>
      <c r="N198" s="307"/>
      <c r="O198" s="307"/>
      <c r="P198" s="307"/>
      <c r="Q198" s="307"/>
      <c r="R198" s="307"/>
      <c r="S198" s="307"/>
      <c r="T198" s="307"/>
      <c r="U198" s="307"/>
      <c r="V198" s="307"/>
      <c r="W198" s="307"/>
      <c r="X198" s="307"/>
      <c r="Y198" s="307"/>
      <c r="Z198" s="307"/>
      <c r="AA198" s="307"/>
      <c r="AB198" s="307"/>
    </row>
    <row r="199" ht="15.75" customHeight="1">
      <c r="A199" s="306"/>
      <c r="B199" s="306"/>
      <c r="C199" s="306"/>
      <c r="D199" s="306"/>
      <c r="E199" s="306"/>
      <c r="F199" s="306"/>
      <c r="G199" s="306"/>
      <c r="H199" s="306"/>
      <c r="I199" s="427"/>
      <c r="J199" s="306"/>
      <c r="K199" s="306"/>
      <c r="L199" s="307"/>
      <c r="M199" s="307"/>
      <c r="N199" s="307"/>
      <c r="O199" s="307"/>
      <c r="P199" s="307"/>
      <c r="Q199" s="307"/>
      <c r="R199" s="307"/>
      <c r="S199" s="307"/>
      <c r="T199" s="307"/>
      <c r="U199" s="307"/>
      <c r="V199" s="307"/>
      <c r="W199" s="307"/>
      <c r="X199" s="307"/>
      <c r="Y199" s="307"/>
      <c r="Z199" s="307"/>
      <c r="AA199" s="307"/>
      <c r="AB199" s="307"/>
    </row>
    <row r="200" ht="15.75" customHeight="1">
      <c r="A200" s="306"/>
      <c r="B200" s="306"/>
      <c r="C200" s="306"/>
      <c r="D200" s="306"/>
      <c r="E200" s="306"/>
      <c r="F200" s="306"/>
      <c r="G200" s="306"/>
      <c r="H200" s="306"/>
      <c r="I200" s="427"/>
      <c r="J200" s="306"/>
      <c r="K200" s="306"/>
      <c r="L200" s="307"/>
      <c r="M200" s="307"/>
      <c r="N200" s="307"/>
      <c r="O200" s="307"/>
      <c r="P200" s="307"/>
      <c r="Q200" s="307"/>
      <c r="R200" s="307"/>
      <c r="S200" s="307"/>
      <c r="T200" s="307"/>
      <c r="U200" s="307"/>
      <c r="V200" s="307"/>
      <c r="W200" s="307"/>
      <c r="X200" s="307"/>
      <c r="Y200" s="307"/>
      <c r="Z200" s="307"/>
      <c r="AA200" s="307"/>
      <c r="AB200" s="307"/>
    </row>
    <row r="201" ht="15.75" customHeight="1">
      <c r="A201" s="306"/>
      <c r="B201" s="306"/>
      <c r="C201" s="306"/>
      <c r="D201" s="306"/>
      <c r="E201" s="306"/>
      <c r="F201" s="306"/>
      <c r="G201" s="306"/>
      <c r="H201" s="306"/>
      <c r="I201" s="427"/>
      <c r="J201" s="306"/>
      <c r="K201" s="306"/>
      <c r="L201" s="307"/>
      <c r="M201" s="307"/>
      <c r="N201" s="307"/>
      <c r="O201" s="307"/>
      <c r="P201" s="307"/>
      <c r="Q201" s="307"/>
      <c r="R201" s="307"/>
      <c r="S201" s="307"/>
      <c r="T201" s="307"/>
      <c r="U201" s="307"/>
      <c r="V201" s="307"/>
      <c r="W201" s="307"/>
      <c r="X201" s="307"/>
      <c r="Y201" s="307"/>
      <c r="Z201" s="307"/>
      <c r="AA201" s="307"/>
      <c r="AB201" s="307"/>
    </row>
    <row r="202" ht="15.75" customHeight="1">
      <c r="A202" s="306"/>
      <c r="B202" s="306"/>
      <c r="C202" s="306"/>
      <c r="D202" s="306"/>
      <c r="E202" s="306"/>
      <c r="F202" s="306"/>
      <c r="G202" s="306"/>
      <c r="H202" s="306"/>
      <c r="I202" s="427"/>
      <c r="J202" s="306"/>
      <c r="K202" s="306"/>
      <c r="L202" s="307"/>
      <c r="M202" s="307"/>
      <c r="N202" s="307"/>
      <c r="O202" s="307"/>
      <c r="P202" s="307"/>
      <c r="Q202" s="307"/>
      <c r="R202" s="307"/>
      <c r="S202" s="307"/>
      <c r="T202" s="307"/>
      <c r="U202" s="307"/>
      <c r="V202" s="307"/>
      <c r="W202" s="307"/>
      <c r="X202" s="307"/>
      <c r="Y202" s="307"/>
      <c r="Z202" s="307"/>
      <c r="AA202" s="307"/>
      <c r="AB202" s="307"/>
    </row>
    <row r="203" ht="15.75" customHeight="1">
      <c r="A203" s="306"/>
      <c r="B203" s="306"/>
      <c r="C203" s="306"/>
      <c r="D203" s="306"/>
      <c r="E203" s="306"/>
      <c r="F203" s="306"/>
      <c r="G203" s="306"/>
      <c r="H203" s="306"/>
      <c r="I203" s="427"/>
      <c r="J203" s="306"/>
      <c r="K203" s="306"/>
      <c r="L203" s="307"/>
      <c r="M203" s="307"/>
      <c r="N203" s="307"/>
      <c r="O203" s="307"/>
      <c r="P203" s="307"/>
      <c r="Q203" s="307"/>
      <c r="R203" s="307"/>
      <c r="S203" s="307"/>
      <c r="T203" s="307"/>
      <c r="U203" s="307"/>
      <c r="V203" s="307"/>
      <c r="W203" s="307"/>
      <c r="X203" s="307"/>
      <c r="Y203" s="307"/>
      <c r="Z203" s="307"/>
      <c r="AA203" s="307"/>
      <c r="AB203" s="307"/>
    </row>
    <row r="204" ht="15.75" customHeight="1">
      <c r="A204" s="306"/>
      <c r="B204" s="306"/>
      <c r="C204" s="306"/>
      <c r="D204" s="306"/>
      <c r="E204" s="306"/>
      <c r="F204" s="306"/>
      <c r="G204" s="306"/>
      <c r="H204" s="306"/>
      <c r="I204" s="427"/>
      <c r="J204" s="306"/>
      <c r="K204" s="306"/>
      <c r="L204" s="307"/>
      <c r="M204" s="307"/>
      <c r="N204" s="307"/>
      <c r="O204" s="307"/>
      <c r="P204" s="307"/>
      <c r="Q204" s="307"/>
      <c r="R204" s="307"/>
      <c r="S204" s="307"/>
      <c r="T204" s="307"/>
      <c r="U204" s="307"/>
      <c r="V204" s="307"/>
      <c r="W204" s="307"/>
      <c r="X204" s="307"/>
      <c r="Y204" s="307"/>
      <c r="Z204" s="307"/>
      <c r="AA204" s="307"/>
      <c r="AB204" s="307"/>
    </row>
    <row r="205" ht="15.75" customHeight="1">
      <c r="A205" s="306"/>
      <c r="B205" s="306"/>
      <c r="C205" s="306"/>
      <c r="D205" s="306"/>
      <c r="E205" s="306"/>
      <c r="F205" s="306"/>
      <c r="G205" s="306"/>
      <c r="H205" s="306"/>
      <c r="I205" s="427"/>
      <c r="J205" s="306"/>
      <c r="K205" s="306"/>
      <c r="L205" s="307"/>
      <c r="M205" s="307"/>
      <c r="N205" s="307"/>
      <c r="O205" s="307"/>
      <c r="P205" s="307"/>
      <c r="Q205" s="307"/>
      <c r="R205" s="307"/>
      <c r="S205" s="307"/>
      <c r="T205" s="307"/>
      <c r="U205" s="307"/>
      <c r="V205" s="307"/>
      <c r="W205" s="307"/>
      <c r="X205" s="307"/>
      <c r="Y205" s="307"/>
      <c r="Z205" s="307"/>
      <c r="AA205" s="307"/>
      <c r="AB205" s="307"/>
    </row>
    <row r="206" ht="15.75" customHeight="1">
      <c r="A206" s="306"/>
      <c r="B206" s="306"/>
      <c r="C206" s="306"/>
      <c r="D206" s="306"/>
      <c r="E206" s="306"/>
      <c r="F206" s="306"/>
      <c r="G206" s="306"/>
      <c r="H206" s="306"/>
      <c r="I206" s="427"/>
      <c r="J206" s="306"/>
      <c r="K206" s="306"/>
      <c r="L206" s="307"/>
      <c r="M206" s="307"/>
      <c r="N206" s="307"/>
      <c r="O206" s="307"/>
      <c r="P206" s="307"/>
      <c r="Q206" s="307"/>
      <c r="R206" s="307"/>
      <c r="S206" s="307"/>
      <c r="T206" s="307"/>
      <c r="U206" s="307"/>
      <c r="V206" s="307"/>
      <c r="W206" s="307"/>
      <c r="X206" s="307"/>
      <c r="Y206" s="307"/>
      <c r="Z206" s="307"/>
      <c r="AA206" s="307"/>
      <c r="AB206" s="307"/>
    </row>
    <row r="207" ht="15.75" customHeight="1">
      <c r="A207" s="306"/>
      <c r="B207" s="306"/>
      <c r="C207" s="306"/>
      <c r="D207" s="306"/>
      <c r="E207" s="306"/>
      <c r="F207" s="306"/>
      <c r="G207" s="306"/>
      <c r="H207" s="306"/>
      <c r="I207" s="427"/>
      <c r="J207" s="306"/>
      <c r="K207" s="306"/>
      <c r="L207" s="307"/>
      <c r="M207" s="307"/>
      <c r="N207" s="307"/>
      <c r="O207" s="307"/>
      <c r="P207" s="307"/>
      <c r="Q207" s="307"/>
      <c r="R207" s="307"/>
      <c r="S207" s="307"/>
      <c r="T207" s="307"/>
      <c r="U207" s="307"/>
      <c r="V207" s="307"/>
      <c r="W207" s="307"/>
      <c r="X207" s="307"/>
      <c r="Y207" s="307"/>
      <c r="Z207" s="307"/>
      <c r="AA207" s="307"/>
      <c r="AB207" s="307"/>
    </row>
    <row r="208" ht="15.75" customHeight="1">
      <c r="A208" s="306"/>
      <c r="B208" s="306"/>
      <c r="C208" s="306"/>
      <c r="D208" s="306"/>
      <c r="E208" s="306"/>
      <c r="F208" s="306"/>
      <c r="G208" s="306"/>
      <c r="H208" s="306"/>
      <c r="I208" s="427"/>
      <c r="J208" s="306"/>
      <c r="K208" s="306"/>
      <c r="L208" s="307"/>
      <c r="M208" s="307"/>
      <c r="N208" s="307"/>
      <c r="O208" s="307"/>
      <c r="P208" s="307"/>
      <c r="Q208" s="307"/>
      <c r="R208" s="307"/>
      <c r="S208" s="307"/>
      <c r="T208" s="307"/>
      <c r="U208" s="307"/>
      <c r="V208" s="307"/>
      <c r="W208" s="307"/>
      <c r="X208" s="307"/>
      <c r="Y208" s="307"/>
      <c r="Z208" s="307"/>
      <c r="AA208" s="307"/>
      <c r="AB208" s="307"/>
    </row>
    <row r="209" ht="15.75" customHeight="1">
      <c r="A209" s="306"/>
      <c r="B209" s="306"/>
      <c r="C209" s="306"/>
      <c r="D209" s="306"/>
      <c r="E209" s="306"/>
      <c r="F209" s="306"/>
      <c r="G209" s="306"/>
      <c r="H209" s="306"/>
      <c r="I209" s="427"/>
      <c r="J209" s="306"/>
      <c r="K209" s="306"/>
      <c r="L209" s="307"/>
      <c r="M209" s="307"/>
      <c r="N209" s="307"/>
      <c r="O209" s="307"/>
      <c r="P209" s="307"/>
      <c r="Q209" s="307"/>
      <c r="R209" s="307"/>
      <c r="S209" s="307"/>
      <c r="T209" s="307"/>
      <c r="U209" s="307"/>
      <c r="V209" s="307"/>
      <c r="W209" s="307"/>
      <c r="X209" s="307"/>
      <c r="Y209" s="307"/>
      <c r="Z209" s="307"/>
      <c r="AA209" s="307"/>
      <c r="AB209" s="307"/>
    </row>
    <row r="210" ht="15.75" customHeight="1">
      <c r="A210" s="306"/>
      <c r="B210" s="306"/>
      <c r="C210" s="306"/>
      <c r="D210" s="306"/>
      <c r="E210" s="306"/>
      <c r="F210" s="306"/>
      <c r="G210" s="306"/>
      <c r="H210" s="306"/>
      <c r="I210" s="427"/>
      <c r="J210" s="306"/>
      <c r="K210" s="306"/>
      <c r="L210" s="307"/>
      <c r="M210" s="307"/>
      <c r="N210" s="307"/>
      <c r="O210" s="307"/>
      <c r="P210" s="307"/>
      <c r="Q210" s="307"/>
      <c r="R210" s="307"/>
      <c r="S210" s="307"/>
      <c r="T210" s="307"/>
      <c r="U210" s="307"/>
      <c r="V210" s="307"/>
      <c r="W210" s="307"/>
      <c r="X210" s="307"/>
      <c r="Y210" s="307"/>
      <c r="Z210" s="307"/>
      <c r="AA210" s="307"/>
      <c r="AB210" s="307"/>
    </row>
    <row r="211" ht="15.75" customHeight="1">
      <c r="A211" s="306"/>
      <c r="B211" s="306"/>
      <c r="C211" s="306"/>
      <c r="D211" s="306"/>
      <c r="E211" s="306"/>
      <c r="F211" s="306"/>
      <c r="G211" s="306"/>
      <c r="H211" s="306"/>
      <c r="I211" s="427"/>
      <c r="J211" s="306"/>
      <c r="K211" s="306"/>
      <c r="L211" s="307"/>
      <c r="M211" s="307"/>
      <c r="N211" s="307"/>
      <c r="O211" s="307"/>
      <c r="P211" s="307"/>
      <c r="Q211" s="307"/>
      <c r="R211" s="307"/>
      <c r="S211" s="307"/>
      <c r="T211" s="307"/>
      <c r="U211" s="307"/>
      <c r="V211" s="307"/>
      <c r="W211" s="307"/>
      <c r="X211" s="307"/>
      <c r="Y211" s="307"/>
      <c r="Z211" s="307"/>
      <c r="AA211" s="307"/>
      <c r="AB211" s="307"/>
    </row>
    <row r="212" ht="15.75" customHeight="1">
      <c r="A212" s="306"/>
      <c r="B212" s="306"/>
      <c r="C212" s="306"/>
      <c r="D212" s="306"/>
      <c r="E212" s="306"/>
      <c r="F212" s="306"/>
      <c r="G212" s="306"/>
      <c r="H212" s="306"/>
      <c r="I212" s="427"/>
      <c r="J212" s="306"/>
      <c r="K212" s="306"/>
      <c r="L212" s="307"/>
      <c r="M212" s="307"/>
      <c r="N212" s="307"/>
      <c r="O212" s="307"/>
      <c r="P212" s="307"/>
      <c r="Q212" s="307"/>
      <c r="R212" s="307"/>
      <c r="S212" s="307"/>
      <c r="T212" s="307"/>
      <c r="U212" s="307"/>
      <c r="V212" s="307"/>
      <c r="W212" s="307"/>
      <c r="X212" s="307"/>
      <c r="Y212" s="307"/>
      <c r="Z212" s="307"/>
      <c r="AA212" s="307"/>
      <c r="AB212" s="307"/>
    </row>
    <row r="213" ht="15.75" customHeight="1">
      <c r="A213" s="306"/>
      <c r="B213" s="306"/>
      <c r="C213" s="306"/>
      <c r="D213" s="306"/>
      <c r="E213" s="306"/>
      <c r="F213" s="306"/>
      <c r="G213" s="306"/>
      <c r="H213" s="306"/>
      <c r="I213" s="427"/>
      <c r="J213" s="306"/>
      <c r="K213" s="306"/>
      <c r="L213" s="307"/>
      <c r="M213" s="307"/>
      <c r="N213" s="307"/>
      <c r="O213" s="307"/>
      <c r="P213" s="307"/>
      <c r="Q213" s="307"/>
      <c r="R213" s="307"/>
      <c r="S213" s="307"/>
      <c r="T213" s="307"/>
      <c r="U213" s="307"/>
      <c r="V213" s="307"/>
      <c r="W213" s="307"/>
      <c r="X213" s="307"/>
      <c r="Y213" s="307"/>
      <c r="Z213" s="307"/>
      <c r="AA213" s="307"/>
      <c r="AB213" s="307"/>
    </row>
    <row r="214" ht="15.75" customHeight="1">
      <c r="A214" s="306"/>
      <c r="B214" s="306"/>
      <c r="C214" s="306"/>
      <c r="D214" s="306"/>
      <c r="E214" s="306"/>
      <c r="F214" s="306"/>
      <c r="G214" s="306"/>
      <c r="H214" s="306"/>
      <c r="I214" s="427"/>
      <c r="J214" s="306"/>
      <c r="K214" s="306"/>
      <c r="L214" s="307"/>
      <c r="M214" s="307"/>
      <c r="N214" s="307"/>
      <c r="O214" s="307"/>
      <c r="P214" s="307"/>
      <c r="Q214" s="307"/>
      <c r="R214" s="307"/>
      <c r="S214" s="307"/>
      <c r="T214" s="307"/>
      <c r="U214" s="307"/>
      <c r="V214" s="307"/>
      <c r="W214" s="307"/>
      <c r="X214" s="307"/>
      <c r="Y214" s="307"/>
      <c r="Z214" s="307"/>
      <c r="AA214" s="307"/>
      <c r="AB214" s="307"/>
    </row>
    <row r="215" ht="15.75" customHeight="1">
      <c r="A215" s="306"/>
      <c r="B215" s="306"/>
      <c r="C215" s="306"/>
      <c r="D215" s="306"/>
      <c r="E215" s="306"/>
      <c r="F215" s="306"/>
      <c r="G215" s="306"/>
      <c r="H215" s="306"/>
      <c r="I215" s="427"/>
      <c r="J215" s="306"/>
      <c r="K215" s="306"/>
      <c r="L215" s="307"/>
      <c r="M215" s="307"/>
      <c r="N215" s="307"/>
      <c r="O215" s="307"/>
      <c r="P215" s="307"/>
      <c r="Q215" s="307"/>
      <c r="R215" s="307"/>
      <c r="S215" s="307"/>
      <c r="T215" s="307"/>
      <c r="U215" s="307"/>
      <c r="V215" s="307"/>
      <c r="W215" s="307"/>
      <c r="X215" s="307"/>
      <c r="Y215" s="307"/>
      <c r="Z215" s="307"/>
      <c r="AA215" s="307"/>
      <c r="AB215" s="307"/>
    </row>
    <row r="216" ht="15.75" customHeight="1">
      <c r="A216" s="306"/>
      <c r="B216" s="306"/>
      <c r="C216" s="306"/>
      <c r="D216" s="306"/>
      <c r="E216" s="306"/>
      <c r="F216" s="306"/>
      <c r="G216" s="306"/>
      <c r="H216" s="306"/>
      <c r="I216" s="427"/>
      <c r="J216" s="306"/>
      <c r="K216" s="306"/>
      <c r="L216" s="307"/>
      <c r="M216" s="307"/>
      <c r="N216" s="307"/>
      <c r="O216" s="307"/>
      <c r="P216" s="307"/>
      <c r="Q216" s="307"/>
      <c r="R216" s="307"/>
      <c r="S216" s="307"/>
      <c r="T216" s="307"/>
      <c r="U216" s="307"/>
      <c r="V216" s="307"/>
      <c r="W216" s="307"/>
      <c r="X216" s="307"/>
      <c r="Y216" s="307"/>
      <c r="Z216" s="307"/>
      <c r="AA216" s="307"/>
      <c r="AB216" s="307"/>
    </row>
    <row r="217" ht="15.75" customHeight="1">
      <c r="A217" s="306"/>
      <c r="B217" s="306"/>
      <c r="C217" s="306"/>
      <c r="D217" s="306"/>
      <c r="E217" s="306"/>
      <c r="F217" s="306"/>
      <c r="G217" s="306"/>
      <c r="H217" s="306"/>
      <c r="I217" s="427"/>
      <c r="J217" s="306"/>
      <c r="K217" s="306"/>
      <c r="L217" s="307"/>
      <c r="M217" s="307"/>
      <c r="N217" s="307"/>
      <c r="O217" s="307"/>
      <c r="P217" s="307"/>
      <c r="Q217" s="307"/>
      <c r="R217" s="307"/>
      <c r="S217" s="307"/>
      <c r="T217" s="307"/>
      <c r="U217" s="307"/>
      <c r="V217" s="307"/>
      <c r="W217" s="307"/>
      <c r="X217" s="307"/>
      <c r="Y217" s="307"/>
      <c r="Z217" s="307"/>
      <c r="AA217" s="307"/>
      <c r="AB217" s="307"/>
    </row>
    <row r="218" ht="15.75" customHeight="1">
      <c r="A218" s="306"/>
      <c r="B218" s="306"/>
      <c r="C218" s="306"/>
      <c r="D218" s="306"/>
      <c r="E218" s="306"/>
      <c r="F218" s="306"/>
      <c r="G218" s="306"/>
      <c r="H218" s="306"/>
      <c r="I218" s="427"/>
      <c r="J218" s="306"/>
      <c r="K218" s="306"/>
      <c r="L218" s="307"/>
      <c r="M218" s="307"/>
      <c r="N218" s="307"/>
      <c r="O218" s="307"/>
      <c r="P218" s="307"/>
      <c r="Q218" s="307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</row>
    <row r="219" ht="15.75" customHeight="1">
      <c r="A219" s="306"/>
      <c r="B219" s="306"/>
      <c r="C219" s="306"/>
      <c r="D219" s="306"/>
      <c r="E219" s="306"/>
      <c r="F219" s="306"/>
      <c r="G219" s="306"/>
      <c r="H219" s="306"/>
      <c r="I219" s="427"/>
      <c r="J219" s="306"/>
      <c r="K219" s="306"/>
      <c r="L219" s="307"/>
      <c r="M219" s="307"/>
      <c r="N219" s="307"/>
      <c r="O219" s="307"/>
      <c r="P219" s="307"/>
      <c r="Q219" s="307"/>
      <c r="R219" s="307"/>
      <c r="S219" s="307"/>
      <c r="T219" s="307"/>
      <c r="U219" s="307"/>
      <c r="V219" s="307"/>
      <c r="W219" s="307"/>
      <c r="X219" s="307"/>
      <c r="Y219" s="307"/>
      <c r="Z219" s="307"/>
      <c r="AA219" s="307"/>
      <c r="AB219" s="307"/>
    </row>
    <row r="220" ht="15.75" customHeight="1">
      <c r="A220" s="306"/>
      <c r="B220" s="306"/>
      <c r="C220" s="306"/>
      <c r="D220" s="306"/>
      <c r="E220" s="306"/>
      <c r="F220" s="306"/>
      <c r="G220" s="306"/>
      <c r="H220" s="306"/>
      <c r="I220" s="427"/>
      <c r="J220" s="306"/>
      <c r="K220" s="306"/>
      <c r="L220" s="307"/>
      <c r="M220" s="307"/>
      <c r="N220" s="307"/>
      <c r="O220" s="307"/>
      <c r="P220" s="307"/>
      <c r="Q220" s="307"/>
      <c r="R220" s="307"/>
      <c r="S220" s="307"/>
      <c r="T220" s="307"/>
      <c r="U220" s="307"/>
      <c r="V220" s="307"/>
      <c r="W220" s="307"/>
      <c r="X220" s="307"/>
      <c r="Y220" s="307"/>
      <c r="Z220" s="307"/>
      <c r="AA220" s="307"/>
      <c r="AB220" s="307"/>
    </row>
    <row r="221" ht="15.75" customHeight="1">
      <c r="A221" s="306"/>
      <c r="B221" s="306"/>
      <c r="C221" s="306"/>
      <c r="D221" s="306"/>
      <c r="E221" s="306"/>
      <c r="F221" s="306"/>
      <c r="G221" s="306"/>
      <c r="H221" s="306"/>
      <c r="I221" s="247"/>
      <c r="J221" s="307"/>
      <c r="K221" s="307"/>
      <c r="L221" s="307"/>
      <c r="M221" s="307"/>
      <c r="N221" s="307"/>
      <c r="O221" s="307"/>
      <c r="P221" s="307"/>
      <c r="Q221" s="307"/>
      <c r="R221" s="307"/>
      <c r="S221" s="307"/>
      <c r="T221" s="307"/>
      <c r="U221" s="307"/>
      <c r="V221" s="307"/>
      <c r="W221" s="307"/>
      <c r="X221" s="307"/>
      <c r="Y221" s="307"/>
      <c r="Z221" s="307"/>
      <c r="AA221" s="307"/>
      <c r="AB221" s="307"/>
    </row>
    <row r="222" ht="15.75" customHeight="1">
      <c r="A222" s="306"/>
      <c r="B222" s="306"/>
      <c r="C222" s="306"/>
      <c r="D222" s="306"/>
      <c r="E222" s="306"/>
      <c r="F222" s="306"/>
      <c r="G222" s="306"/>
      <c r="H222" s="306"/>
      <c r="I222" s="247"/>
      <c r="J222" s="307"/>
      <c r="K222" s="307"/>
      <c r="L222" s="307"/>
      <c r="M222" s="307"/>
      <c r="N222" s="307"/>
      <c r="O222" s="307"/>
      <c r="P222" s="307"/>
      <c r="Q222" s="307"/>
      <c r="R222" s="307"/>
      <c r="S222" s="307"/>
      <c r="T222" s="307"/>
      <c r="U222" s="307"/>
      <c r="V222" s="307"/>
      <c r="W222" s="307"/>
      <c r="X222" s="307"/>
      <c r="Y222" s="307"/>
      <c r="Z222" s="307"/>
      <c r="AA222" s="307"/>
      <c r="AB222" s="307"/>
    </row>
    <row r="223" ht="15.75" customHeight="1">
      <c r="A223" s="306"/>
      <c r="B223" s="306"/>
      <c r="C223" s="306"/>
      <c r="D223" s="306"/>
      <c r="E223" s="306"/>
      <c r="F223" s="306"/>
      <c r="G223" s="306"/>
      <c r="H223" s="306"/>
      <c r="I223" s="247"/>
      <c r="J223" s="307"/>
      <c r="K223" s="307"/>
      <c r="L223" s="307"/>
      <c r="M223" s="307"/>
      <c r="N223" s="307"/>
      <c r="O223" s="307"/>
      <c r="P223" s="307"/>
      <c r="Q223" s="307"/>
      <c r="R223" s="307"/>
      <c r="S223" s="307"/>
      <c r="T223" s="307"/>
      <c r="U223" s="307"/>
      <c r="V223" s="307"/>
      <c r="W223" s="307"/>
      <c r="X223" s="307"/>
      <c r="Y223" s="307"/>
      <c r="Z223" s="307"/>
      <c r="AA223" s="307"/>
      <c r="AB223" s="307"/>
    </row>
    <row r="224" ht="15.75" customHeight="1">
      <c r="A224" s="306"/>
      <c r="B224" s="306"/>
      <c r="C224" s="306"/>
      <c r="D224" s="306"/>
      <c r="E224" s="306"/>
      <c r="F224" s="306"/>
      <c r="G224" s="306"/>
      <c r="H224" s="306"/>
      <c r="I224" s="247"/>
      <c r="J224" s="307"/>
      <c r="K224" s="307"/>
      <c r="L224" s="307"/>
      <c r="M224" s="307"/>
      <c r="N224" s="307"/>
      <c r="O224" s="307"/>
      <c r="P224" s="307"/>
      <c r="Q224" s="307"/>
      <c r="R224" s="307"/>
      <c r="S224" s="307"/>
      <c r="T224" s="307"/>
      <c r="U224" s="307"/>
      <c r="V224" s="307"/>
      <c r="W224" s="307"/>
      <c r="X224" s="307"/>
      <c r="Y224" s="307"/>
      <c r="Z224" s="307"/>
      <c r="AA224" s="307"/>
      <c r="AB224" s="307"/>
    </row>
    <row r="225" ht="15.75" customHeight="1">
      <c r="A225" s="306"/>
      <c r="B225" s="306"/>
      <c r="C225" s="306"/>
      <c r="D225" s="306"/>
      <c r="E225" s="306"/>
      <c r="F225" s="306"/>
      <c r="G225" s="306"/>
      <c r="H225" s="306"/>
      <c r="I225" s="247"/>
      <c r="J225" s="307"/>
      <c r="K225" s="307"/>
      <c r="L225" s="307"/>
      <c r="M225" s="307"/>
      <c r="N225" s="307"/>
      <c r="O225" s="307"/>
      <c r="P225" s="307"/>
      <c r="Q225" s="307"/>
      <c r="R225" s="307"/>
      <c r="S225" s="307"/>
      <c r="T225" s="307"/>
      <c r="U225" s="307"/>
      <c r="V225" s="307"/>
      <c r="W225" s="307"/>
      <c r="X225" s="307"/>
      <c r="Y225" s="307"/>
      <c r="Z225" s="307"/>
      <c r="AA225" s="307"/>
      <c r="AB225" s="307"/>
    </row>
    <row r="226" ht="15.75" customHeight="1">
      <c r="A226" s="306"/>
      <c r="B226" s="306"/>
      <c r="C226" s="306"/>
      <c r="D226" s="306"/>
      <c r="E226" s="306"/>
      <c r="F226" s="306"/>
      <c r="G226" s="306"/>
      <c r="H226" s="306"/>
      <c r="I226" s="247"/>
      <c r="J226" s="307"/>
      <c r="K226" s="307"/>
      <c r="L226" s="307"/>
      <c r="M226" s="307"/>
      <c r="N226" s="307"/>
      <c r="O226" s="307"/>
      <c r="P226" s="307"/>
      <c r="Q226" s="307"/>
      <c r="R226" s="307"/>
      <c r="S226" s="307"/>
      <c r="T226" s="307"/>
      <c r="U226" s="307"/>
      <c r="V226" s="307"/>
      <c r="W226" s="307"/>
      <c r="X226" s="307"/>
      <c r="Y226" s="307"/>
      <c r="Z226" s="307"/>
      <c r="AA226" s="307"/>
      <c r="AB226" s="307"/>
    </row>
    <row r="227" ht="15.75" customHeight="1">
      <c r="A227" s="306"/>
      <c r="B227" s="306"/>
      <c r="C227" s="306"/>
      <c r="D227" s="306"/>
      <c r="E227" s="306"/>
      <c r="F227" s="306"/>
      <c r="G227" s="306"/>
      <c r="H227" s="306"/>
      <c r="I227" s="247"/>
      <c r="J227" s="307"/>
      <c r="K227" s="307"/>
      <c r="L227" s="307"/>
      <c r="M227" s="307"/>
      <c r="N227" s="307"/>
      <c r="O227" s="307"/>
      <c r="P227" s="307"/>
      <c r="Q227" s="307"/>
      <c r="R227" s="307"/>
      <c r="S227" s="307"/>
      <c r="T227" s="307"/>
      <c r="U227" s="307"/>
      <c r="V227" s="307"/>
      <c r="W227" s="307"/>
      <c r="X227" s="307"/>
      <c r="Y227" s="307"/>
      <c r="Z227" s="307"/>
      <c r="AA227" s="307"/>
      <c r="AB227" s="307"/>
    </row>
    <row r="228" ht="15.75" customHeight="1">
      <c r="A228" s="306"/>
      <c r="B228" s="306"/>
      <c r="C228" s="306"/>
      <c r="D228" s="306"/>
      <c r="E228" s="306"/>
      <c r="F228" s="306"/>
      <c r="G228" s="306"/>
      <c r="H228" s="306"/>
      <c r="I228" s="247"/>
      <c r="J228" s="307"/>
      <c r="K228" s="307"/>
      <c r="L228" s="307"/>
      <c r="M228" s="307"/>
      <c r="N228" s="307"/>
      <c r="O228" s="307"/>
      <c r="P228" s="307"/>
      <c r="Q228" s="307"/>
      <c r="R228" s="307"/>
      <c r="S228" s="307"/>
      <c r="T228" s="307"/>
      <c r="U228" s="307"/>
      <c r="V228" s="307"/>
      <c r="W228" s="307"/>
      <c r="X228" s="307"/>
      <c r="Y228" s="307"/>
      <c r="Z228" s="307"/>
      <c r="AA228" s="307"/>
      <c r="AB228" s="307"/>
    </row>
    <row r="229" ht="15.75" customHeight="1">
      <c r="A229" s="306"/>
      <c r="B229" s="306"/>
      <c r="C229" s="306"/>
      <c r="D229" s="306"/>
      <c r="E229" s="306"/>
      <c r="F229" s="306"/>
      <c r="G229" s="306"/>
      <c r="H229" s="306"/>
      <c r="I229" s="247"/>
      <c r="J229" s="307"/>
      <c r="K229" s="307"/>
      <c r="L229" s="307"/>
      <c r="M229" s="307"/>
      <c r="N229" s="307"/>
      <c r="O229" s="307"/>
      <c r="P229" s="307"/>
      <c r="Q229" s="307"/>
      <c r="R229" s="307"/>
      <c r="S229" s="307"/>
      <c r="T229" s="307"/>
      <c r="U229" s="307"/>
      <c r="V229" s="307"/>
      <c r="W229" s="307"/>
      <c r="X229" s="307"/>
      <c r="Y229" s="307"/>
      <c r="Z229" s="307"/>
      <c r="AA229" s="307"/>
      <c r="AB229" s="307"/>
    </row>
    <row r="230" ht="15.75" customHeight="1">
      <c r="A230" s="306"/>
      <c r="B230" s="306"/>
      <c r="C230" s="306"/>
      <c r="D230" s="306"/>
      <c r="E230" s="306"/>
      <c r="F230" s="306"/>
      <c r="G230" s="306"/>
      <c r="H230" s="306"/>
      <c r="I230" s="247"/>
      <c r="J230" s="307"/>
      <c r="K230" s="307"/>
      <c r="L230" s="307"/>
      <c r="M230" s="307"/>
      <c r="N230" s="307"/>
      <c r="O230" s="307"/>
      <c r="P230" s="307"/>
      <c r="Q230" s="307"/>
      <c r="R230" s="307"/>
      <c r="S230" s="307"/>
      <c r="T230" s="307"/>
      <c r="U230" s="307"/>
      <c r="V230" s="307"/>
      <c r="W230" s="307"/>
      <c r="X230" s="307"/>
      <c r="Y230" s="307"/>
      <c r="Z230" s="307"/>
      <c r="AA230" s="307"/>
      <c r="AB230" s="307"/>
    </row>
    <row r="231" ht="15.75" customHeight="1">
      <c r="A231" s="306"/>
      <c r="B231" s="306"/>
      <c r="C231" s="306"/>
      <c r="D231" s="306"/>
      <c r="E231" s="306"/>
      <c r="F231" s="306"/>
      <c r="G231" s="306"/>
      <c r="H231" s="306"/>
      <c r="I231" s="247"/>
      <c r="J231" s="307"/>
      <c r="K231" s="307"/>
      <c r="L231" s="307"/>
      <c r="M231" s="307"/>
      <c r="N231" s="307"/>
      <c r="O231" s="307"/>
      <c r="P231" s="307"/>
      <c r="Q231" s="307"/>
      <c r="R231" s="307"/>
      <c r="S231" s="307"/>
      <c r="T231" s="307"/>
      <c r="U231" s="307"/>
      <c r="V231" s="307"/>
      <c r="W231" s="307"/>
      <c r="X231" s="307"/>
      <c r="Y231" s="307"/>
      <c r="Z231" s="307"/>
      <c r="AA231" s="307"/>
      <c r="AB231" s="307"/>
    </row>
    <row r="232" ht="15.75" customHeight="1">
      <c r="A232" s="306"/>
      <c r="B232" s="306"/>
      <c r="C232" s="306"/>
      <c r="D232" s="306"/>
      <c r="E232" s="306"/>
      <c r="F232" s="306"/>
      <c r="G232" s="306"/>
      <c r="H232" s="306"/>
      <c r="I232" s="247"/>
      <c r="J232" s="307"/>
      <c r="K232" s="307"/>
      <c r="L232" s="307"/>
      <c r="M232" s="307"/>
      <c r="N232" s="307"/>
      <c r="O232" s="307"/>
      <c r="P232" s="307"/>
      <c r="Q232" s="307"/>
      <c r="R232" s="307"/>
      <c r="S232" s="307"/>
      <c r="T232" s="307"/>
      <c r="U232" s="307"/>
      <c r="V232" s="307"/>
      <c r="W232" s="307"/>
      <c r="X232" s="307"/>
      <c r="Y232" s="307"/>
      <c r="Z232" s="307"/>
      <c r="AA232" s="307"/>
      <c r="AB232" s="307"/>
    </row>
    <row r="233" ht="15.75" customHeight="1">
      <c r="A233" s="306"/>
      <c r="B233" s="306"/>
      <c r="C233" s="306"/>
      <c r="D233" s="306"/>
      <c r="E233" s="306"/>
      <c r="F233" s="306"/>
      <c r="G233" s="306"/>
      <c r="H233" s="306"/>
      <c r="I233" s="247"/>
      <c r="J233" s="307"/>
      <c r="K233" s="307"/>
      <c r="L233" s="307"/>
      <c r="M233" s="307"/>
      <c r="N233" s="307"/>
      <c r="O233" s="307"/>
      <c r="P233" s="307"/>
      <c r="Q233" s="307"/>
      <c r="R233" s="307"/>
      <c r="S233" s="307"/>
      <c r="T233" s="307"/>
      <c r="U233" s="307"/>
      <c r="V233" s="307"/>
      <c r="W233" s="307"/>
      <c r="X233" s="307"/>
      <c r="Y233" s="307"/>
      <c r="Z233" s="307"/>
      <c r="AA233" s="307"/>
      <c r="AB233" s="307"/>
    </row>
    <row r="234" ht="15.75" customHeight="1">
      <c r="A234" s="306"/>
      <c r="B234" s="306"/>
      <c r="C234" s="306"/>
      <c r="D234" s="306"/>
      <c r="E234" s="306"/>
      <c r="F234" s="306"/>
      <c r="G234" s="306"/>
      <c r="H234" s="306"/>
      <c r="I234" s="247"/>
      <c r="J234" s="307"/>
      <c r="K234" s="307"/>
      <c r="L234" s="307"/>
      <c r="M234" s="307"/>
      <c r="N234" s="307"/>
      <c r="O234" s="307"/>
      <c r="P234" s="307"/>
      <c r="Q234" s="307"/>
      <c r="R234" s="307"/>
      <c r="S234" s="307"/>
      <c r="T234" s="307"/>
      <c r="U234" s="307"/>
      <c r="V234" s="307"/>
      <c r="W234" s="307"/>
      <c r="X234" s="307"/>
      <c r="Y234" s="307"/>
      <c r="Z234" s="307"/>
      <c r="AA234" s="307"/>
      <c r="AB234" s="307"/>
    </row>
    <row r="235" ht="15.75" customHeight="1">
      <c r="A235" s="306"/>
      <c r="B235" s="306"/>
      <c r="C235" s="306"/>
      <c r="D235" s="306"/>
      <c r="E235" s="306"/>
      <c r="F235" s="306"/>
      <c r="G235" s="306"/>
      <c r="H235" s="306"/>
      <c r="I235" s="247"/>
      <c r="J235" s="307"/>
      <c r="K235" s="307"/>
      <c r="L235" s="307"/>
      <c r="M235" s="307"/>
      <c r="N235" s="307"/>
      <c r="O235" s="307"/>
      <c r="P235" s="307"/>
      <c r="Q235" s="307"/>
      <c r="R235" s="307"/>
      <c r="S235" s="307"/>
      <c r="T235" s="307"/>
      <c r="U235" s="307"/>
      <c r="V235" s="307"/>
      <c r="W235" s="307"/>
      <c r="X235" s="307"/>
      <c r="Y235" s="307"/>
      <c r="Z235" s="307"/>
      <c r="AA235" s="307"/>
      <c r="AB235" s="307"/>
    </row>
    <row r="236" ht="15.75" customHeight="1">
      <c r="A236" s="306"/>
      <c r="B236" s="306"/>
      <c r="C236" s="306"/>
      <c r="D236" s="306"/>
      <c r="E236" s="306"/>
      <c r="F236" s="306"/>
      <c r="G236" s="306"/>
      <c r="H236" s="306"/>
      <c r="I236" s="247"/>
      <c r="J236" s="307"/>
      <c r="K236" s="307"/>
      <c r="L236" s="307"/>
      <c r="M236" s="307"/>
      <c r="N236" s="307"/>
      <c r="O236" s="307"/>
      <c r="P236" s="307"/>
      <c r="Q236" s="307"/>
      <c r="R236" s="307"/>
      <c r="S236" s="307"/>
      <c r="T236" s="307"/>
      <c r="U236" s="307"/>
      <c r="V236" s="307"/>
      <c r="W236" s="307"/>
      <c r="X236" s="307"/>
      <c r="Y236" s="307"/>
      <c r="Z236" s="307"/>
      <c r="AA236" s="307"/>
      <c r="AB236" s="307"/>
    </row>
    <row r="237" ht="15.75" customHeight="1">
      <c r="A237" s="306"/>
      <c r="B237" s="306"/>
      <c r="C237" s="306"/>
      <c r="D237" s="306"/>
      <c r="E237" s="306"/>
      <c r="F237" s="306"/>
      <c r="G237" s="306"/>
      <c r="H237" s="306"/>
      <c r="I237" s="247"/>
      <c r="J237" s="307"/>
      <c r="K237" s="307"/>
      <c r="L237" s="307"/>
      <c r="M237" s="307"/>
      <c r="N237" s="307"/>
      <c r="O237" s="307"/>
      <c r="P237" s="307"/>
      <c r="Q237" s="307"/>
      <c r="R237" s="307"/>
      <c r="S237" s="307"/>
      <c r="T237" s="307"/>
      <c r="U237" s="307"/>
      <c r="V237" s="307"/>
      <c r="W237" s="307"/>
      <c r="X237" s="307"/>
      <c r="Y237" s="307"/>
      <c r="Z237" s="307"/>
      <c r="AA237" s="307"/>
      <c r="AB237" s="307"/>
    </row>
    <row r="238" ht="15.75" customHeight="1">
      <c r="A238" s="348"/>
      <c r="B238" s="311"/>
      <c r="C238" s="311"/>
      <c r="D238" s="311"/>
      <c r="E238" s="311"/>
      <c r="F238" s="311"/>
      <c r="G238" s="311"/>
      <c r="H238" s="311"/>
      <c r="I238" s="436"/>
      <c r="J238" s="311"/>
      <c r="K238" s="311"/>
      <c r="L238" s="311"/>
      <c r="M238" s="348"/>
      <c r="N238" s="348"/>
      <c r="O238" s="348"/>
      <c r="P238" s="348"/>
      <c r="Q238" s="348"/>
      <c r="R238" s="348"/>
      <c r="S238" s="307"/>
      <c r="T238" s="307"/>
      <c r="U238" s="307"/>
      <c r="V238" s="348"/>
      <c r="W238" s="348"/>
      <c r="X238" s="348"/>
      <c r="Y238" s="348"/>
      <c r="Z238" s="348"/>
      <c r="AA238" s="348"/>
      <c r="AB238" s="348"/>
    </row>
    <row r="239" ht="15.75" customHeight="1">
      <c r="A239" s="348"/>
      <c r="B239" s="311"/>
      <c r="C239" s="311"/>
      <c r="D239" s="311"/>
      <c r="E239" s="311"/>
      <c r="F239" s="311"/>
      <c r="G239" s="311"/>
      <c r="H239" s="311"/>
      <c r="I239" s="436"/>
      <c r="J239" s="311"/>
      <c r="K239" s="311"/>
      <c r="L239" s="311"/>
      <c r="M239" s="348"/>
      <c r="N239" s="348"/>
      <c r="O239" s="348"/>
      <c r="P239" s="348"/>
      <c r="Q239" s="348"/>
      <c r="R239" s="348"/>
      <c r="S239" s="307"/>
      <c r="T239" s="307"/>
      <c r="U239" s="307"/>
      <c r="V239" s="348"/>
      <c r="W239" s="348"/>
      <c r="X239" s="348"/>
      <c r="Y239" s="348"/>
      <c r="Z239" s="348"/>
      <c r="AA239" s="348"/>
      <c r="AB239" s="348"/>
    </row>
    <row r="240" ht="15.75" customHeight="1">
      <c r="A240" s="348"/>
      <c r="B240" s="311"/>
      <c r="C240" s="311"/>
      <c r="D240" s="311"/>
      <c r="E240" s="311"/>
      <c r="F240" s="311"/>
      <c r="G240" s="311"/>
      <c r="H240" s="311"/>
      <c r="I240" s="436"/>
      <c r="J240" s="311"/>
      <c r="K240" s="311"/>
      <c r="L240" s="311"/>
      <c r="M240" s="348"/>
      <c r="N240" s="348"/>
      <c r="O240" s="348"/>
      <c r="P240" s="348"/>
      <c r="Q240" s="348"/>
      <c r="R240" s="348"/>
      <c r="S240" s="307"/>
      <c r="T240" s="307"/>
      <c r="U240" s="307"/>
      <c r="V240" s="348"/>
      <c r="W240" s="348"/>
      <c r="X240" s="348"/>
      <c r="Y240" s="348"/>
      <c r="Z240" s="348"/>
      <c r="AA240" s="348"/>
      <c r="AB240" s="348"/>
    </row>
    <row r="241" ht="15.75" customHeight="1">
      <c r="A241" s="348"/>
      <c r="B241" s="311"/>
      <c r="C241" s="311"/>
      <c r="D241" s="311"/>
      <c r="E241" s="311"/>
      <c r="F241" s="311"/>
      <c r="G241" s="311"/>
      <c r="H241" s="311"/>
      <c r="I241" s="436"/>
      <c r="J241" s="311"/>
      <c r="K241" s="311"/>
      <c r="L241" s="311"/>
      <c r="M241" s="348"/>
      <c r="N241" s="348"/>
      <c r="O241" s="348"/>
      <c r="P241" s="348"/>
      <c r="Q241" s="348"/>
      <c r="R241" s="348"/>
      <c r="S241" s="307"/>
      <c r="T241" s="307"/>
      <c r="U241" s="307"/>
      <c r="V241" s="348"/>
      <c r="W241" s="348"/>
      <c r="X241" s="348"/>
      <c r="Y241" s="348"/>
      <c r="Z241" s="348"/>
      <c r="AA241" s="348"/>
      <c r="AB241" s="348"/>
    </row>
    <row r="242" ht="15.75" customHeight="1">
      <c r="A242" s="348"/>
      <c r="B242" s="311"/>
      <c r="C242" s="311"/>
      <c r="D242" s="311"/>
      <c r="E242" s="311"/>
      <c r="F242" s="311"/>
      <c r="G242" s="311"/>
      <c r="H242" s="311"/>
      <c r="I242" s="436"/>
      <c r="J242" s="311"/>
      <c r="K242" s="311"/>
      <c r="L242" s="311"/>
      <c r="M242" s="348"/>
      <c r="N242" s="348"/>
      <c r="O242" s="348"/>
      <c r="P242" s="348"/>
      <c r="Q242" s="348"/>
      <c r="R242" s="348"/>
      <c r="S242" s="307"/>
      <c r="T242" s="307"/>
      <c r="U242" s="307"/>
      <c r="V242" s="348"/>
      <c r="W242" s="348"/>
      <c r="X242" s="348"/>
      <c r="Y242" s="348"/>
      <c r="Z242" s="348"/>
      <c r="AA242" s="348"/>
      <c r="AB242" s="348"/>
    </row>
    <row r="243" ht="15.75" customHeight="1">
      <c r="A243" s="348"/>
      <c r="B243" s="311"/>
      <c r="C243" s="311"/>
      <c r="D243" s="311"/>
      <c r="E243" s="311"/>
      <c r="F243" s="311"/>
      <c r="G243" s="311"/>
      <c r="H243" s="311"/>
      <c r="I243" s="436"/>
      <c r="J243" s="311"/>
      <c r="K243" s="311"/>
      <c r="L243" s="311"/>
      <c r="M243" s="348"/>
      <c r="N243" s="348"/>
      <c r="O243" s="348"/>
      <c r="P243" s="348"/>
      <c r="Q243" s="348"/>
      <c r="R243" s="348"/>
      <c r="S243" s="307"/>
      <c r="T243" s="307"/>
      <c r="U243" s="307"/>
      <c r="V243" s="348"/>
      <c r="W243" s="348"/>
      <c r="X243" s="348"/>
      <c r="Y243" s="348"/>
      <c r="Z243" s="348"/>
      <c r="AA243" s="348"/>
      <c r="AB243" s="348"/>
    </row>
    <row r="244" ht="15.75" customHeight="1">
      <c r="A244" s="348"/>
      <c r="B244" s="311"/>
      <c r="C244" s="311"/>
      <c r="D244" s="311"/>
      <c r="E244" s="311"/>
      <c r="F244" s="311"/>
      <c r="G244" s="311"/>
      <c r="H244" s="311"/>
      <c r="I244" s="436"/>
      <c r="J244" s="311"/>
      <c r="K244" s="311"/>
      <c r="L244" s="311"/>
      <c r="M244" s="348"/>
      <c r="N244" s="348"/>
      <c r="O244" s="348"/>
      <c r="P244" s="348"/>
      <c r="Q244" s="348"/>
      <c r="R244" s="348"/>
      <c r="S244" s="307"/>
      <c r="T244" s="307"/>
      <c r="U244" s="307"/>
      <c r="V244" s="348"/>
      <c r="W244" s="348"/>
      <c r="X244" s="348"/>
      <c r="Y244" s="348"/>
      <c r="Z244" s="348"/>
      <c r="AA244" s="348"/>
      <c r="AB244" s="348"/>
    </row>
    <row r="245" ht="15.75" customHeight="1">
      <c r="A245" s="348"/>
      <c r="B245" s="311"/>
      <c r="C245" s="311"/>
      <c r="D245" s="311"/>
      <c r="E245" s="311"/>
      <c r="F245" s="311"/>
      <c r="G245" s="311"/>
      <c r="H245" s="311"/>
      <c r="I245" s="436"/>
      <c r="J245" s="311"/>
      <c r="K245" s="311"/>
      <c r="L245" s="311"/>
      <c r="M245" s="348"/>
      <c r="N245" s="348"/>
      <c r="O245" s="348"/>
      <c r="P245" s="348"/>
      <c r="Q245" s="348"/>
      <c r="R245" s="348"/>
      <c r="S245" s="307"/>
      <c r="T245" s="307"/>
      <c r="U245" s="307"/>
      <c r="V245" s="348"/>
      <c r="W245" s="348"/>
      <c r="X245" s="348"/>
      <c r="Y245" s="348"/>
      <c r="Z245" s="348"/>
      <c r="AA245" s="348"/>
      <c r="AB245" s="348"/>
    </row>
    <row r="246" ht="15.75" customHeight="1">
      <c r="A246" s="348"/>
      <c r="B246" s="311"/>
      <c r="C246" s="311"/>
      <c r="D246" s="311"/>
      <c r="E246" s="311"/>
      <c r="F246" s="311"/>
      <c r="G246" s="311"/>
      <c r="H246" s="311"/>
      <c r="I246" s="436"/>
      <c r="J246" s="311"/>
      <c r="K246" s="311"/>
      <c r="L246" s="311"/>
      <c r="M246" s="348"/>
      <c r="N246" s="348"/>
      <c r="O246" s="348"/>
      <c r="P246" s="348"/>
      <c r="Q246" s="348"/>
      <c r="R246" s="348"/>
      <c r="S246" s="307"/>
      <c r="T246" s="307"/>
      <c r="U246" s="307"/>
      <c r="V246" s="348"/>
      <c r="W246" s="348"/>
      <c r="X246" s="348"/>
      <c r="Y246" s="348"/>
      <c r="Z246" s="348"/>
      <c r="AA246" s="348"/>
      <c r="AB246" s="348"/>
    </row>
    <row r="247" ht="15.75" customHeight="1">
      <c r="A247" s="348"/>
      <c r="B247" s="311"/>
      <c r="C247" s="311"/>
      <c r="D247" s="311"/>
      <c r="E247" s="311"/>
      <c r="F247" s="311"/>
      <c r="G247" s="311"/>
      <c r="H247" s="311"/>
      <c r="I247" s="436"/>
      <c r="J247" s="311"/>
      <c r="K247" s="311"/>
      <c r="L247" s="311"/>
      <c r="M247" s="348"/>
      <c r="N247" s="348"/>
      <c r="O247" s="348"/>
      <c r="P247" s="348"/>
      <c r="Q247" s="348"/>
      <c r="R247" s="348"/>
      <c r="S247" s="307"/>
      <c r="T247" s="307"/>
      <c r="U247" s="307"/>
      <c r="V247" s="348"/>
      <c r="W247" s="348"/>
      <c r="X247" s="348"/>
      <c r="Y247" s="348"/>
      <c r="Z247" s="348"/>
      <c r="AA247" s="348"/>
      <c r="AB247" s="348"/>
    </row>
    <row r="248" ht="15.75" customHeight="1">
      <c r="A248" s="348"/>
      <c r="B248" s="311"/>
      <c r="C248" s="311"/>
      <c r="D248" s="311"/>
      <c r="E248" s="311"/>
      <c r="F248" s="311"/>
      <c r="G248" s="311"/>
      <c r="H248" s="311"/>
      <c r="I248" s="436"/>
      <c r="J248" s="311"/>
      <c r="K248" s="311"/>
      <c r="L248" s="311"/>
      <c r="M248" s="348"/>
      <c r="N248" s="348"/>
      <c r="O248" s="348"/>
      <c r="P248" s="348"/>
      <c r="Q248" s="348"/>
      <c r="R248" s="348"/>
      <c r="S248" s="307"/>
      <c r="T248" s="307"/>
      <c r="U248" s="307"/>
      <c r="V248" s="348"/>
      <c r="W248" s="348"/>
      <c r="X248" s="348"/>
      <c r="Y248" s="348"/>
      <c r="Z248" s="348"/>
      <c r="AA248" s="348"/>
      <c r="AB248" s="348"/>
    </row>
    <row r="249" ht="15.75" customHeight="1">
      <c r="A249" s="348"/>
      <c r="B249" s="311"/>
      <c r="C249" s="311"/>
      <c r="D249" s="311"/>
      <c r="E249" s="311"/>
      <c r="F249" s="311"/>
      <c r="G249" s="311"/>
      <c r="H249" s="311"/>
      <c r="I249" s="436"/>
      <c r="J249" s="311"/>
      <c r="K249" s="311"/>
      <c r="L249" s="311"/>
      <c r="M249" s="348"/>
      <c r="N249" s="348"/>
      <c r="O249" s="348"/>
      <c r="P249" s="348"/>
      <c r="Q249" s="348"/>
      <c r="R249" s="348"/>
      <c r="S249" s="307"/>
      <c r="T249" s="307"/>
      <c r="U249" s="307"/>
      <c r="V249" s="348"/>
      <c r="W249" s="348"/>
      <c r="X249" s="348"/>
      <c r="Y249" s="348"/>
      <c r="Z249" s="348"/>
      <c r="AA249" s="348"/>
      <c r="AB249" s="348"/>
    </row>
    <row r="250" ht="15.75" customHeight="1">
      <c r="A250" s="348"/>
      <c r="B250" s="311"/>
      <c r="C250" s="311"/>
      <c r="D250" s="311"/>
      <c r="E250" s="311"/>
      <c r="F250" s="311"/>
      <c r="G250" s="311"/>
      <c r="H250" s="311"/>
      <c r="I250" s="436"/>
      <c r="J250" s="311"/>
      <c r="K250" s="311"/>
      <c r="L250" s="311"/>
      <c r="M250" s="348"/>
      <c r="N250" s="348"/>
      <c r="O250" s="348"/>
      <c r="P250" s="348"/>
      <c r="Q250" s="348"/>
      <c r="R250" s="348"/>
      <c r="S250" s="307"/>
      <c r="T250" s="307"/>
      <c r="U250" s="307"/>
      <c r="V250" s="348"/>
      <c r="W250" s="348"/>
      <c r="X250" s="348"/>
      <c r="Y250" s="348"/>
      <c r="Z250" s="348"/>
      <c r="AA250" s="348"/>
      <c r="AB250" s="348"/>
    </row>
    <row r="251" ht="15.75" customHeight="1">
      <c r="A251" s="348"/>
      <c r="B251" s="311"/>
      <c r="C251" s="311"/>
      <c r="D251" s="311"/>
      <c r="E251" s="311"/>
      <c r="F251" s="311"/>
      <c r="G251" s="311"/>
      <c r="H251" s="311"/>
      <c r="I251" s="436"/>
      <c r="J251" s="311"/>
      <c r="K251" s="311"/>
      <c r="L251" s="311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</row>
    <row r="252" ht="15.75" customHeight="1">
      <c r="A252" s="348"/>
      <c r="B252" s="311"/>
      <c r="C252" s="311"/>
      <c r="D252" s="311"/>
      <c r="E252" s="311"/>
      <c r="F252" s="311"/>
      <c r="G252" s="311"/>
      <c r="H252" s="311"/>
      <c r="I252" s="436"/>
      <c r="J252" s="311"/>
      <c r="K252" s="311"/>
      <c r="L252" s="311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</row>
    <row r="253" ht="15.75" customHeight="1">
      <c r="A253" s="348"/>
      <c r="B253" s="311"/>
      <c r="C253" s="311"/>
      <c r="D253" s="311"/>
      <c r="E253" s="311"/>
      <c r="F253" s="311"/>
      <c r="G253" s="311"/>
      <c r="H253" s="311"/>
      <c r="I253" s="436"/>
      <c r="J253" s="311"/>
      <c r="K253" s="311"/>
      <c r="L253" s="311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</row>
    <row r="254" ht="15.75" customHeight="1">
      <c r="A254" s="348"/>
      <c r="B254" s="311"/>
      <c r="C254" s="311"/>
      <c r="D254" s="311"/>
      <c r="E254" s="311"/>
      <c r="F254" s="311"/>
      <c r="G254" s="311"/>
      <c r="H254" s="311"/>
      <c r="I254" s="436"/>
      <c r="J254" s="311"/>
      <c r="K254" s="311"/>
      <c r="L254" s="311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</row>
    <row r="255" ht="15.75" customHeight="1">
      <c r="A255" s="348"/>
      <c r="B255" s="311"/>
      <c r="C255" s="311"/>
      <c r="D255" s="311"/>
      <c r="E255" s="311"/>
      <c r="F255" s="311"/>
      <c r="G255" s="311"/>
      <c r="H255" s="311"/>
      <c r="I255" s="436"/>
      <c r="J255" s="311"/>
      <c r="K255" s="311"/>
      <c r="L255" s="311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</row>
    <row r="256" ht="15.75" customHeight="1">
      <c r="A256" s="348"/>
      <c r="B256" s="311"/>
      <c r="C256" s="311"/>
      <c r="D256" s="311"/>
      <c r="E256" s="311"/>
      <c r="F256" s="311"/>
      <c r="G256" s="311"/>
      <c r="H256" s="311"/>
      <c r="I256" s="436"/>
      <c r="J256" s="311"/>
      <c r="K256" s="311"/>
      <c r="L256" s="311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</row>
    <row r="257" ht="15.75" customHeight="1">
      <c r="A257" s="348"/>
      <c r="B257" s="311"/>
      <c r="C257" s="311"/>
      <c r="D257" s="311"/>
      <c r="E257" s="311"/>
      <c r="F257" s="311"/>
      <c r="G257" s="311"/>
      <c r="H257" s="311"/>
      <c r="I257" s="436"/>
      <c r="J257" s="311"/>
      <c r="K257" s="311"/>
      <c r="L257" s="311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</row>
    <row r="258" ht="15.75" customHeight="1">
      <c r="A258" s="348"/>
      <c r="B258" s="311"/>
      <c r="C258" s="311"/>
      <c r="D258" s="311"/>
      <c r="E258" s="311"/>
      <c r="F258" s="311"/>
      <c r="G258" s="311"/>
      <c r="H258" s="311"/>
      <c r="I258" s="436"/>
      <c r="J258" s="311"/>
      <c r="K258" s="311"/>
      <c r="L258" s="311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</row>
    <row r="259" ht="15.75" customHeight="1">
      <c r="A259" s="348"/>
      <c r="B259" s="311"/>
      <c r="C259" s="311"/>
      <c r="D259" s="311"/>
      <c r="E259" s="311"/>
      <c r="F259" s="311"/>
      <c r="G259" s="311"/>
      <c r="H259" s="311"/>
      <c r="I259" s="436"/>
      <c r="J259" s="311"/>
      <c r="K259" s="311"/>
      <c r="L259" s="311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</row>
    <row r="260" ht="15.75" customHeight="1">
      <c r="A260" s="348"/>
      <c r="B260" s="311"/>
      <c r="C260" s="311"/>
      <c r="D260" s="311"/>
      <c r="E260" s="311"/>
      <c r="F260" s="311"/>
      <c r="G260" s="311"/>
      <c r="H260" s="311"/>
      <c r="I260" s="436"/>
      <c r="J260" s="311"/>
      <c r="K260" s="311"/>
      <c r="L260" s="311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</row>
    <row r="261" ht="15.75" customHeight="1">
      <c r="A261" s="348"/>
      <c r="B261" s="311"/>
      <c r="C261" s="311"/>
      <c r="D261" s="311"/>
      <c r="E261" s="311"/>
      <c r="F261" s="311"/>
      <c r="G261" s="311"/>
      <c r="H261" s="311"/>
      <c r="I261" s="436"/>
      <c r="J261" s="311"/>
      <c r="K261" s="311"/>
      <c r="L261" s="311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</row>
    <row r="262" ht="15.75" customHeight="1">
      <c r="A262" s="348"/>
      <c r="B262" s="311"/>
      <c r="C262" s="311"/>
      <c r="D262" s="311"/>
      <c r="E262" s="311"/>
      <c r="F262" s="311"/>
      <c r="G262" s="311"/>
      <c r="H262" s="311"/>
      <c r="I262" s="436"/>
      <c r="J262" s="311"/>
      <c r="K262" s="311"/>
      <c r="L262" s="311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</row>
    <row r="263" ht="15.75" customHeight="1">
      <c r="A263" s="348"/>
      <c r="B263" s="311"/>
      <c r="C263" s="311"/>
      <c r="D263" s="311"/>
      <c r="E263" s="311"/>
      <c r="F263" s="311"/>
      <c r="G263" s="311"/>
      <c r="H263" s="311"/>
      <c r="I263" s="436"/>
      <c r="J263" s="311"/>
      <c r="K263" s="311"/>
      <c r="L263" s="311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N264" s="2"/>
      <c r="O264" s="2"/>
      <c r="P264" s="2"/>
      <c r="U264" s="2"/>
      <c r="X264" s="2"/>
      <c r="Y264" s="2"/>
      <c r="Z264" s="2"/>
      <c r="AA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N265" s="2"/>
      <c r="O265" s="2"/>
      <c r="P265" s="2"/>
      <c r="U265" s="2"/>
      <c r="X265" s="2"/>
      <c r="Y265" s="2"/>
      <c r="Z265" s="2"/>
      <c r="AA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N266" s="2"/>
      <c r="O266" s="2"/>
      <c r="P266" s="2"/>
      <c r="U266" s="2"/>
      <c r="X266" s="2"/>
      <c r="Y266" s="2"/>
      <c r="Z266" s="2"/>
      <c r="AA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N267" s="2"/>
      <c r="O267" s="2"/>
      <c r="P267" s="2"/>
      <c r="U267" s="2"/>
      <c r="X267" s="2"/>
      <c r="Y267" s="2"/>
      <c r="Z267" s="2"/>
      <c r="AA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N268" s="2"/>
      <c r="O268" s="2"/>
      <c r="P268" s="2"/>
      <c r="U268" s="2"/>
      <c r="X268" s="2"/>
      <c r="Y268" s="2"/>
      <c r="Z268" s="2"/>
      <c r="AA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N269" s="2"/>
      <c r="O269" s="2"/>
      <c r="P269" s="2"/>
      <c r="U269" s="2"/>
      <c r="X269" s="2"/>
      <c r="Y269" s="2"/>
      <c r="Z269" s="2"/>
      <c r="AA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N270" s="2"/>
      <c r="O270" s="2"/>
      <c r="P270" s="2"/>
      <c r="U270" s="2"/>
      <c r="X270" s="2"/>
      <c r="Y270" s="2"/>
      <c r="Z270" s="2"/>
      <c r="AA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N271" s="2"/>
      <c r="O271" s="2"/>
      <c r="P271" s="2"/>
      <c r="U271" s="2"/>
      <c r="X271" s="2"/>
      <c r="Y271" s="2"/>
      <c r="Z271" s="2"/>
      <c r="AA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N272" s="2"/>
      <c r="O272" s="2"/>
      <c r="P272" s="2"/>
      <c r="U272" s="2"/>
      <c r="X272" s="2"/>
      <c r="Y272" s="2"/>
      <c r="Z272" s="2"/>
      <c r="AA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N273" s="2"/>
      <c r="O273" s="2"/>
      <c r="P273" s="2"/>
      <c r="U273" s="2"/>
      <c r="X273" s="2"/>
      <c r="Y273" s="2"/>
      <c r="Z273" s="2"/>
      <c r="AA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N274" s="2"/>
      <c r="O274" s="2"/>
      <c r="P274" s="2"/>
      <c r="U274" s="2"/>
      <c r="X274" s="2"/>
      <c r="Y274" s="2"/>
      <c r="Z274" s="2"/>
      <c r="AA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N275" s="2"/>
      <c r="O275" s="2"/>
      <c r="P275" s="2"/>
      <c r="U275" s="2"/>
      <c r="X275" s="2"/>
      <c r="Y275" s="2"/>
      <c r="Z275" s="2"/>
      <c r="AA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N276" s="2"/>
      <c r="O276" s="2"/>
      <c r="P276" s="2"/>
      <c r="U276" s="2"/>
      <c r="X276" s="2"/>
      <c r="Y276" s="2"/>
      <c r="Z276" s="2"/>
      <c r="AA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N277" s="2"/>
      <c r="O277" s="2"/>
      <c r="P277" s="2"/>
      <c r="U277" s="2"/>
      <c r="X277" s="2"/>
      <c r="Y277" s="2"/>
      <c r="Z277" s="2"/>
      <c r="AA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N278" s="2"/>
      <c r="O278" s="2"/>
      <c r="P278" s="2"/>
      <c r="U278" s="2"/>
      <c r="X278" s="2"/>
      <c r="Y278" s="2"/>
      <c r="Z278" s="2"/>
      <c r="AA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N279" s="2"/>
      <c r="O279" s="2"/>
      <c r="P279" s="2"/>
      <c r="U279" s="2"/>
      <c r="X279" s="2"/>
      <c r="Y279" s="2"/>
      <c r="Z279" s="2"/>
      <c r="AA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N280" s="2"/>
      <c r="O280" s="2"/>
      <c r="P280" s="2"/>
      <c r="U280" s="2"/>
      <c r="X280" s="2"/>
      <c r="Y280" s="2"/>
      <c r="Z280" s="2"/>
      <c r="AA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N281" s="2"/>
      <c r="O281" s="2"/>
      <c r="P281" s="2"/>
      <c r="U281" s="2"/>
      <c r="X281" s="2"/>
      <c r="Y281" s="2"/>
      <c r="Z281" s="2"/>
      <c r="AA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N282" s="2"/>
      <c r="O282" s="2"/>
      <c r="P282" s="2"/>
      <c r="U282" s="2"/>
      <c r="X282" s="2"/>
      <c r="Y282" s="2"/>
      <c r="Z282" s="2"/>
      <c r="AA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N283" s="2"/>
      <c r="O283" s="2"/>
      <c r="P283" s="2"/>
      <c r="U283" s="2"/>
      <c r="X283" s="2"/>
      <c r="Y283" s="2"/>
      <c r="Z283" s="2"/>
      <c r="AA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N284" s="2"/>
      <c r="O284" s="2"/>
      <c r="P284" s="2"/>
      <c r="U284" s="2"/>
      <c r="X284" s="2"/>
      <c r="Y284" s="2"/>
      <c r="Z284" s="2"/>
      <c r="AA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N285" s="2"/>
      <c r="O285" s="2"/>
      <c r="P285" s="2"/>
      <c r="U285" s="2"/>
      <c r="X285" s="2"/>
      <c r="Y285" s="2"/>
      <c r="Z285" s="2"/>
      <c r="AA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N286" s="2"/>
      <c r="O286" s="2"/>
      <c r="P286" s="2"/>
      <c r="U286" s="2"/>
      <c r="X286" s="2"/>
      <c r="Y286" s="2"/>
      <c r="Z286" s="2"/>
      <c r="AA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N287" s="2"/>
      <c r="O287" s="2"/>
      <c r="P287" s="2"/>
      <c r="U287" s="2"/>
      <c r="X287" s="2"/>
      <c r="Y287" s="2"/>
      <c r="Z287" s="2"/>
      <c r="AA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N288" s="2"/>
      <c r="O288" s="2"/>
      <c r="P288" s="2"/>
      <c r="U288" s="2"/>
      <c r="X288" s="2"/>
      <c r="Y288" s="2"/>
      <c r="Z288" s="2"/>
      <c r="AA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N289" s="2"/>
      <c r="O289" s="2"/>
      <c r="P289" s="2"/>
      <c r="U289" s="2"/>
      <c r="X289" s="2"/>
      <c r="Y289" s="2"/>
      <c r="Z289" s="2"/>
      <c r="AA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N290" s="2"/>
      <c r="O290" s="2"/>
      <c r="P290" s="2"/>
      <c r="U290" s="2"/>
      <c r="X290" s="2"/>
      <c r="Y290" s="2"/>
      <c r="Z290" s="2"/>
      <c r="AA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N291" s="2"/>
      <c r="O291" s="2"/>
      <c r="P291" s="2"/>
      <c r="U291" s="2"/>
      <c r="X291" s="2"/>
      <c r="Y291" s="2"/>
      <c r="Z291" s="2"/>
      <c r="AA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N292" s="2"/>
      <c r="O292" s="2"/>
      <c r="P292" s="2"/>
      <c r="U292" s="2"/>
      <c r="X292" s="2"/>
      <c r="Y292" s="2"/>
      <c r="Z292" s="2"/>
      <c r="AA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N293" s="2"/>
      <c r="O293" s="2"/>
      <c r="P293" s="2"/>
      <c r="U293" s="2"/>
      <c r="X293" s="2"/>
      <c r="Y293" s="2"/>
      <c r="Z293" s="2"/>
      <c r="AA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N294" s="2"/>
      <c r="O294" s="2"/>
      <c r="P294" s="2"/>
      <c r="U294" s="2"/>
      <c r="X294" s="2"/>
      <c r="Y294" s="2"/>
      <c r="Z294" s="2"/>
      <c r="AA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N295" s="2"/>
      <c r="O295" s="2"/>
      <c r="P295" s="2"/>
      <c r="U295" s="2"/>
      <c r="X295" s="2"/>
      <c r="Y295" s="2"/>
      <c r="Z295" s="2"/>
      <c r="AA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N296" s="2"/>
      <c r="O296" s="2"/>
      <c r="P296" s="2"/>
      <c r="U296" s="2"/>
      <c r="X296" s="2"/>
      <c r="Y296" s="2"/>
      <c r="Z296" s="2"/>
      <c r="AA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N297" s="2"/>
      <c r="O297" s="2"/>
      <c r="P297" s="2"/>
      <c r="U297" s="2"/>
      <c r="X297" s="2"/>
      <c r="Y297" s="2"/>
      <c r="Z297" s="2"/>
      <c r="AA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N298" s="2"/>
      <c r="O298" s="2"/>
      <c r="P298" s="2"/>
      <c r="U298" s="2"/>
      <c r="X298" s="2"/>
      <c r="Y298" s="2"/>
      <c r="Z298" s="2"/>
      <c r="AA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N299" s="2"/>
      <c r="O299" s="2"/>
      <c r="P299" s="2"/>
      <c r="U299" s="2"/>
      <c r="X299" s="2"/>
      <c r="Y299" s="2"/>
      <c r="Z299" s="2"/>
      <c r="AA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N300" s="2"/>
      <c r="O300" s="2"/>
      <c r="P300" s="2"/>
      <c r="U300" s="2"/>
      <c r="X300" s="2"/>
      <c r="Y300" s="2"/>
      <c r="Z300" s="2"/>
      <c r="AA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N301" s="2"/>
      <c r="O301" s="2"/>
      <c r="P301" s="2"/>
      <c r="U301" s="2"/>
      <c r="X301" s="2"/>
      <c r="Y301" s="2"/>
      <c r="Z301" s="2"/>
      <c r="AA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N302" s="2"/>
      <c r="O302" s="2"/>
      <c r="P302" s="2"/>
      <c r="U302" s="2"/>
      <c r="X302" s="2"/>
      <c r="Y302" s="2"/>
      <c r="Z302" s="2"/>
      <c r="AA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N303" s="2"/>
      <c r="O303" s="2"/>
      <c r="P303" s="2"/>
      <c r="U303" s="2"/>
      <c r="X303" s="2"/>
      <c r="Y303" s="2"/>
      <c r="Z303" s="2"/>
      <c r="AA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N304" s="2"/>
      <c r="O304" s="2"/>
      <c r="P304" s="2"/>
      <c r="U304" s="2"/>
      <c r="X304" s="2"/>
      <c r="Y304" s="2"/>
      <c r="Z304" s="2"/>
      <c r="AA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N305" s="2"/>
      <c r="O305" s="2"/>
      <c r="P305" s="2"/>
      <c r="U305" s="2"/>
      <c r="X305" s="2"/>
      <c r="Y305" s="2"/>
      <c r="Z305" s="2"/>
      <c r="AA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N306" s="2"/>
      <c r="O306" s="2"/>
      <c r="P306" s="2"/>
      <c r="U306" s="2"/>
      <c r="X306" s="2"/>
      <c r="Y306" s="2"/>
      <c r="Z306" s="2"/>
      <c r="AA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N307" s="2"/>
      <c r="O307" s="2"/>
      <c r="P307" s="2"/>
      <c r="U307" s="2"/>
      <c r="X307" s="2"/>
      <c r="Y307" s="2"/>
      <c r="Z307" s="2"/>
      <c r="AA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N308" s="2"/>
      <c r="O308" s="2"/>
      <c r="P308" s="2"/>
      <c r="U308" s="2"/>
      <c r="X308" s="2"/>
      <c r="Y308" s="2"/>
      <c r="Z308" s="2"/>
      <c r="AA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N309" s="2"/>
      <c r="O309" s="2"/>
      <c r="P309" s="2"/>
      <c r="U309" s="2"/>
      <c r="X309" s="2"/>
      <c r="Y309" s="2"/>
      <c r="Z309" s="2"/>
      <c r="AA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N310" s="2"/>
      <c r="O310" s="2"/>
      <c r="P310" s="2"/>
      <c r="U310" s="2"/>
      <c r="X310" s="2"/>
      <c r="Y310" s="2"/>
      <c r="Z310" s="2"/>
      <c r="AA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N311" s="2"/>
      <c r="O311" s="2"/>
      <c r="P311" s="2"/>
      <c r="U311" s="2"/>
      <c r="X311" s="2"/>
      <c r="Y311" s="2"/>
      <c r="Z311" s="2"/>
      <c r="AA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N312" s="2"/>
      <c r="O312" s="2"/>
      <c r="P312" s="2"/>
      <c r="U312" s="2"/>
      <c r="X312" s="2"/>
      <c r="Y312" s="2"/>
      <c r="Z312" s="2"/>
      <c r="AA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N313" s="2"/>
      <c r="O313" s="2"/>
      <c r="P313" s="2"/>
      <c r="U313" s="2"/>
      <c r="X313" s="2"/>
      <c r="Y313" s="2"/>
      <c r="Z313" s="2"/>
      <c r="AA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N314" s="2"/>
      <c r="O314" s="2"/>
      <c r="P314" s="2"/>
      <c r="U314" s="2"/>
      <c r="X314" s="2"/>
      <c r="Y314" s="2"/>
      <c r="Z314" s="2"/>
      <c r="AA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N315" s="2"/>
      <c r="O315" s="2"/>
      <c r="P315" s="2"/>
      <c r="U315" s="2"/>
      <c r="X315" s="2"/>
      <c r="Y315" s="2"/>
      <c r="Z315" s="2"/>
      <c r="AA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N316" s="2"/>
      <c r="O316" s="2"/>
      <c r="P316" s="2"/>
      <c r="U316" s="2"/>
      <c r="X316" s="2"/>
      <c r="Y316" s="2"/>
      <c r="Z316" s="2"/>
      <c r="AA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N317" s="2"/>
      <c r="O317" s="2"/>
      <c r="P317" s="2"/>
      <c r="U317" s="2"/>
      <c r="X317" s="2"/>
      <c r="Y317" s="2"/>
      <c r="Z317" s="2"/>
      <c r="AA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N318" s="2"/>
      <c r="O318" s="2"/>
      <c r="P318" s="2"/>
      <c r="U318" s="2"/>
      <c r="X318" s="2"/>
      <c r="Y318" s="2"/>
      <c r="Z318" s="2"/>
      <c r="AA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N319" s="2"/>
      <c r="O319" s="2"/>
      <c r="P319" s="2"/>
      <c r="U319" s="2"/>
      <c r="X319" s="2"/>
      <c r="Y319" s="2"/>
      <c r="Z319" s="2"/>
      <c r="AA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N320" s="2"/>
      <c r="O320" s="2"/>
      <c r="P320" s="2"/>
      <c r="U320" s="2"/>
      <c r="X320" s="2"/>
      <c r="Y320" s="2"/>
      <c r="Z320" s="2"/>
      <c r="AA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N321" s="2"/>
      <c r="O321" s="2"/>
      <c r="P321" s="2"/>
      <c r="U321" s="2"/>
      <c r="X321" s="2"/>
      <c r="Y321" s="2"/>
      <c r="Z321" s="2"/>
      <c r="AA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N322" s="2"/>
      <c r="O322" s="2"/>
      <c r="P322" s="2"/>
      <c r="U322" s="2"/>
      <c r="X322" s="2"/>
      <c r="Y322" s="2"/>
      <c r="Z322" s="2"/>
      <c r="AA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N323" s="2"/>
      <c r="O323" s="2"/>
      <c r="P323" s="2"/>
      <c r="U323" s="2"/>
      <c r="X323" s="2"/>
      <c r="Y323" s="2"/>
      <c r="Z323" s="2"/>
      <c r="AA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N324" s="2"/>
      <c r="O324" s="2"/>
      <c r="P324" s="2"/>
      <c r="U324" s="2"/>
      <c r="X324" s="2"/>
      <c r="Y324" s="2"/>
      <c r="Z324" s="2"/>
      <c r="AA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N325" s="2"/>
      <c r="O325" s="2"/>
      <c r="P325" s="2"/>
      <c r="U325" s="2"/>
      <c r="X325" s="2"/>
      <c r="Y325" s="2"/>
      <c r="Z325" s="2"/>
      <c r="AA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N326" s="2"/>
      <c r="O326" s="2"/>
      <c r="P326" s="2"/>
      <c r="U326" s="2"/>
      <c r="X326" s="2"/>
      <c r="Y326" s="2"/>
      <c r="Z326" s="2"/>
      <c r="AA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N327" s="2"/>
      <c r="O327" s="2"/>
      <c r="P327" s="2"/>
      <c r="U327" s="2"/>
      <c r="X327" s="2"/>
      <c r="Y327" s="2"/>
      <c r="Z327" s="2"/>
      <c r="AA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N328" s="2"/>
      <c r="O328" s="2"/>
      <c r="P328" s="2"/>
      <c r="U328" s="2"/>
      <c r="X328" s="2"/>
      <c r="Y328" s="2"/>
      <c r="Z328" s="2"/>
      <c r="AA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N329" s="2"/>
      <c r="O329" s="2"/>
      <c r="P329" s="2"/>
      <c r="U329" s="2"/>
      <c r="X329" s="2"/>
      <c r="Y329" s="2"/>
      <c r="Z329" s="2"/>
      <c r="AA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N330" s="2"/>
      <c r="O330" s="2"/>
      <c r="P330" s="2"/>
      <c r="U330" s="2"/>
      <c r="X330" s="2"/>
      <c r="Y330" s="2"/>
      <c r="Z330" s="2"/>
      <c r="AA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N331" s="2"/>
      <c r="O331" s="2"/>
      <c r="P331" s="2"/>
      <c r="U331" s="2"/>
      <c r="X331" s="2"/>
      <c r="Y331" s="2"/>
      <c r="Z331" s="2"/>
      <c r="AA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N332" s="2"/>
      <c r="O332" s="2"/>
      <c r="P332" s="2"/>
      <c r="U332" s="2"/>
      <c r="X332" s="2"/>
      <c r="Y332" s="2"/>
      <c r="Z332" s="2"/>
      <c r="AA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N333" s="2"/>
      <c r="O333" s="2"/>
      <c r="P333" s="2"/>
      <c r="U333" s="2"/>
      <c r="X333" s="2"/>
      <c r="Y333" s="2"/>
      <c r="Z333" s="2"/>
      <c r="AA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N334" s="2"/>
      <c r="O334" s="2"/>
      <c r="P334" s="2"/>
      <c r="U334" s="2"/>
      <c r="X334" s="2"/>
      <c r="Y334" s="2"/>
      <c r="Z334" s="2"/>
      <c r="AA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N335" s="2"/>
      <c r="O335" s="2"/>
      <c r="P335" s="2"/>
      <c r="U335" s="2"/>
      <c r="X335" s="2"/>
      <c r="Y335" s="2"/>
      <c r="Z335" s="2"/>
      <c r="AA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N336" s="2"/>
      <c r="O336" s="2"/>
      <c r="P336" s="2"/>
      <c r="U336" s="2"/>
      <c r="X336" s="2"/>
      <c r="Y336" s="2"/>
      <c r="Z336" s="2"/>
      <c r="AA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N337" s="2"/>
      <c r="O337" s="2"/>
      <c r="P337" s="2"/>
      <c r="U337" s="2"/>
      <c r="X337" s="2"/>
      <c r="Y337" s="2"/>
      <c r="Z337" s="2"/>
      <c r="AA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N338" s="2"/>
      <c r="O338" s="2"/>
      <c r="P338" s="2"/>
      <c r="U338" s="2"/>
      <c r="X338" s="2"/>
      <c r="Y338" s="2"/>
      <c r="Z338" s="2"/>
      <c r="AA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N339" s="2"/>
      <c r="O339" s="2"/>
      <c r="P339" s="2"/>
      <c r="U339" s="2"/>
      <c r="X339" s="2"/>
      <c r="Y339" s="2"/>
      <c r="Z339" s="2"/>
      <c r="AA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N340" s="2"/>
      <c r="O340" s="2"/>
      <c r="P340" s="2"/>
      <c r="U340" s="2"/>
      <c r="X340" s="2"/>
      <c r="Y340" s="2"/>
      <c r="Z340" s="2"/>
      <c r="AA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N341" s="2"/>
      <c r="O341" s="2"/>
      <c r="P341" s="2"/>
      <c r="U341" s="2"/>
      <c r="X341" s="2"/>
      <c r="Y341" s="2"/>
      <c r="Z341" s="2"/>
      <c r="AA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N342" s="2"/>
      <c r="O342" s="2"/>
      <c r="P342" s="2"/>
      <c r="U342" s="2"/>
      <c r="X342" s="2"/>
      <c r="Y342" s="2"/>
      <c r="Z342" s="2"/>
      <c r="AA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N343" s="2"/>
      <c r="O343" s="2"/>
      <c r="P343" s="2"/>
      <c r="U343" s="2"/>
      <c r="X343" s="2"/>
      <c r="Y343" s="2"/>
      <c r="Z343" s="2"/>
      <c r="AA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N344" s="2"/>
      <c r="O344" s="2"/>
      <c r="P344" s="2"/>
      <c r="U344" s="2"/>
      <c r="X344" s="2"/>
      <c r="Y344" s="2"/>
      <c r="Z344" s="2"/>
      <c r="AA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N345" s="2"/>
      <c r="O345" s="2"/>
      <c r="P345" s="2"/>
      <c r="U345" s="2"/>
      <c r="X345" s="2"/>
      <c r="Y345" s="2"/>
      <c r="Z345" s="2"/>
      <c r="AA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N346" s="2"/>
      <c r="O346" s="2"/>
      <c r="P346" s="2"/>
      <c r="U346" s="2"/>
      <c r="X346" s="2"/>
      <c r="Y346" s="2"/>
      <c r="Z346" s="2"/>
      <c r="AA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N347" s="2"/>
      <c r="O347" s="2"/>
      <c r="P347" s="2"/>
      <c r="U347" s="2"/>
      <c r="X347" s="2"/>
      <c r="Y347" s="2"/>
      <c r="Z347" s="2"/>
      <c r="AA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N348" s="2"/>
      <c r="O348" s="2"/>
      <c r="P348" s="2"/>
      <c r="U348" s="2"/>
      <c r="X348" s="2"/>
      <c r="Y348" s="2"/>
      <c r="Z348" s="2"/>
      <c r="AA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N349" s="2"/>
      <c r="O349" s="2"/>
      <c r="P349" s="2"/>
      <c r="U349" s="2"/>
      <c r="X349" s="2"/>
      <c r="Y349" s="2"/>
      <c r="Z349" s="2"/>
      <c r="AA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N350" s="2"/>
      <c r="O350" s="2"/>
      <c r="P350" s="2"/>
      <c r="U350" s="2"/>
      <c r="X350" s="2"/>
      <c r="Y350" s="2"/>
      <c r="Z350" s="2"/>
      <c r="AA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N351" s="2"/>
      <c r="O351" s="2"/>
      <c r="P351" s="2"/>
      <c r="U351" s="2"/>
      <c r="X351" s="2"/>
      <c r="Y351" s="2"/>
      <c r="Z351" s="2"/>
      <c r="AA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N352" s="2"/>
      <c r="O352" s="2"/>
      <c r="P352" s="2"/>
      <c r="U352" s="2"/>
      <c r="X352" s="2"/>
      <c r="Y352" s="2"/>
      <c r="Z352" s="2"/>
      <c r="AA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N353" s="2"/>
      <c r="O353" s="2"/>
      <c r="P353" s="2"/>
      <c r="U353" s="2"/>
      <c r="X353" s="2"/>
      <c r="Y353" s="2"/>
      <c r="Z353" s="2"/>
      <c r="AA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N354" s="2"/>
      <c r="O354" s="2"/>
      <c r="P354" s="2"/>
      <c r="U354" s="2"/>
      <c r="X354" s="2"/>
      <c r="Y354" s="2"/>
      <c r="Z354" s="2"/>
      <c r="AA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N355" s="2"/>
      <c r="O355" s="2"/>
      <c r="P355" s="2"/>
      <c r="U355" s="2"/>
      <c r="X355" s="2"/>
      <c r="Y355" s="2"/>
      <c r="Z355" s="2"/>
      <c r="AA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N356" s="2"/>
      <c r="O356" s="2"/>
      <c r="P356" s="2"/>
      <c r="U356" s="2"/>
      <c r="X356" s="2"/>
      <c r="Y356" s="2"/>
      <c r="Z356" s="2"/>
      <c r="AA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N357" s="2"/>
      <c r="O357" s="2"/>
      <c r="P357" s="2"/>
      <c r="U357" s="2"/>
      <c r="X357" s="2"/>
      <c r="Y357" s="2"/>
      <c r="Z357" s="2"/>
      <c r="AA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N358" s="2"/>
      <c r="O358" s="2"/>
      <c r="P358" s="2"/>
      <c r="U358" s="2"/>
      <c r="X358" s="2"/>
      <c r="Y358" s="2"/>
      <c r="Z358" s="2"/>
      <c r="AA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N359" s="2"/>
      <c r="O359" s="2"/>
      <c r="P359" s="2"/>
      <c r="U359" s="2"/>
      <c r="X359" s="2"/>
      <c r="Y359" s="2"/>
      <c r="Z359" s="2"/>
      <c r="AA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N360" s="2"/>
      <c r="O360" s="2"/>
      <c r="P360" s="2"/>
      <c r="U360" s="2"/>
      <c r="X360" s="2"/>
      <c r="Y360" s="2"/>
      <c r="Z360" s="2"/>
      <c r="AA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N361" s="2"/>
      <c r="O361" s="2"/>
      <c r="P361" s="2"/>
      <c r="U361" s="2"/>
      <c r="X361" s="2"/>
      <c r="Y361" s="2"/>
      <c r="Z361" s="2"/>
      <c r="AA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N362" s="2"/>
      <c r="O362" s="2"/>
      <c r="P362" s="2"/>
      <c r="U362" s="2"/>
      <c r="X362" s="2"/>
      <c r="Y362" s="2"/>
      <c r="Z362" s="2"/>
      <c r="AA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N363" s="2"/>
      <c r="O363" s="2"/>
      <c r="P363" s="2"/>
      <c r="U363" s="2"/>
      <c r="X363" s="2"/>
      <c r="Y363" s="2"/>
      <c r="Z363" s="2"/>
      <c r="AA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N364" s="2"/>
      <c r="O364" s="2"/>
      <c r="P364" s="2"/>
      <c r="U364" s="2"/>
      <c r="X364" s="2"/>
      <c r="Y364" s="2"/>
      <c r="Z364" s="2"/>
      <c r="AA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N365" s="2"/>
      <c r="O365" s="2"/>
      <c r="P365" s="2"/>
      <c r="U365" s="2"/>
      <c r="X365" s="2"/>
      <c r="Y365" s="2"/>
      <c r="Z365" s="2"/>
      <c r="AA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N366" s="2"/>
      <c r="O366" s="2"/>
      <c r="P366" s="2"/>
      <c r="U366" s="2"/>
      <c r="X366" s="2"/>
      <c r="Y366" s="2"/>
      <c r="Z366" s="2"/>
      <c r="AA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N367" s="2"/>
      <c r="O367" s="2"/>
      <c r="P367" s="2"/>
      <c r="U367" s="2"/>
      <c r="X367" s="2"/>
      <c r="Y367" s="2"/>
      <c r="Z367" s="2"/>
      <c r="AA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N368" s="2"/>
      <c r="O368" s="2"/>
      <c r="P368" s="2"/>
      <c r="U368" s="2"/>
      <c r="X368" s="2"/>
      <c r="Y368" s="2"/>
      <c r="Z368" s="2"/>
      <c r="AA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N369" s="2"/>
      <c r="O369" s="2"/>
      <c r="P369" s="2"/>
      <c r="U369" s="2"/>
      <c r="X369" s="2"/>
      <c r="Y369" s="2"/>
      <c r="Z369" s="2"/>
      <c r="AA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N370" s="2"/>
      <c r="O370" s="2"/>
      <c r="P370" s="2"/>
      <c r="U370" s="2"/>
      <c r="X370" s="2"/>
      <c r="Y370" s="2"/>
      <c r="Z370" s="2"/>
      <c r="AA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N371" s="2"/>
      <c r="O371" s="2"/>
      <c r="P371" s="2"/>
      <c r="U371" s="2"/>
      <c r="X371" s="2"/>
      <c r="Y371" s="2"/>
      <c r="Z371" s="2"/>
      <c r="AA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N372" s="2"/>
      <c r="O372" s="2"/>
      <c r="P372" s="2"/>
      <c r="U372" s="2"/>
      <c r="X372" s="2"/>
      <c r="Y372" s="2"/>
      <c r="Z372" s="2"/>
      <c r="AA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N373" s="2"/>
      <c r="O373" s="2"/>
      <c r="P373" s="2"/>
      <c r="U373" s="2"/>
      <c r="X373" s="2"/>
      <c r="Y373" s="2"/>
      <c r="Z373" s="2"/>
      <c r="AA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N374" s="2"/>
      <c r="O374" s="2"/>
      <c r="P374" s="2"/>
      <c r="U374" s="2"/>
      <c r="X374" s="2"/>
      <c r="Y374" s="2"/>
      <c r="Z374" s="2"/>
      <c r="AA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N375" s="2"/>
      <c r="O375" s="2"/>
      <c r="P375" s="2"/>
      <c r="U375" s="2"/>
      <c r="X375" s="2"/>
      <c r="Y375" s="2"/>
      <c r="Z375" s="2"/>
      <c r="AA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N376" s="2"/>
      <c r="O376" s="2"/>
      <c r="P376" s="2"/>
      <c r="U376" s="2"/>
      <c r="X376" s="2"/>
      <c r="Y376" s="2"/>
      <c r="Z376" s="2"/>
      <c r="AA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N377" s="2"/>
      <c r="O377" s="2"/>
      <c r="P377" s="2"/>
      <c r="U377" s="2"/>
      <c r="X377" s="2"/>
      <c r="Y377" s="2"/>
      <c r="Z377" s="2"/>
      <c r="AA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N378" s="2"/>
      <c r="O378" s="2"/>
      <c r="P378" s="2"/>
      <c r="U378" s="2"/>
      <c r="X378" s="2"/>
      <c r="Y378" s="2"/>
      <c r="Z378" s="2"/>
      <c r="AA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N379" s="2"/>
      <c r="O379" s="2"/>
      <c r="P379" s="2"/>
      <c r="U379" s="2"/>
      <c r="X379" s="2"/>
      <c r="Y379" s="2"/>
      <c r="Z379" s="2"/>
      <c r="AA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N380" s="2"/>
      <c r="O380" s="2"/>
      <c r="P380" s="2"/>
      <c r="U380" s="2"/>
      <c r="X380" s="2"/>
      <c r="Y380" s="2"/>
      <c r="Z380" s="2"/>
      <c r="AA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N381" s="2"/>
      <c r="O381" s="2"/>
      <c r="P381" s="2"/>
      <c r="U381" s="2"/>
      <c r="X381" s="2"/>
      <c r="Y381" s="2"/>
      <c r="Z381" s="2"/>
      <c r="AA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N382" s="2"/>
      <c r="O382" s="2"/>
      <c r="P382" s="2"/>
      <c r="U382" s="2"/>
      <c r="X382" s="2"/>
      <c r="Y382" s="2"/>
      <c r="Z382" s="2"/>
      <c r="AA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N383" s="2"/>
      <c r="O383" s="2"/>
      <c r="P383" s="2"/>
      <c r="U383" s="2"/>
      <c r="X383" s="2"/>
      <c r="Y383" s="2"/>
      <c r="Z383" s="2"/>
      <c r="AA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N384" s="2"/>
      <c r="O384" s="2"/>
      <c r="P384" s="2"/>
      <c r="U384" s="2"/>
      <c r="X384" s="2"/>
      <c r="Y384" s="2"/>
      <c r="Z384" s="2"/>
      <c r="AA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N385" s="2"/>
      <c r="O385" s="2"/>
      <c r="P385" s="2"/>
      <c r="U385" s="2"/>
      <c r="X385" s="2"/>
      <c r="Y385" s="2"/>
      <c r="Z385" s="2"/>
      <c r="AA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N386" s="2"/>
      <c r="O386" s="2"/>
      <c r="P386" s="2"/>
      <c r="U386" s="2"/>
      <c r="X386" s="2"/>
      <c r="Y386" s="2"/>
      <c r="Z386" s="2"/>
      <c r="AA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N387" s="2"/>
      <c r="O387" s="2"/>
      <c r="P387" s="2"/>
      <c r="U387" s="2"/>
      <c r="X387" s="2"/>
      <c r="Y387" s="2"/>
      <c r="Z387" s="2"/>
      <c r="AA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N388" s="2"/>
      <c r="O388" s="2"/>
      <c r="P388" s="2"/>
      <c r="U388" s="2"/>
      <c r="X388" s="2"/>
      <c r="Y388" s="2"/>
      <c r="Z388" s="2"/>
      <c r="AA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N389" s="2"/>
      <c r="O389" s="2"/>
      <c r="P389" s="2"/>
      <c r="U389" s="2"/>
      <c r="X389" s="2"/>
      <c r="Y389" s="2"/>
      <c r="Z389" s="2"/>
      <c r="AA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N390" s="2"/>
      <c r="O390" s="2"/>
      <c r="P390" s="2"/>
      <c r="U390" s="2"/>
      <c r="X390" s="2"/>
      <c r="Y390" s="2"/>
      <c r="Z390" s="2"/>
      <c r="AA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N391" s="2"/>
      <c r="O391" s="2"/>
      <c r="P391" s="2"/>
      <c r="U391" s="2"/>
      <c r="X391" s="2"/>
      <c r="Y391" s="2"/>
      <c r="Z391" s="2"/>
      <c r="AA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N392" s="2"/>
      <c r="O392" s="2"/>
      <c r="P392" s="2"/>
      <c r="U392" s="2"/>
      <c r="X392" s="2"/>
      <c r="Y392" s="2"/>
      <c r="Z392" s="2"/>
      <c r="AA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N393" s="2"/>
      <c r="O393" s="2"/>
      <c r="P393" s="2"/>
      <c r="U393" s="2"/>
      <c r="X393" s="2"/>
      <c r="Y393" s="2"/>
      <c r="Z393" s="2"/>
      <c r="AA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N394" s="2"/>
      <c r="O394" s="2"/>
      <c r="P394" s="2"/>
      <c r="U394" s="2"/>
      <c r="X394" s="2"/>
      <c r="Y394" s="2"/>
      <c r="Z394" s="2"/>
      <c r="AA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N395" s="2"/>
      <c r="O395" s="2"/>
      <c r="P395" s="2"/>
      <c r="U395" s="2"/>
      <c r="X395" s="2"/>
      <c r="Y395" s="2"/>
      <c r="Z395" s="2"/>
      <c r="AA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N396" s="2"/>
      <c r="O396" s="2"/>
      <c r="P396" s="2"/>
      <c r="U396" s="2"/>
      <c r="X396" s="2"/>
      <c r="Y396" s="2"/>
      <c r="Z396" s="2"/>
      <c r="AA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N397" s="2"/>
      <c r="O397" s="2"/>
      <c r="P397" s="2"/>
      <c r="U397" s="2"/>
      <c r="X397" s="2"/>
      <c r="Y397" s="2"/>
      <c r="Z397" s="2"/>
      <c r="AA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N398" s="2"/>
      <c r="O398" s="2"/>
      <c r="P398" s="2"/>
      <c r="U398" s="2"/>
      <c r="X398" s="2"/>
      <c r="Y398" s="2"/>
      <c r="Z398" s="2"/>
      <c r="AA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N399" s="2"/>
      <c r="O399" s="2"/>
      <c r="P399" s="2"/>
      <c r="U399" s="2"/>
      <c r="X399" s="2"/>
      <c r="Y399" s="2"/>
      <c r="Z399" s="2"/>
      <c r="AA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N400" s="2"/>
      <c r="O400" s="2"/>
      <c r="P400" s="2"/>
      <c r="U400" s="2"/>
      <c r="X400" s="2"/>
      <c r="Y400" s="2"/>
      <c r="Z400" s="2"/>
      <c r="AA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N401" s="2"/>
      <c r="O401" s="2"/>
      <c r="P401" s="2"/>
      <c r="U401" s="2"/>
      <c r="X401" s="2"/>
      <c r="Y401" s="2"/>
      <c r="Z401" s="2"/>
      <c r="AA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N402" s="2"/>
      <c r="O402" s="2"/>
      <c r="P402" s="2"/>
      <c r="U402" s="2"/>
      <c r="X402" s="2"/>
      <c r="Y402" s="2"/>
      <c r="Z402" s="2"/>
      <c r="AA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N403" s="2"/>
      <c r="O403" s="2"/>
      <c r="P403" s="2"/>
      <c r="U403" s="2"/>
      <c r="X403" s="2"/>
      <c r="Y403" s="2"/>
      <c r="Z403" s="2"/>
      <c r="AA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N404" s="2"/>
      <c r="O404" s="2"/>
      <c r="P404" s="2"/>
      <c r="U404" s="2"/>
      <c r="X404" s="2"/>
      <c r="Y404" s="2"/>
      <c r="Z404" s="2"/>
      <c r="AA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N405" s="2"/>
      <c r="O405" s="2"/>
      <c r="P405" s="2"/>
      <c r="U405" s="2"/>
      <c r="X405" s="2"/>
      <c r="Y405" s="2"/>
      <c r="Z405" s="2"/>
      <c r="AA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N406" s="2"/>
      <c r="O406" s="2"/>
      <c r="P406" s="2"/>
      <c r="U406" s="2"/>
      <c r="X406" s="2"/>
      <c r="Y406" s="2"/>
      <c r="Z406" s="2"/>
      <c r="AA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N407" s="2"/>
      <c r="O407" s="2"/>
      <c r="P407" s="2"/>
      <c r="U407" s="2"/>
      <c r="X407" s="2"/>
      <c r="Y407" s="2"/>
      <c r="Z407" s="2"/>
      <c r="AA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N408" s="2"/>
      <c r="O408" s="2"/>
      <c r="P408" s="2"/>
      <c r="U408" s="2"/>
      <c r="X408" s="2"/>
      <c r="Y408" s="2"/>
      <c r="Z408" s="2"/>
      <c r="AA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N409" s="2"/>
      <c r="O409" s="2"/>
      <c r="P409" s="2"/>
      <c r="U409" s="2"/>
      <c r="X409" s="2"/>
      <c r="Y409" s="2"/>
      <c r="Z409" s="2"/>
      <c r="AA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N410" s="2"/>
      <c r="O410" s="2"/>
      <c r="P410" s="2"/>
      <c r="U410" s="2"/>
      <c r="X410" s="2"/>
      <c r="Y410" s="2"/>
      <c r="Z410" s="2"/>
      <c r="AA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N411" s="2"/>
      <c r="O411" s="2"/>
      <c r="P411" s="2"/>
      <c r="U411" s="2"/>
      <c r="X411" s="2"/>
      <c r="Y411" s="2"/>
      <c r="Z411" s="2"/>
      <c r="AA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N412" s="2"/>
      <c r="O412" s="2"/>
      <c r="P412" s="2"/>
      <c r="U412" s="2"/>
      <c r="X412" s="2"/>
      <c r="Y412" s="2"/>
      <c r="Z412" s="2"/>
      <c r="AA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N413" s="2"/>
      <c r="O413" s="2"/>
      <c r="P413" s="2"/>
      <c r="U413" s="2"/>
      <c r="X413" s="2"/>
      <c r="Y413" s="2"/>
      <c r="Z413" s="2"/>
      <c r="AA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N414" s="2"/>
      <c r="O414" s="2"/>
      <c r="P414" s="2"/>
      <c r="U414" s="2"/>
      <c r="X414" s="2"/>
      <c r="Y414" s="2"/>
      <c r="Z414" s="2"/>
      <c r="AA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N415" s="2"/>
      <c r="O415" s="2"/>
      <c r="P415" s="2"/>
      <c r="U415" s="2"/>
      <c r="X415" s="2"/>
      <c r="Y415" s="2"/>
      <c r="Z415" s="2"/>
      <c r="AA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N416" s="2"/>
      <c r="O416" s="2"/>
      <c r="P416" s="2"/>
      <c r="U416" s="2"/>
      <c r="X416" s="2"/>
      <c r="Y416" s="2"/>
      <c r="Z416" s="2"/>
      <c r="AA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N417" s="2"/>
      <c r="O417" s="2"/>
      <c r="P417" s="2"/>
      <c r="U417" s="2"/>
      <c r="X417" s="2"/>
      <c r="Y417" s="2"/>
      <c r="Z417" s="2"/>
      <c r="AA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N418" s="2"/>
      <c r="O418" s="2"/>
      <c r="P418" s="2"/>
      <c r="U418" s="2"/>
      <c r="X418" s="2"/>
      <c r="Y418" s="2"/>
      <c r="Z418" s="2"/>
      <c r="AA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N419" s="2"/>
      <c r="O419" s="2"/>
      <c r="P419" s="2"/>
      <c r="U419" s="2"/>
      <c r="X419" s="2"/>
      <c r="Y419" s="2"/>
      <c r="Z419" s="2"/>
      <c r="AA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N420" s="2"/>
      <c r="O420" s="2"/>
      <c r="P420" s="2"/>
      <c r="U420" s="2"/>
      <c r="X420" s="2"/>
      <c r="Y420" s="2"/>
      <c r="Z420" s="2"/>
      <c r="AA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N421" s="2"/>
      <c r="O421" s="2"/>
      <c r="P421" s="2"/>
      <c r="U421" s="2"/>
      <c r="X421" s="2"/>
      <c r="Y421" s="2"/>
      <c r="Z421" s="2"/>
      <c r="AA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N422" s="2"/>
      <c r="O422" s="2"/>
      <c r="P422" s="2"/>
      <c r="U422" s="2"/>
      <c r="X422" s="2"/>
      <c r="Y422" s="2"/>
      <c r="Z422" s="2"/>
      <c r="AA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N423" s="2"/>
      <c r="O423" s="2"/>
      <c r="P423" s="2"/>
      <c r="U423" s="2"/>
      <c r="X423" s="2"/>
      <c r="Y423" s="2"/>
      <c r="Z423" s="2"/>
      <c r="AA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N424" s="2"/>
      <c r="O424" s="2"/>
      <c r="P424" s="2"/>
      <c r="U424" s="2"/>
      <c r="X424" s="2"/>
      <c r="Y424" s="2"/>
      <c r="Z424" s="2"/>
      <c r="AA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N425" s="2"/>
      <c r="O425" s="2"/>
      <c r="P425" s="2"/>
      <c r="U425" s="2"/>
      <c r="X425" s="2"/>
      <c r="Y425" s="2"/>
      <c r="Z425" s="2"/>
      <c r="AA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N426" s="2"/>
      <c r="O426" s="2"/>
      <c r="P426" s="2"/>
      <c r="U426" s="2"/>
      <c r="X426" s="2"/>
      <c r="Y426" s="2"/>
      <c r="Z426" s="2"/>
      <c r="AA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N427" s="2"/>
      <c r="O427" s="2"/>
      <c r="P427" s="2"/>
      <c r="U427" s="2"/>
      <c r="X427" s="2"/>
      <c r="Y427" s="2"/>
      <c r="Z427" s="2"/>
      <c r="AA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N428" s="2"/>
      <c r="O428" s="2"/>
      <c r="P428" s="2"/>
      <c r="U428" s="2"/>
      <c r="X428" s="2"/>
      <c r="Y428" s="2"/>
      <c r="Z428" s="2"/>
      <c r="AA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N429" s="2"/>
      <c r="O429" s="2"/>
      <c r="P429" s="2"/>
      <c r="U429" s="2"/>
      <c r="X429" s="2"/>
      <c r="Y429" s="2"/>
      <c r="Z429" s="2"/>
      <c r="AA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N430" s="2"/>
      <c r="O430" s="2"/>
      <c r="P430" s="2"/>
      <c r="U430" s="2"/>
      <c r="X430" s="2"/>
      <c r="Y430" s="2"/>
      <c r="Z430" s="2"/>
      <c r="AA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N431" s="2"/>
      <c r="O431" s="2"/>
      <c r="P431" s="2"/>
      <c r="U431" s="2"/>
      <c r="X431" s="2"/>
      <c r="Y431" s="2"/>
      <c r="Z431" s="2"/>
      <c r="AA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N432" s="2"/>
      <c r="O432" s="2"/>
      <c r="P432" s="2"/>
      <c r="U432" s="2"/>
      <c r="X432" s="2"/>
      <c r="Y432" s="2"/>
      <c r="Z432" s="2"/>
      <c r="AA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N433" s="2"/>
      <c r="O433" s="2"/>
      <c r="P433" s="2"/>
      <c r="U433" s="2"/>
      <c r="X433" s="2"/>
      <c r="Y433" s="2"/>
      <c r="Z433" s="2"/>
      <c r="AA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N434" s="2"/>
      <c r="O434" s="2"/>
      <c r="P434" s="2"/>
      <c r="U434" s="2"/>
      <c r="X434" s="2"/>
      <c r="Y434" s="2"/>
      <c r="Z434" s="2"/>
      <c r="AA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N435" s="2"/>
      <c r="O435" s="2"/>
      <c r="P435" s="2"/>
      <c r="U435" s="2"/>
      <c r="X435" s="2"/>
      <c r="Y435" s="2"/>
      <c r="Z435" s="2"/>
      <c r="AA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N436" s="2"/>
      <c r="O436" s="2"/>
      <c r="P436" s="2"/>
      <c r="U436" s="2"/>
      <c r="X436" s="2"/>
      <c r="Y436" s="2"/>
      <c r="Z436" s="2"/>
      <c r="AA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N437" s="2"/>
      <c r="O437" s="2"/>
      <c r="P437" s="2"/>
      <c r="U437" s="2"/>
      <c r="X437" s="2"/>
      <c r="Y437" s="2"/>
      <c r="Z437" s="2"/>
      <c r="AA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N438" s="2"/>
      <c r="O438" s="2"/>
      <c r="P438" s="2"/>
      <c r="U438" s="2"/>
      <c r="X438" s="2"/>
      <c r="Y438" s="2"/>
      <c r="Z438" s="2"/>
      <c r="AA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N439" s="2"/>
      <c r="O439" s="2"/>
      <c r="P439" s="2"/>
      <c r="U439" s="2"/>
      <c r="X439" s="2"/>
      <c r="Y439" s="2"/>
      <c r="Z439" s="2"/>
      <c r="AA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N440" s="2"/>
      <c r="O440" s="2"/>
      <c r="P440" s="2"/>
      <c r="U440" s="2"/>
      <c r="X440" s="2"/>
      <c r="Y440" s="2"/>
      <c r="Z440" s="2"/>
      <c r="AA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N441" s="2"/>
      <c r="O441" s="2"/>
      <c r="P441" s="2"/>
      <c r="U441" s="2"/>
      <c r="X441" s="2"/>
      <c r="Y441" s="2"/>
      <c r="Z441" s="2"/>
      <c r="AA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N442" s="2"/>
      <c r="O442" s="2"/>
      <c r="P442" s="2"/>
      <c r="U442" s="2"/>
      <c r="X442" s="2"/>
      <c r="Y442" s="2"/>
      <c r="Z442" s="2"/>
      <c r="AA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N443" s="2"/>
      <c r="O443" s="2"/>
      <c r="P443" s="2"/>
      <c r="U443" s="2"/>
      <c r="X443" s="2"/>
      <c r="Y443" s="2"/>
      <c r="Z443" s="2"/>
      <c r="AA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N444" s="2"/>
      <c r="O444" s="2"/>
      <c r="P444" s="2"/>
      <c r="U444" s="2"/>
      <c r="X444" s="2"/>
      <c r="Y444" s="2"/>
      <c r="Z444" s="2"/>
      <c r="AA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N445" s="2"/>
      <c r="O445" s="2"/>
      <c r="P445" s="2"/>
      <c r="U445" s="2"/>
      <c r="X445" s="2"/>
      <c r="Y445" s="2"/>
      <c r="Z445" s="2"/>
      <c r="AA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N446" s="2"/>
      <c r="O446" s="2"/>
      <c r="P446" s="2"/>
      <c r="U446" s="2"/>
      <c r="X446" s="2"/>
      <c r="Y446" s="2"/>
      <c r="Z446" s="2"/>
      <c r="AA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N447" s="2"/>
      <c r="O447" s="2"/>
      <c r="P447" s="2"/>
      <c r="U447" s="2"/>
      <c r="X447" s="2"/>
      <c r="Y447" s="2"/>
      <c r="Z447" s="2"/>
      <c r="AA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N448" s="2"/>
      <c r="O448" s="2"/>
      <c r="P448" s="2"/>
      <c r="U448" s="2"/>
      <c r="X448" s="2"/>
      <c r="Y448" s="2"/>
      <c r="Z448" s="2"/>
      <c r="AA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N449" s="2"/>
      <c r="O449" s="2"/>
      <c r="P449" s="2"/>
      <c r="U449" s="2"/>
      <c r="X449" s="2"/>
      <c r="Y449" s="2"/>
      <c r="Z449" s="2"/>
      <c r="AA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N450" s="2"/>
      <c r="O450" s="2"/>
      <c r="P450" s="2"/>
      <c r="U450" s="2"/>
      <c r="X450" s="2"/>
      <c r="Y450" s="2"/>
      <c r="Z450" s="2"/>
      <c r="AA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N451" s="2"/>
      <c r="O451" s="2"/>
      <c r="P451" s="2"/>
      <c r="U451" s="2"/>
      <c r="X451" s="2"/>
      <c r="Y451" s="2"/>
      <c r="Z451" s="2"/>
      <c r="AA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N452" s="2"/>
      <c r="O452" s="2"/>
      <c r="P452" s="2"/>
      <c r="U452" s="2"/>
      <c r="X452" s="2"/>
      <c r="Y452" s="2"/>
      <c r="Z452" s="2"/>
      <c r="AA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N453" s="2"/>
      <c r="O453" s="2"/>
      <c r="P453" s="2"/>
      <c r="U453" s="2"/>
      <c r="X453" s="2"/>
      <c r="Y453" s="2"/>
      <c r="Z453" s="2"/>
      <c r="AA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N454" s="2"/>
      <c r="O454" s="2"/>
      <c r="P454" s="2"/>
      <c r="U454" s="2"/>
      <c r="X454" s="2"/>
      <c r="Y454" s="2"/>
      <c r="Z454" s="2"/>
      <c r="AA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N455" s="2"/>
      <c r="O455" s="2"/>
      <c r="P455" s="2"/>
      <c r="U455" s="2"/>
      <c r="X455" s="2"/>
      <c r="Y455" s="2"/>
      <c r="Z455" s="2"/>
      <c r="AA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N456" s="2"/>
      <c r="O456" s="2"/>
      <c r="P456" s="2"/>
      <c r="U456" s="2"/>
      <c r="X456" s="2"/>
      <c r="Y456" s="2"/>
      <c r="Z456" s="2"/>
      <c r="AA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N457" s="2"/>
      <c r="O457" s="2"/>
      <c r="P457" s="2"/>
      <c r="U457" s="2"/>
      <c r="X457" s="2"/>
      <c r="Y457" s="2"/>
      <c r="Z457" s="2"/>
      <c r="AA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N458" s="2"/>
      <c r="O458" s="2"/>
      <c r="P458" s="2"/>
      <c r="U458" s="2"/>
      <c r="X458" s="2"/>
      <c r="Y458" s="2"/>
      <c r="Z458" s="2"/>
      <c r="AA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N459" s="2"/>
      <c r="O459" s="2"/>
      <c r="P459" s="2"/>
      <c r="U459" s="2"/>
      <c r="X459" s="2"/>
      <c r="Y459" s="2"/>
      <c r="Z459" s="2"/>
      <c r="AA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N460" s="2"/>
      <c r="O460" s="2"/>
      <c r="P460" s="2"/>
      <c r="U460" s="2"/>
      <c r="X460" s="2"/>
      <c r="Y460" s="2"/>
      <c r="Z460" s="2"/>
      <c r="AA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N461" s="2"/>
      <c r="O461" s="2"/>
      <c r="P461" s="2"/>
      <c r="U461" s="2"/>
      <c r="X461" s="2"/>
      <c r="Y461" s="2"/>
      <c r="Z461" s="2"/>
      <c r="AA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N462" s="2"/>
      <c r="O462" s="2"/>
      <c r="P462" s="2"/>
      <c r="U462" s="2"/>
      <c r="X462" s="2"/>
      <c r="Y462" s="2"/>
      <c r="Z462" s="2"/>
      <c r="AA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N463" s="2"/>
      <c r="O463" s="2"/>
      <c r="P463" s="2"/>
      <c r="U463" s="2"/>
      <c r="X463" s="2"/>
      <c r="Y463" s="2"/>
      <c r="Z463" s="2"/>
      <c r="AA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N464" s="2"/>
      <c r="O464" s="2"/>
      <c r="P464" s="2"/>
      <c r="U464" s="2"/>
      <c r="X464" s="2"/>
      <c r="Y464" s="2"/>
      <c r="Z464" s="2"/>
      <c r="AA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N465" s="2"/>
      <c r="O465" s="2"/>
      <c r="P465" s="2"/>
      <c r="U465" s="2"/>
      <c r="X465" s="2"/>
      <c r="Y465" s="2"/>
      <c r="Z465" s="2"/>
      <c r="AA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N466" s="2"/>
      <c r="O466" s="2"/>
      <c r="P466" s="2"/>
      <c r="U466" s="2"/>
      <c r="X466" s="2"/>
      <c r="Y466" s="2"/>
      <c r="Z466" s="2"/>
      <c r="AA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N467" s="2"/>
      <c r="O467" s="2"/>
      <c r="P467" s="2"/>
      <c r="U467" s="2"/>
      <c r="X467" s="2"/>
      <c r="Y467" s="2"/>
      <c r="Z467" s="2"/>
      <c r="AA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N468" s="2"/>
      <c r="O468" s="2"/>
      <c r="P468" s="2"/>
      <c r="U468" s="2"/>
      <c r="X468" s="2"/>
      <c r="Y468" s="2"/>
      <c r="Z468" s="2"/>
      <c r="AA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N469" s="2"/>
      <c r="O469" s="2"/>
      <c r="P469" s="2"/>
      <c r="U469" s="2"/>
      <c r="X469" s="2"/>
      <c r="Y469" s="2"/>
      <c r="Z469" s="2"/>
      <c r="AA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N470" s="2"/>
      <c r="O470" s="2"/>
      <c r="P470" s="2"/>
      <c r="U470" s="2"/>
      <c r="X470" s="2"/>
      <c r="Y470" s="2"/>
      <c r="Z470" s="2"/>
      <c r="AA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N471" s="2"/>
      <c r="O471" s="2"/>
      <c r="P471" s="2"/>
      <c r="U471" s="2"/>
      <c r="X471" s="2"/>
      <c r="Y471" s="2"/>
      <c r="Z471" s="2"/>
      <c r="AA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N472" s="2"/>
      <c r="O472" s="2"/>
      <c r="P472" s="2"/>
      <c r="U472" s="2"/>
      <c r="X472" s="2"/>
      <c r="Y472" s="2"/>
      <c r="Z472" s="2"/>
      <c r="AA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N473" s="2"/>
      <c r="O473" s="2"/>
      <c r="P473" s="2"/>
      <c r="U473" s="2"/>
      <c r="X473" s="2"/>
      <c r="Y473" s="2"/>
      <c r="Z473" s="2"/>
      <c r="AA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N474" s="2"/>
      <c r="O474" s="2"/>
      <c r="P474" s="2"/>
      <c r="U474" s="2"/>
      <c r="X474" s="2"/>
      <c r="Y474" s="2"/>
      <c r="Z474" s="2"/>
      <c r="AA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N475" s="2"/>
      <c r="O475" s="2"/>
      <c r="P475" s="2"/>
      <c r="U475" s="2"/>
      <c r="X475" s="2"/>
      <c r="Y475" s="2"/>
      <c r="Z475" s="2"/>
      <c r="AA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N476" s="2"/>
      <c r="O476" s="2"/>
      <c r="P476" s="2"/>
      <c r="U476" s="2"/>
      <c r="X476" s="2"/>
      <c r="Y476" s="2"/>
      <c r="Z476" s="2"/>
      <c r="AA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N477" s="2"/>
      <c r="O477" s="2"/>
      <c r="P477" s="2"/>
      <c r="U477" s="2"/>
      <c r="X477" s="2"/>
      <c r="Y477" s="2"/>
      <c r="Z477" s="2"/>
      <c r="AA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N478" s="2"/>
      <c r="O478" s="2"/>
      <c r="P478" s="2"/>
      <c r="U478" s="2"/>
      <c r="X478" s="2"/>
      <c r="Y478" s="2"/>
      <c r="Z478" s="2"/>
      <c r="AA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N479" s="2"/>
      <c r="O479" s="2"/>
      <c r="P479" s="2"/>
      <c r="U479" s="2"/>
      <c r="X479" s="2"/>
      <c r="Y479" s="2"/>
      <c r="Z479" s="2"/>
      <c r="AA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N480" s="2"/>
      <c r="O480" s="2"/>
      <c r="P480" s="2"/>
      <c r="U480" s="2"/>
      <c r="X480" s="2"/>
      <c r="Y480" s="2"/>
      <c r="Z480" s="2"/>
      <c r="AA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N481" s="2"/>
      <c r="O481" s="2"/>
      <c r="P481" s="2"/>
      <c r="U481" s="2"/>
      <c r="X481" s="2"/>
      <c r="Y481" s="2"/>
      <c r="Z481" s="2"/>
      <c r="AA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N482" s="2"/>
      <c r="O482" s="2"/>
      <c r="P482" s="2"/>
      <c r="U482" s="2"/>
      <c r="X482" s="2"/>
      <c r="Y482" s="2"/>
      <c r="Z482" s="2"/>
      <c r="AA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N483" s="2"/>
      <c r="O483" s="2"/>
      <c r="P483" s="2"/>
      <c r="U483" s="2"/>
      <c r="X483" s="2"/>
      <c r="Y483" s="2"/>
      <c r="Z483" s="2"/>
      <c r="AA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N484" s="2"/>
      <c r="O484" s="2"/>
      <c r="P484" s="2"/>
      <c r="U484" s="2"/>
      <c r="X484" s="2"/>
      <c r="Y484" s="2"/>
      <c r="Z484" s="2"/>
      <c r="AA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N485" s="2"/>
      <c r="O485" s="2"/>
      <c r="P485" s="2"/>
      <c r="U485" s="2"/>
      <c r="X485" s="2"/>
      <c r="Y485" s="2"/>
      <c r="Z485" s="2"/>
      <c r="AA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N486" s="2"/>
      <c r="O486" s="2"/>
      <c r="P486" s="2"/>
      <c r="U486" s="2"/>
      <c r="X486" s="2"/>
      <c r="Y486" s="2"/>
      <c r="Z486" s="2"/>
      <c r="AA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N487" s="2"/>
      <c r="O487" s="2"/>
      <c r="P487" s="2"/>
      <c r="U487" s="2"/>
      <c r="X487" s="2"/>
      <c r="Y487" s="2"/>
      <c r="Z487" s="2"/>
      <c r="AA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N488" s="2"/>
      <c r="O488" s="2"/>
      <c r="P488" s="2"/>
      <c r="U488" s="2"/>
      <c r="X488" s="2"/>
      <c r="Y488" s="2"/>
      <c r="Z488" s="2"/>
      <c r="AA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N489" s="2"/>
      <c r="O489" s="2"/>
      <c r="P489" s="2"/>
      <c r="U489" s="2"/>
      <c r="X489" s="2"/>
      <c r="Y489" s="2"/>
      <c r="Z489" s="2"/>
      <c r="AA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N490" s="2"/>
      <c r="O490" s="2"/>
      <c r="P490" s="2"/>
      <c r="U490" s="2"/>
      <c r="X490" s="2"/>
      <c r="Y490" s="2"/>
      <c r="Z490" s="2"/>
      <c r="AA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N491" s="2"/>
      <c r="O491" s="2"/>
      <c r="P491" s="2"/>
      <c r="U491" s="2"/>
      <c r="X491" s="2"/>
      <c r="Y491" s="2"/>
      <c r="Z491" s="2"/>
      <c r="AA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N492" s="2"/>
      <c r="O492" s="2"/>
      <c r="P492" s="2"/>
      <c r="U492" s="2"/>
      <c r="X492" s="2"/>
      <c r="Y492" s="2"/>
      <c r="Z492" s="2"/>
      <c r="AA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N493" s="2"/>
      <c r="O493" s="2"/>
      <c r="P493" s="2"/>
      <c r="U493" s="2"/>
      <c r="X493" s="2"/>
      <c r="Y493" s="2"/>
      <c r="Z493" s="2"/>
      <c r="AA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N494" s="2"/>
      <c r="O494" s="2"/>
      <c r="P494" s="2"/>
      <c r="U494" s="2"/>
      <c r="X494" s="2"/>
      <c r="Y494" s="2"/>
      <c r="Z494" s="2"/>
      <c r="AA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N495" s="2"/>
      <c r="O495" s="2"/>
      <c r="P495" s="2"/>
      <c r="U495" s="2"/>
      <c r="X495" s="2"/>
      <c r="Y495" s="2"/>
      <c r="Z495" s="2"/>
      <c r="AA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N496" s="2"/>
      <c r="O496" s="2"/>
      <c r="P496" s="2"/>
      <c r="U496" s="2"/>
      <c r="X496" s="2"/>
      <c r="Y496" s="2"/>
      <c r="Z496" s="2"/>
      <c r="AA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N497" s="2"/>
      <c r="O497" s="2"/>
      <c r="P497" s="2"/>
      <c r="U497" s="2"/>
      <c r="X497" s="2"/>
      <c r="Y497" s="2"/>
      <c r="Z497" s="2"/>
      <c r="AA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N498" s="2"/>
      <c r="O498" s="2"/>
      <c r="P498" s="2"/>
      <c r="U498" s="2"/>
      <c r="X498" s="2"/>
      <c r="Y498" s="2"/>
      <c r="Z498" s="2"/>
      <c r="AA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N499" s="2"/>
      <c r="O499" s="2"/>
      <c r="P499" s="2"/>
      <c r="U499" s="2"/>
      <c r="X499" s="2"/>
      <c r="Y499" s="2"/>
      <c r="Z499" s="2"/>
      <c r="AA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N500" s="2"/>
      <c r="O500" s="2"/>
      <c r="P500" s="2"/>
      <c r="U500" s="2"/>
      <c r="X500" s="2"/>
      <c r="Y500" s="2"/>
      <c r="Z500" s="2"/>
      <c r="AA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N501" s="2"/>
      <c r="O501" s="2"/>
      <c r="P501" s="2"/>
      <c r="U501" s="2"/>
      <c r="X501" s="2"/>
      <c r="Y501" s="2"/>
      <c r="Z501" s="2"/>
      <c r="AA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N502" s="2"/>
      <c r="O502" s="2"/>
      <c r="P502" s="2"/>
      <c r="U502" s="2"/>
      <c r="X502" s="2"/>
      <c r="Y502" s="2"/>
      <c r="Z502" s="2"/>
      <c r="AA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N503" s="2"/>
      <c r="O503" s="2"/>
      <c r="P503" s="2"/>
      <c r="U503" s="2"/>
      <c r="X503" s="2"/>
      <c r="Y503" s="2"/>
      <c r="Z503" s="2"/>
      <c r="AA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N504" s="2"/>
      <c r="O504" s="2"/>
      <c r="P504" s="2"/>
      <c r="U504" s="2"/>
      <c r="X504" s="2"/>
      <c r="Y504" s="2"/>
      <c r="Z504" s="2"/>
      <c r="AA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N505" s="2"/>
      <c r="O505" s="2"/>
      <c r="P505" s="2"/>
      <c r="U505" s="2"/>
      <c r="X505" s="2"/>
      <c r="Y505" s="2"/>
      <c r="Z505" s="2"/>
      <c r="AA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N506" s="2"/>
      <c r="O506" s="2"/>
      <c r="P506" s="2"/>
      <c r="U506" s="2"/>
      <c r="X506" s="2"/>
      <c r="Y506" s="2"/>
      <c r="Z506" s="2"/>
      <c r="AA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N507" s="2"/>
      <c r="O507" s="2"/>
      <c r="P507" s="2"/>
      <c r="U507" s="2"/>
      <c r="X507" s="2"/>
      <c r="Y507" s="2"/>
      <c r="Z507" s="2"/>
      <c r="AA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N508" s="2"/>
      <c r="O508" s="2"/>
      <c r="P508" s="2"/>
      <c r="U508" s="2"/>
      <c r="X508" s="2"/>
      <c r="Y508" s="2"/>
      <c r="Z508" s="2"/>
      <c r="AA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N509" s="2"/>
      <c r="O509" s="2"/>
      <c r="P509" s="2"/>
      <c r="U509" s="2"/>
      <c r="X509" s="2"/>
      <c r="Y509" s="2"/>
      <c r="Z509" s="2"/>
      <c r="AA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N510" s="2"/>
      <c r="O510" s="2"/>
      <c r="P510" s="2"/>
      <c r="U510" s="2"/>
      <c r="X510" s="2"/>
      <c r="Y510" s="2"/>
      <c r="Z510" s="2"/>
      <c r="AA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N511" s="2"/>
      <c r="O511" s="2"/>
      <c r="P511" s="2"/>
      <c r="U511" s="2"/>
      <c r="X511" s="2"/>
      <c r="Y511" s="2"/>
      <c r="Z511" s="2"/>
      <c r="AA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N512" s="2"/>
      <c r="O512" s="2"/>
      <c r="P512" s="2"/>
      <c r="U512" s="2"/>
      <c r="X512" s="2"/>
      <c r="Y512" s="2"/>
      <c r="Z512" s="2"/>
      <c r="AA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N513" s="2"/>
      <c r="O513" s="2"/>
      <c r="P513" s="2"/>
      <c r="U513" s="2"/>
      <c r="X513" s="2"/>
      <c r="Y513" s="2"/>
      <c r="Z513" s="2"/>
      <c r="AA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N514" s="2"/>
      <c r="O514" s="2"/>
      <c r="P514" s="2"/>
      <c r="U514" s="2"/>
      <c r="X514" s="2"/>
      <c r="Y514" s="2"/>
      <c r="Z514" s="2"/>
      <c r="AA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N515" s="2"/>
      <c r="O515" s="2"/>
      <c r="P515" s="2"/>
      <c r="U515" s="2"/>
      <c r="X515" s="2"/>
      <c r="Y515" s="2"/>
      <c r="Z515" s="2"/>
      <c r="AA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N516" s="2"/>
      <c r="O516" s="2"/>
      <c r="P516" s="2"/>
      <c r="U516" s="2"/>
      <c r="X516" s="2"/>
      <c r="Y516" s="2"/>
      <c r="Z516" s="2"/>
      <c r="AA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N517" s="2"/>
      <c r="O517" s="2"/>
      <c r="P517" s="2"/>
      <c r="U517" s="2"/>
      <c r="X517" s="2"/>
      <c r="Y517" s="2"/>
      <c r="Z517" s="2"/>
      <c r="AA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N518" s="2"/>
      <c r="O518" s="2"/>
      <c r="P518" s="2"/>
      <c r="U518" s="2"/>
      <c r="X518" s="2"/>
      <c r="Y518" s="2"/>
      <c r="Z518" s="2"/>
      <c r="AA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N519" s="2"/>
      <c r="O519" s="2"/>
      <c r="P519" s="2"/>
      <c r="U519" s="2"/>
      <c r="X519" s="2"/>
      <c r="Y519" s="2"/>
      <c r="Z519" s="2"/>
      <c r="AA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N520" s="2"/>
      <c r="O520" s="2"/>
      <c r="P520" s="2"/>
      <c r="U520" s="2"/>
      <c r="X520" s="2"/>
      <c r="Y520" s="2"/>
      <c r="Z520" s="2"/>
      <c r="AA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N521" s="2"/>
      <c r="O521" s="2"/>
      <c r="P521" s="2"/>
      <c r="U521" s="2"/>
      <c r="X521" s="2"/>
      <c r="Y521" s="2"/>
      <c r="Z521" s="2"/>
      <c r="AA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N522" s="2"/>
      <c r="O522" s="2"/>
      <c r="P522" s="2"/>
      <c r="U522" s="2"/>
      <c r="X522" s="2"/>
      <c r="Y522" s="2"/>
      <c r="Z522" s="2"/>
      <c r="AA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N523" s="2"/>
      <c r="O523" s="2"/>
      <c r="P523" s="2"/>
      <c r="U523" s="2"/>
      <c r="X523" s="2"/>
      <c r="Y523" s="2"/>
      <c r="Z523" s="2"/>
      <c r="AA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N524" s="2"/>
      <c r="O524" s="2"/>
      <c r="P524" s="2"/>
      <c r="U524" s="2"/>
      <c r="X524" s="2"/>
      <c r="Y524" s="2"/>
      <c r="Z524" s="2"/>
      <c r="AA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N525" s="2"/>
      <c r="O525" s="2"/>
      <c r="P525" s="2"/>
      <c r="U525" s="2"/>
      <c r="X525" s="2"/>
      <c r="Y525" s="2"/>
      <c r="Z525" s="2"/>
      <c r="AA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N526" s="2"/>
      <c r="O526" s="2"/>
      <c r="P526" s="2"/>
      <c r="U526" s="2"/>
      <c r="X526" s="2"/>
      <c r="Y526" s="2"/>
      <c r="Z526" s="2"/>
      <c r="AA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N527" s="2"/>
      <c r="O527" s="2"/>
      <c r="P527" s="2"/>
      <c r="U527" s="2"/>
      <c r="X527" s="2"/>
      <c r="Y527" s="2"/>
      <c r="Z527" s="2"/>
      <c r="AA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N528" s="2"/>
      <c r="O528" s="2"/>
      <c r="P528" s="2"/>
      <c r="U528" s="2"/>
      <c r="X528" s="2"/>
      <c r="Y528" s="2"/>
      <c r="Z528" s="2"/>
      <c r="AA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N529" s="2"/>
      <c r="O529" s="2"/>
      <c r="P529" s="2"/>
      <c r="U529" s="2"/>
      <c r="X529" s="2"/>
      <c r="Y529" s="2"/>
      <c r="Z529" s="2"/>
      <c r="AA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N530" s="2"/>
      <c r="O530" s="2"/>
      <c r="P530" s="2"/>
      <c r="U530" s="2"/>
      <c r="X530" s="2"/>
      <c r="Y530" s="2"/>
      <c r="Z530" s="2"/>
      <c r="AA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N531" s="2"/>
      <c r="O531" s="2"/>
      <c r="P531" s="2"/>
      <c r="U531" s="2"/>
      <c r="X531" s="2"/>
      <c r="Y531" s="2"/>
      <c r="Z531" s="2"/>
      <c r="AA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N532" s="2"/>
      <c r="O532" s="2"/>
      <c r="P532" s="2"/>
      <c r="U532" s="2"/>
      <c r="X532" s="2"/>
      <c r="Y532" s="2"/>
      <c r="Z532" s="2"/>
      <c r="AA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N533" s="2"/>
      <c r="O533" s="2"/>
      <c r="P533" s="2"/>
      <c r="U533" s="2"/>
      <c r="X533" s="2"/>
      <c r="Y533" s="2"/>
      <c r="Z533" s="2"/>
      <c r="AA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N534" s="2"/>
      <c r="O534" s="2"/>
      <c r="P534" s="2"/>
      <c r="U534" s="2"/>
      <c r="X534" s="2"/>
      <c r="Y534" s="2"/>
      <c r="Z534" s="2"/>
      <c r="AA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N535" s="2"/>
      <c r="O535" s="2"/>
      <c r="P535" s="2"/>
      <c r="U535" s="2"/>
      <c r="X535" s="2"/>
      <c r="Y535" s="2"/>
      <c r="Z535" s="2"/>
      <c r="AA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N536" s="2"/>
      <c r="O536" s="2"/>
      <c r="P536" s="2"/>
      <c r="U536" s="2"/>
      <c r="X536" s="2"/>
      <c r="Y536" s="2"/>
      <c r="Z536" s="2"/>
      <c r="AA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N537" s="2"/>
      <c r="O537" s="2"/>
      <c r="P537" s="2"/>
      <c r="U537" s="2"/>
      <c r="X537" s="2"/>
      <c r="Y537" s="2"/>
      <c r="Z537" s="2"/>
      <c r="AA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N538" s="2"/>
      <c r="O538" s="2"/>
      <c r="P538" s="2"/>
      <c r="U538" s="2"/>
      <c r="X538" s="2"/>
      <c r="Y538" s="2"/>
      <c r="Z538" s="2"/>
      <c r="AA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N539" s="2"/>
      <c r="O539" s="2"/>
      <c r="P539" s="2"/>
      <c r="U539" s="2"/>
      <c r="X539" s="2"/>
      <c r="Y539" s="2"/>
      <c r="Z539" s="2"/>
      <c r="AA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N540" s="2"/>
      <c r="O540" s="2"/>
      <c r="P540" s="2"/>
      <c r="U540" s="2"/>
      <c r="X540" s="2"/>
      <c r="Y540" s="2"/>
      <c r="Z540" s="2"/>
      <c r="AA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N541" s="2"/>
      <c r="O541" s="2"/>
      <c r="P541" s="2"/>
      <c r="U541" s="2"/>
      <c r="X541" s="2"/>
      <c r="Y541" s="2"/>
      <c r="Z541" s="2"/>
      <c r="AA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N542" s="2"/>
      <c r="O542" s="2"/>
      <c r="P542" s="2"/>
      <c r="U542" s="2"/>
      <c r="X542" s="2"/>
      <c r="Y542" s="2"/>
      <c r="Z542" s="2"/>
      <c r="AA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N543" s="2"/>
      <c r="O543" s="2"/>
      <c r="P543" s="2"/>
      <c r="U543" s="2"/>
      <c r="X543" s="2"/>
      <c r="Y543" s="2"/>
      <c r="Z543" s="2"/>
      <c r="AA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N544" s="2"/>
      <c r="O544" s="2"/>
      <c r="P544" s="2"/>
      <c r="U544" s="2"/>
      <c r="X544" s="2"/>
      <c r="Y544" s="2"/>
      <c r="Z544" s="2"/>
      <c r="AA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N545" s="2"/>
      <c r="O545" s="2"/>
      <c r="P545" s="2"/>
      <c r="U545" s="2"/>
      <c r="X545" s="2"/>
      <c r="Y545" s="2"/>
      <c r="Z545" s="2"/>
      <c r="AA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N546" s="2"/>
      <c r="O546" s="2"/>
      <c r="P546" s="2"/>
      <c r="U546" s="2"/>
      <c r="X546" s="2"/>
      <c r="Y546" s="2"/>
      <c r="Z546" s="2"/>
      <c r="AA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N547" s="2"/>
      <c r="O547" s="2"/>
      <c r="P547" s="2"/>
      <c r="U547" s="2"/>
      <c r="X547" s="2"/>
      <c r="Y547" s="2"/>
      <c r="Z547" s="2"/>
      <c r="AA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N548" s="2"/>
      <c r="O548" s="2"/>
      <c r="P548" s="2"/>
      <c r="U548" s="2"/>
      <c r="X548" s="2"/>
      <c r="Y548" s="2"/>
      <c r="Z548" s="2"/>
      <c r="AA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N549" s="2"/>
      <c r="O549" s="2"/>
      <c r="P549" s="2"/>
      <c r="U549" s="2"/>
      <c r="X549" s="2"/>
      <c r="Y549" s="2"/>
      <c r="Z549" s="2"/>
      <c r="AA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N550" s="2"/>
      <c r="O550" s="2"/>
      <c r="P550" s="2"/>
      <c r="U550" s="2"/>
      <c r="X550" s="2"/>
      <c r="Y550" s="2"/>
      <c r="Z550" s="2"/>
      <c r="AA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N551" s="2"/>
      <c r="O551" s="2"/>
      <c r="P551" s="2"/>
      <c r="U551" s="2"/>
      <c r="X551" s="2"/>
      <c r="Y551" s="2"/>
      <c r="Z551" s="2"/>
      <c r="AA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N552" s="2"/>
      <c r="O552" s="2"/>
      <c r="P552" s="2"/>
      <c r="U552" s="2"/>
      <c r="X552" s="2"/>
      <c r="Y552" s="2"/>
      <c r="Z552" s="2"/>
      <c r="AA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N553" s="2"/>
      <c r="O553" s="2"/>
      <c r="P553" s="2"/>
      <c r="U553" s="2"/>
      <c r="X553" s="2"/>
      <c r="Y553" s="2"/>
      <c r="Z553" s="2"/>
      <c r="AA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N554" s="2"/>
      <c r="O554" s="2"/>
      <c r="P554" s="2"/>
      <c r="U554" s="2"/>
      <c r="X554" s="2"/>
      <c r="Y554" s="2"/>
      <c r="Z554" s="2"/>
      <c r="AA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N555" s="2"/>
      <c r="O555" s="2"/>
      <c r="P555" s="2"/>
      <c r="U555" s="2"/>
      <c r="X555" s="2"/>
      <c r="Y555" s="2"/>
      <c r="Z555" s="2"/>
      <c r="AA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N556" s="2"/>
      <c r="O556" s="2"/>
      <c r="P556" s="2"/>
      <c r="U556" s="2"/>
      <c r="X556" s="2"/>
      <c r="Y556" s="2"/>
      <c r="Z556" s="2"/>
      <c r="AA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N557" s="2"/>
      <c r="O557" s="2"/>
      <c r="P557" s="2"/>
      <c r="U557" s="2"/>
      <c r="X557" s="2"/>
      <c r="Y557" s="2"/>
      <c r="Z557" s="2"/>
      <c r="AA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N558" s="2"/>
      <c r="O558" s="2"/>
      <c r="P558" s="2"/>
      <c r="U558" s="2"/>
      <c r="X558" s="2"/>
      <c r="Y558" s="2"/>
      <c r="Z558" s="2"/>
      <c r="AA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N559" s="2"/>
      <c r="O559" s="2"/>
      <c r="P559" s="2"/>
      <c r="U559" s="2"/>
      <c r="X559" s="2"/>
      <c r="Y559" s="2"/>
      <c r="Z559" s="2"/>
      <c r="AA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N560" s="2"/>
      <c r="O560" s="2"/>
      <c r="P560" s="2"/>
      <c r="U560" s="2"/>
      <c r="X560" s="2"/>
      <c r="Y560" s="2"/>
      <c r="Z560" s="2"/>
      <c r="AA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N561" s="2"/>
      <c r="O561" s="2"/>
      <c r="P561" s="2"/>
      <c r="U561" s="2"/>
      <c r="X561" s="2"/>
      <c r="Y561" s="2"/>
      <c r="Z561" s="2"/>
      <c r="AA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N562" s="2"/>
      <c r="O562" s="2"/>
      <c r="P562" s="2"/>
      <c r="U562" s="2"/>
      <c r="X562" s="2"/>
      <c r="Y562" s="2"/>
      <c r="Z562" s="2"/>
      <c r="AA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N563" s="2"/>
      <c r="O563" s="2"/>
      <c r="P563" s="2"/>
      <c r="U563" s="2"/>
      <c r="X563" s="2"/>
      <c r="Y563" s="2"/>
      <c r="Z563" s="2"/>
      <c r="AA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N564" s="2"/>
      <c r="O564" s="2"/>
      <c r="P564" s="2"/>
      <c r="U564" s="2"/>
      <c r="X564" s="2"/>
      <c r="Y564" s="2"/>
      <c r="Z564" s="2"/>
      <c r="AA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N565" s="2"/>
      <c r="O565" s="2"/>
      <c r="P565" s="2"/>
      <c r="U565" s="2"/>
      <c r="X565" s="2"/>
      <c r="Y565" s="2"/>
      <c r="Z565" s="2"/>
      <c r="AA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N566" s="2"/>
      <c r="O566" s="2"/>
      <c r="P566" s="2"/>
      <c r="U566" s="2"/>
      <c r="X566" s="2"/>
      <c r="Y566" s="2"/>
      <c r="Z566" s="2"/>
      <c r="AA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N567" s="2"/>
      <c r="O567" s="2"/>
      <c r="P567" s="2"/>
      <c r="U567" s="2"/>
      <c r="X567" s="2"/>
      <c r="Y567" s="2"/>
      <c r="Z567" s="2"/>
      <c r="AA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N568" s="2"/>
      <c r="O568" s="2"/>
      <c r="P568" s="2"/>
      <c r="U568" s="2"/>
      <c r="X568" s="2"/>
      <c r="Y568" s="2"/>
      <c r="Z568" s="2"/>
      <c r="AA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N569" s="2"/>
      <c r="O569" s="2"/>
      <c r="P569" s="2"/>
      <c r="U569" s="2"/>
      <c r="X569" s="2"/>
      <c r="Y569" s="2"/>
      <c r="Z569" s="2"/>
      <c r="AA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N570" s="2"/>
      <c r="O570" s="2"/>
      <c r="P570" s="2"/>
      <c r="U570" s="2"/>
      <c r="X570" s="2"/>
      <c r="Y570" s="2"/>
      <c r="Z570" s="2"/>
      <c r="AA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N571" s="2"/>
      <c r="O571" s="2"/>
      <c r="P571" s="2"/>
      <c r="U571" s="2"/>
      <c r="X571" s="2"/>
      <c r="Y571" s="2"/>
      <c r="Z571" s="2"/>
      <c r="AA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N572" s="2"/>
      <c r="O572" s="2"/>
      <c r="P572" s="2"/>
      <c r="U572" s="2"/>
      <c r="X572" s="2"/>
      <c r="Y572" s="2"/>
      <c r="Z572" s="2"/>
      <c r="AA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N573" s="2"/>
      <c r="O573" s="2"/>
      <c r="P573" s="2"/>
      <c r="U573" s="2"/>
      <c r="X573" s="2"/>
      <c r="Y573" s="2"/>
      <c r="Z573" s="2"/>
      <c r="AA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N574" s="2"/>
      <c r="O574" s="2"/>
      <c r="P574" s="2"/>
      <c r="U574" s="2"/>
      <c r="X574" s="2"/>
      <c r="Y574" s="2"/>
      <c r="Z574" s="2"/>
      <c r="AA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N575" s="2"/>
      <c r="O575" s="2"/>
      <c r="P575" s="2"/>
      <c r="U575" s="2"/>
      <c r="X575" s="2"/>
      <c r="Y575" s="2"/>
      <c r="Z575" s="2"/>
      <c r="AA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N576" s="2"/>
      <c r="O576" s="2"/>
      <c r="P576" s="2"/>
      <c r="U576" s="2"/>
      <c r="X576" s="2"/>
      <c r="Y576" s="2"/>
      <c r="Z576" s="2"/>
      <c r="AA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N577" s="2"/>
      <c r="O577" s="2"/>
      <c r="P577" s="2"/>
      <c r="U577" s="2"/>
      <c r="X577" s="2"/>
      <c r="Y577" s="2"/>
      <c r="Z577" s="2"/>
      <c r="AA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N578" s="2"/>
      <c r="O578" s="2"/>
      <c r="P578" s="2"/>
      <c r="U578" s="2"/>
      <c r="X578" s="2"/>
      <c r="Y578" s="2"/>
      <c r="Z578" s="2"/>
      <c r="AA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N579" s="2"/>
      <c r="O579" s="2"/>
      <c r="P579" s="2"/>
      <c r="U579" s="2"/>
      <c r="X579" s="2"/>
      <c r="Y579" s="2"/>
      <c r="Z579" s="2"/>
      <c r="AA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N580" s="2"/>
      <c r="O580" s="2"/>
      <c r="P580" s="2"/>
      <c r="U580" s="2"/>
      <c r="X580" s="2"/>
      <c r="Y580" s="2"/>
      <c r="Z580" s="2"/>
      <c r="AA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N581" s="2"/>
      <c r="O581" s="2"/>
      <c r="P581" s="2"/>
      <c r="U581" s="2"/>
      <c r="X581" s="2"/>
      <c r="Y581" s="2"/>
      <c r="Z581" s="2"/>
      <c r="AA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N582" s="2"/>
      <c r="O582" s="2"/>
      <c r="P582" s="2"/>
      <c r="U582" s="2"/>
      <c r="X582" s="2"/>
      <c r="Y582" s="2"/>
      <c r="Z582" s="2"/>
      <c r="AA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N583" s="2"/>
      <c r="O583" s="2"/>
      <c r="P583" s="2"/>
      <c r="U583" s="2"/>
      <c r="X583" s="2"/>
      <c r="Y583" s="2"/>
      <c r="Z583" s="2"/>
      <c r="AA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N584" s="2"/>
      <c r="O584" s="2"/>
      <c r="P584" s="2"/>
      <c r="U584" s="2"/>
      <c r="X584" s="2"/>
      <c r="Y584" s="2"/>
      <c r="Z584" s="2"/>
      <c r="AA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N585" s="2"/>
      <c r="O585" s="2"/>
      <c r="P585" s="2"/>
      <c r="U585" s="2"/>
      <c r="X585" s="2"/>
      <c r="Y585" s="2"/>
      <c r="Z585" s="2"/>
      <c r="AA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N586" s="2"/>
      <c r="O586" s="2"/>
      <c r="P586" s="2"/>
      <c r="U586" s="2"/>
      <c r="X586" s="2"/>
      <c r="Y586" s="2"/>
      <c r="Z586" s="2"/>
      <c r="AA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N587" s="2"/>
      <c r="O587" s="2"/>
      <c r="P587" s="2"/>
      <c r="U587" s="2"/>
      <c r="X587" s="2"/>
      <c r="Y587" s="2"/>
      <c r="Z587" s="2"/>
      <c r="AA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N588" s="2"/>
      <c r="O588" s="2"/>
      <c r="P588" s="2"/>
      <c r="U588" s="2"/>
      <c r="X588" s="2"/>
      <c r="Y588" s="2"/>
      <c r="Z588" s="2"/>
      <c r="AA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N589" s="2"/>
      <c r="O589" s="2"/>
      <c r="P589" s="2"/>
      <c r="U589" s="2"/>
      <c r="X589" s="2"/>
      <c r="Y589" s="2"/>
      <c r="Z589" s="2"/>
      <c r="AA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N590" s="2"/>
      <c r="O590" s="2"/>
      <c r="P590" s="2"/>
      <c r="U590" s="2"/>
      <c r="X590" s="2"/>
      <c r="Y590" s="2"/>
      <c r="Z590" s="2"/>
      <c r="AA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N591" s="2"/>
      <c r="O591" s="2"/>
      <c r="P591" s="2"/>
      <c r="U591" s="2"/>
      <c r="X591" s="2"/>
      <c r="Y591" s="2"/>
      <c r="Z591" s="2"/>
      <c r="AA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N592" s="2"/>
      <c r="O592" s="2"/>
      <c r="P592" s="2"/>
      <c r="U592" s="2"/>
      <c r="X592" s="2"/>
      <c r="Y592" s="2"/>
      <c r="Z592" s="2"/>
      <c r="AA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N593" s="2"/>
      <c r="O593" s="2"/>
      <c r="P593" s="2"/>
      <c r="U593" s="2"/>
      <c r="X593" s="2"/>
      <c r="Y593" s="2"/>
      <c r="Z593" s="2"/>
      <c r="AA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N594" s="2"/>
      <c r="O594" s="2"/>
      <c r="P594" s="2"/>
      <c r="U594" s="2"/>
      <c r="X594" s="2"/>
      <c r="Y594" s="2"/>
      <c r="Z594" s="2"/>
      <c r="AA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N595" s="2"/>
      <c r="O595" s="2"/>
      <c r="P595" s="2"/>
      <c r="U595" s="2"/>
      <c r="X595" s="2"/>
      <c r="Y595" s="2"/>
      <c r="Z595" s="2"/>
      <c r="AA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N596" s="2"/>
      <c r="O596" s="2"/>
      <c r="P596" s="2"/>
      <c r="U596" s="2"/>
      <c r="X596" s="2"/>
      <c r="Y596" s="2"/>
      <c r="Z596" s="2"/>
      <c r="AA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N597" s="2"/>
      <c r="O597" s="2"/>
      <c r="P597" s="2"/>
      <c r="U597" s="2"/>
      <c r="X597" s="2"/>
      <c r="Y597" s="2"/>
      <c r="Z597" s="2"/>
      <c r="AA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N598" s="2"/>
      <c r="O598" s="2"/>
      <c r="P598" s="2"/>
      <c r="U598" s="2"/>
      <c r="X598" s="2"/>
      <c r="Y598" s="2"/>
      <c r="Z598" s="2"/>
      <c r="AA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N599" s="2"/>
      <c r="O599" s="2"/>
      <c r="P599" s="2"/>
      <c r="U599" s="2"/>
      <c r="X599" s="2"/>
      <c r="Y599" s="2"/>
      <c r="Z599" s="2"/>
      <c r="AA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N600" s="2"/>
      <c r="O600" s="2"/>
      <c r="P600" s="2"/>
      <c r="U600" s="2"/>
      <c r="X600" s="2"/>
      <c r="Y600" s="2"/>
      <c r="Z600" s="2"/>
      <c r="AA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N601" s="2"/>
      <c r="O601" s="2"/>
      <c r="P601" s="2"/>
      <c r="U601" s="2"/>
      <c r="X601" s="2"/>
      <c r="Y601" s="2"/>
      <c r="Z601" s="2"/>
      <c r="AA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N602" s="2"/>
      <c r="O602" s="2"/>
      <c r="P602" s="2"/>
      <c r="U602" s="2"/>
      <c r="X602" s="2"/>
      <c r="Y602" s="2"/>
      <c r="Z602" s="2"/>
      <c r="AA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N603" s="2"/>
      <c r="O603" s="2"/>
      <c r="P603" s="2"/>
      <c r="U603" s="2"/>
      <c r="X603" s="2"/>
      <c r="Y603" s="2"/>
      <c r="Z603" s="2"/>
      <c r="AA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N604" s="2"/>
      <c r="O604" s="2"/>
      <c r="P604" s="2"/>
      <c r="U604" s="2"/>
      <c r="X604" s="2"/>
      <c r="Y604" s="2"/>
      <c r="Z604" s="2"/>
      <c r="AA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N605" s="2"/>
      <c r="O605" s="2"/>
      <c r="P605" s="2"/>
      <c r="U605" s="2"/>
      <c r="X605" s="2"/>
      <c r="Y605" s="2"/>
      <c r="Z605" s="2"/>
      <c r="AA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N606" s="2"/>
      <c r="O606" s="2"/>
      <c r="P606" s="2"/>
      <c r="U606" s="2"/>
      <c r="X606" s="2"/>
      <c r="Y606" s="2"/>
      <c r="Z606" s="2"/>
      <c r="AA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N607" s="2"/>
      <c r="O607" s="2"/>
      <c r="P607" s="2"/>
      <c r="U607" s="2"/>
      <c r="X607" s="2"/>
      <c r="Y607" s="2"/>
      <c r="Z607" s="2"/>
      <c r="AA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N608" s="2"/>
      <c r="O608" s="2"/>
      <c r="P608" s="2"/>
      <c r="U608" s="2"/>
      <c r="X608" s="2"/>
      <c r="Y608" s="2"/>
      <c r="Z608" s="2"/>
      <c r="AA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N609" s="2"/>
      <c r="O609" s="2"/>
      <c r="P609" s="2"/>
      <c r="U609" s="2"/>
      <c r="X609" s="2"/>
      <c r="Y609" s="2"/>
      <c r="Z609" s="2"/>
      <c r="AA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N610" s="2"/>
      <c r="O610" s="2"/>
      <c r="P610" s="2"/>
      <c r="U610" s="2"/>
      <c r="X610" s="2"/>
      <c r="Y610" s="2"/>
      <c r="Z610" s="2"/>
      <c r="AA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N611" s="2"/>
      <c r="O611" s="2"/>
      <c r="P611" s="2"/>
      <c r="U611" s="2"/>
      <c r="X611" s="2"/>
      <c r="Y611" s="2"/>
      <c r="Z611" s="2"/>
      <c r="AA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N612" s="2"/>
      <c r="O612" s="2"/>
      <c r="P612" s="2"/>
      <c r="U612" s="2"/>
      <c r="X612" s="2"/>
      <c r="Y612" s="2"/>
      <c r="Z612" s="2"/>
      <c r="AA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N613" s="2"/>
      <c r="O613" s="2"/>
      <c r="P613" s="2"/>
      <c r="U613" s="2"/>
      <c r="X613" s="2"/>
      <c r="Y613" s="2"/>
      <c r="Z613" s="2"/>
      <c r="AA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N614" s="2"/>
      <c r="O614" s="2"/>
      <c r="P614" s="2"/>
      <c r="U614" s="2"/>
      <c r="X614" s="2"/>
      <c r="Y614" s="2"/>
      <c r="Z614" s="2"/>
      <c r="AA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N615" s="2"/>
      <c r="O615" s="2"/>
      <c r="P615" s="2"/>
      <c r="U615" s="2"/>
      <c r="X615" s="2"/>
      <c r="Y615" s="2"/>
      <c r="Z615" s="2"/>
      <c r="AA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N616" s="2"/>
      <c r="O616" s="2"/>
      <c r="P616" s="2"/>
      <c r="U616" s="2"/>
      <c r="X616" s="2"/>
      <c r="Y616" s="2"/>
      <c r="Z616" s="2"/>
      <c r="AA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N617" s="2"/>
      <c r="O617" s="2"/>
      <c r="P617" s="2"/>
      <c r="U617" s="2"/>
      <c r="X617" s="2"/>
      <c r="Y617" s="2"/>
      <c r="Z617" s="2"/>
      <c r="AA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N618" s="2"/>
      <c r="O618" s="2"/>
      <c r="P618" s="2"/>
      <c r="U618" s="2"/>
      <c r="X618" s="2"/>
      <c r="Y618" s="2"/>
      <c r="Z618" s="2"/>
      <c r="AA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N619" s="2"/>
      <c r="O619" s="2"/>
      <c r="P619" s="2"/>
      <c r="U619" s="2"/>
      <c r="X619" s="2"/>
      <c r="Y619" s="2"/>
      <c r="Z619" s="2"/>
      <c r="AA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N620" s="2"/>
      <c r="O620" s="2"/>
      <c r="P620" s="2"/>
      <c r="U620" s="2"/>
      <c r="X620" s="2"/>
      <c r="Y620" s="2"/>
      <c r="Z620" s="2"/>
      <c r="AA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N621" s="2"/>
      <c r="O621" s="2"/>
      <c r="P621" s="2"/>
      <c r="U621" s="2"/>
      <c r="X621" s="2"/>
      <c r="Y621" s="2"/>
      <c r="Z621" s="2"/>
      <c r="AA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N622" s="2"/>
      <c r="O622" s="2"/>
      <c r="P622" s="2"/>
      <c r="U622" s="2"/>
      <c r="X622" s="2"/>
      <c r="Y622" s="2"/>
      <c r="Z622" s="2"/>
      <c r="AA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N623" s="2"/>
      <c r="O623" s="2"/>
      <c r="P623" s="2"/>
      <c r="U623" s="2"/>
      <c r="X623" s="2"/>
      <c r="Y623" s="2"/>
      <c r="Z623" s="2"/>
      <c r="AA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N624" s="2"/>
      <c r="O624" s="2"/>
      <c r="P624" s="2"/>
      <c r="U624" s="2"/>
      <c r="X624" s="2"/>
      <c r="Y624" s="2"/>
      <c r="Z624" s="2"/>
      <c r="AA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N625" s="2"/>
      <c r="O625" s="2"/>
      <c r="P625" s="2"/>
      <c r="U625" s="2"/>
      <c r="X625" s="2"/>
      <c r="Y625" s="2"/>
      <c r="Z625" s="2"/>
      <c r="AA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N626" s="2"/>
      <c r="O626" s="2"/>
      <c r="P626" s="2"/>
      <c r="U626" s="2"/>
      <c r="X626" s="2"/>
      <c r="Y626" s="2"/>
      <c r="Z626" s="2"/>
      <c r="AA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N627" s="2"/>
      <c r="O627" s="2"/>
      <c r="P627" s="2"/>
      <c r="U627" s="2"/>
      <c r="X627" s="2"/>
      <c r="Y627" s="2"/>
      <c r="Z627" s="2"/>
      <c r="AA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N628" s="2"/>
      <c r="O628" s="2"/>
      <c r="P628" s="2"/>
      <c r="U628" s="2"/>
      <c r="X628" s="2"/>
      <c r="Y628" s="2"/>
      <c r="Z628" s="2"/>
      <c r="AA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N629" s="2"/>
      <c r="O629" s="2"/>
      <c r="P629" s="2"/>
      <c r="U629" s="2"/>
      <c r="X629" s="2"/>
      <c r="Y629" s="2"/>
      <c r="Z629" s="2"/>
      <c r="AA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N630" s="2"/>
      <c r="O630" s="2"/>
      <c r="P630" s="2"/>
      <c r="U630" s="2"/>
      <c r="X630" s="2"/>
      <c r="Y630" s="2"/>
      <c r="Z630" s="2"/>
      <c r="AA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N631" s="2"/>
      <c r="O631" s="2"/>
      <c r="P631" s="2"/>
      <c r="U631" s="2"/>
      <c r="X631" s="2"/>
      <c r="Y631" s="2"/>
      <c r="Z631" s="2"/>
      <c r="AA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N632" s="2"/>
      <c r="O632" s="2"/>
      <c r="P632" s="2"/>
      <c r="U632" s="2"/>
      <c r="X632" s="2"/>
      <c r="Y632" s="2"/>
      <c r="Z632" s="2"/>
      <c r="AA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N633" s="2"/>
      <c r="O633" s="2"/>
      <c r="P633" s="2"/>
      <c r="U633" s="2"/>
      <c r="X633" s="2"/>
      <c r="Y633" s="2"/>
      <c r="Z633" s="2"/>
      <c r="AA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N634" s="2"/>
      <c r="O634" s="2"/>
      <c r="P634" s="2"/>
      <c r="U634" s="2"/>
      <c r="X634" s="2"/>
      <c r="Y634" s="2"/>
      <c r="Z634" s="2"/>
      <c r="AA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N635" s="2"/>
      <c r="O635" s="2"/>
      <c r="P635" s="2"/>
      <c r="U635" s="2"/>
      <c r="X635" s="2"/>
      <c r="Y635" s="2"/>
      <c r="Z635" s="2"/>
      <c r="AA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N636" s="2"/>
      <c r="O636" s="2"/>
      <c r="P636" s="2"/>
      <c r="U636" s="2"/>
      <c r="X636" s="2"/>
      <c r="Y636" s="2"/>
      <c r="Z636" s="2"/>
      <c r="AA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N637" s="2"/>
      <c r="O637" s="2"/>
      <c r="P637" s="2"/>
      <c r="U637" s="2"/>
      <c r="X637" s="2"/>
      <c r="Y637" s="2"/>
      <c r="Z637" s="2"/>
      <c r="AA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N638" s="2"/>
      <c r="O638" s="2"/>
      <c r="P638" s="2"/>
      <c r="U638" s="2"/>
      <c r="X638" s="2"/>
      <c r="Y638" s="2"/>
      <c r="Z638" s="2"/>
      <c r="AA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N639" s="2"/>
      <c r="O639" s="2"/>
      <c r="P639" s="2"/>
      <c r="U639" s="2"/>
      <c r="X639" s="2"/>
      <c r="Y639" s="2"/>
      <c r="Z639" s="2"/>
      <c r="AA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N640" s="2"/>
      <c r="O640" s="2"/>
      <c r="P640" s="2"/>
      <c r="U640" s="2"/>
      <c r="X640" s="2"/>
      <c r="Y640" s="2"/>
      <c r="Z640" s="2"/>
      <c r="AA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N641" s="2"/>
      <c r="O641" s="2"/>
      <c r="P641" s="2"/>
      <c r="U641" s="2"/>
      <c r="X641" s="2"/>
      <c r="Y641" s="2"/>
      <c r="Z641" s="2"/>
      <c r="AA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N642" s="2"/>
      <c r="O642" s="2"/>
      <c r="P642" s="2"/>
      <c r="U642" s="2"/>
      <c r="X642" s="2"/>
      <c r="Y642" s="2"/>
      <c r="Z642" s="2"/>
      <c r="AA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N643" s="2"/>
      <c r="O643" s="2"/>
      <c r="P643" s="2"/>
      <c r="U643" s="2"/>
      <c r="X643" s="2"/>
      <c r="Y643" s="2"/>
      <c r="Z643" s="2"/>
      <c r="AA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N644" s="2"/>
      <c r="O644" s="2"/>
      <c r="P644" s="2"/>
      <c r="U644" s="2"/>
      <c r="X644" s="2"/>
      <c r="Y644" s="2"/>
      <c r="Z644" s="2"/>
      <c r="AA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N645" s="2"/>
      <c r="O645" s="2"/>
      <c r="P645" s="2"/>
      <c r="U645" s="2"/>
      <c r="X645" s="2"/>
      <c r="Y645" s="2"/>
      <c r="Z645" s="2"/>
      <c r="AA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N646" s="2"/>
      <c r="O646" s="2"/>
      <c r="P646" s="2"/>
      <c r="U646" s="2"/>
      <c r="X646" s="2"/>
      <c r="Y646" s="2"/>
      <c r="Z646" s="2"/>
      <c r="AA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N647" s="2"/>
      <c r="O647" s="2"/>
      <c r="P647" s="2"/>
      <c r="U647" s="2"/>
      <c r="X647" s="2"/>
      <c r="Y647" s="2"/>
      <c r="Z647" s="2"/>
      <c r="AA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N648" s="2"/>
      <c r="O648" s="2"/>
      <c r="P648" s="2"/>
      <c r="U648" s="2"/>
      <c r="X648" s="2"/>
      <c r="Y648" s="2"/>
      <c r="Z648" s="2"/>
      <c r="AA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N649" s="2"/>
      <c r="O649" s="2"/>
      <c r="P649" s="2"/>
      <c r="U649" s="2"/>
      <c r="X649" s="2"/>
      <c r="Y649" s="2"/>
      <c r="Z649" s="2"/>
      <c r="AA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N650" s="2"/>
      <c r="O650" s="2"/>
      <c r="P650" s="2"/>
      <c r="U650" s="2"/>
      <c r="X650" s="2"/>
      <c r="Y650" s="2"/>
      <c r="Z650" s="2"/>
      <c r="AA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N651" s="2"/>
      <c r="O651" s="2"/>
      <c r="P651" s="2"/>
      <c r="U651" s="2"/>
      <c r="X651" s="2"/>
      <c r="Y651" s="2"/>
      <c r="Z651" s="2"/>
      <c r="AA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N652" s="2"/>
      <c r="O652" s="2"/>
      <c r="P652" s="2"/>
      <c r="U652" s="2"/>
      <c r="X652" s="2"/>
      <c r="Y652" s="2"/>
      <c r="Z652" s="2"/>
      <c r="AA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N653" s="2"/>
      <c r="O653" s="2"/>
      <c r="P653" s="2"/>
      <c r="U653" s="2"/>
      <c r="X653" s="2"/>
      <c r="Y653" s="2"/>
      <c r="Z653" s="2"/>
      <c r="AA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N654" s="2"/>
      <c r="O654" s="2"/>
      <c r="P654" s="2"/>
      <c r="U654" s="2"/>
      <c r="X654" s="2"/>
      <c r="Y654" s="2"/>
      <c r="Z654" s="2"/>
      <c r="AA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N655" s="2"/>
      <c r="O655" s="2"/>
      <c r="P655" s="2"/>
      <c r="U655" s="2"/>
      <c r="X655" s="2"/>
      <c r="Y655" s="2"/>
      <c r="Z655" s="2"/>
      <c r="AA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N656" s="2"/>
      <c r="O656" s="2"/>
      <c r="P656" s="2"/>
      <c r="U656" s="2"/>
      <c r="X656" s="2"/>
      <c r="Y656" s="2"/>
      <c r="Z656" s="2"/>
      <c r="AA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N657" s="2"/>
      <c r="O657" s="2"/>
      <c r="P657" s="2"/>
      <c r="U657" s="2"/>
      <c r="X657" s="2"/>
      <c r="Y657" s="2"/>
      <c r="Z657" s="2"/>
      <c r="AA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N658" s="2"/>
      <c r="O658" s="2"/>
      <c r="P658" s="2"/>
      <c r="U658" s="2"/>
      <c r="X658" s="2"/>
      <c r="Y658" s="2"/>
      <c r="Z658" s="2"/>
      <c r="AA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N659" s="2"/>
      <c r="O659" s="2"/>
      <c r="P659" s="2"/>
      <c r="U659" s="2"/>
      <c r="X659" s="2"/>
      <c r="Y659" s="2"/>
      <c r="Z659" s="2"/>
      <c r="AA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N660" s="2"/>
      <c r="O660" s="2"/>
      <c r="P660" s="2"/>
      <c r="U660" s="2"/>
      <c r="X660" s="2"/>
      <c r="Y660" s="2"/>
      <c r="Z660" s="2"/>
      <c r="AA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N661" s="2"/>
      <c r="O661" s="2"/>
      <c r="P661" s="2"/>
      <c r="U661" s="2"/>
      <c r="X661" s="2"/>
      <c r="Y661" s="2"/>
      <c r="Z661" s="2"/>
      <c r="AA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N662" s="2"/>
      <c r="O662" s="2"/>
      <c r="P662" s="2"/>
      <c r="U662" s="2"/>
      <c r="X662" s="2"/>
      <c r="Y662" s="2"/>
      <c r="Z662" s="2"/>
      <c r="AA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N663" s="2"/>
      <c r="O663" s="2"/>
      <c r="P663" s="2"/>
      <c r="U663" s="2"/>
      <c r="X663" s="2"/>
      <c r="Y663" s="2"/>
      <c r="Z663" s="2"/>
      <c r="AA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N664" s="2"/>
      <c r="O664" s="2"/>
      <c r="P664" s="2"/>
      <c r="U664" s="2"/>
      <c r="X664" s="2"/>
      <c r="Y664" s="2"/>
      <c r="Z664" s="2"/>
      <c r="AA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N665" s="2"/>
      <c r="O665" s="2"/>
      <c r="P665" s="2"/>
      <c r="U665" s="2"/>
      <c r="X665" s="2"/>
      <c r="Y665" s="2"/>
      <c r="Z665" s="2"/>
      <c r="AA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N666" s="2"/>
      <c r="O666" s="2"/>
      <c r="P666" s="2"/>
      <c r="U666" s="2"/>
      <c r="X666" s="2"/>
      <c r="Y666" s="2"/>
      <c r="Z666" s="2"/>
      <c r="AA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N667" s="2"/>
      <c r="O667" s="2"/>
      <c r="P667" s="2"/>
      <c r="U667" s="2"/>
      <c r="X667" s="2"/>
      <c r="Y667" s="2"/>
      <c r="Z667" s="2"/>
      <c r="AA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N668" s="2"/>
      <c r="O668" s="2"/>
      <c r="P668" s="2"/>
      <c r="U668" s="2"/>
      <c r="X668" s="2"/>
      <c r="Y668" s="2"/>
      <c r="Z668" s="2"/>
      <c r="AA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N669" s="2"/>
      <c r="O669" s="2"/>
      <c r="P669" s="2"/>
      <c r="U669" s="2"/>
      <c r="X669" s="2"/>
      <c r="Y669" s="2"/>
      <c r="Z669" s="2"/>
      <c r="AA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N670" s="2"/>
      <c r="O670" s="2"/>
      <c r="P670" s="2"/>
      <c r="U670" s="2"/>
      <c r="X670" s="2"/>
      <c r="Y670" s="2"/>
      <c r="Z670" s="2"/>
      <c r="AA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N671" s="2"/>
      <c r="O671" s="2"/>
      <c r="P671" s="2"/>
      <c r="U671" s="2"/>
      <c r="X671" s="2"/>
      <c r="Y671" s="2"/>
      <c r="Z671" s="2"/>
      <c r="AA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N672" s="2"/>
      <c r="O672" s="2"/>
      <c r="P672" s="2"/>
      <c r="U672" s="2"/>
      <c r="X672" s="2"/>
      <c r="Y672" s="2"/>
      <c r="Z672" s="2"/>
      <c r="AA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N673" s="2"/>
      <c r="O673" s="2"/>
      <c r="P673" s="2"/>
      <c r="U673" s="2"/>
      <c r="X673" s="2"/>
      <c r="Y673" s="2"/>
      <c r="Z673" s="2"/>
      <c r="AA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N674" s="2"/>
      <c r="O674" s="2"/>
      <c r="P674" s="2"/>
      <c r="U674" s="2"/>
      <c r="X674" s="2"/>
      <c r="Y674" s="2"/>
      <c r="Z674" s="2"/>
      <c r="AA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N675" s="2"/>
      <c r="O675" s="2"/>
      <c r="P675" s="2"/>
      <c r="U675" s="2"/>
      <c r="X675" s="2"/>
      <c r="Y675" s="2"/>
      <c r="Z675" s="2"/>
      <c r="AA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N676" s="2"/>
      <c r="O676" s="2"/>
      <c r="P676" s="2"/>
      <c r="U676" s="2"/>
      <c r="X676" s="2"/>
      <c r="Y676" s="2"/>
      <c r="Z676" s="2"/>
      <c r="AA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N677" s="2"/>
      <c r="O677" s="2"/>
      <c r="P677" s="2"/>
      <c r="U677" s="2"/>
      <c r="X677" s="2"/>
      <c r="Y677" s="2"/>
      <c r="Z677" s="2"/>
      <c r="AA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N678" s="2"/>
      <c r="O678" s="2"/>
      <c r="P678" s="2"/>
      <c r="U678" s="2"/>
      <c r="X678" s="2"/>
      <c r="Y678" s="2"/>
      <c r="Z678" s="2"/>
      <c r="AA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N679" s="2"/>
      <c r="O679" s="2"/>
      <c r="P679" s="2"/>
      <c r="U679" s="2"/>
      <c r="X679" s="2"/>
      <c r="Y679" s="2"/>
      <c r="Z679" s="2"/>
      <c r="AA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N680" s="2"/>
      <c r="O680" s="2"/>
      <c r="P680" s="2"/>
      <c r="U680" s="2"/>
      <c r="X680" s="2"/>
      <c r="Y680" s="2"/>
      <c r="Z680" s="2"/>
      <c r="AA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N681" s="2"/>
      <c r="O681" s="2"/>
      <c r="P681" s="2"/>
      <c r="U681" s="2"/>
      <c r="X681" s="2"/>
      <c r="Y681" s="2"/>
      <c r="Z681" s="2"/>
      <c r="AA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N682" s="2"/>
      <c r="O682" s="2"/>
      <c r="P682" s="2"/>
      <c r="U682" s="2"/>
      <c r="X682" s="2"/>
      <c r="Y682" s="2"/>
      <c r="Z682" s="2"/>
      <c r="AA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N683" s="2"/>
      <c r="O683" s="2"/>
      <c r="P683" s="2"/>
      <c r="U683" s="2"/>
      <c r="X683" s="2"/>
      <c r="Y683" s="2"/>
      <c r="Z683" s="2"/>
      <c r="AA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N684" s="2"/>
      <c r="O684" s="2"/>
      <c r="P684" s="2"/>
      <c r="U684" s="2"/>
      <c r="X684" s="2"/>
      <c r="Y684" s="2"/>
      <c r="Z684" s="2"/>
      <c r="AA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N685" s="2"/>
      <c r="O685" s="2"/>
      <c r="P685" s="2"/>
      <c r="U685" s="2"/>
      <c r="X685" s="2"/>
      <c r="Y685" s="2"/>
      <c r="Z685" s="2"/>
      <c r="AA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N686" s="2"/>
      <c r="O686" s="2"/>
      <c r="P686" s="2"/>
      <c r="U686" s="2"/>
      <c r="X686" s="2"/>
      <c r="Y686" s="2"/>
      <c r="Z686" s="2"/>
      <c r="AA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N687" s="2"/>
      <c r="O687" s="2"/>
      <c r="P687" s="2"/>
      <c r="U687" s="2"/>
      <c r="X687" s="2"/>
      <c r="Y687" s="2"/>
      <c r="Z687" s="2"/>
      <c r="AA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N688" s="2"/>
      <c r="O688" s="2"/>
      <c r="P688" s="2"/>
      <c r="U688" s="2"/>
      <c r="X688" s="2"/>
      <c r="Y688" s="2"/>
      <c r="Z688" s="2"/>
      <c r="AA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N689" s="2"/>
      <c r="O689" s="2"/>
      <c r="P689" s="2"/>
      <c r="U689" s="2"/>
      <c r="X689" s="2"/>
      <c r="Y689" s="2"/>
      <c r="Z689" s="2"/>
      <c r="AA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N690" s="2"/>
      <c r="O690" s="2"/>
      <c r="P690" s="2"/>
      <c r="U690" s="2"/>
      <c r="X690" s="2"/>
      <c r="Y690" s="2"/>
      <c r="Z690" s="2"/>
      <c r="AA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N691" s="2"/>
      <c r="O691" s="2"/>
      <c r="P691" s="2"/>
      <c r="U691" s="2"/>
      <c r="X691" s="2"/>
      <c r="Y691" s="2"/>
      <c r="Z691" s="2"/>
      <c r="AA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N692" s="2"/>
      <c r="O692" s="2"/>
      <c r="P692" s="2"/>
      <c r="U692" s="2"/>
      <c r="X692" s="2"/>
      <c r="Y692" s="2"/>
      <c r="Z692" s="2"/>
      <c r="AA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N693" s="2"/>
      <c r="O693" s="2"/>
      <c r="P693" s="2"/>
      <c r="U693" s="2"/>
      <c r="X693" s="2"/>
      <c r="Y693" s="2"/>
      <c r="Z693" s="2"/>
      <c r="AA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N694" s="2"/>
      <c r="O694" s="2"/>
      <c r="P694" s="2"/>
      <c r="U694" s="2"/>
      <c r="X694" s="2"/>
      <c r="Y694" s="2"/>
      <c r="Z694" s="2"/>
      <c r="AA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N695" s="2"/>
      <c r="O695" s="2"/>
      <c r="P695" s="2"/>
      <c r="U695" s="2"/>
      <c r="X695" s="2"/>
      <c r="Y695" s="2"/>
      <c r="Z695" s="2"/>
      <c r="AA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N696" s="2"/>
      <c r="O696" s="2"/>
      <c r="P696" s="2"/>
      <c r="U696" s="2"/>
      <c r="X696" s="2"/>
      <c r="Y696" s="2"/>
      <c r="Z696" s="2"/>
      <c r="AA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N697" s="2"/>
      <c r="O697" s="2"/>
      <c r="P697" s="2"/>
      <c r="U697" s="2"/>
      <c r="X697" s="2"/>
      <c r="Y697" s="2"/>
      <c r="Z697" s="2"/>
      <c r="AA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N698" s="2"/>
      <c r="O698" s="2"/>
      <c r="P698" s="2"/>
      <c r="U698" s="2"/>
      <c r="X698" s="2"/>
      <c r="Y698" s="2"/>
      <c r="Z698" s="2"/>
      <c r="AA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N699" s="2"/>
      <c r="O699" s="2"/>
      <c r="P699" s="2"/>
      <c r="U699" s="2"/>
      <c r="X699" s="2"/>
      <c r="Y699" s="2"/>
      <c r="Z699" s="2"/>
      <c r="AA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N700" s="2"/>
      <c r="O700" s="2"/>
      <c r="P700" s="2"/>
      <c r="U700" s="2"/>
      <c r="X700" s="2"/>
      <c r="Y700" s="2"/>
      <c r="Z700" s="2"/>
      <c r="AA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N701" s="2"/>
      <c r="O701" s="2"/>
      <c r="P701" s="2"/>
      <c r="U701" s="2"/>
      <c r="X701" s="2"/>
      <c r="Y701" s="2"/>
      <c r="Z701" s="2"/>
      <c r="AA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N702" s="2"/>
      <c r="O702" s="2"/>
      <c r="P702" s="2"/>
      <c r="U702" s="2"/>
      <c r="X702" s="2"/>
      <c r="Y702" s="2"/>
      <c r="Z702" s="2"/>
      <c r="AA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N703" s="2"/>
      <c r="O703" s="2"/>
      <c r="P703" s="2"/>
      <c r="U703" s="2"/>
      <c r="X703" s="2"/>
      <c r="Y703" s="2"/>
      <c r="Z703" s="2"/>
      <c r="AA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N704" s="2"/>
      <c r="O704" s="2"/>
      <c r="P704" s="2"/>
      <c r="U704" s="2"/>
      <c r="X704" s="2"/>
      <c r="Y704" s="2"/>
      <c r="Z704" s="2"/>
      <c r="AA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N705" s="2"/>
      <c r="O705" s="2"/>
      <c r="P705" s="2"/>
      <c r="U705" s="2"/>
      <c r="X705" s="2"/>
      <c r="Y705" s="2"/>
      <c r="Z705" s="2"/>
      <c r="AA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N706" s="2"/>
      <c r="O706" s="2"/>
      <c r="P706" s="2"/>
      <c r="U706" s="2"/>
      <c r="X706" s="2"/>
      <c r="Y706" s="2"/>
      <c r="Z706" s="2"/>
      <c r="AA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N707" s="2"/>
      <c r="O707" s="2"/>
      <c r="P707" s="2"/>
      <c r="U707" s="2"/>
      <c r="X707" s="2"/>
      <c r="Y707" s="2"/>
      <c r="Z707" s="2"/>
      <c r="AA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N708" s="2"/>
      <c r="O708" s="2"/>
      <c r="P708" s="2"/>
      <c r="U708" s="2"/>
      <c r="X708" s="2"/>
      <c r="Y708" s="2"/>
      <c r="Z708" s="2"/>
      <c r="AA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N709" s="2"/>
      <c r="O709" s="2"/>
      <c r="P709" s="2"/>
      <c r="U709" s="2"/>
      <c r="X709" s="2"/>
      <c r="Y709" s="2"/>
      <c r="Z709" s="2"/>
      <c r="AA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N710" s="2"/>
      <c r="O710" s="2"/>
      <c r="P710" s="2"/>
      <c r="U710" s="2"/>
      <c r="X710" s="2"/>
      <c r="Y710" s="2"/>
      <c r="Z710" s="2"/>
      <c r="AA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N711" s="2"/>
      <c r="O711" s="2"/>
      <c r="P711" s="2"/>
      <c r="U711" s="2"/>
      <c r="X711" s="2"/>
      <c r="Y711" s="2"/>
      <c r="Z711" s="2"/>
      <c r="AA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N712" s="2"/>
      <c r="O712" s="2"/>
      <c r="P712" s="2"/>
      <c r="U712" s="2"/>
      <c r="X712" s="2"/>
      <c r="Y712" s="2"/>
      <c r="Z712" s="2"/>
      <c r="AA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N713" s="2"/>
      <c r="O713" s="2"/>
      <c r="P713" s="2"/>
      <c r="U713" s="2"/>
      <c r="X713" s="2"/>
      <c r="Y713" s="2"/>
      <c r="Z713" s="2"/>
      <c r="AA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N714" s="2"/>
      <c r="O714" s="2"/>
      <c r="P714" s="2"/>
      <c r="U714" s="2"/>
      <c r="X714" s="2"/>
      <c r="Y714" s="2"/>
      <c r="Z714" s="2"/>
      <c r="AA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N715" s="2"/>
      <c r="O715" s="2"/>
      <c r="P715" s="2"/>
      <c r="U715" s="2"/>
      <c r="X715" s="2"/>
      <c r="Y715" s="2"/>
      <c r="Z715" s="2"/>
      <c r="AA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N716" s="2"/>
      <c r="O716" s="2"/>
      <c r="P716" s="2"/>
      <c r="U716" s="2"/>
      <c r="X716" s="2"/>
      <c r="Y716" s="2"/>
      <c r="Z716" s="2"/>
      <c r="AA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N717" s="2"/>
      <c r="O717" s="2"/>
      <c r="P717" s="2"/>
      <c r="U717" s="2"/>
      <c r="X717" s="2"/>
      <c r="Y717" s="2"/>
      <c r="Z717" s="2"/>
      <c r="AA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N718" s="2"/>
      <c r="O718" s="2"/>
      <c r="P718" s="2"/>
      <c r="U718" s="2"/>
      <c r="X718" s="2"/>
      <c r="Y718" s="2"/>
      <c r="Z718" s="2"/>
      <c r="AA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N719" s="2"/>
      <c r="O719" s="2"/>
      <c r="P719" s="2"/>
      <c r="U719" s="2"/>
      <c r="X719" s="2"/>
      <c r="Y719" s="2"/>
      <c r="Z719" s="2"/>
      <c r="AA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N720" s="2"/>
      <c r="O720" s="2"/>
      <c r="P720" s="2"/>
      <c r="U720" s="2"/>
      <c r="X720" s="2"/>
      <c r="Y720" s="2"/>
      <c r="Z720" s="2"/>
      <c r="AA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N721" s="2"/>
      <c r="O721" s="2"/>
      <c r="P721" s="2"/>
      <c r="U721" s="2"/>
      <c r="X721" s="2"/>
      <c r="Y721" s="2"/>
      <c r="Z721" s="2"/>
      <c r="AA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N722" s="2"/>
      <c r="O722" s="2"/>
      <c r="P722" s="2"/>
      <c r="U722" s="2"/>
      <c r="X722" s="2"/>
      <c r="Y722" s="2"/>
      <c r="Z722" s="2"/>
      <c r="AA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N723" s="2"/>
      <c r="O723" s="2"/>
      <c r="P723" s="2"/>
      <c r="U723" s="2"/>
      <c r="X723" s="2"/>
      <c r="Y723" s="2"/>
      <c r="Z723" s="2"/>
      <c r="AA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N724" s="2"/>
      <c r="O724" s="2"/>
      <c r="P724" s="2"/>
      <c r="U724" s="2"/>
      <c r="X724" s="2"/>
      <c r="Y724" s="2"/>
      <c r="Z724" s="2"/>
      <c r="AA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N725" s="2"/>
      <c r="O725" s="2"/>
      <c r="P725" s="2"/>
      <c r="U725" s="2"/>
      <c r="X725" s="2"/>
      <c r="Y725" s="2"/>
      <c r="Z725" s="2"/>
      <c r="AA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N726" s="2"/>
      <c r="O726" s="2"/>
      <c r="P726" s="2"/>
      <c r="U726" s="2"/>
      <c r="X726" s="2"/>
      <c r="Y726" s="2"/>
      <c r="Z726" s="2"/>
      <c r="AA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N727" s="2"/>
      <c r="O727" s="2"/>
      <c r="P727" s="2"/>
      <c r="U727" s="2"/>
      <c r="X727" s="2"/>
      <c r="Y727" s="2"/>
      <c r="Z727" s="2"/>
      <c r="AA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N728" s="2"/>
      <c r="O728" s="2"/>
      <c r="P728" s="2"/>
      <c r="U728" s="2"/>
      <c r="X728" s="2"/>
      <c r="Y728" s="2"/>
      <c r="Z728" s="2"/>
      <c r="AA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N729" s="2"/>
      <c r="O729" s="2"/>
      <c r="P729" s="2"/>
      <c r="U729" s="2"/>
      <c r="X729" s="2"/>
      <c r="Y729" s="2"/>
      <c r="Z729" s="2"/>
      <c r="AA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N730" s="2"/>
      <c r="O730" s="2"/>
      <c r="P730" s="2"/>
      <c r="U730" s="2"/>
      <c r="X730" s="2"/>
      <c r="Y730" s="2"/>
      <c r="Z730" s="2"/>
      <c r="AA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N731" s="2"/>
      <c r="O731" s="2"/>
      <c r="P731" s="2"/>
      <c r="U731" s="2"/>
      <c r="X731" s="2"/>
      <c r="Y731" s="2"/>
      <c r="Z731" s="2"/>
      <c r="AA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N732" s="2"/>
      <c r="O732" s="2"/>
      <c r="P732" s="2"/>
      <c r="U732" s="2"/>
      <c r="X732" s="2"/>
      <c r="Y732" s="2"/>
      <c r="Z732" s="2"/>
      <c r="AA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N733" s="2"/>
      <c r="O733" s="2"/>
      <c r="P733" s="2"/>
      <c r="U733" s="2"/>
      <c r="X733" s="2"/>
      <c r="Y733" s="2"/>
      <c r="Z733" s="2"/>
      <c r="AA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N734" s="2"/>
      <c r="O734" s="2"/>
      <c r="P734" s="2"/>
      <c r="U734" s="2"/>
      <c r="X734" s="2"/>
      <c r="Y734" s="2"/>
      <c r="Z734" s="2"/>
      <c r="AA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N735" s="2"/>
      <c r="O735" s="2"/>
      <c r="P735" s="2"/>
      <c r="U735" s="2"/>
      <c r="X735" s="2"/>
      <c r="Y735" s="2"/>
      <c r="Z735" s="2"/>
      <c r="AA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N736" s="2"/>
      <c r="O736" s="2"/>
      <c r="P736" s="2"/>
      <c r="U736" s="2"/>
      <c r="X736" s="2"/>
      <c r="Y736" s="2"/>
      <c r="Z736" s="2"/>
      <c r="AA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N737" s="2"/>
      <c r="O737" s="2"/>
      <c r="P737" s="2"/>
      <c r="U737" s="2"/>
      <c r="X737" s="2"/>
      <c r="Y737" s="2"/>
      <c r="Z737" s="2"/>
      <c r="AA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N738" s="2"/>
      <c r="O738" s="2"/>
      <c r="P738" s="2"/>
      <c r="U738" s="2"/>
      <c r="X738" s="2"/>
      <c r="Y738" s="2"/>
      <c r="Z738" s="2"/>
      <c r="AA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N739" s="2"/>
      <c r="O739" s="2"/>
      <c r="P739" s="2"/>
      <c r="U739" s="2"/>
      <c r="X739" s="2"/>
      <c r="Y739" s="2"/>
      <c r="Z739" s="2"/>
      <c r="AA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N740" s="2"/>
      <c r="O740" s="2"/>
      <c r="P740" s="2"/>
      <c r="U740" s="2"/>
      <c r="X740" s="2"/>
      <c r="Y740" s="2"/>
      <c r="Z740" s="2"/>
      <c r="AA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N741" s="2"/>
      <c r="O741" s="2"/>
      <c r="P741" s="2"/>
      <c r="U741" s="2"/>
      <c r="X741" s="2"/>
      <c r="Y741" s="2"/>
      <c r="Z741" s="2"/>
      <c r="AA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N742" s="2"/>
      <c r="O742" s="2"/>
      <c r="P742" s="2"/>
      <c r="U742" s="2"/>
      <c r="X742" s="2"/>
      <c r="Y742" s="2"/>
      <c r="Z742" s="2"/>
      <c r="AA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N743" s="2"/>
      <c r="O743" s="2"/>
      <c r="P743" s="2"/>
      <c r="U743" s="2"/>
      <c r="X743" s="2"/>
      <c r="Y743" s="2"/>
      <c r="Z743" s="2"/>
      <c r="AA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N744" s="2"/>
      <c r="O744" s="2"/>
      <c r="P744" s="2"/>
      <c r="U744" s="2"/>
      <c r="X744" s="2"/>
      <c r="Y744" s="2"/>
      <c r="Z744" s="2"/>
      <c r="AA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N745" s="2"/>
      <c r="O745" s="2"/>
      <c r="P745" s="2"/>
      <c r="U745" s="2"/>
      <c r="X745" s="2"/>
      <c r="Y745" s="2"/>
      <c r="Z745" s="2"/>
      <c r="AA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N746" s="2"/>
      <c r="O746" s="2"/>
      <c r="P746" s="2"/>
      <c r="U746" s="2"/>
      <c r="X746" s="2"/>
      <c r="Y746" s="2"/>
      <c r="Z746" s="2"/>
      <c r="AA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N747" s="2"/>
      <c r="O747" s="2"/>
      <c r="P747" s="2"/>
      <c r="U747" s="2"/>
      <c r="X747" s="2"/>
      <c r="Y747" s="2"/>
      <c r="Z747" s="2"/>
      <c r="AA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N748" s="2"/>
      <c r="O748" s="2"/>
      <c r="P748" s="2"/>
      <c r="U748" s="2"/>
      <c r="X748" s="2"/>
      <c r="Y748" s="2"/>
      <c r="Z748" s="2"/>
      <c r="AA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N749" s="2"/>
      <c r="O749" s="2"/>
      <c r="P749" s="2"/>
      <c r="U749" s="2"/>
      <c r="X749" s="2"/>
      <c r="Y749" s="2"/>
      <c r="Z749" s="2"/>
      <c r="AA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N750" s="2"/>
      <c r="O750" s="2"/>
      <c r="P750" s="2"/>
      <c r="U750" s="2"/>
      <c r="X750" s="2"/>
      <c r="Y750" s="2"/>
      <c r="Z750" s="2"/>
      <c r="AA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N751" s="2"/>
      <c r="O751" s="2"/>
      <c r="P751" s="2"/>
      <c r="U751" s="2"/>
      <c r="X751" s="2"/>
      <c r="Y751" s="2"/>
      <c r="Z751" s="2"/>
      <c r="AA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N752" s="2"/>
      <c r="O752" s="2"/>
      <c r="P752" s="2"/>
      <c r="U752" s="2"/>
      <c r="X752" s="2"/>
      <c r="Y752" s="2"/>
      <c r="Z752" s="2"/>
      <c r="AA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N753" s="2"/>
      <c r="O753" s="2"/>
      <c r="P753" s="2"/>
      <c r="U753" s="2"/>
      <c r="X753" s="2"/>
      <c r="Y753" s="2"/>
      <c r="Z753" s="2"/>
      <c r="AA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N754" s="2"/>
      <c r="O754" s="2"/>
      <c r="P754" s="2"/>
      <c r="U754" s="2"/>
      <c r="X754" s="2"/>
      <c r="Y754" s="2"/>
      <c r="Z754" s="2"/>
      <c r="AA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N755" s="2"/>
      <c r="O755" s="2"/>
      <c r="P755" s="2"/>
      <c r="U755" s="2"/>
      <c r="X755" s="2"/>
      <c r="Y755" s="2"/>
      <c r="Z755" s="2"/>
      <c r="AA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N756" s="2"/>
      <c r="O756" s="2"/>
      <c r="P756" s="2"/>
      <c r="U756" s="2"/>
      <c r="X756" s="2"/>
      <c r="Y756" s="2"/>
      <c r="Z756" s="2"/>
      <c r="AA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N757" s="2"/>
      <c r="O757" s="2"/>
      <c r="P757" s="2"/>
      <c r="U757" s="2"/>
      <c r="X757" s="2"/>
      <c r="Y757" s="2"/>
      <c r="Z757" s="2"/>
      <c r="AA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N758" s="2"/>
      <c r="O758" s="2"/>
      <c r="P758" s="2"/>
      <c r="U758" s="2"/>
      <c r="X758" s="2"/>
      <c r="Y758" s="2"/>
      <c r="Z758" s="2"/>
      <c r="AA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N759" s="2"/>
      <c r="O759" s="2"/>
      <c r="P759" s="2"/>
      <c r="U759" s="2"/>
      <c r="X759" s="2"/>
      <c r="Y759" s="2"/>
      <c r="Z759" s="2"/>
      <c r="AA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N760" s="2"/>
      <c r="O760" s="2"/>
      <c r="P760" s="2"/>
      <c r="U760" s="2"/>
      <c r="X760" s="2"/>
      <c r="Y760" s="2"/>
      <c r="Z760" s="2"/>
      <c r="AA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N761" s="2"/>
      <c r="O761" s="2"/>
      <c r="P761" s="2"/>
      <c r="U761" s="2"/>
      <c r="X761" s="2"/>
      <c r="Y761" s="2"/>
      <c r="Z761" s="2"/>
      <c r="AA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N762" s="2"/>
      <c r="O762" s="2"/>
      <c r="P762" s="2"/>
      <c r="U762" s="2"/>
      <c r="X762" s="2"/>
      <c r="Y762" s="2"/>
      <c r="Z762" s="2"/>
      <c r="AA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N763" s="2"/>
      <c r="O763" s="2"/>
      <c r="P763" s="2"/>
      <c r="U763" s="2"/>
      <c r="X763" s="2"/>
      <c r="Y763" s="2"/>
      <c r="Z763" s="2"/>
      <c r="AA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N764" s="2"/>
      <c r="O764" s="2"/>
      <c r="P764" s="2"/>
      <c r="U764" s="2"/>
      <c r="X764" s="2"/>
      <c r="Y764" s="2"/>
      <c r="Z764" s="2"/>
      <c r="AA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N765" s="2"/>
      <c r="O765" s="2"/>
      <c r="P765" s="2"/>
      <c r="U765" s="2"/>
      <c r="X765" s="2"/>
      <c r="Y765" s="2"/>
      <c r="Z765" s="2"/>
      <c r="AA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N766" s="2"/>
      <c r="O766" s="2"/>
      <c r="P766" s="2"/>
      <c r="U766" s="2"/>
      <c r="X766" s="2"/>
      <c r="Y766" s="2"/>
      <c r="Z766" s="2"/>
      <c r="AA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N767" s="2"/>
      <c r="O767" s="2"/>
      <c r="P767" s="2"/>
      <c r="U767" s="2"/>
      <c r="X767" s="2"/>
      <c r="Y767" s="2"/>
      <c r="Z767" s="2"/>
      <c r="AA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N768" s="2"/>
      <c r="O768" s="2"/>
      <c r="P768" s="2"/>
      <c r="U768" s="2"/>
      <c r="X768" s="2"/>
      <c r="Y768" s="2"/>
      <c r="Z768" s="2"/>
      <c r="AA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N769" s="2"/>
      <c r="O769" s="2"/>
      <c r="P769" s="2"/>
      <c r="U769" s="2"/>
      <c r="X769" s="2"/>
      <c r="Y769" s="2"/>
      <c r="Z769" s="2"/>
      <c r="AA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N770" s="2"/>
      <c r="O770" s="2"/>
      <c r="P770" s="2"/>
      <c r="U770" s="2"/>
      <c r="X770" s="2"/>
      <c r="Y770" s="2"/>
      <c r="Z770" s="2"/>
      <c r="AA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N771" s="2"/>
      <c r="O771" s="2"/>
      <c r="P771" s="2"/>
      <c r="U771" s="2"/>
      <c r="X771" s="2"/>
      <c r="Y771" s="2"/>
      <c r="Z771" s="2"/>
      <c r="AA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N772" s="2"/>
      <c r="O772" s="2"/>
      <c r="P772" s="2"/>
      <c r="U772" s="2"/>
      <c r="X772" s="2"/>
      <c r="Y772" s="2"/>
      <c r="Z772" s="2"/>
      <c r="AA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N773" s="2"/>
      <c r="O773" s="2"/>
      <c r="P773" s="2"/>
      <c r="U773" s="2"/>
      <c r="X773" s="2"/>
      <c r="Y773" s="2"/>
      <c r="Z773" s="2"/>
      <c r="AA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N774" s="2"/>
      <c r="O774" s="2"/>
      <c r="P774" s="2"/>
      <c r="U774" s="2"/>
      <c r="X774" s="2"/>
      <c r="Y774" s="2"/>
      <c r="Z774" s="2"/>
      <c r="AA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N775" s="2"/>
      <c r="O775" s="2"/>
      <c r="P775" s="2"/>
      <c r="U775" s="2"/>
      <c r="X775" s="2"/>
      <c r="Y775" s="2"/>
      <c r="Z775" s="2"/>
      <c r="AA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N776" s="2"/>
      <c r="O776" s="2"/>
      <c r="P776" s="2"/>
      <c r="U776" s="2"/>
      <c r="X776" s="2"/>
      <c r="Y776" s="2"/>
      <c r="Z776" s="2"/>
      <c r="AA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N777" s="2"/>
      <c r="O777" s="2"/>
      <c r="P777" s="2"/>
      <c r="U777" s="2"/>
      <c r="X777" s="2"/>
      <c r="Y777" s="2"/>
      <c r="Z777" s="2"/>
      <c r="AA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N778" s="2"/>
      <c r="O778" s="2"/>
      <c r="P778" s="2"/>
      <c r="U778" s="2"/>
      <c r="X778" s="2"/>
      <c r="Y778" s="2"/>
      <c r="Z778" s="2"/>
      <c r="AA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N779" s="2"/>
      <c r="O779" s="2"/>
      <c r="P779" s="2"/>
      <c r="U779" s="2"/>
      <c r="X779" s="2"/>
      <c r="Y779" s="2"/>
      <c r="Z779" s="2"/>
      <c r="AA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N780" s="2"/>
      <c r="O780" s="2"/>
      <c r="P780" s="2"/>
      <c r="U780" s="2"/>
      <c r="X780" s="2"/>
      <c r="Y780" s="2"/>
      <c r="Z780" s="2"/>
      <c r="AA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N781" s="2"/>
      <c r="O781" s="2"/>
      <c r="P781" s="2"/>
      <c r="U781" s="2"/>
      <c r="X781" s="2"/>
      <c r="Y781" s="2"/>
      <c r="Z781" s="2"/>
      <c r="AA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N782" s="2"/>
      <c r="O782" s="2"/>
      <c r="P782" s="2"/>
      <c r="U782" s="2"/>
      <c r="X782" s="2"/>
      <c r="Y782" s="2"/>
      <c r="Z782" s="2"/>
      <c r="AA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N783" s="2"/>
      <c r="O783" s="2"/>
      <c r="P783" s="2"/>
      <c r="U783" s="2"/>
      <c r="X783" s="2"/>
      <c r="Y783" s="2"/>
      <c r="Z783" s="2"/>
      <c r="AA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N784" s="2"/>
      <c r="O784" s="2"/>
      <c r="P784" s="2"/>
      <c r="U784" s="2"/>
      <c r="X784" s="2"/>
      <c r="Y784" s="2"/>
      <c r="Z784" s="2"/>
      <c r="AA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N785" s="2"/>
      <c r="O785" s="2"/>
      <c r="P785" s="2"/>
      <c r="U785" s="2"/>
      <c r="X785" s="2"/>
      <c r="Y785" s="2"/>
      <c r="Z785" s="2"/>
      <c r="AA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N786" s="2"/>
      <c r="O786" s="2"/>
      <c r="P786" s="2"/>
      <c r="U786" s="2"/>
      <c r="X786" s="2"/>
      <c r="Y786" s="2"/>
      <c r="Z786" s="2"/>
      <c r="AA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N787" s="2"/>
      <c r="O787" s="2"/>
      <c r="P787" s="2"/>
      <c r="U787" s="2"/>
      <c r="X787" s="2"/>
      <c r="Y787" s="2"/>
      <c r="Z787" s="2"/>
      <c r="AA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N788" s="2"/>
      <c r="O788" s="2"/>
      <c r="P788" s="2"/>
      <c r="U788" s="2"/>
      <c r="X788" s="2"/>
      <c r="Y788" s="2"/>
      <c r="Z788" s="2"/>
      <c r="AA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N789" s="2"/>
      <c r="O789" s="2"/>
      <c r="P789" s="2"/>
      <c r="U789" s="2"/>
      <c r="X789" s="2"/>
      <c r="Y789" s="2"/>
      <c r="Z789" s="2"/>
      <c r="AA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N790" s="2"/>
      <c r="O790" s="2"/>
      <c r="P790" s="2"/>
      <c r="U790" s="2"/>
      <c r="X790" s="2"/>
      <c r="Y790" s="2"/>
      <c r="Z790" s="2"/>
      <c r="AA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N791" s="2"/>
      <c r="O791" s="2"/>
      <c r="P791" s="2"/>
      <c r="U791" s="2"/>
      <c r="X791" s="2"/>
      <c r="Y791" s="2"/>
      <c r="Z791" s="2"/>
      <c r="AA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N792" s="2"/>
      <c r="O792" s="2"/>
      <c r="P792" s="2"/>
      <c r="U792" s="2"/>
      <c r="X792" s="2"/>
      <c r="Y792" s="2"/>
      <c r="Z792" s="2"/>
      <c r="AA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N793" s="2"/>
      <c r="O793" s="2"/>
      <c r="P793" s="2"/>
      <c r="U793" s="2"/>
      <c r="X793" s="2"/>
      <c r="Y793" s="2"/>
      <c r="Z793" s="2"/>
      <c r="AA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N794" s="2"/>
      <c r="O794" s="2"/>
      <c r="P794" s="2"/>
      <c r="U794" s="2"/>
      <c r="X794" s="2"/>
      <c r="Y794" s="2"/>
      <c r="Z794" s="2"/>
      <c r="AA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N795" s="2"/>
      <c r="O795" s="2"/>
      <c r="P795" s="2"/>
      <c r="U795" s="2"/>
      <c r="X795" s="2"/>
      <c r="Y795" s="2"/>
      <c r="Z795" s="2"/>
      <c r="AA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N796" s="2"/>
      <c r="O796" s="2"/>
      <c r="P796" s="2"/>
      <c r="U796" s="2"/>
      <c r="X796" s="2"/>
      <c r="Y796" s="2"/>
      <c r="Z796" s="2"/>
      <c r="AA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N797" s="2"/>
      <c r="O797" s="2"/>
      <c r="P797" s="2"/>
      <c r="U797" s="2"/>
      <c r="X797" s="2"/>
      <c r="Y797" s="2"/>
      <c r="Z797" s="2"/>
      <c r="AA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N798" s="2"/>
      <c r="O798" s="2"/>
      <c r="P798" s="2"/>
      <c r="U798" s="2"/>
      <c r="X798" s="2"/>
      <c r="Y798" s="2"/>
      <c r="Z798" s="2"/>
      <c r="AA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N799" s="2"/>
      <c r="O799" s="2"/>
      <c r="P799" s="2"/>
      <c r="U799" s="2"/>
      <c r="X799" s="2"/>
      <c r="Y799" s="2"/>
      <c r="Z799" s="2"/>
      <c r="AA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N800" s="2"/>
      <c r="O800" s="2"/>
      <c r="P800" s="2"/>
      <c r="U800" s="2"/>
      <c r="X800" s="2"/>
      <c r="Y800" s="2"/>
      <c r="Z800" s="2"/>
      <c r="AA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N801" s="2"/>
      <c r="O801" s="2"/>
      <c r="P801" s="2"/>
      <c r="U801" s="2"/>
      <c r="X801" s="2"/>
      <c r="Y801" s="2"/>
      <c r="Z801" s="2"/>
      <c r="AA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N802" s="2"/>
      <c r="O802" s="2"/>
      <c r="P802" s="2"/>
      <c r="U802" s="2"/>
      <c r="X802" s="2"/>
      <c r="Y802" s="2"/>
      <c r="Z802" s="2"/>
      <c r="AA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N803" s="2"/>
      <c r="O803" s="2"/>
      <c r="P803" s="2"/>
      <c r="U803" s="2"/>
      <c r="X803" s="2"/>
      <c r="Y803" s="2"/>
      <c r="Z803" s="2"/>
      <c r="AA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N804" s="2"/>
      <c r="O804" s="2"/>
      <c r="P804" s="2"/>
      <c r="U804" s="2"/>
      <c r="X804" s="2"/>
      <c r="Y804" s="2"/>
      <c r="Z804" s="2"/>
      <c r="AA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N805" s="2"/>
      <c r="O805" s="2"/>
      <c r="P805" s="2"/>
      <c r="U805" s="2"/>
      <c r="X805" s="2"/>
      <c r="Y805" s="2"/>
      <c r="Z805" s="2"/>
      <c r="AA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N806" s="2"/>
      <c r="O806" s="2"/>
      <c r="P806" s="2"/>
      <c r="U806" s="2"/>
      <c r="X806" s="2"/>
      <c r="Y806" s="2"/>
      <c r="Z806" s="2"/>
      <c r="AA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N807" s="2"/>
      <c r="O807" s="2"/>
      <c r="P807" s="2"/>
      <c r="U807" s="2"/>
      <c r="X807" s="2"/>
      <c r="Y807" s="2"/>
      <c r="Z807" s="2"/>
      <c r="AA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N808" s="2"/>
      <c r="O808" s="2"/>
      <c r="P808" s="2"/>
      <c r="U808" s="2"/>
      <c r="X808" s="2"/>
      <c r="Y808" s="2"/>
      <c r="Z808" s="2"/>
      <c r="AA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N809" s="2"/>
      <c r="O809" s="2"/>
      <c r="P809" s="2"/>
      <c r="U809" s="2"/>
      <c r="X809" s="2"/>
      <c r="Y809" s="2"/>
      <c r="Z809" s="2"/>
      <c r="AA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N810" s="2"/>
      <c r="O810" s="2"/>
      <c r="P810" s="2"/>
      <c r="U810" s="2"/>
      <c r="X810" s="2"/>
      <c r="Y810" s="2"/>
      <c r="Z810" s="2"/>
      <c r="AA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N811" s="2"/>
      <c r="O811" s="2"/>
      <c r="P811" s="2"/>
      <c r="U811" s="2"/>
      <c r="X811" s="2"/>
      <c r="Y811" s="2"/>
      <c r="Z811" s="2"/>
      <c r="AA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N812" s="2"/>
      <c r="O812" s="2"/>
      <c r="P812" s="2"/>
      <c r="U812" s="2"/>
      <c r="X812" s="2"/>
      <c r="Y812" s="2"/>
      <c r="Z812" s="2"/>
      <c r="AA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N813" s="2"/>
      <c r="O813" s="2"/>
      <c r="P813" s="2"/>
      <c r="U813" s="2"/>
      <c r="X813" s="2"/>
      <c r="Y813" s="2"/>
      <c r="Z813" s="2"/>
      <c r="AA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N814" s="2"/>
      <c r="O814" s="2"/>
      <c r="P814" s="2"/>
      <c r="U814" s="2"/>
      <c r="X814" s="2"/>
      <c r="Y814" s="2"/>
      <c r="Z814" s="2"/>
      <c r="AA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N815" s="2"/>
      <c r="O815" s="2"/>
      <c r="P815" s="2"/>
      <c r="U815" s="2"/>
      <c r="X815" s="2"/>
      <c r="Y815" s="2"/>
      <c r="Z815" s="2"/>
      <c r="AA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N816" s="2"/>
      <c r="O816" s="2"/>
      <c r="P816" s="2"/>
      <c r="U816" s="2"/>
      <c r="X816" s="2"/>
      <c r="Y816" s="2"/>
      <c r="Z816" s="2"/>
      <c r="AA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N817" s="2"/>
      <c r="O817" s="2"/>
      <c r="P817" s="2"/>
      <c r="U817" s="2"/>
      <c r="X817" s="2"/>
      <c r="Y817" s="2"/>
      <c r="Z817" s="2"/>
      <c r="AA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N818" s="2"/>
      <c r="O818" s="2"/>
      <c r="P818" s="2"/>
      <c r="U818" s="2"/>
      <c r="X818" s="2"/>
      <c r="Y818" s="2"/>
      <c r="Z818" s="2"/>
      <c r="AA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N819" s="2"/>
      <c r="O819" s="2"/>
      <c r="P819" s="2"/>
      <c r="U819" s="2"/>
      <c r="X819" s="2"/>
      <c r="Y819" s="2"/>
      <c r="Z819" s="2"/>
      <c r="AA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N820" s="2"/>
      <c r="O820" s="2"/>
      <c r="P820" s="2"/>
      <c r="U820" s="2"/>
      <c r="X820" s="2"/>
      <c r="Y820" s="2"/>
      <c r="Z820" s="2"/>
      <c r="AA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N821" s="2"/>
      <c r="O821" s="2"/>
      <c r="P821" s="2"/>
      <c r="U821" s="2"/>
      <c r="X821" s="2"/>
      <c r="Y821" s="2"/>
      <c r="Z821" s="2"/>
      <c r="AA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N822" s="2"/>
      <c r="O822" s="2"/>
      <c r="P822" s="2"/>
      <c r="U822" s="2"/>
      <c r="X822" s="2"/>
      <c r="Y822" s="2"/>
      <c r="Z822" s="2"/>
      <c r="AA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N823" s="2"/>
      <c r="O823" s="2"/>
      <c r="P823" s="2"/>
      <c r="U823" s="2"/>
      <c r="X823" s="2"/>
      <c r="Y823" s="2"/>
      <c r="Z823" s="2"/>
      <c r="AA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N824" s="2"/>
      <c r="O824" s="2"/>
      <c r="P824" s="2"/>
      <c r="U824" s="2"/>
      <c r="X824" s="2"/>
      <c r="Y824" s="2"/>
      <c r="Z824" s="2"/>
      <c r="AA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N825" s="2"/>
      <c r="O825" s="2"/>
      <c r="P825" s="2"/>
      <c r="U825" s="2"/>
      <c r="X825" s="2"/>
      <c r="Y825" s="2"/>
      <c r="Z825" s="2"/>
      <c r="AA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N826" s="2"/>
      <c r="O826" s="2"/>
      <c r="P826" s="2"/>
      <c r="U826" s="2"/>
      <c r="X826" s="2"/>
      <c r="Y826" s="2"/>
      <c r="Z826" s="2"/>
      <c r="AA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N827" s="2"/>
      <c r="O827" s="2"/>
      <c r="P827" s="2"/>
      <c r="U827" s="2"/>
      <c r="X827" s="2"/>
      <c r="Y827" s="2"/>
      <c r="Z827" s="2"/>
      <c r="AA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N828" s="2"/>
      <c r="O828" s="2"/>
      <c r="P828" s="2"/>
      <c r="U828" s="2"/>
      <c r="X828" s="2"/>
      <c r="Y828" s="2"/>
      <c r="Z828" s="2"/>
      <c r="AA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N829" s="2"/>
      <c r="O829" s="2"/>
      <c r="P829" s="2"/>
      <c r="U829" s="2"/>
      <c r="X829" s="2"/>
      <c r="Y829" s="2"/>
      <c r="Z829" s="2"/>
      <c r="AA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N830" s="2"/>
      <c r="O830" s="2"/>
      <c r="P830" s="2"/>
      <c r="U830" s="2"/>
      <c r="X830" s="2"/>
      <c r="Y830" s="2"/>
      <c r="Z830" s="2"/>
      <c r="AA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N831" s="2"/>
      <c r="O831" s="2"/>
      <c r="P831" s="2"/>
      <c r="U831" s="2"/>
      <c r="X831" s="2"/>
      <c r="Y831" s="2"/>
      <c r="Z831" s="2"/>
      <c r="AA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N832" s="2"/>
      <c r="O832" s="2"/>
      <c r="P832" s="2"/>
      <c r="U832" s="2"/>
      <c r="X832" s="2"/>
      <c r="Y832" s="2"/>
      <c r="Z832" s="2"/>
      <c r="AA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N833" s="2"/>
      <c r="O833" s="2"/>
      <c r="P833" s="2"/>
      <c r="U833" s="2"/>
      <c r="X833" s="2"/>
      <c r="Y833" s="2"/>
      <c r="Z833" s="2"/>
      <c r="AA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N834" s="2"/>
      <c r="O834" s="2"/>
      <c r="P834" s="2"/>
      <c r="U834" s="2"/>
      <c r="X834" s="2"/>
      <c r="Y834" s="2"/>
      <c r="Z834" s="2"/>
      <c r="AA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N835" s="2"/>
      <c r="O835" s="2"/>
      <c r="P835" s="2"/>
      <c r="U835" s="2"/>
      <c r="X835" s="2"/>
      <c r="Y835" s="2"/>
      <c r="Z835" s="2"/>
      <c r="AA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N836" s="2"/>
      <c r="O836" s="2"/>
      <c r="P836" s="2"/>
      <c r="U836" s="2"/>
      <c r="X836" s="2"/>
      <c r="Y836" s="2"/>
      <c r="Z836" s="2"/>
      <c r="AA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N837" s="2"/>
      <c r="O837" s="2"/>
      <c r="P837" s="2"/>
      <c r="U837" s="2"/>
      <c r="X837" s="2"/>
      <c r="Y837" s="2"/>
      <c r="Z837" s="2"/>
      <c r="AA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N838" s="2"/>
      <c r="O838" s="2"/>
      <c r="P838" s="2"/>
      <c r="U838" s="2"/>
      <c r="X838" s="2"/>
      <c r="Y838" s="2"/>
      <c r="Z838" s="2"/>
      <c r="AA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N839" s="2"/>
      <c r="O839" s="2"/>
      <c r="P839" s="2"/>
      <c r="U839" s="2"/>
      <c r="X839" s="2"/>
      <c r="Y839" s="2"/>
      <c r="Z839" s="2"/>
      <c r="AA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N840" s="2"/>
      <c r="O840" s="2"/>
      <c r="P840" s="2"/>
      <c r="U840" s="2"/>
      <c r="X840" s="2"/>
      <c r="Y840" s="2"/>
      <c r="Z840" s="2"/>
      <c r="AA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N841" s="2"/>
      <c r="O841" s="2"/>
      <c r="P841" s="2"/>
      <c r="U841" s="2"/>
      <c r="X841" s="2"/>
      <c r="Y841" s="2"/>
      <c r="Z841" s="2"/>
      <c r="AA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N842" s="2"/>
      <c r="O842" s="2"/>
      <c r="P842" s="2"/>
      <c r="U842" s="2"/>
      <c r="X842" s="2"/>
      <c r="Y842" s="2"/>
      <c r="Z842" s="2"/>
      <c r="AA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N843" s="2"/>
      <c r="O843" s="2"/>
      <c r="P843" s="2"/>
      <c r="U843" s="2"/>
      <c r="X843" s="2"/>
      <c r="Y843" s="2"/>
      <c r="Z843" s="2"/>
      <c r="AA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N844" s="2"/>
      <c r="O844" s="2"/>
      <c r="P844" s="2"/>
      <c r="U844" s="2"/>
      <c r="X844" s="2"/>
      <c r="Y844" s="2"/>
      <c r="Z844" s="2"/>
      <c r="AA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N845" s="2"/>
      <c r="O845" s="2"/>
      <c r="P845" s="2"/>
      <c r="U845" s="2"/>
      <c r="X845" s="2"/>
      <c r="Y845" s="2"/>
      <c r="Z845" s="2"/>
      <c r="AA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N846" s="2"/>
      <c r="O846" s="2"/>
      <c r="P846" s="2"/>
      <c r="U846" s="2"/>
      <c r="X846" s="2"/>
      <c r="Y846" s="2"/>
      <c r="Z846" s="2"/>
      <c r="AA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N847" s="2"/>
      <c r="O847" s="2"/>
      <c r="P847" s="2"/>
      <c r="U847" s="2"/>
      <c r="X847" s="2"/>
      <c r="Y847" s="2"/>
      <c r="Z847" s="2"/>
      <c r="AA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N848" s="2"/>
      <c r="O848" s="2"/>
      <c r="P848" s="2"/>
      <c r="U848" s="2"/>
      <c r="X848" s="2"/>
      <c r="Y848" s="2"/>
      <c r="Z848" s="2"/>
      <c r="AA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N849" s="2"/>
      <c r="O849" s="2"/>
      <c r="P849" s="2"/>
      <c r="U849" s="2"/>
      <c r="X849" s="2"/>
      <c r="Y849" s="2"/>
      <c r="Z849" s="2"/>
      <c r="AA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N850" s="2"/>
      <c r="O850" s="2"/>
      <c r="P850" s="2"/>
      <c r="U850" s="2"/>
      <c r="X850" s="2"/>
      <c r="Y850" s="2"/>
      <c r="Z850" s="2"/>
      <c r="AA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N851" s="2"/>
      <c r="O851" s="2"/>
      <c r="P851" s="2"/>
      <c r="U851" s="2"/>
      <c r="X851" s="2"/>
      <c r="Y851" s="2"/>
      <c r="Z851" s="2"/>
      <c r="AA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N852" s="2"/>
      <c r="O852" s="2"/>
      <c r="P852" s="2"/>
      <c r="U852" s="2"/>
      <c r="X852" s="2"/>
      <c r="Y852" s="2"/>
      <c r="Z852" s="2"/>
      <c r="AA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N853" s="2"/>
      <c r="O853" s="2"/>
      <c r="P853" s="2"/>
      <c r="U853" s="2"/>
      <c r="X853" s="2"/>
      <c r="Y853" s="2"/>
      <c r="Z853" s="2"/>
      <c r="AA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N854" s="2"/>
      <c r="O854" s="2"/>
      <c r="P854" s="2"/>
      <c r="U854" s="2"/>
      <c r="X854" s="2"/>
      <c r="Y854" s="2"/>
      <c r="Z854" s="2"/>
      <c r="AA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N855" s="2"/>
      <c r="O855" s="2"/>
      <c r="P855" s="2"/>
      <c r="U855" s="2"/>
      <c r="X855" s="2"/>
      <c r="Y855" s="2"/>
      <c r="Z855" s="2"/>
      <c r="AA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N856" s="2"/>
      <c r="O856" s="2"/>
      <c r="P856" s="2"/>
      <c r="U856" s="2"/>
      <c r="X856" s="2"/>
      <c r="Y856" s="2"/>
      <c r="Z856" s="2"/>
      <c r="AA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N857" s="2"/>
      <c r="O857" s="2"/>
      <c r="P857" s="2"/>
      <c r="U857" s="2"/>
      <c r="X857" s="2"/>
      <c r="Y857" s="2"/>
      <c r="Z857" s="2"/>
      <c r="AA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N858" s="2"/>
      <c r="O858" s="2"/>
      <c r="P858" s="2"/>
      <c r="U858" s="2"/>
      <c r="X858" s="2"/>
      <c r="Y858" s="2"/>
      <c r="Z858" s="2"/>
      <c r="AA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N859" s="2"/>
      <c r="O859" s="2"/>
      <c r="P859" s="2"/>
      <c r="U859" s="2"/>
      <c r="X859" s="2"/>
      <c r="Y859" s="2"/>
      <c r="Z859" s="2"/>
      <c r="AA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N860" s="2"/>
      <c r="O860" s="2"/>
      <c r="P860" s="2"/>
      <c r="U860" s="2"/>
      <c r="X860" s="2"/>
      <c r="Y860" s="2"/>
      <c r="Z860" s="2"/>
      <c r="AA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N861" s="2"/>
      <c r="O861" s="2"/>
      <c r="P861" s="2"/>
      <c r="U861" s="2"/>
      <c r="X861" s="2"/>
      <c r="Y861" s="2"/>
      <c r="Z861" s="2"/>
      <c r="AA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N862" s="2"/>
      <c r="O862" s="2"/>
      <c r="P862" s="2"/>
      <c r="U862" s="2"/>
      <c r="X862" s="2"/>
      <c r="Y862" s="2"/>
      <c r="Z862" s="2"/>
      <c r="AA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N863" s="2"/>
      <c r="O863" s="2"/>
      <c r="P863" s="2"/>
      <c r="U863" s="2"/>
      <c r="X863" s="2"/>
      <c r="Y863" s="2"/>
      <c r="Z863" s="2"/>
      <c r="AA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N864" s="2"/>
      <c r="O864" s="2"/>
      <c r="P864" s="2"/>
      <c r="U864" s="2"/>
      <c r="X864" s="2"/>
      <c r="Y864" s="2"/>
      <c r="Z864" s="2"/>
      <c r="AA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N865" s="2"/>
      <c r="O865" s="2"/>
      <c r="P865" s="2"/>
      <c r="U865" s="2"/>
      <c r="X865" s="2"/>
      <c r="Y865" s="2"/>
      <c r="Z865" s="2"/>
      <c r="AA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N866" s="2"/>
      <c r="O866" s="2"/>
      <c r="P866" s="2"/>
      <c r="U866" s="2"/>
      <c r="X866" s="2"/>
      <c r="Y866" s="2"/>
      <c r="Z866" s="2"/>
      <c r="AA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N867" s="2"/>
      <c r="O867" s="2"/>
      <c r="P867" s="2"/>
      <c r="U867" s="2"/>
      <c r="X867" s="2"/>
      <c r="Y867" s="2"/>
      <c r="Z867" s="2"/>
      <c r="AA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N868" s="2"/>
      <c r="O868" s="2"/>
      <c r="P868" s="2"/>
      <c r="U868" s="2"/>
      <c r="X868" s="2"/>
      <c r="Y868" s="2"/>
      <c r="Z868" s="2"/>
      <c r="AA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N869" s="2"/>
      <c r="O869" s="2"/>
      <c r="P869" s="2"/>
      <c r="U869" s="2"/>
      <c r="X869" s="2"/>
      <c r="Y869" s="2"/>
      <c r="Z869" s="2"/>
      <c r="AA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N870" s="2"/>
      <c r="O870" s="2"/>
      <c r="P870" s="2"/>
      <c r="U870" s="2"/>
      <c r="X870" s="2"/>
      <c r="Y870" s="2"/>
      <c r="Z870" s="2"/>
      <c r="AA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N871" s="2"/>
      <c r="O871" s="2"/>
      <c r="P871" s="2"/>
      <c r="U871" s="2"/>
      <c r="X871" s="2"/>
      <c r="Y871" s="2"/>
      <c r="Z871" s="2"/>
      <c r="AA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N872" s="2"/>
      <c r="O872" s="2"/>
      <c r="P872" s="2"/>
      <c r="U872" s="2"/>
      <c r="X872" s="2"/>
      <c r="Y872" s="2"/>
      <c r="Z872" s="2"/>
      <c r="AA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N873" s="2"/>
      <c r="O873" s="2"/>
      <c r="P873" s="2"/>
      <c r="U873" s="2"/>
      <c r="X873" s="2"/>
      <c r="Y873" s="2"/>
      <c r="Z873" s="2"/>
      <c r="AA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N874" s="2"/>
      <c r="O874" s="2"/>
      <c r="P874" s="2"/>
      <c r="U874" s="2"/>
      <c r="X874" s="2"/>
      <c r="Y874" s="2"/>
      <c r="Z874" s="2"/>
      <c r="AA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N875" s="2"/>
      <c r="O875" s="2"/>
      <c r="P875" s="2"/>
      <c r="U875" s="2"/>
      <c r="X875" s="2"/>
      <c r="Y875" s="2"/>
      <c r="Z875" s="2"/>
      <c r="AA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N876" s="2"/>
      <c r="O876" s="2"/>
      <c r="P876" s="2"/>
      <c r="U876" s="2"/>
      <c r="X876" s="2"/>
      <c r="Y876" s="2"/>
      <c r="Z876" s="2"/>
      <c r="AA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N877" s="2"/>
      <c r="O877" s="2"/>
      <c r="P877" s="2"/>
      <c r="U877" s="2"/>
      <c r="X877" s="2"/>
      <c r="Y877" s="2"/>
      <c r="Z877" s="2"/>
      <c r="AA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N878" s="2"/>
      <c r="O878" s="2"/>
      <c r="P878" s="2"/>
      <c r="U878" s="2"/>
      <c r="X878" s="2"/>
      <c r="Y878" s="2"/>
      <c r="Z878" s="2"/>
      <c r="AA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N879" s="2"/>
      <c r="O879" s="2"/>
      <c r="P879" s="2"/>
      <c r="U879" s="2"/>
      <c r="X879" s="2"/>
      <c r="Y879" s="2"/>
      <c r="Z879" s="2"/>
      <c r="AA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N880" s="2"/>
      <c r="O880" s="2"/>
      <c r="P880" s="2"/>
      <c r="U880" s="2"/>
      <c r="X880" s="2"/>
      <c r="Y880" s="2"/>
      <c r="Z880" s="2"/>
      <c r="AA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N881" s="2"/>
      <c r="O881" s="2"/>
      <c r="P881" s="2"/>
      <c r="U881" s="2"/>
      <c r="X881" s="2"/>
      <c r="Y881" s="2"/>
      <c r="Z881" s="2"/>
      <c r="AA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N882" s="2"/>
      <c r="O882" s="2"/>
      <c r="P882" s="2"/>
      <c r="U882" s="2"/>
      <c r="X882" s="2"/>
      <c r="Y882" s="2"/>
      <c r="Z882" s="2"/>
      <c r="AA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N883" s="2"/>
      <c r="O883" s="2"/>
      <c r="P883" s="2"/>
      <c r="U883" s="2"/>
      <c r="X883" s="2"/>
      <c r="Y883" s="2"/>
      <c r="Z883" s="2"/>
      <c r="AA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N884" s="2"/>
      <c r="O884" s="2"/>
      <c r="P884" s="2"/>
      <c r="U884" s="2"/>
      <c r="X884" s="2"/>
      <c r="Y884" s="2"/>
      <c r="Z884" s="2"/>
      <c r="AA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N885" s="2"/>
      <c r="O885" s="2"/>
      <c r="P885" s="2"/>
      <c r="U885" s="2"/>
      <c r="X885" s="2"/>
      <c r="Y885" s="2"/>
      <c r="Z885" s="2"/>
      <c r="AA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N886" s="2"/>
      <c r="O886" s="2"/>
      <c r="P886" s="2"/>
      <c r="U886" s="2"/>
      <c r="X886" s="2"/>
      <c r="Y886" s="2"/>
      <c r="Z886" s="2"/>
      <c r="AA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N887" s="2"/>
      <c r="O887" s="2"/>
      <c r="P887" s="2"/>
      <c r="U887" s="2"/>
      <c r="X887" s="2"/>
      <c r="Y887" s="2"/>
      <c r="Z887" s="2"/>
      <c r="AA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N888" s="2"/>
      <c r="O888" s="2"/>
      <c r="P888" s="2"/>
      <c r="U888" s="2"/>
      <c r="X888" s="2"/>
      <c r="Y888" s="2"/>
      <c r="Z888" s="2"/>
      <c r="AA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N889" s="2"/>
      <c r="O889" s="2"/>
      <c r="P889" s="2"/>
      <c r="U889" s="2"/>
      <c r="X889" s="2"/>
      <c r="Y889" s="2"/>
      <c r="Z889" s="2"/>
      <c r="AA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N890" s="2"/>
      <c r="O890" s="2"/>
      <c r="P890" s="2"/>
      <c r="U890" s="2"/>
      <c r="X890" s="2"/>
      <c r="Y890" s="2"/>
      <c r="Z890" s="2"/>
      <c r="AA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N891" s="2"/>
      <c r="O891" s="2"/>
      <c r="P891" s="2"/>
      <c r="U891" s="2"/>
      <c r="X891" s="2"/>
      <c r="Y891" s="2"/>
      <c r="Z891" s="2"/>
      <c r="AA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N892" s="2"/>
      <c r="O892" s="2"/>
      <c r="P892" s="2"/>
      <c r="U892" s="2"/>
      <c r="X892" s="2"/>
      <c r="Y892" s="2"/>
      <c r="Z892" s="2"/>
      <c r="AA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N893" s="2"/>
      <c r="O893" s="2"/>
      <c r="P893" s="2"/>
      <c r="U893" s="2"/>
      <c r="X893" s="2"/>
      <c r="Y893" s="2"/>
      <c r="Z893" s="2"/>
      <c r="AA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N894" s="2"/>
      <c r="O894" s="2"/>
      <c r="P894" s="2"/>
      <c r="U894" s="2"/>
      <c r="X894" s="2"/>
      <c r="Y894" s="2"/>
      <c r="Z894" s="2"/>
      <c r="AA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N895" s="2"/>
      <c r="O895" s="2"/>
      <c r="P895" s="2"/>
      <c r="U895" s="2"/>
      <c r="X895" s="2"/>
      <c r="Y895" s="2"/>
      <c r="Z895" s="2"/>
      <c r="AA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N896" s="2"/>
      <c r="O896" s="2"/>
      <c r="P896" s="2"/>
      <c r="U896" s="2"/>
      <c r="X896" s="2"/>
      <c r="Y896" s="2"/>
      <c r="Z896" s="2"/>
      <c r="AA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N897" s="2"/>
      <c r="O897" s="2"/>
      <c r="P897" s="2"/>
      <c r="U897" s="2"/>
      <c r="X897" s="2"/>
      <c r="Y897" s="2"/>
      <c r="Z897" s="2"/>
      <c r="AA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N898" s="2"/>
      <c r="O898" s="2"/>
      <c r="P898" s="2"/>
      <c r="U898" s="2"/>
      <c r="X898" s="2"/>
      <c r="Y898" s="2"/>
      <c r="Z898" s="2"/>
      <c r="AA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N899" s="2"/>
      <c r="O899" s="2"/>
      <c r="P899" s="2"/>
      <c r="U899" s="2"/>
      <c r="X899" s="2"/>
      <c r="Y899" s="2"/>
      <c r="Z899" s="2"/>
      <c r="AA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N900" s="2"/>
      <c r="O900" s="2"/>
      <c r="P900" s="2"/>
      <c r="U900" s="2"/>
      <c r="X900" s="2"/>
      <c r="Y900" s="2"/>
      <c r="Z900" s="2"/>
      <c r="AA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N901" s="2"/>
      <c r="O901" s="2"/>
      <c r="P901" s="2"/>
      <c r="U901" s="2"/>
      <c r="X901" s="2"/>
      <c r="Y901" s="2"/>
      <c r="Z901" s="2"/>
      <c r="AA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N902" s="2"/>
      <c r="O902" s="2"/>
      <c r="P902" s="2"/>
      <c r="U902" s="2"/>
      <c r="X902" s="2"/>
      <c r="Y902" s="2"/>
      <c r="Z902" s="2"/>
      <c r="AA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N903" s="2"/>
      <c r="O903" s="2"/>
      <c r="P903" s="2"/>
      <c r="U903" s="2"/>
      <c r="X903" s="2"/>
      <c r="Y903" s="2"/>
      <c r="Z903" s="2"/>
      <c r="AA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N904" s="2"/>
      <c r="O904" s="2"/>
      <c r="P904" s="2"/>
      <c r="U904" s="2"/>
      <c r="X904" s="2"/>
      <c r="Y904" s="2"/>
      <c r="Z904" s="2"/>
      <c r="AA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N905" s="2"/>
      <c r="O905" s="2"/>
      <c r="P905" s="2"/>
      <c r="U905" s="2"/>
      <c r="X905" s="2"/>
      <c r="Y905" s="2"/>
      <c r="Z905" s="2"/>
      <c r="AA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N906" s="2"/>
      <c r="O906" s="2"/>
      <c r="P906" s="2"/>
      <c r="U906" s="2"/>
      <c r="X906" s="2"/>
      <c r="Y906" s="2"/>
      <c r="Z906" s="2"/>
      <c r="AA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N907" s="2"/>
      <c r="O907" s="2"/>
      <c r="P907" s="2"/>
      <c r="U907" s="2"/>
      <c r="X907" s="2"/>
      <c r="Y907" s="2"/>
      <c r="Z907" s="2"/>
      <c r="AA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N908" s="2"/>
      <c r="O908" s="2"/>
      <c r="P908" s="2"/>
      <c r="U908" s="2"/>
      <c r="X908" s="2"/>
      <c r="Y908" s="2"/>
      <c r="Z908" s="2"/>
      <c r="AA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N909" s="2"/>
      <c r="O909" s="2"/>
      <c r="P909" s="2"/>
      <c r="U909" s="2"/>
      <c r="X909" s="2"/>
      <c r="Y909" s="2"/>
      <c r="Z909" s="2"/>
      <c r="AA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N910" s="2"/>
      <c r="O910" s="2"/>
      <c r="P910" s="2"/>
      <c r="U910" s="2"/>
      <c r="X910" s="2"/>
      <c r="Y910" s="2"/>
      <c r="Z910" s="2"/>
      <c r="AA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N911" s="2"/>
      <c r="O911" s="2"/>
      <c r="P911" s="2"/>
      <c r="U911" s="2"/>
      <c r="X911" s="2"/>
      <c r="Y911" s="2"/>
      <c r="Z911" s="2"/>
      <c r="AA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N912" s="2"/>
      <c r="O912" s="2"/>
      <c r="P912" s="2"/>
      <c r="U912" s="2"/>
      <c r="X912" s="2"/>
      <c r="Y912" s="2"/>
      <c r="Z912" s="2"/>
      <c r="AA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N913" s="2"/>
      <c r="O913" s="2"/>
      <c r="P913" s="2"/>
      <c r="U913" s="2"/>
      <c r="X913" s="2"/>
      <c r="Y913" s="2"/>
      <c r="Z913" s="2"/>
      <c r="AA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N914" s="2"/>
      <c r="O914" s="2"/>
      <c r="P914" s="2"/>
      <c r="U914" s="2"/>
      <c r="X914" s="2"/>
      <c r="Y914" s="2"/>
      <c r="Z914" s="2"/>
      <c r="AA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N915" s="2"/>
      <c r="O915" s="2"/>
      <c r="P915" s="2"/>
      <c r="U915" s="2"/>
      <c r="X915" s="2"/>
      <c r="Y915" s="2"/>
      <c r="Z915" s="2"/>
      <c r="AA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N916" s="2"/>
      <c r="O916" s="2"/>
      <c r="P916" s="2"/>
      <c r="U916" s="2"/>
      <c r="X916" s="2"/>
      <c r="Y916" s="2"/>
      <c r="Z916" s="2"/>
      <c r="AA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N917" s="2"/>
      <c r="O917" s="2"/>
      <c r="P917" s="2"/>
      <c r="U917" s="2"/>
      <c r="X917" s="2"/>
      <c r="Y917" s="2"/>
      <c r="Z917" s="2"/>
      <c r="AA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N918" s="2"/>
      <c r="O918" s="2"/>
      <c r="P918" s="2"/>
      <c r="U918" s="2"/>
      <c r="X918" s="2"/>
      <c r="Y918" s="2"/>
      <c r="Z918" s="2"/>
      <c r="AA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N919" s="2"/>
      <c r="O919" s="2"/>
      <c r="P919" s="2"/>
      <c r="U919" s="2"/>
      <c r="X919" s="2"/>
      <c r="Y919" s="2"/>
      <c r="Z919" s="2"/>
      <c r="AA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N920" s="2"/>
      <c r="O920" s="2"/>
      <c r="P920" s="2"/>
      <c r="U920" s="2"/>
      <c r="X920" s="2"/>
      <c r="Y920" s="2"/>
      <c r="Z920" s="2"/>
      <c r="AA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N921" s="2"/>
      <c r="O921" s="2"/>
      <c r="P921" s="2"/>
      <c r="U921" s="2"/>
      <c r="X921" s="2"/>
      <c r="Y921" s="2"/>
      <c r="Z921" s="2"/>
      <c r="AA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N922" s="2"/>
      <c r="O922" s="2"/>
      <c r="P922" s="2"/>
      <c r="U922" s="2"/>
      <c r="X922" s="2"/>
      <c r="Y922" s="2"/>
      <c r="Z922" s="2"/>
      <c r="AA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N923" s="2"/>
      <c r="O923" s="2"/>
      <c r="P923" s="2"/>
      <c r="U923" s="2"/>
      <c r="X923" s="2"/>
      <c r="Y923" s="2"/>
      <c r="Z923" s="2"/>
      <c r="AA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N924" s="2"/>
      <c r="O924" s="2"/>
      <c r="P924" s="2"/>
      <c r="U924" s="2"/>
      <c r="X924" s="2"/>
      <c r="Y924" s="2"/>
      <c r="Z924" s="2"/>
      <c r="AA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N925" s="2"/>
      <c r="O925" s="2"/>
      <c r="P925" s="2"/>
      <c r="U925" s="2"/>
      <c r="X925" s="2"/>
      <c r="Y925" s="2"/>
      <c r="Z925" s="2"/>
      <c r="AA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N926" s="2"/>
      <c r="O926" s="2"/>
      <c r="P926" s="2"/>
      <c r="U926" s="2"/>
      <c r="X926" s="2"/>
      <c r="Y926" s="2"/>
      <c r="Z926" s="2"/>
      <c r="AA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N927" s="2"/>
      <c r="O927" s="2"/>
      <c r="P927" s="2"/>
      <c r="U927" s="2"/>
      <c r="X927" s="2"/>
      <c r="Y927" s="2"/>
      <c r="Z927" s="2"/>
      <c r="AA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N928" s="2"/>
      <c r="O928" s="2"/>
      <c r="P928" s="2"/>
      <c r="U928" s="2"/>
      <c r="X928" s="2"/>
      <c r="Y928" s="2"/>
      <c r="Z928" s="2"/>
      <c r="AA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N929" s="2"/>
      <c r="O929" s="2"/>
      <c r="P929" s="2"/>
      <c r="U929" s="2"/>
      <c r="X929" s="2"/>
      <c r="Y929" s="2"/>
      <c r="Z929" s="2"/>
      <c r="AA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N930" s="2"/>
      <c r="O930" s="2"/>
      <c r="P930" s="2"/>
      <c r="U930" s="2"/>
      <c r="X930" s="2"/>
      <c r="Y930" s="2"/>
      <c r="Z930" s="2"/>
      <c r="AA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N931" s="2"/>
      <c r="O931" s="2"/>
      <c r="P931" s="2"/>
      <c r="U931" s="2"/>
      <c r="X931" s="2"/>
      <c r="Y931" s="2"/>
      <c r="Z931" s="2"/>
      <c r="AA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N932" s="2"/>
      <c r="O932" s="2"/>
      <c r="P932" s="2"/>
      <c r="U932" s="2"/>
      <c r="X932" s="2"/>
      <c r="Y932" s="2"/>
      <c r="Z932" s="2"/>
      <c r="AA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N933" s="2"/>
      <c r="O933" s="2"/>
      <c r="P933" s="2"/>
      <c r="U933" s="2"/>
      <c r="X933" s="2"/>
      <c r="Y933" s="2"/>
      <c r="Z933" s="2"/>
      <c r="AA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N934" s="2"/>
      <c r="O934" s="2"/>
      <c r="P934" s="2"/>
      <c r="U934" s="2"/>
      <c r="X934" s="2"/>
      <c r="Y934" s="2"/>
      <c r="Z934" s="2"/>
      <c r="AA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N935" s="2"/>
      <c r="O935" s="2"/>
      <c r="P935" s="2"/>
      <c r="U935" s="2"/>
      <c r="X935" s="2"/>
      <c r="Y935" s="2"/>
      <c r="Z935" s="2"/>
      <c r="AA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N936" s="2"/>
      <c r="O936" s="2"/>
      <c r="P936" s="2"/>
      <c r="U936" s="2"/>
      <c r="X936" s="2"/>
      <c r="Y936" s="2"/>
      <c r="Z936" s="2"/>
      <c r="AA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N937" s="2"/>
      <c r="O937" s="2"/>
      <c r="P937" s="2"/>
      <c r="U937" s="2"/>
      <c r="X937" s="2"/>
      <c r="Y937" s="2"/>
      <c r="Z937" s="2"/>
      <c r="AA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N938" s="2"/>
      <c r="O938" s="2"/>
      <c r="P938" s="2"/>
      <c r="U938" s="2"/>
      <c r="X938" s="2"/>
      <c r="Y938" s="2"/>
      <c r="Z938" s="2"/>
      <c r="AA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N939" s="2"/>
      <c r="O939" s="2"/>
      <c r="P939" s="2"/>
      <c r="U939" s="2"/>
      <c r="X939" s="2"/>
      <c r="Y939" s="2"/>
      <c r="Z939" s="2"/>
      <c r="AA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N940" s="2"/>
      <c r="O940" s="2"/>
      <c r="P940" s="2"/>
      <c r="U940" s="2"/>
      <c r="X940" s="2"/>
      <c r="Y940" s="2"/>
      <c r="Z940" s="2"/>
      <c r="AA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N941" s="2"/>
      <c r="O941" s="2"/>
      <c r="P941" s="2"/>
      <c r="U941" s="2"/>
      <c r="X941" s="2"/>
      <c r="Y941" s="2"/>
      <c r="Z941" s="2"/>
      <c r="AA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N942" s="2"/>
      <c r="O942" s="2"/>
      <c r="P942" s="2"/>
      <c r="U942" s="2"/>
      <c r="X942" s="2"/>
      <c r="Y942" s="2"/>
      <c r="Z942" s="2"/>
      <c r="AA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N943" s="2"/>
      <c r="O943" s="2"/>
      <c r="P943" s="2"/>
      <c r="U943" s="2"/>
      <c r="X943" s="2"/>
      <c r="Y943" s="2"/>
      <c r="Z943" s="2"/>
      <c r="AA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N944" s="2"/>
      <c r="O944" s="2"/>
      <c r="P944" s="2"/>
      <c r="U944" s="2"/>
      <c r="X944" s="2"/>
      <c r="Y944" s="2"/>
      <c r="Z944" s="2"/>
      <c r="AA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N945" s="2"/>
      <c r="O945" s="2"/>
      <c r="P945" s="2"/>
      <c r="U945" s="2"/>
      <c r="X945" s="2"/>
      <c r="Y945" s="2"/>
      <c r="Z945" s="2"/>
      <c r="AA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N946" s="2"/>
      <c r="O946" s="2"/>
      <c r="P946" s="2"/>
      <c r="U946" s="2"/>
      <c r="X946" s="2"/>
      <c r="Y946" s="2"/>
      <c r="Z946" s="2"/>
      <c r="AA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N947" s="2"/>
      <c r="O947" s="2"/>
      <c r="P947" s="2"/>
      <c r="U947" s="2"/>
      <c r="X947" s="2"/>
      <c r="Y947" s="2"/>
      <c r="Z947" s="2"/>
      <c r="AA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N948" s="2"/>
      <c r="O948" s="2"/>
      <c r="P948" s="2"/>
      <c r="U948" s="2"/>
      <c r="X948" s="2"/>
      <c r="Y948" s="2"/>
      <c r="Z948" s="2"/>
      <c r="AA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N949" s="2"/>
      <c r="O949" s="2"/>
      <c r="P949" s="2"/>
      <c r="U949" s="2"/>
      <c r="X949" s="2"/>
      <c r="Y949" s="2"/>
      <c r="Z949" s="2"/>
      <c r="AA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N950" s="2"/>
      <c r="O950" s="2"/>
      <c r="P950" s="2"/>
      <c r="U950" s="2"/>
      <c r="X950" s="2"/>
      <c r="Y950" s="2"/>
      <c r="Z950" s="2"/>
      <c r="AA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N951" s="2"/>
      <c r="O951" s="2"/>
      <c r="P951" s="2"/>
      <c r="U951" s="2"/>
      <c r="X951" s="2"/>
      <c r="Y951" s="2"/>
      <c r="Z951" s="2"/>
      <c r="AA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N952" s="2"/>
      <c r="O952" s="2"/>
      <c r="P952" s="2"/>
      <c r="U952" s="2"/>
      <c r="X952" s="2"/>
      <c r="Y952" s="2"/>
      <c r="Z952" s="2"/>
      <c r="AA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N953" s="2"/>
      <c r="O953" s="2"/>
      <c r="P953" s="2"/>
      <c r="U953" s="2"/>
      <c r="X953" s="2"/>
      <c r="Y953" s="2"/>
      <c r="Z953" s="2"/>
      <c r="AA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N954" s="2"/>
      <c r="O954" s="2"/>
      <c r="P954" s="2"/>
      <c r="U954" s="2"/>
      <c r="X954" s="2"/>
      <c r="Y954" s="2"/>
      <c r="Z954" s="2"/>
      <c r="AA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N955" s="2"/>
      <c r="O955" s="2"/>
      <c r="P955" s="2"/>
      <c r="U955" s="2"/>
      <c r="X955" s="2"/>
      <c r="Y955" s="2"/>
      <c r="Z955" s="2"/>
      <c r="AA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N956" s="2"/>
      <c r="O956" s="2"/>
      <c r="P956" s="2"/>
      <c r="U956" s="2"/>
      <c r="X956" s="2"/>
      <c r="Y956" s="2"/>
      <c r="Z956" s="2"/>
      <c r="AA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N957" s="2"/>
      <c r="O957" s="2"/>
      <c r="P957" s="2"/>
      <c r="U957" s="2"/>
      <c r="X957" s="2"/>
      <c r="Y957" s="2"/>
      <c r="Z957" s="2"/>
      <c r="AA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N958" s="2"/>
      <c r="O958" s="2"/>
      <c r="P958" s="2"/>
      <c r="U958" s="2"/>
      <c r="X958" s="2"/>
      <c r="Y958" s="2"/>
      <c r="Z958" s="2"/>
      <c r="AA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N959" s="2"/>
      <c r="O959" s="2"/>
      <c r="P959" s="2"/>
      <c r="U959" s="2"/>
      <c r="X959" s="2"/>
      <c r="Y959" s="2"/>
      <c r="Z959" s="2"/>
      <c r="AA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N960" s="2"/>
      <c r="O960" s="2"/>
      <c r="P960" s="2"/>
      <c r="U960" s="2"/>
      <c r="X960" s="2"/>
      <c r="Y960" s="2"/>
      <c r="Z960" s="2"/>
      <c r="AA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N961" s="2"/>
      <c r="O961" s="2"/>
      <c r="P961" s="2"/>
      <c r="U961" s="2"/>
      <c r="X961" s="2"/>
      <c r="Y961" s="2"/>
      <c r="Z961" s="2"/>
      <c r="AA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N962" s="2"/>
      <c r="O962" s="2"/>
      <c r="P962" s="2"/>
      <c r="U962" s="2"/>
      <c r="X962" s="2"/>
      <c r="Y962" s="2"/>
      <c r="Z962" s="2"/>
      <c r="AA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N963" s="2"/>
      <c r="O963" s="2"/>
      <c r="P963" s="2"/>
      <c r="U963" s="2"/>
      <c r="X963" s="2"/>
      <c r="Y963" s="2"/>
      <c r="Z963" s="2"/>
      <c r="AA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N964" s="2"/>
      <c r="O964" s="2"/>
      <c r="P964" s="2"/>
      <c r="U964" s="2"/>
      <c r="X964" s="2"/>
      <c r="Y964" s="2"/>
      <c r="Z964" s="2"/>
      <c r="AA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N965" s="2"/>
      <c r="O965" s="2"/>
      <c r="P965" s="2"/>
      <c r="U965" s="2"/>
      <c r="X965" s="2"/>
      <c r="Y965" s="2"/>
      <c r="Z965" s="2"/>
      <c r="AA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N966" s="2"/>
      <c r="O966" s="2"/>
      <c r="P966" s="2"/>
      <c r="U966" s="2"/>
      <c r="X966" s="2"/>
      <c r="Y966" s="2"/>
      <c r="Z966" s="2"/>
      <c r="AA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N967" s="2"/>
      <c r="O967" s="2"/>
      <c r="P967" s="2"/>
      <c r="U967" s="2"/>
      <c r="X967" s="2"/>
      <c r="Y967" s="2"/>
      <c r="Z967" s="2"/>
      <c r="AA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N968" s="2"/>
      <c r="O968" s="2"/>
      <c r="P968" s="2"/>
      <c r="U968" s="2"/>
      <c r="X968" s="2"/>
      <c r="Y968" s="2"/>
      <c r="Z968" s="2"/>
      <c r="AA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N969" s="2"/>
      <c r="O969" s="2"/>
      <c r="P969" s="2"/>
      <c r="U969" s="2"/>
      <c r="X969" s="2"/>
      <c r="Y969" s="2"/>
      <c r="Z969" s="2"/>
      <c r="AA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N970" s="2"/>
      <c r="O970" s="2"/>
      <c r="P970" s="2"/>
      <c r="U970" s="2"/>
      <c r="X970" s="2"/>
      <c r="Y970" s="2"/>
      <c r="Z970" s="2"/>
      <c r="AA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N971" s="2"/>
      <c r="O971" s="2"/>
      <c r="P971" s="2"/>
      <c r="U971" s="2"/>
      <c r="X971" s="2"/>
      <c r="Y971" s="2"/>
      <c r="Z971" s="2"/>
      <c r="AA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N972" s="2"/>
      <c r="O972" s="2"/>
      <c r="P972" s="2"/>
      <c r="U972" s="2"/>
      <c r="X972" s="2"/>
      <c r="Y972" s="2"/>
      <c r="Z972" s="2"/>
      <c r="AA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N973" s="2"/>
      <c r="O973" s="2"/>
      <c r="P973" s="2"/>
      <c r="U973" s="2"/>
      <c r="X973" s="2"/>
      <c r="Y973" s="2"/>
      <c r="Z973" s="2"/>
      <c r="AA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N974" s="2"/>
      <c r="O974" s="2"/>
      <c r="P974" s="2"/>
      <c r="U974" s="2"/>
      <c r="X974" s="2"/>
      <c r="Y974" s="2"/>
      <c r="Z974" s="2"/>
      <c r="AA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N975" s="2"/>
      <c r="O975" s="2"/>
      <c r="P975" s="2"/>
      <c r="U975" s="2"/>
      <c r="X975" s="2"/>
      <c r="Y975" s="2"/>
      <c r="Z975" s="2"/>
      <c r="AA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N976" s="2"/>
      <c r="O976" s="2"/>
      <c r="P976" s="2"/>
      <c r="U976" s="2"/>
      <c r="X976" s="2"/>
      <c r="Y976" s="2"/>
      <c r="Z976" s="2"/>
      <c r="AA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N977" s="2"/>
      <c r="O977" s="2"/>
      <c r="P977" s="2"/>
      <c r="U977" s="2"/>
      <c r="X977" s="2"/>
      <c r="Y977" s="2"/>
      <c r="Z977" s="2"/>
      <c r="AA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N978" s="2"/>
      <c r="O978" s="2"/>
      <c r="P978" s="2"/>
      <c r="U978" s="2"/>
      <c r="X978" s="2"/>
      <c r="Y978" s="2"/>
      <c r="Z978" s="2"/>
      <c r="AA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N979" s="2"/>
      <c r="O979" s="2"/>
      <c r="P979" s="2"/>
      <c r="U979" s="2"/>
      <c r="X979" s="2"/>
      <c r="Y979" s="2"/>
      <c r="Z979" s="2"/>
      <c r="AA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N980" s="2"/>
      <c r="O980" s="2"/>
      <c r="P980" s="2"/>
      <c r="U980" s="2"/>
      <c r="X980" s="2"/>
      <c r="Y980" s="2"/>
      <c r="Z980" s="2"/>
      <c r="AA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N981" s="2"/>
      <c r="O981" s="2"/>
      <c r="P981" s="2"/>
      <c r="U981" s="2"/>
      <c r="X981" s="2"/>
      <c r="Y981" s="2"/>
      <c r="Z981" s="2"/>
      <c r="AA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N982" s="2"/>
      <c r="O982" s="2"/>
      <c r="P982" s="2"/>
      <c r="U982" s="2"/>
      <c r="X982" s="2"/>
      <c r="Y982" s="2"/>
      <c r="Z982" s="2"/>
      <c r="AA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N983" s="2"/>
      <c r="O983" s="2"/>
      <c r="P983" s="2"/>
      <c r="U983" s="2"/>
      <c r="X983" s="2"/>
      <c r="Y983" s="2"/>
      <c r="Z983" s="2"/>
      <c r="AA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N984" s="2"/>
      <c r="O984" s="2"/>
      <c r="P984" s="2"/>
      <c r="U984" s="2"/>
      <c r="X984" s="2"/>
      <c r="Y984" s="2"/>
      <c r="Z984" s="2"/>
      <c r="AA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N985" s="2"/>
      <c r="O985" s="2"/>
      <c r="P985" s="2"/>
      <c r="U985" s="2"/>
      <c r="X985" s="2"/>
      <c r="Y985" s="2"/>
      <c r="Z985" s="2"/>
      <c r="AA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N986" s="2"/>
      <c r="O986" s="2"/>
      <c r="P986" s="2"/>
      <c r="U986" s="2"/>
      <c r="X986" s="2"/>
      <c r="Y986" s="2"/>
      <c r="Z986" s="2"/>
      <c r="AA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N987" s="2"/>
      <c r="O987" s="2"/>
      <c r="P987" s="2"/>
      <c r="U987" s="2"/>
      <c r="X987" s="2"/>
      <c r="Y987" s="2"/>
      <c r="Z987" s="2"/>
      <c r="AA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N988" s="2"/>
      <c r="O988" s="2"/>
      <c r="P988" s="2"/>
      <c r="U988" s="2"/>
      <c r="X988" s="2"/>
      <c r="Y988" s="2"/>
      <c r="Z988" s="2"/>
      <c r="AA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N989" s="2"/>
      <c r="O989" s="2"/>
      <c r="P989" s="2"/>
      <c r="U989" s="2"/>
      <c r="X989" s="2"/>
      <c r="Y989" s="2"/>
      <c r="Z989" s="2"/>
      <c r="AA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N990" s="2"/>
      <c r="O990" s="2"/>
      <c r="P990" s="2"/>
      <c r="U990" s="2"/>
      <c r="X990" s="2"/>
      <c r="Y990" s="2"/>
      <c r="Z990" s="2"/>
      <c r="AA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N991" s="2"/>
      <c r="O991" s="2"/>
      <c r="P991" s="2"/>
      <c r="U991" s="2"/>
      <c r="X991" s="2"/>
      <c r="Y991" s="2"/>
      <c r="Z991" s="2"/>
      <c r="AA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N992" s="2"/>
      <c r="O992" s="2"/>
      <c r="P992" s="2"/>
      <c r="U992" s="2"/>
      <c r="X992" s="2"/>
      <c r="Y992" s="2"/>
      <c r="Z992" s="2"/>
      <c r="AA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N993" s="2"/>
      <c r="O993" s="2"/>
      <c r="P993" s="2"/>
      <c r="U993" s="2"/>
      <c r="X993" s="2"/>
      <c r="Y993" s="2"/>
      <c r="Z993" s="2"/>
      <c r="AA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N994" s="2"/>
      <c r="O994" s="2"/>
      <c r="P994" s="2"/>
      <c r="U994" s="2"/>
      <c r="X994" s="2"/>
      <c r="Y994" s="2"/>
      <c r="Z994" s="2"/>
      <c r="AA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N995" s="2"/>
      <c r="O995" s="2"/>
      <c r="P995" s="2"/>
      <c r="U995" s="2"/>
      <c r="X995" s="2"/>
      <c r="Y995" s="2"/>
      <c r="Z995" s="2"/>
      <c r="AA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N996" s="2"/>
      <c r="O996" s="2"/>
      <c r="P996" s="2"/>
      <c r="U996" s="2"/>
      <c r="X996" s="2"/>
      <c r="Y996" s="2"/>
      <c r="Z996" s="2"/>
      <c r="AA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N997" s="2"/>
      <c r="O997" s="2"/>
      <c r="P997" s="2"/>
      <c r="U997" s="2"/>
      <c r="X997" s="2"/>
      <c r="Y997" s="2"/>
      <c r="Z997" s="2"/>
      <c r="AA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N998" s="2"/>
      <c r="O998" s="2"/>
      <c r="P998" s="2"/>
      <c r="U998" s="2"/>
      <c r="X998" s="2"/>
      <c r="Y998" s="2"/>
      <c r="Z998" s="2"/>
      <c r="AA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N999" s="2"/>
      <c r="O999" s="2"/>
      <c r="P999" s="2"/>
      <c r="U999" s="2"/>
      <c r="X999" s="2"/>
      <c r="Y999" s="2"/>
      <c r="Z999" s="2"/>
      <c r="AA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N1000" s="2"/>
      <c r="O1000" s="2"/>
      <c r="P1000" s="2"/>
      <c r="U1000" s="2"/>
      <c r="X1000" s="2"/>
      <c r="Y1000" s="2"/>
      <c r="Z1000" s="2"/>
      <c r="AA1000" s="2"/>
    </row>
  </sheetData>
  <mergeCells count="12">
    <mergeCell ref="N10:O10"/>
    <mergeCell ref="N14:O14"/>
    <mergeCell ref="W16:AA16"/>
    <mergeCell ref="N29:O29"/>
    <mergeCell ref="N33:O33"/>
    <mergeCell ref="H5:I5"/>
    <mergeCell ref="K5:L5"/>
    <mergeCell ref="H6:H7"/>
    <mergeCell ref="I6:I7"/>
    <mergeCell ref="K6:K7"/>
    <mergeCell ref="L6:L7"/>
    <mergeCell ref="N6:O6"/>
  </mergeCells>
  <conditionalFormatting sqref="O20:P20">
    <cfRule type="containsText" dxfId="5" priority="1" operator="containsText" text="Verdade">
      <formula>NOT(ISERROR(SEARCH(("Verdade"),(O20))))</formula>
    </cfRule>
  </conditionalFormatting>
  <conditionalFormatting sqref="O20:P20">
    <cfRule type="containsText" dxfId="6" priority="2" operator="containsText" text="Falso">
      <formula>NOT(ISERROR(SEARCH(("Falso"),(O20))))</formula>
    </cfRule>
  </conditionalFormatting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 outlineLevelCol="1"/>
  <cols>
    <col customWidth="1" min="1" max="1" width="7.63"/>
    <col customWidth="1" min="2" max="2" width="18.88"/>
    <col customWidth="1" min="3" max="3" width="18.88" outlineLevel="1"/>
    <col customWidth="1" min="4" max="4" width="18.88"/>
    <col customWidth="1" min="5" max="5" width="19.5"/>
    <col customWidth="1" hidden="1" min="6" max="6" width="18.88"/>
    <col customWidth="1" min="7" max="7" width="15.13"/>
    <col customWidth="1" min="8" max="8" width="14.13"/>
    <col customWidth="1" min="9" max="9" width="11.5"/>
    <col customWidth="1" min="10" max="10" width="2.75"/>
    <col customWidth="1" min="11" max="11" width="13.38"/>
    <col customWidth="1" min="12" max="12" width="12.75"/>
    <col customWidth="1" min="13" max="13" width="4.5"/>
    <col customWidth="1" min="14" max="14" width="20.5"/>
    <col customWidth="1" min="15" max="15" width="20.13"/>
    <col customWidth="1" min="16" max="16" width="17.38"/>
    <col customWidth="1" min="24" max="24" width="18.5"/>
    <col customWidth="1" min="25" max="25" width="14.38"/>
    <col customWidth="1" min="26" max="26" width="16.88"/>
  </cols>
  <sheetData>
    <row r="1" ht="15.75" customHeight="1">
      <c r="A1" s="305"/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307"/>
      <c r="M1" s="307"/>
      <c r="N1" s="307"/>
      <c r="O1" s="307"/>
      <c r="P1" s="307"/>
      <c r="Q1" s="307"/>
      <c r="R1" s="307"/>
      <c r="S1" s="307"/>
      <c r="T1" s="307"/>
      <c r="U1" s="307"/>
      <c r="V1" s="307"/>
      <c r="W1" s="307"/>
      <c r="X1" s="307"/>
      <c r="Y1" s="307"/>
      <c r="Z1" s="307"/>
      <c r="AA1" s="307"/>
      <c r="AB1" s="307"/>
    </row>
    <row r="2" ht="15.75" customHeight="1">
      <c r="A2" s="306"/>
      <c r="B2" s="308" t="s">
        <v>329</v>
      </c>
      <c r="C2" s="306"/>
      <c r="D2" s="306"/>
      <c r="E2" s="309" t="s">
        <v>330</v>
      </c>
      <c r="F2" s="306"/>
      <c r="G2" s="306"/>
      <c r="H2" s="306"/>
      <c r="I2" s="306"/>
      <c r="J2" s="306"/>
      <c r="K2" s="306"/>
      <c r="L2" s="311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</row>
    <row r="3" ht="15.75" customHeight="1">
      <c r="A3" s="306"/>
      <c r="B3" s="313">
        <f>Controle!$B$6</f>
        <v>45170</v>
      </c>
      <c r="C3" s="313">
        <f>Controle!$B$4</f>
        <v>45169</v>
      </c>
      <c r="D3" s="306"/>
      <c r="E3" s="314">
        <f>($B$8/100)-1</f>
        <v>-0.005350277815</v>
      </c>
      <c r="F3" s="306"/>
      <c r="G3" s="306"/>
      <c r="H3" s="306"/>
      <c r="I3" s="306"/>
      <c r="J3" s="306"/>
      <c r="K3" s="306"/>
      <c r="L3" s="307"/>
      <c r="M3" s="307"/>
      <c r="N3" s="459" t="s">
        <v>331</v>
      </c>
      <c r="O3" s="307"/>
      <c r="P3" s="307"/>
      <c r="Q3" s="307"/>
      <c r="R3" s="307"/>
      <c r="S3" s="307"/>
      <c r="T3" s="307"/>
      <c r="U3" s="307"/>
      <c r="V3" s="307"/>
      <c r="W3" s="307"/>
      <c r="X3" s="307"/>
      <c r="Y3" s="307"/>
      <c r="Z3" s="307"/>
      <c r="AA3" s="307"/>
      <c r="AB3" s="307"/>
    </row>
    <row r="4" ht="15.75" customHeight="1">
      <c r="A4" s="306"/>
      <c r="B4" s="306"/>
      <c r="C4" s="306"/>
      <c r="D4" s="306"/>
      <c r="E4" s="306"/>
      <c r="F4" s="306"/>
      <c r="G4" s="306"/>
      <c r="H4" s="306"/>
      <c r="I4" s="306"/>
      <c r="J4" s="306"/>
      <c r="K4" s="306"/>
      <c r="L4" s="307"/>
      <c r="M4" s="307"/>
      <c r="N4" s="318" t="str">
        <f>Controle!$I$2</f>
        <v>Vega</v>
      </c>
      <c r="O4" s="307"/>
      <c r="P4" s="307"/>
      <c r="Q4" s="307"/>
      <c r="R4" s="307"/>
      <c r="S4" s="307"/>
      <c r="T4" s="307"/>
      <c r="U4" s="307"/>
      <c r="V4" s="307"/>
      <c r="W4" s="307"/>
      <c r="X4" s="307"/>
      <c r="Y4" s="307"/>
      <c r="Z4" s="307"/>
      <c r="AA4" s="307"/>
      <c r="AB4" s="307"/>
    </row>
    <row r="5" ht="15.75" customHeight="1">
      <c r="A5" s="306"/>
      <c r="B5" s="319" t="s">
        <v>332</v>
      </c>
      <c r="C5" s="320" t="s">
        <v>333</v>
      </c>
      <c r="D5" s="321" t="s">
        <v>312</v>
      </c>
      <c r="E5" s="322" t="s">
        <v>334</v>
      </c>
      <c r="F5" s="231"/>
      <c r="G5" s="306"/>
      <c r="H5" s="323" t="s">
        <v>335</v>
      </c>
      <c r="I5" s="89"/>
      <c r="J5" s="306"/>
      <c r="K5" s="323" t="s">
        <v>336</v>
      </c>
      <c r="L5" s="89"/>
      <c r="M5" s="307"/>
      <c r="N5" s="307"/>
      <c r="O5" s="307"/>
      <c r="P5" s="307"/>
      <c r="Q5" s="307"/>
      <c r="R5" s="307"/>
      <c r="S5" s="307"/>
      <c r="T5" s="307"/>
      <c r="U5" s="307"/>
      <c r="V5" s="307"/>
      <c r="W5" s="307"/>
      <c r="X5" s="307"/>
      <c r="Y5" s="307"/>
      <c r="Z5" s="307"/>
      <c r="AA5" s="307"/>
      <c r="AB5" s="307"/>
    </row>
    <row r="6" ht="15.75" customHeight="1">
      <c r="A6" s="306"/>
      <c r="B6" s="460">
        <f>Controle!$I$4</f>
        <v>108181063</v>
      </c>
      <c r="C6" s="325">
        <f>VLOOKUP($C$3, Controle!$B$9:$R$1000, 8, FALSE)</f>
        <v>107629364.5</v>
      </c>
      <c r="D6" s="326">
        <f>Controle!$I$6</f>
        <v>33519451.69</v>
      </c>
      <c r="E6" s="327">
        <f>Controle!$J$4</f>
        <v>74661611.33</v>
      </c>
      <c r="F6" s="328"/>
      <c r="G6" s="306"/>
      <c r="H6" s="329" t="s">
        <v>337</v>
      </c>
      <c r="I6" s="330" t="s">
        <v>338</v>
      </c>
      <c r="J6" s="331"/>
      <c r="K6" s="329" t="s">
        <v>337</v>
      </c>
      <c r="L6" s="330" t="s">
        <v>338</v>
      </c>
      <c r="M6" s="307"/>
      <c r="N6" s="332" t="s">
        <v>306</v>
      </c>
      <c r="O6" s="89"/>
      <c r="P6" s="307"/>
      <c r="Q6" s="307"/>
      <c r="R6" s="307"/>
      <c r="S6" s="307"/>
      <c r="T6" s="307"/>
      <c r="U6" s="307"/>
      <c r="V6" s="307"/>
      <c r="W6" s="307"/>
      <c r="X6" s="307"/>
      <c r="Y6" s="307"/>
      <c r="Z6" s="307"/>
      <c r="AA6" s="307"/>
      <c r="AB6" s="307"/>
    </row>
    <row r="7" ht="15.75" customHeight="1">
      <c r="A7" s="306"/>
      <c r="B7" s="333" t="s">
        <v>339</v>
      </c>
      <c r="C7" s="334"/>
      <c r="D7" s="309" t="s">
        <v>340</v>
      </c>
      <c r="E7" s="335" t="s">
        <v>341</v>
      </c>
      <c r="F7" s="461"/>
      <c r="G7" s="306"/>
      <c r="H7" s="115"/>
      <c r="I7" s="123"/>
      <c r="J7" s="331"/>
      <c r="K7" s="115"/>
      <c r="L7" s="123"/>
      <c r="M7" s="307"/>
      <c r="N7" s="336" t="s">
        <v>342</v>
      </c>
      <c r="O7" s="337" t="s">
        <v>343</v>
      </c>
      <c r="P7" s="307"/>
      <c r="Q7" s="307"/>
      <c r="R7" s="366"/>
      <c r="S7" s="307"/>
      <c r="T7" s="307"/>
      <c r="U7" s="307"/>
      <c r="V7" s="307"/>
      <c r="W7" s="307"/>
      <c r="X7" s="307"/>
      <c r="Y7" s="307"/>
      <c r="Z7" s="307"/>
      <c r="AA7" s="307"/>
      <c r="AB7" s="307"/>
    </row>
    <row r="8" ht="15.75" customHeight="1">
      <c r="A8" s="306"/>
      <c r="B8" s="338">
        <f t="array" ref="B8">XLOOKUP($B$3,Controle!$B$10:$B$901,Controle!$I$10:$I$901,"",0)/1087629.7515</f>
        <v>99.46497222</v>
      </c>
      <c r="C8" s="339"/>
      <c r="D8" s="462">
        <f>Controle!$J$6</f>
        <v>0.005125910578</v>
      </c>
      <c r="E8" s="340">
        <f>Controle!$AC$6</f>
        <v>0.00049037</v>
      </c>
      <c r="F8" s="341"/>
      <c r="G8" s="342">
        <v>1.0</v>
      </c>
      <c r="H8" s="318" t="str">
        <f t="shared" ref="H8:H12" si="1">IFERROR(INDEX($B$18:$B$36,MATCH(G8,$T$18:$T$56,0),""))</f>
        <v>AZUL4</v>
      </c>
      <c r="I8" s="344">
        <f t="shared" ref="I8:I12" si="2">IFERROR(INDEX($R$18:$R$37,MATCH(G8,$T$18:$T$55,0)),"")</f>
        <v>0.03036580683</v>
      </c>
      <c r="J8" s="306"/>
      <c r="K8" s="318" t="str">
        <f t="shared" ref="K8:K12" si="3">IFERROR(INDEX($B$18:$B$36,MATCH(M8,$T$18:$T$56,0),""))</f>
        <v>BEEF3</v>
      </c>
      <c r="L8" s="344">
        <f t="shared" ref="L8:L12" si="4">IFERROR(INDEX($R$18:$R$37,MATCH(M8,$T$18:$T$55,0)),"")</f>
        <v>-1</v>
      </c>
      <c r="M8" s="345">
        <f>MAX($T$18:$T$55)</f>
        <v>7</v>
      </c>
      <c r="N8" s="346">
        <f t="array" ref="N8">XLOOKUP($C$3,Controle!$B$10:$B$901,Controle!$J$10:$J$901,"",0)*$E$8</f>
        <v>34195.98626</v>
      </c>
      <c r="O8" s="347">
        <f>$N$8/$C$6</f>
        <v>0.0003177198566</v>
      </c>
      <c r="P8" s="307"/>
      <c r="Q8" s="307"/>
      <c r="R8" s="307"/>
      <c r="S8" s="307"/>
      <c r="T8" s="307"/>
      <c r="U8" s="307"/>
      <c r="V8" s="307"/>
      <c r="W8" s="307"/>
      <c r="X8" s="307"/>
      <c r="Y8" s="307"/>
      <c r="Z8" s="307"/>
      <c r="AA8" s="307"/>
      <c r="AB8" s="307"/>
    </row>
    <row r="9" ht="15.75" customHeight="1">
      <c r="A9" s="306"/>
      <c r="B9" s="348"/>
      <c r="C9" s="342">
        <v>4.0</v>
      </c>
      <c r="D9" s="342">
        <v>4.0</v>
      </c>
      <c r="E9" s="306"/>
      <c r="F9" s="306"/>
      <c r="G9" s="342">
        <v>2.0</v>
      </c>
      <c r="H9" s="318" t="str">
        <f t="shared" si="1"/>
        <v>BP</v>
      </c>
      <c r="I9" s="344">
        <f t="shared" si="2"/>
        <v>0.02555139202</v>
      </c>
      <c r="J9" s="306"/>
      <c r="K9" s="318" t="str">
        <f t="shared" si="3"/>
        <v>XLP</v>
      </c>
      <c r="L9" s="344">
        <f t="shared" si="4"/>
        <v>-0.008521202974</v>
      </c>
      <c r="M9" s="345">
        <f t="shared" ref="M9:M12" si="5">M8-1</f>
        <v>6</v>
      </c>
      <c r="N9" s="352"/>
      <c r="O9" s="352"/>
      <c r="P9" s="307"/>
      <c r="Q9" s="307"/>
      <c r="R9" s="307"/>
      <c r="S9" s="307"/>
      <c r="T9" s="307"/>
      <c r="U9" s="307"/>
      <c r="V9" s="307"/>
      <c r="W9" s="307"/>
      <c r="X9" s="307"/>
      <c r="Y9" s="307"/>
      <c r="Z9" s="307"/>
      <c r="AA9" s="307"/>
      <c r="AB9" s="307"/>
    </row>
    <row r="10" ht="15.75" customHeight="1">
      <c r="A10" s="306"/>
      <c r="B10" s="306"/>
      <c r="C10" s="306"/>
      <c r="D10" s="306"/>
      <c r="E10" s="306"/>
      <c r="F10" s="306"/>
      <c r="G10" s="342">
        <v>3.0</v>
      </c>
      <c r="H10" s="318" t="str">
        <f t="shared" si="1"/>
        <v>ASAI3</v>
      </c>
      <c r="I10" s="344">
        <f t="shared" si="2"/>
        <v>0.0215331617</v>
      </c>
      <c r="J10" s="306"/>
      <c r="K10" s="318" t="str">
        <f t="shared" si="3"/>
        <v>NKE</v>
      </c>
      <c r="L10" s="344">
        <f t="shared" si="4"/>
        <v>0.00639073377</v>
      </c>
      <c r="M10" s="345">
        <f t="shared" si="5"/>
        <v>5</v>
      </c>
      <c r="N10" s="353" t="s">
        <v>344</v>
      </c>
      <c r="O10" s="123"/>
      <c r="P10" s="307"/>
      <c r="Q10" s="307"/>
      <c r="R10" s="307"/>
      <c r="S10" s="307"/>
      <c r="T10" s="307"/>
      <c r="U10" s="307"/>
      <c r="V10" s="307"/>
      <c r="W10" s="307"/>
      <c r="X10" s="307"/>
      <c r="Y10" s="307"/>
      <c r="Z10" s="307"/>
      <c r="AA10" s="307"/>
      <c r="AB10" s="307"/>
    </row>
    <row r="11" ht="15.75" customHeight="1">
      <c r="A11" s="306"/>
      <c r="B11" s="354" t="s">
        <v>307</v>
      </c>
      <c r="C11" s="355"/>
      <c r="D11" s="356" t="s">
        <v>308</v>
      </c>
      <c r="E11" s="357" t="s">
        <v>345</v>
      </c>
      <c r="F11" s="358"/>
      <c r="G11" s="342">
        <v>4.0</v>
      </c>
      <c r="H11" s="318" t="str">
        <f t="shared" si="1"/>
        <v>DRIV</v>
      </c>
      <c r="I11" s="344">
        <f t="shared" si="2"/>
        <v>0.007627480338</v>
      </c>
      <c r="J11" s="306"/>
      <c r="K11" s="318" t="str">
        <f t="shared" si="3"/>
        <v>DRIV</v>
      </c>
      <c r="L11" s="344">
        <f t="shared" si="4"/>
        <v>0.007627480338</v>
      </c>
      <c r="M11" s="345">
        <f t="shared" si="5"/>
        <v>4</v>
      </c>
      <c r="N11" s="336" t="s">
        <v>342</v>
      </c>
      <c r="O11" s="337" t="s">
        <v>343</v>
      </c>
      <c r="P11" s="307"/>
      <c r="Q11" s="359"/>
      <c r="R11" s="307"/>
      <c r="S11" s="307" t="s">
        <v>346</v>
      </c>
      <c r="T11" s="307"/>
      <c r="U11" s="307"/>
      <c r="V11" s="307"/>
      <c r="W11" s="307"/>
      <c r="X11" s="307"/>
      <c r="Y11" s="307"/>
      <c r="Z11" s="307"/>
      <c r="AA11" s="307"/>
      <c r="AB11" s="307"/>
    </row>
    <row r="12" ht="15.75" customHeight="1">
      <c r="A12" s="306"/>
      <c r="B12" s="361">
        <f t="array" ref="B12">XLOOKUP($C$3,Controle!$B$10:$B$901,Controle!$J$10:$J$901,"",0)*(1+$E$8)</f>
        <v>69769265.95</v>
      </c>
      <c r="C12" s="362"/>
      <c r="D12" s="363">
        <f t="array" ref="D12">-XLOOKUP($C$3,Controle!$B$10:$B$901,Controle!$I$10:$I$901)*((1+Controle!$AC$4)^(1/252)-1)</f>
        <v>-6359.123969</v>
      </c>
      <c r="E12" s="364">
        <f>0</f>
        <v>0</v>
      </c>
      <c r="F12" s="365"/>
      <c r="G12" s="342">
        <v>5.0</v>
      </c>
      <c r="H12" s="318" t="str">
        <f t="shared" si="1"/>
        <v>NKE</v>
      </c>
      <c r="I12" s="344">
        <f t="shared" si="2"/>
        <v>0.00639073377</v>
      </c>
      <c r="J12" s="306"/>
      <c r="K12" s="318" t="str">
        <f t="shared" si="3"/>
        <v>ASAI3</v>
      </c>
      <c r="L12" s="344">
        <f t="shared" si="4"/>
        <v>0.0215331617</v>
      </c>
      <c r="M12" s="345">
        <f t="shared" si="5"/>
        <v>3</v>
      </c>
      <c r="N12" s="346">
        <f>SUM($G$18:$G$900)</f>
        <v>523861.6358</v>
      </c>
      <c r="O12" s="347">
        <f>$N$12/$C$6</f>
        <v>0.004867274262</v>
      </c>
      <c r="P12" s="307"/>
      <c r="Q12" s="307"/>
      <c r="R12" s="307"/>
      <c r="S12" s="307"/>
      <c r="T12" s="307"/>
      <c r="U12" s="307"/>
      <c r="V12" s="307"/>
      <c r="W12" s="307"/>
      <c r="X12" s="307"/>
      <c r="Y12" s="307"/>
      <c r="Z12" s="307"/>
      <c r="AA12" s="307"/>
      <c r="AB12" s="307"/>
    </row>
    <row r="13" ht="15.75" customHeight="1">
      <c r="A13" s="306"/>
      <c r="B13" s="367" t="s">
        <v>314</v>
      </c>
      <c r="C13" s="368"/>
      <c r="D13" s="369" t="s">
        <v>347</v>
      </c>
      <c r="E13" s="367" t="s">
        <v>348</v>
      </c>
      <c r="F13" s="231"/>
      <c r="G13" s="306"/>
      <c r="H13" s="306"/>
      <c r="I13" s="306"/>
      <c r="J13" s="306"/>
      <c r="K13" s="306"/>
      <c r="L13" s="307"/>
      <c r="M13" s="307"/>
      <c r="N13" s="352"/>
      <c r="O13" s="370"/>
      <c r="P13" s="307"/>
      <c r="Q13" s="307"/>
      <c r="R13" s="307"/>
      <c r="S13" s="307"/>
      <c r="T13" s="307"/>
      <c r="U13" s="307"/>
      <c r="V13" s="307"/>
      <c r="W13" s="307"/>
      <c r="X13" s="307"/>
      <c r="Y13" s="307"/>
      <c r="Z13" s="307"/>
      <c r="AA13" s="307"/>
      <c r="AB13" s="307"/>
    </row>
    <row r="14" ht="15.75" customHeight="1">
      <c r="A14" s="306"/>
      <c r="B14" s="371">
        <f>SUMIFS('Alocação'!$M:$M, 'Alocação'!$B:$B, Controle!$B$6,'Alocação'!$D:$D,"&lt;&gt;"&amp;"Futuros",'Alocação'!$F:$F,"="&amp;$N$4)</f>
        <v>4620000</v>
      </c>
      <c r="C14" s="372"/>
      <c r="D14" s="373">
        <f>0</f>
        <v>0</v>
      </c>
      <c r="E14" s="374">
        <f> SUMIFS(Controle!$AR$11:$AR$1000,Controle!$AO$11:$AO$1000,"="&amp;"Futuros")</f>
        <v>278704.51</v>
      </c>
      <c r="F14" s="365"/>
      <c r="G14" s="306"/>
      <c r="H14" s="306"/>
      <c r="I14" s="306"/>
      <c r="J14" s="306"/>
      <c r="K14" s="375" t="s">
        <v>349</v>
      </c>
      <c r="L14" s="375" t="s">
        <v>350</v>
      </c>
      <c r="M14" s="307"/>
      <c r="N14" s="353" t="s">
        <v>351</v>
      </c>
      <c r="O14" s="123"/>
      <c r="P14" s="307"/>
      <c r="Q14" s="307"/>
      <c r="R14" s="307"/>
      <c r="S14" s="307"/>
      <c r="T14" s="307"/>
      <c r="U14" s="307"/>
      <c r="V14" s="307"/>
      <c r="W14" s="307"/>
      <c r="X14" s="307"/>
      <c r="Y14" s="307"/>
      <c r="Z14" s="307"/>
      <c r="AA14" s="307"/>
      <c r="AB14" s="307"/>
    </row>
    <row r="15" ht="15.75" customHeight="1">
      <c r="A15" s="306"/>
      <c r="B15" s="306"/>
      <c r="C15" s="306"/>
      <c r="D15" s="306"/>
      <c r="E15" s="306"/>
      <c r="F15" s="306"/>
      <c r="G15" s="306"/>
      <c r="H15" s="306"/>
      <c r="I15" s="306"/>
      <c r="J15" s="306"/>
      <c r="K15" s="376">
        <f>SUM($F$18:$F$999)</f>
        <v>1.600918326</v>
      </c>
      <c r="L15" s="376">
        <f>SUM($E$18:$E$999)</f>
        <v>0.5393318539</v>
      </c>
      <c r="M15" s="307"/>
      <c r="N15" s="336" t="s">
        <v>352</v>
      </c>
      <c r="O15" s="337" t="s">
        <v>343</v>
      </c>
      <c r="P15" s="307"/>
      <c r="Q15" s="307"/>
      <c r="R15" s="307"/>
      <c r="S15" s="307"/>
      <c r="T15" s="307"/>
      <c r="U15" s="307"/>
      <c r="V15" s="307"/>
      <c r="W15" s="377"/>
      <c r="X15" s="377"/>
      <c r="Y15" s="377"/>
      <c r="Z15" s="377"/>
      <c r="AA15" s="377"/>
      <c r="AB15" s="307"/>
    </row>
    <row r="16" ht="15.75" customHeight="1">
      <c r="A16" s="306"/>
      <c r="B16" s="306"/>
      <c r="C16" s="306"/>
      <c r="D16" s="306"/>
      <c r="E16" s="306"/>
      <c r="F16" s="306"/>
      <c r="G16" s="306"/>
      <c r="H16" s="306"/>
      <c r="I16" s="306"/>
      <c r="J16" s="306"/>
      <c r="K16" s="311"/>
      <c r="L16" s="311"/>
      <c r="M16" s="348"/>
      <c r="N16" s="346">
        <f>$D$12</f>
        <v>-6359.123969</v>
      </c>
      <c r="O16" s="347">
        <f>$N$16/$C$6</f>
        <v>-0.00005908354097</v>
      </c>
      <c r="P16" s="307"/>
      <c r="Q16" s="307"/>
      <c r="R16" s="348"/>
      <c r="S16" s="348"/>
      <c r="T16" s="348"/>
      <c r="U16" s="307"/>
      <c r="V16" s="307"/>
      <c r="W16" s="378" t="s">
        <v>353</v>
      </c>
      <c r="X16" s="122"/>
      <c r="Y16" s="122"/>
      <c r="Z16" s="122"/>
      <c r="AA16" s="123"/>
      <c r="AB16" s="307"/>
    </row>
    <row r="17" ht="15.75" customHeight="1">
      <c r="A17" s="348"/>
      <c r="B17" s="379" t="s">
        <v>183</v>
      </c>
      <c r="C17" s="379" t="s">
        <v>324</v>
      </c>
      <c r="D17" s="380" t="s">
        <v>354</v>
      </c>
      <c r="E17" s="381" t="s">
        <v>355</v>
      </c>
      <c r="F17" s="381" t="s">
        <v>356</v>
      </c>
      <c r="G17" s="381" t="s">
        <v>357</v>
      </c>
      <c r="H17" s="381" t="s">
        <v>343</v>
      </c>
      <c r="I17" s="427"/>
      <c r="J17" s="383"/>
      <c r="K17" s="384"/>
      <c r="L17" s="385" t="s">
        <v>359</v>
      </c>
      <c r="M17" s="383"/>
      <c r="N17" s="352"/>
      <c r="O17" s="352"/>
      <c r="P17" s="348"/>
      <c r="Q17" s="247"/>
      <c r="R17" s="307" t="s">
        <v>360</v>
      </c>
      <c r="S17" s="307" t="s">
        <v>361</v>
      </c>
      <c r="T17" s="307" t="s">
        <v>362</v>
      </c>
      <c r="U17" s="247"/>
      <c r="V17" s="307"/>
      <c r="W17" s="388" t="s">
        <v>183</v>
      </c>
      <c r="X17" s="389" t="s">
        <v>354</v>
      </c>
      <c r="Y17" s="389" t="s">
        <v>363</v>
      </c>
      <c r="Z17" s="389" t="s">
        <v>364</v>
      </c>
      <c r="AA17" s="389" t="s">
        <v>365</v>
      </c>
      <c r="AB17" s="348"/>
    </row>
    <row r="18" ht="15.75" customHeight="1">
      <c r="A18" s="348"/>
      <c r="B18" s="390" t="str">
        <f>IFERROR(__xludf.DUMMYFUNCTION("IFERROR(UNIQUE(filter(VSTACK('Controle D-1'!AN11:AN46,Controle!AN11:AN46),VSTACK('Controle D-1'!AN11:AN46,Controle!AN11:AN46)&lt;&gt;0),""""))"),"AZUL4")</f>
        <v>AZUL4</v>
      </c>
      <c r="C18" s="391">
        <f>IF($B18 &lt;&gt; "",SUMIFS('Alocação'!$O$3:$O$1002,'Alocação'!$C$3:$C$1002,$B18,'Alocação'!$F$3:$F$1002,$N$4,'Alocação'!$B$3:$B$1002,"&lt;="&amp;$B$3), "")</f>
        <v>-1</v>
      </c>
      <c r="D18" s="391" t="str">
        <f t="array" ref="D18">IFERROR(XLOOKUP($B18,'Cadastro dos Ativos'!$A:$A,'Cadastro dos Ativos'!$C:$C, ""))</f>
        <v>Ações Listadas na B3</v>
      </c>
      <c r="E18" s="392">
        <f>IFS($D18="Ações Listadas na B3", (($C18 * HLOOKUP($B18, 'Histórico'!$A$1:$FI$296, MATCH($B$3,'Histórico'!$A:$A),0)) / $B$6),
$D18="Ações Americanas",(($C18 * HLOOKUP($B18, 'Histórico'!$A$1:$FI$296, MATCH($B$3,'Histórico'!$A:$A),0)) * HLOOKUP("PTAX", 'Histórico'!$A$1:$FI$296, MATCH($B$3,'Histórico'!$A:$A),0) / $B$6),
$D18="Ações Europeias",(($C18 * HLOOKUP($B18, 'Histórico'!$A$1:$FI$296, MATCH($B$3,'Histórico'!$A:$A),0)) * HLOOKUP("EUR/BRL", 'Histórico'!$A$1:$FI$296, MATCH($B$3,'Histórico'!$A:$A),0) / $B$6),
$D18="Futuros",(SUMIFS('Alocação'!$N:$N,'Alocação'!$C:$C,$B18,'Alocação'!$F:$F,$N$4,'Alocação'!$B:$B,"&lt;="&amp;$B$3))/($B$6)+($C18*SUMPRODUCT(('Histórico T'!$A:$A=$B18)*('Histórico T'!$B:$AAW)))/($B$6),$D18="Moedas",(($C18 * HLOOKUP($B18, 'Histórico'!$A$1:$FI$296, MATCH($B$3,'Histórico'!$A:$A),0)) / $B$6),$D18="Títulos", (($C18 * HLOOKUP($B18, 'Histórico'!$A$1:$FI$296, MATCH($B$3,'Histórico'!$A:$A),0)) / $B$6),$B18="","")</f>
        <v>-0.0000001380093696</v>
      </c>
      <c r="F18" s="393">
        <f t="shared" ref="F18:F37" si="6">IF($E18="","", ABS($E18))</f>
        <v>0.0000001380093696</v>
      </c>
      <c r="G18" s="463">
        <f>IFS(OR($D18="Ações Listadas na B3",$D18="Ações Americanas",$D18="Moedas",$D18="Ações Europeias",$D18="Títulos"),$AA18,
$D18="Futuros",
(SUMIFS('Alocação'!$O$3:$O$1002,'Alocação'!$C$3:$C$1002,B18,'Alocação'!$F$3:$F$1002,N$4,'Alocação'!$B$3:$B$1002,"&lt;="&amp;$C$3))*HLOOKUP(B18,'Histórico'!$A$1:$DD$990,MATCH($B$3,'Histórico'!$A:$A),FALSE),
$D18="",""
)</f>
        <v>-0.4400005341</v>
      </c>
      <c r="H18" s="444">
        <f t="shared" ref="H18:H37" si="7">IF(($G18)/$C$6 &lt;&gt; 0 , ($G18)/$C$6 , "")</f>
        <v>-0.000000004088108631</v>
      </c>
      <c r="I18" s="464"/>
      <c r="J18" s="383"/>
      <c r="K18" s="397" t="s">
        <v>366</v>
      </c>
      <c r="L18" s="344">
        <f>STDEV(Controle!$P$91:$P$242)</f>
        <v>0.002319980304</v>
      </c>
      <c r="M18" s="383"/>
      <c r="N18" s="336" t="s">
        <v>367</v>
      </c>
      <c r="O18" s="465">
        <f>SUM($N$8,$N$12,$N$16)</f>
        <v>551698.4981</v>
      </c>
      <c r="P18" s="466" t="s">
        <v>343</v>
      </c>
      <c r="Q18" s="247"/>
      <c r="R18" s="400">
        <f t="array" ref="R18">IFERROR(IF(D18&lt;&gt;"Futuros",
(INDEX('Histórico'!$B$1:$ADT983, MATCH($B$3, 'Histórico'!$A$1:$A983, 0), MATCH(B18, 'Histórico'!$1:$1, 0)-1)/INDEX('Histórico'!$B$1:$ADT983, MATCH($C$3, 'Histórico'!$A$1:$A983, 0), MATCH(B18, 'Histórico'!$1:$1, 0)-1)-1),
""),"")</f>
        <v>0.03036580683</v>
      </c>
      <c r="S18" s="401">
        <f t="shared" ref="S18:S35" si="8">IF(R18&lt;&gt;"",R18*(RANDBETWEEN(1,1.2)/1000000000),"")</f>
        <v>0</v>
      </c>
      <c r="T18" s="402">
        <f t="shared" ref="T18:T35" si="9">IF(S18&lt;&gt;"", RANK(S18,$S$18:$S$37),"")</f>
        <v>1</v>
      </c>
      <c r="U18" s="247"/>
      <c r="V18" s="307"/>
      <c r="W18" s="403" t="str">
        <f>IFERROR(__xludf.DUMMYFUNCTION("IFERROR(UNIQUE(filter(VSTACK('Controle D-1'!AN11:AN46,Controle!AN11:AN46),VSTACK('Controle D-1'!AN11:AN46,Controle!AN11:AN46)&lt;&gt;0),""""))"),"AZUL4")</f>
        <v>AZUL4</v>
      </c>
      <c r="X18" s="404" t="str">
        <f t="array" ref="X18">IFERROR(XLOOKUP($W18,'Cadastro dos Ativos'!$A:$A,'Cadastro dos Ativos'!$C:$C, ""))</f>
        <v>Ações Listadas na B3</v>
      </c>
      <c r="Y18" s="405">
        <f t="array" ref="Y18">IFERROR(IFERROR(IF($X18&lt;&gt;"Futuros", 
IFERROR(XLOOKUP($W18, Controle!$AN$11:$AN$1001,Controle!$AR$11:$AR$1001),0)-XLOOKUP($W18, 'Controle D-1'!$AN$11:$AN$1001,'Controle D-1'!$AR$11:$AR$1001), 
""),XLOOKUP($W18, Controle!$AN$11:$AN$1001,Controle!$AR$11:$AR$1001)),"")</f>
        <v>-0.4400005341</v>
      </c>
      <c r="Z18" s="405">
        <f>IFS($X18&lt;&gt;"Futuros", SUMIFS('Alocação'!$M$2:$M$1003,'Alocação'!$C$2:$C$1003,$W18,'Alocação'!$B$2:$B$1003,$B$3,'Alocação'!$F$2:$F$1003,$N$4),
$X18="","",
$X18="Futuros","")</f>
        <v>0</v>
      </c>
      <c r="AA18" s="405">
        <f t="shared" ref="AA18:AA31" si="10">IF(Y18="","",IF(Y18=0,0,($Y18+$Z18)))</f>
        <v>-0.4400005341</v>
      </c>
      <c r="AB18" s="348"/>
    </row>
    <row r="19" ht="15.75" customHeight="1">
      <c r="A19" s="348"/>
      <c r="B19" s="406" t="str">
        <f>IFERROR(__xludf.DUMMYFUNCTION("""COMPUTED_VALUE"""),"DRIV")</f>
        <v>DRIV</v>
      </c>
      <c r="C19" s="4">
        <f>IF($B19 &lt;&gt; "",SUMIFS('Alocação'!$O$3:$O$1002,'Alocação'!$C$3:$C$1002,$B19,'Alocação'!$F$3:$F$1002,$N$4,'Alocação'!$B$3:$B$1002,"&lt;="&amp;$B$3), "")</f>
        <v>50000</v>
      </c>
      <c r="D19" s="4" t="str">
        <f t="array" ref="D19">IFERROR(XLOOKUP($B19,'Cadastro dos Ativos'!$A:$A,'Cadastro dos Ativos'!$C:$C, ""))</f>
        <v>Ações Americanas</v>
      </c>
      <c r="E19" s="407">
        <f>IFS($D19="Ações Listadas na B3", (($C19 * HLOOKUP($B19, 'Histórico'!$A$1:$FI$296, MATCH($B$3,'Histórico'!$A:$A),0)) / $B$6),
$D19="Ações Americanas",(($C19 * HLOOKUP($B19, 'Histórico'!$A$1:$FI$296, MATCH($B$3,'Histórico'!$A:$A),0)) * HLOOKUP("PTAX", 'Histórico'!$A$1:$FI$296, MATCH($B$3,'Histórico'!$A:$A),0) / $B$6),
$D19="Ações Europeias",(($C19 * HLOOKUP($B19, 'Histórico'!$A$1:$FI$296, MATCH($B$3,'Histórico'!$A:$A),0)) * HLOOKUP("EUR/BRL", 'Histórico'!$A$1:$FI$296, MATCH($B$3,'Histórico'!$A:$A),0) / $B$6),
$D19="Futuros",(SUMIFS('Alocação'!$N:$N,'Alocação'!$C:$C,$B19,'Alocação'!$F:$F,$N$4,'Alocação'!$B:$B,"&lt;="&amp;$B$3))/($B$6)+($C19*SUMPRODUCT(('Histórico T'!$A:$A=$B19)*('Histórico T'!$B:$AAW)))/($B$6),$D19="Moedas",(($C19 * HLOOKUP($B19, 'Histórico'!$A$1:$FI$296, MATCH($B$3,'Histórico'!$A:$A),0)) / $B$6),$D19="Títulos", (($C19 * HLOOKUP($B19, 'Histórico'!$A$1:$FI$296, MATCH($B$3,'Histórico'!$A:$A),0)) / $B$6),$B19="","")</f>
        <v>0.05746864723</v>
      </c>
      <c r="F19" s="408">
        <f t="shared" si="6"/>
        <v>0.05746864723</v>
      </c>
      <c r="G19" s="394">
        <f>IFS(OR($D19="Ações Listadas na B3",$D19="Ações Americanas",$D19="Moedas",$D19="Ações Europeias",$D19="Títulos"),$AA19,
$D19="Futuros",
(SUMIFS('Alocação'!$O$3:$O$1002,'Alocação'!$C$3:$C$1002,B19,'Alocação'!$F$3:$F$1002,N$4,'Alocação'!$B$3:$B$1002,"&lt;="&amp;$C$3))*HLOOKUP(B19,'Histórico'!$A$1:$DD$990,MATCH($B$3,'Histórico'!$A:$A),FALSE),
$D19="",""
)</f>
        <v>47310.67248</v>
      </c>
      <c r="H19" s="446">
        <f t="shared" si="7"/>
        <v>0.000439570304</v>
      </c>
      <c r="I19" s="467"/>
      <c r="J19" s="383"/>
      <c r="K19" s="397" t="s">
        <v>368</v>
      </c>
      <c r="L19" s="344">
        <f>L18*(252^0.5)</f>
        <v>0.03682854559</v>
      </c>
      <c r="M19" s="383"/>
      <c r="N19" s="336" t="s">
        <v>369</v>
      </c>
      <c r="O19" s="409">
        <f>B6-C6</f>
        <v>551698.4981</v>
      </c>
      <c r="P19" s="447">
        <f>SUM($O$8,$O$12,$O$16)</f>
        <v>0.005125910578</v>
      </c>
      <c r="Q19" s="247"/>
      <c r="R19" s="400">
        <f t="array" ref="R19">IFERROR(IF(D19&lt;&gt;"Futuros",
(INDEX('Histórico'!$B$1:$ADT984, MATCH($B$3, 'Histórico'!$A$1:$A984, 0), MATCH(B19, 'Histórico'!$1:$1, 0)-1)/INDEX('Histórico'!$B$1:$ADT984, MATCH($C$3, 'Histórico'!$A$1:$A984, 0), MATCH(B19, 'Histórico'!$1:$1, 0)-1)-1),
""),"")</f>
        <v>0.007627480338</v>
      </c>
      <c r="S19" s="401">
        <f t="shared" si="8"/>
        <v>0</v>
      </c>
      <c r="T19" s="402">
        <f t="shared" si="9"/>
        <v>4</v>
      </c>
      <c r="U19" s="247"/>
      <c r="V19" s="307"/>
      <c r="W19" s="403" t="str">
        <f>IFERROR(__xludf.DUMMYFUNCTION("""COMPUTED_VALUE"""),"DRIV")</f>
        <v>DRIV</v>
      </c>
      <c r="X19" s="404" t="str">
        <f t="array" ref="X19">IFERROR(XLOOKUP($W19,'Cadastro dos Ativos'!$A:$A,'Cadastro dos Ativos'!$C:$C, ""))</f>
        <v>Ações Americanas</v>
      </c>
      <c r="Y19" s="405">
        <f t="array" ref="Y19">IFERROR(IFERROR(IF($X19&lt;&gt;"Futuros", 
IFERROR(XLOOKUP($W19, Controle!$AN$11:$AN$1001,Controle!$AR$11:$AR$1001),0)-XLOOKUP($W19, 'Controle D-1'!$AN$11:$AN$1001,'Controle D-1'!$AR$11:$AR$1001), 
""),XLOOKUP($W19, Controle!$AN$11:$AN$1001,Controle!$AR$11:$AR$1001)),"")</f>
        <v>47310.67248</v>
      </c>
      <c r="Z19" s="405">
        <f>IFS($X19&lt;&gt;"Futuros", SUMIFS('Alocação'!$M$2:$M$1003,'Alocação'!$C$2:$C$1003,$W19,'Alocação'!$B$2:$B$1003,$B$3,'Alocação'!$F$2:$F$1003,$N$4),
$X19="","",
$X19="Futuros","")</f>
        <v>0</v>
      </c>
      <c r="AA19" s="405">
        <f t="shared" si="10"/>
        <v>47310.67248</v>
      </c>
      <c r="AB19" s="348"/>
    </row>
    <row r="20" ht="15.75" customHeight="1">
      <c r="A20" s="348"/>
      <c r="B20" s="406" t="str">
        <f>IFERROR(__xludf.DUMMYFUNCTION("""COMPUTED_VALUE"""),"XLP")</f>
        <v>XLP</v>
      </c>
      <c r="C20" s="4">
        <f>IF($B20 &lt;&gt; "",SUMIFS('Alocação'!$O$3:$O$1002,'Alocação'!$C$3:$C$1002,$B20,'Alocação'!$F$3:$F$1002,$N$4,'Alocação'!$B$3:$B$1002,"&lt;="&amp;$B$3), "")</f>
        <v>30000</v>
      </c>
      <c r="D20" s="4" t="str">
        <f t="array" ref="D20">IFERROR(XLOOKUP($B20,'Cadastro dos Ativos'!$A:$A,'Cadastro dos Ativos'!$C:$C, ""))</f>
        <v>Ações Americanas</v>
      </c>
      <c r="E20" s="407">
        <f>IFS($D20="Ações Listadas na B3", (($C20 * HLOOKUP($B20, 'Histórico'!$A$1:$FI$296, MATCH($B$3,'Histórico'!$A:$A),0)) / $B$6),
$D20="Ações Americanas",(($C20 * HLOOKUP($B20, 'Histórico'!$A$1:$FI$296, MATCH($B$3,'Histórico'!$A:$A),0)) * HLOOKUP("PTAX", 'Histórico'!$A$1:$FI$296, MATCH($B$3,'Histórico'!$A:$A),0) / $B$6),
$D20="Ações Europeias",(($C20 * HLOOKUP($B20, 'Histórico'!$A$1:$FI$296, MATCH($B$3,'Histórico'!$A:$A),0)) * HLOOKUP("EUR/BRL", 'Histórico'!$A$1:$FI$296, MATCH($B$3,'Histórico'!$A:$A),0) / $B$6),
$D20="Futuros",(SUMIFS('Alocação'!$N:$N,'Alocação'!$C:$C,$B20,'Alocação'!$F:$F,$N$4,'Alocação'!$B:$B,"&lt;="&amp;$B$3))/($B$6)+($C20*SUMPRODUCT(('Histórico T'!$A:$A=$B20)*('Histórico T'!$B:$AAW)))/($B$6),$D20="Moedas",(($C20 * HLOOKUP($B20, 'Histórico'!$A$1:$FI$296, MATCH($B$3,'Histórico'!$A:$A),0)) / $B$6),$D20="Títulos", (($C20 * HLOOKUP($B20, 'Histórico'!$A$1:$FI$296, MATCH($B$3,'Histórico'!$A:$A),0)) / $B$6),$B20="","")</f>
        <v>0.09910250469</v>
      </c>
      <c r="F20" s="408">
        <f t="shared" si="6"/>
        <v>0.09910250469</v>
      </c>
      <c r="G20" s="394">
        <f>IFS(OR($D20="Ações Listadas na B3",$D20="Ações Americanas",$D20="Moedas",$D20="Ações Europeias",$D20="Títulos"),$AA20,
$D20="Futuros",
(SUMIFS('Alocação'!$O$3:$O$1002,'Alocação'!$C$3:$C$1002,B20,'Alocação'!$F$3:$F$1002,N$4,'Alocação'!$B$3:$B$1002,"&lt;="&amp;$C$3))*HLOOKUP(B20,'Histórico'!$A$1:$DD$990,MATCH($B$3,'Histórico'!$A:$A),FALSE),
$D20="",""
)</f>
        <v>-91703.93905</v>
      </c>
      <c r="H20" s="446">
        <f t="shared" si="7"/>
        <v>-0.0008520345675</v>
      </c>
      <c r="I20" s="467"/>
      <c r="J20" s="383"/>
      <c r="K20" s="386"/>
      <c r="L20" s="412"/>
      <c r="M20" s="383"/>
      <c r="N20" s="336" t="s">
        <v>370</v>
      </c>
      <c r="O20" s="413" t="str">
        <f>IF(ABS($O$21)&lt;0.0001,"Verdade","Falso")</f>
        <v>Verdade</v>
      </c>
      <c r="P20" s="413" t="str">
        <f>IF(ABS($P$21)&lt;0.0001,"Verdade","Falso")</f>
        <v>Verdade</v>
      </c>
      <c r="Q20" s="247"/>
      <c r="R20" s="400">
        <f t="array" ref="R20">IFERROR(IF(D20&lt;&gt;"Futuros",
(INDEX('Histórico'!$B$1:$ADT985, MATCH($B$3, 'Histórico'!$A$1:$A985, 0), MATCH(B20, 'Histórico'!$1:$1, 0)-1)/INDEX('Histórico'!$B$1:$ADT985, MATCH($C$3, 'Histórico'!$A$1:$A985, 0), MATCH(B20, 'Histórico'!$1:$1, 0)-1)-1),
""),"")</f>
        <v>-0.008521202974</v>
      </c>
      <c r="S20" s="401">
        <f t="shared" si="8"/>
        <v>0</v>
      </c>
      <c r="T20" s="402">
        <f t="shared" si="9"/>
        <v>6</v>
      </c>
      <c r="U20" s="247"/>
      <c r="V20" s="307"/>
      <c r="W20" s="403" t="str">
        <f>IFERROR(__xludf.DUMMYFUNCTION("""COMPUTED_VALUE"""),"XLP")</f>
        <v>XLP</v>
      </c>
      <c r="X20" s="404" t="str">
        <f t="array" ref="X20">IFERROR(XLOOKUP($W20,'Cadastro dos Ativos'!$A:$A,'Cadastro dos Ativos'!$C:$C, ""))</f>
        <v>Ações Americanas</v>
      </c>
      <c r="Y20" s="405">
        <f t="array" ref="Y20">IFERROR(IFERROR(IF($X20&lt;&gt;"Futuros", 
IFERROR(XLOOKUP($W20, Controle!$AN$11:$AN$1001,Controle!$AR$11:$AR$1001),0)-XLOOKUP($W20, 'Controle D-1'!$AN$11:$AN$1001,'Controle D-1'!$AR$11:$AR$1001), 
""),XLOOKUP($W20, Controle!$AN$11:$AN$1001,Controle!$AR$11:$AR$1001)),"")</f>
        <v>-91703.93905</v>
      </c>
      <c r="Z20" s="405">
        <f>IFS($X20&lt;&gt;"Futuros", SUMIFS('Alocação'!$M$2:$M$1003,'Alocação'!$C$2:$C$1003,$W20,'Alocação'!$B$2:$B$1003,$B$3,'Alocação'!$F$2:$F$1003,$N$4),
$X20="","",
$X20="Futuros","")</f>
        <v>0</v>
      </c>
      <c r="AA20" s="405">
        <f t="shared" si="10"/>
        <v>-91703.93905</v>
      </c>
      <c r="AB20" s="307"/>
    </row>
    <row r="21" ht="15.75" customHeight="1">
      <c r="A21" s="348"/>
      <c r="B21" s="406" t="str">
        <f>IFERROR(__xludf.DUMMYFUNCTION("""COMPUTED_VALUE"""),"NKE")</f>
        <v>NKE</v>
      </c>
      <c r="C21" s="4">
        <f>IF($B21 &lt;&gt; "",SUMIFS('Alocação'!$O$3:$O$1002,'Alocação'!$C$3:$C$1002,$B21,'Alocação'!$F$3:$F$1002,$N$4,'Alocação'!$B$3:$B$1002,"&lt;="&amp;$B$3), "")</f>
        <v>11000</v>
      </c>
      <c r="D21" s="4" t="str">
        <f t="array" ref="D21">IFERROR(XLOOKUP($B21,'Cadastro dos Ativos'!$A:$A,'Cadastro dos Ativos'!$C:$C, ""))</f>
        <v>Ações Americanas</v>
      </c>
      <c r="E21" s="407">
        <f>IFS($D21="Ações Listadas na B3", (($C21 * HLOOKUP($B21, 'Histórico'!$A$1:$FI$296, MATCH($B$3,'Histórico'!$A:$A),0)) / $B$6),
$D21="Ações Americanas",(($C21 * HLOOKUP($B21, 'Histórico'!$A$1:$FI$296, MATCH($B$3,'Histórico'!$A:$A),0)) * HLOOKUP("PTAX", 'Histórico'!$A$1:$FI$296, MATCH($B$3,'Histórico'!$A:$A),0) / $B$6),
$D21="Ações Europeias",(($C21 * HLOOKUP($B21, 'Histórico'!$A$1:$FI$296, MATCH($B$3,'Histórico'!$A:$A),0)) * HLOOKUP("EUR/BRL", 'Histórico'!$A$1:$FI$296, MATCH($B$3,'Histórico'!$A:$A),0) / $B$6),
$D21="Futuros",(SUMIFS('Alocação'!$N:$N,'Alocação'!$C:$C,$B21,'Alocação'!$F:$F,$N$4,'Alocação'!$B:$B,"&lt;="&amp;$B$3))/($B$6)+($C21*SUMPRODUCT(('Histórico T'!$A:$A=$B21)*('Histórico T'!$B:$AAW)))/($B$6),$D21="Moedas",(($C21 * HLOOKUP($B21, 'Histórico'!$A$1:$FI$296, MATCH($B$3,'Histórico'!$A:$A),0)) / $B$6),$D21="Títulos", (($C21 * HLOOKUP($B21, 'Histórico'!$A$1:$FI$296, MATCH($B$3,'Histórico'!$A:$A),0)) / $B$6),$B21="","")</f>
        <v>0.05155967923</v>
      </c>
      <c r="F21" s="408">
        <f t="shared" si="6"/>
        <v>0.05155967923</v>
      </c>
      <c r="G21" s="394">
        <f>IFS(OR($D21="Ações Listadas na B3",$D21="Ações Americanas",$D21="Moedas",$D21="Ações Europeias",$D21="Títulos"),$AA21,
$D21="Futuros",
(SUMIFS('Alocação'!$O$3:$O$1002,'Alocação'!$C$3:$C$1002,B21,'Alocação'!$F$3:$F$1002,N$4,'Alocação'!$B$3:$B$1002,"&lt;="&amp;$C$3))*HLOOKUP(B21,'Histórico'!$A$1:$DD$990,MATCH($B$3,'Histórico'!$A:$A),FALSE),
$D21="",""
)</f>
        <v>35643.82046</v>
      </c>
      <c r="H21" s="446">
        <f t="shared" si="7"/>
        <v>0.0003311718937</v>
      </c>
      <c r="I21" s="467"/>
      <c r="J21" s="383"/>
      <c r="K21" s="384"/>
      <c r="L21" s="414" t="s">
        <v>371</v>
      </c>
      <c r="M21" s="383"/>
      <c r="N21" s="336" t="s">
        <v>372</v>
      </c>
      <c r="O21" s="449">
        <f>O18-O19</f>
        <v>-0.00000006100162864</v>
      </c>
      <c r="P21" s="450">
        <f>$P$19-$D$8</f>
        <v>0</v>
      </c>
      <c r="Q21" s="247"/>
      <c r="R21" s="400">
        <f t="array" ref="R21">IFERROR(IF(D21&lt;&gt;"Futuros",
(INDEX('Histórico'!$B$1:$ADT986, MATCH($B$3, 'Histórico'!$A$1:$A986, 0), MATCH(B21, 'Histórico'!$1:$1, 0)-1)/INDEX('Histórico'!$B$1:$ADT986, MATCH($C$3, 'Histórico'!$A$1:$A986, 0), MATCH(B21, 'Histórico'!$1:$1, 0)-1)-1),
""),"")</f>
        <v>0.00639073377</v>
      </c>
      <c r="S21" s="401">
        <f t="shared" si="8"/>
        <v>0</v>
      </c>
      <c r="T21" s="402">
        <f t="shared" si="9"/>
        <v>5</v>
      </c>
      <c r="U21" s="247"/>
      <c r="V21" s="307"/>
      <c r="W21" s="403" t="str">
        <f>IFERROR(__xludf.DUMMYFUNCTION("""COMPUTED_VALUE"""),"NKE")</f>
        <v>NKE</v>
      </c>
      <c r="X21" s="404" t="str">
        <f t="array" ref="X21">IFERROR(XLOOKUP($W21,'Cadastro dos Ativos'!$A:$A,'Cadastro dos Ativos'!$C:$C, ""))</f>
        <v>Ações Americanas</v>
      </c>
      <c r="Y21" s="405">
        <f t="array" ref="Y21">IFERROR(IFERROR(IF($X21&lt;&gt;"Futuros", 
IFERROR(XLOOKUP($W21, Controle!$AN$11:$AN$1001,Controle!$AR$11:$AR$1001),0)-XLOOKUP($W21, 'Controle D-1'!$AN$11:$AN$1001,'Controle D-1'!$AR$11:$AR$1001), 
""),XLOOKUP($W21, Controle!$AN$11:$AN$1001,Controle!$AR$11:$AR$1001)),"")</f>
        <v>35643.82046</v>
      </c>
      <c r="Z21" s="405">
        <f>IFS($X21&lt;&gt;"Futuros", SUMIFS('Alocação'!$M$2:$M$1003,'Alocação'!$C$2:$C$1003,$W21,'Alocação'!$B$2:$B$1003,$B$3,'Alocação'!$F$2:$F$1003,$N$4),
$X21="","",
$X21="Futuros","")</f>
        <v>0</v>
      </c>
      <c r="AA21" s="405">
        <f t="shared" si="10"/>
        <v>35643.82046</v>
      </c>
      <c r="AB21" s="307"/>
    </row>
    <row r="22" ht="15.75" customHeight="1">
      <c r="A22" s="348"/>
      <c r="B22" s="406" t="str">
        <f>IFERROR(__xludf.DUMMYFUNCTION("""COMPUTED_VALUE"""),"SJC-F24")</f>
        <v>SJC-F24</v>
      </c>
      <c r="C22" s="4">
        <f>IF($B22 &lt;&gt; "",SUMIFS('Alocação'!$O$3:$O$1002,'Alocação'!$C$3:$C$1002,$B22,'Alocação'!$F$3:$F$1002,$N$4,'Alocação'!$B$3:$B$1002,"&lt;="&amp;$B$3), "")</f>
        <v>120</v>
      </c>
      <c r="D22" s="4" t="str">
        <f t="array" ref="D22">IFERROR(XLOOKUP($B22,'Cadastro dos Ativos'!$A:$A,'Cadastro dos Ativos'!$C:$C, ""))</f>
        <v>Futuros</v>
      </c>
      <c r="E22" s="407">
        <f>IFS($D22="Ações Listadas na B3", (($C22 * HLOOKUP($B22, 'Histórico'!$A$1:$FI$296, MATCH($B$3,'Histórico'!$A:$A),0)) / $B$6),
$D22="Ações Americanas",(($C22 * HLOOKUP($B22, 'Histórico'!$A$1:$FI$296, MATCH($B$3,'Histórico'!$A:$A),0)) * HLOOKUP("PTAX", 'Histórico'!$A$1:$FI$296, MATCH($B$3,'Histórico'!$A:$A),0) / $B$6),
$D22="Ações Europeias",(($C22 * HLOOKUP($B22, 'Histórico'!$A$1:$FI$296, MATCH($B$3,'Histórico'!$A:$A),0)) * HLOOKUP("EUR/BRL", 'Histórico'!$A$1:$FI$296, MATCH($B$3,'Histórico'!$A:$A),0) / $B$6),
$D22="Futuros",(SUMIFS('Alocação'!$N:$N,'Alocação'!$C:$C,$B22,'Alocação'!$F:$F,$N$4,'Alocação'!$B:$B,"&lt;="&amp;$B$3))/($B$6)+($C22*SUMPRODUCT(('Histórico T'!$A:$A=$B22)*('Histórico T'!$B:$AAW)))/($B$6),$D22="Moedas",(($C22 * HLOOKUP($B22, 'Histórico'!$A$1:$FI$296, MATCH($B$3,'Histórico'!$A:$A),0)) / $B$6),$D22="Títulos", (($C22 * HLOOKUP($B22, 'Histórico'!$A$1:$FI$296, MATCH($B$3,'Histórico'!$A:$A),0)) / $B$6),$B22="","")</f>
        <v>0.07499458916</v>
      </c>
      <c r="F22" s="408">
        <f t="shared" si="6"/>
        <v>0.07499458916</v>
      </c>
      <c r="G22" s="394">
        <f>IFS(OR($D22="Ações Listadas na B3",$D22="Ações Americanas",$D22="Moedas",$D22="Ações Europeias",$D22="Títulos"),$AA22,
$D22="Futuros",
(SUMIFS('Alocação'!$O$3:$O$1002,'Alocação'!$C$3:$C$1002,B22,'Alocação'!$F$3:$F$1002,N$4,'Alocação'!$B$3:$B$1002,"&lt;="&amp;$C$3))*HLOOKUP(B22,'Histórico'!$A$1:$DD$990,MATCH($B$3,'Histórico'!$A:$A),FALSE),
$D22="",""
)</f>
        <v>4395.6</v>
      </c>
      <c r="H22" s="446">
        <f t="shared" si="7"/>
        <v>0.00004084015565</v>
      </c>
      <c r="I22" s="467"/>
      <c r="J22" s="383"/>
      <c r="K22" s="415">
        <v>0.95</v>
      </c>
      <c r="L22" s="344">
        <f>PERCENTILE(Controle!$P$91:$P$242,0.05)</f>
        <v>-0.003275634392</v>
      </c>
      <c r="M22" s="383"/>
      <c r="N22" s="348"/>
      <c r="O22" s="348"/>
      <c r="P22" s="247"/>
      <c r="Q22" s="247"/>
      <c r="R22" s="400" t="str">
        <f t="array" ref="R22">IFERROR(IF(D22&lt;&gt;"Futuros",
(INDEX('Histórico'!$B$1:$ADT987, MATCH($B$3, 'Histórico'!$A$1:$A987, 0), MATCH(B22, 'Histórico'!$1:$1, 0)-1)/INDEX('Histórico'!$B$1:$ADT987, MATCH($C$3, 'Histórico'!$A$1:$A987, 0), MATCH(B22, 'Histórico'!$1:$1, 0)-1)-1),
""),"")</f>
        <v/>
      </c>
      <c r="S22" s="401" t="str">
        <f t="shared" si="8"/>
        <v/>
      </c>
      <c r="T22" s="402" t="str">
        <f t="shared" si="9"/>
        <v/>
      </c>
      <c r="U22" s="247"/>
      <c r="V22" s="348"/>
      <c r="W22" s="403" t="str">
        <f>IFERROR(__xludf.DUMMYFUNCTION("""COMPUTED_VALUE"""),"SJC-F24")</f>
        <v>SJC-F24</v>
      </c>
      <c r="X22" s="404" t="str">
        <f t="array" ref="X22">IFERROR(XLOOKUP($W22,'Cadastro dos Ativos'!$A:$A,'Cadastro dos Ativos'!$C:$C, ""))</f>
        <v>Futuros</v>
      </c>
      <c r="Y22" s="405" t="str">
        <f t="array" ref="Y22">IFERROR(IFERROR(IF($X22&lt;&gt;"Futuros", 
IFERROR(XLOOKUP($W22, Controle!$AN$11:$AN$1001,Controle!$AR$11:$AR$1001),0)-XLOOKUP($W22, 'Controle D-1'!$AN$11:$AN$1001,'Controle D-1'!$AR$11:$AR$1001), 
""),XLOOKUP($W22, Controle!$AN$11:$AN$1001,Controle!$AR$11:$AR$1001)),"")</f>
        <v/>
      </c>
      <c r="Z22" s="405" t="str">
        <f>IFS($X22&lt;&gt;"Futuros", SUMIFS('Alocação'!$M$2:$M$1003,'Alocação'!$C$2:$C$1003,$W22,'Alocação'!$B$2:$B$1003,$B$3,'Alocação'!$F$2:$F$1003,$N$4),
$X22="","",
$X22="Futuros","")</f>
        <v/>
      </c>
      <c r="AA22" s="405" t="str">
        <f t="shared" si="10"/>
        <v/>
      </c>
      <c r="AB22" s="307"/>
    </row>
    <row r="23" ht="15.75" customHeight="1">
      <c r="A23" s="348"/>
      <c r="B23" s="406" t="str">
        <f>IFERROR(__xludf.DUMMYFUNCTION("""COMPUTED_VALUE"""),"BP")</f>
        <v>BP</v>
      </c>
      <c r="C23" s="4">
        <f>IF($B23 &lt;&gt; "",SUMIFS('Alocação'!$O$3:$O$1002,'Alocação'!$C$3:$C$1002,$B23,'Alocação'!$F$3:$F$1002,$N$4,'Alocação'!$B$3:$B$1002,"&lt;="&amp;$B$3), "")</f>
        <v>30000</v>
      </c>
      <c r="D23" s="4" t="str">
        <f t="array" ref="D23">IFERROR(XLOOKUP($B23,'Cadastro dos Ativos'!$A:$A,'Cadastro dos Ativos'!$C:$C, ""))</f>
        <v>Ações Americanas</v>
      </c>
      <c r="E23" s="407">
        <f>IFS($D23="Ações Listadas na B3", (($C23 * HLOOKUP($B23, 'Histórico'!$A$1:$FI$296, MATCH($B$3,'Histórico'!$A:$A),0)) / $B$6),
$D23="Ações Americanas",(($C23 * HLOOKUP($B23, 'Histórico'!$A$1:$FI$296, MATCH($B$3,'Histórico'!$A:$A),0)) * HLOOKUP("PTAX", 'Histórico'!$A$1:$FI$296, MATCH($B$3,'Histórico'!$A:$A),0) / $B$6),
$D23="Ações Europeias",(($C23 * HLOOKUP($B23, 'Histórico'!$A$1:$FI$296, MATCH($B$3,'Histórico'!$A:$A),0)) * HLOOKUP("EUR/BRL", 'Histórico'!$A$1:$FI$296, MATCH($B$3,'Histórico'!$A:$A),0) / $B$6),
$D23="Futuros",(SUMIFS('Alocação'!$N:$N,'Alocação'!$C:$C,$B23,'Alocação'!$F:$F,$N$4,'Alocação'!$B:$B,"&lt;="&amp;$B$3))/($B$6)+($C23*SUMPRODUCT(('Histórico T'!$A:$A=$B23)*('Histórico T'!$B:$AAW)))/($B$6),$D23="Moedas",(($C23 * HLOOKUP($B23, 'Histórico'!$A$1:$FI$296, MATCH($B$3,'Histórico'!$A:$A),0)) / $B$6),$D23="Títulos", (($C23 * HLOOKUP($B23, 'Histórico'!$A$1:$FI$296, MATCH($B$3,'Histórico'!$A:$A),0)) / $B$6),$B23="","")</f>
        <v>0.05238118439</v>
      </c>
      <c r="F23" s="408">
        <f t="shared" si="6"/>
        <v>0.05238118439</v>
      </c>
      <c r="G23" s="394">
        <f>IFS(OR($D23="Ações Listadas na B3",$D23="Ações Americanas",$D23="Moedas",$D23="Ações Europeias",$D23="Títulos"),$AA23,
$D23="Futuros",
(SUMIFS('Alocação'!$O$3:$O$1002,'Alocação'!$C$3:$C$1002,B23,'Alocação'!$F$3:$F$1002,N$4,'Alocação'!$B$3:$B$1002,"&lt;="&amp;$C$3))*HLOOKUP(B23,'Histórico'!$A$1:$DD$990,MATCH($B$3,'Histórico'!$A:$A),FALSE),
$D23="",""
)</f>
        <v>141406.8021</v>
      </c>
      <c r="H23" s="446">
        <f t="shared" si="7"/>
        <v>0.00131383106</v>
      </c>
      <c r="I23" s="467"/>
      <c r="J23" s="383"/>
      <c r="K23" s="415">
        <v>0.99</v>
      </c>
      <c r="L23" s="344">
        <f>PERCENTILE(Controle!$P$91:$P$242,0.01)</f>
        <v>-0.006214299411</v>
      </c>
      <c r="M23" s="383"/>
      <c r="N23" s="353" t="s">
        <v>364</v>
      </c>
      <c r="O23" s="123"/>
      <c r="P23" s="247"/>
      <c r="Q23" s="247"/>
      <c r="R23" s="400">
        <f t="array" ref="R23">IFERROR(IF(D23&lt;&gt;"Futuros",
(INDEX('Histórico'!$B$1:$ADT988, MATCH($B$3, 'Histórico'!$A$1:$A988, 0), MATCH(B23, 'Histórico'!$1:$1, 0)-1)/INDEX('Histórico'!$B$1:$ADT988, MATCH($C$3, 'Histórico'!$A$1:$A988, 0), MATCH(B23, 'Histórico'!$1:$1, 0)-1)-1),
""),"")</f>
        <v>0.02555139202</v>
      </c>
      <c r="S23" s="401">
        <f t="shared" si="8"/>
        <v>0</v>
      </c>
      <c r="T23" s="402">
        <f t="shared" si="9"/>
        <v>2</v>
      </c>
      <c r="U23" s="247"/>
      <c r="V23" s="348"/>
      <c r="W23" s="417" t="str">
        <f>IFERROR(__xludf.DUMMYFUNCTION("""COMPUTED_VALUE"""),"BP")</f>
        <v>BP</v>
      </c>
      <c r="X23" s="404" t="str">
        <f t="array" ref="X23">IFERROR(XLOOKUP($W23,'Cadastro dos Ativos'!$A:$A,'Cadastro dos Ativos'!$C:$C, ""))</f>
        <v>Ações Americanas</v>
      </c>
      <c r="Y23" s="405">
        <f t="array" ref="Y23">IFERROR(IFERROR(IF($X23&lt;&gt;"Futuros", 
IFERROR(XLOOKUP($W23, Controle!$AN$11:$AN$1001,Controle!$AR$11:$AR$1001),0)-XLOOKUP($W23, 'Controle D-1'!$AN$11:$AN$1001,'Controle D-1'!$AR$11:$AR$1001), 
""),XLOOKUP($W23, Controle!$AN$11:$AN$1001,Controle!$AR$11:$AR$1001)),"")</f>
        <v>141406.8021</v>
      </c>
      <c r="Z23" s="405">
        <f>IFS($X23&lt;&gt;"Futuros", SUMIFS('Alocação'!$M$2:$M$1003,'Alocação'!$C$2:$C$1003,$W23,'Alocação'!$B$2:$B$1003,$B$3,'Alocação'!$F$2:$F$1003,$N$4),
$X23="","",
$X23="Futuros","")</f>
        <v>0</v>
      </c>
      <c r="AA23" s="405">
        <f t="shared" si="10"/>
        <v>141406.8021</v>
      </c>
      <c r="AB23" s="307"/>
    </row>
    <row r="24" ht="15.75" customHeight="1">
      <c r="A24" s="348"/>
      <c r="B24" s="406" t="str">
        <f>IFERROR(__xludf.DUMMYFUNCTION("""COMPUTED_VALUE"""),"IND-V23")</f>
        <v>IND-V23</v>
      </c>
      <c r="C24" s="4">
        <f>IF($B24 &lt;&gt; "",SUMIFS('Alocação'!$O$3:$O$1002,'Alocação'!$C$3:$C$1002,$B24,'Alocação'!$F$3:$F$1002,$N$4,'Alocação'!$B$3:$B$1002,"&lt;="&amp;$B$3), "")</f>
        <v>115</v>
      </c>
      <c r="D24" s="4" t="str">
        <f t="array" ref="D24">IFERROR(XLOOKUP($B24,'Cadastro dos Ativos'!$A:$A,'Cadastro dos Ativos'!$C:$C, ""))</f>
        <v>Futuros</v>
      </c>
      <c r="E24" s="407">
        <f>IFS($D24="Ações Listadas na B3", (($C24 * HLOOKUP($B24, 'Histórico'!$A$1:$FI$296, MATCH($B$3,'Histórico'!$A:$A),0)) / $B$6),
$D24="Ações Americanas",(($C24 * HLOOKUP($B24, 'Histórico'!$A$1:$FI$296, MATCH($B$3,'Histórico'!$A:$A),0)) * HLOOKUP("PTAX", 'Histórico'!$A$1:$FI$296, MATCH($B$3,'Histórico'!$A:$A),0) / $B$6),
$D24="Ações Europeias",(($C24 * HLOOKUP($B24, 'Histórico'!$A$1:$FI$296, MATCH($B$3,'Histórico'!$A:$A),0)) * HLOOKUP("EUR/BRL", 'Histórico'!$A$1:$FI$296, MATCH($B$3,'Histórico'!$A:$A),0) / $B$6),
$D24="Futuros",(SUMIFS('Alocação'!$N:$N,'Alocação'!$C:$C,$B24,'Alocação'!$F:$F,$N$4,'Alocação'!$B:$B,"&lt;="&amp;$B$3))/($B$6)+($C24*SUMPRODUCT(('Histórico T'!$A:$A=$B24)*('Histórico T'!$B:$AAW)))/($B$6),$D24="Moedas",(($C24 * HLOOKUP($B24, 'Histórico'!$A$1:$FI$296, MATCH($B$3,'Histórico'!$A:$A),0)) / $B$6),$D24="Títulos", (($C24 * HLOOKUP($B24, 'Histórico'!$A$1:$FI$296, MATCH($B$3,'Histórico'!$A:$A),0)) / $B$6),$B24="","")</f>
        <v>0.1250615369</v>
      </c>
      <c r="F24" s="408">
        <f t="shared" si="6"/>
        <v>0.1250615369</v>
      </c>
      <c r="G24" s="394">
        <f>IFS(OR($D24="Ações Listadas na B3",$D24="Ações Americanas",$D24="Moedas",$D24="Ações Europeias",$D24="Títulos"),$AA24,
$D24="Futuros",
(SUMIFS('Alocação'!$O$3:$O$1002,'Alocação'!$C$3:$C$1002,B24,'Alocação'!$F$3:$F$1002,N$4,'Alocação'!$B$3:$B$1002,"&lt;="&amp;$C$3))*HLOOKUP(B24,'Histórico'!$A$1:$DD$990,MATCH($B$3,'Histórico'!$A:$A),FALSE),
$D24="",""
)</f>
        <v>218500</v>
      </c>
      <c r="H24" s="446">
        <f t="shared" si="7"/>
        <v>0.002030115118</v>
      </c>
      <c r="I24" s="467"/>
      <c r="J24" s="383"/>
      <c r="K24" s="383"/>
      <c r="L24" s="383"/>
      <c r="M24" s="383"/>
      <c r="N24" s="336" t="s">
        <v>342</v>
      </c>
      <c r="O24" s="337" t="s">
        <v>343</v>
      </c>
      <c r="P24" s="247"/>
      <c r="Q24" s="247"/>
      <c r="R24" s="400" t="str">
        <f t="array" ref="R24">IFERROR(IF(D24&lt;&gt;"Futuros",
(INDEX('Histórico'!$B$1:$ADT989, MATCH($B$3, 'Histórico'!$A$1:$A989, 0), MATCH(B24, 'Histórico'!$1:$1, 0)-1)/INDEX('Histórico'!$B$1:$ADT989, MATCH($C$3, 'Histórico'!$A$1:$A989, 0), MATCH(B24, 'Histórico'!$1:$1, 0)-1)-1),
""),"")</f>
        <v/>
      </c>
      <c r="S24" s="401" t="str">
        <f t="shared" si="8"/>
        <v/>
      </c>
      <c r="T24" s="402" t="str">
        <f t="shared" si="9"/>
        <v/>
      </c>
      <c r="U24" s="247"/>
      <c r="V24" s="348"/>
      <c r="W24" s="417" t="str">
        <f>IFERROR(__xludf.DUMMYFUNCTION("""COMPUTED_VALUE"""),"IND-V23")</f>
        <v>IND-V23</v>
      </c>
      <c r="X24" s="404" t="str">
        <f t="array" ref="X24">IFERROR(XLOOKUP($W24,'Cadastro dos Ativos'!$A:$A,'Cadastro dos Ativos'!$C:$C, ""))</f>
        <v>Futuros</v>
      </c>
      <c r="Y24" s="405" t="str">
        <f t="array" ref="Y24">IFERROR(IFERROR(IF($X24&lt;&gt;"Futuros", 
IFERROR(XLOOKUP($W24, Controle!$AN$11:$AN$1001,Controle!$AR$11:$AR$1001),0)-XLOOKUP($W24, 'Controle D-1'!$AN$11:$AN$1001,'Controle D-1'!$AR$11:$AR$1001), 
""),XLOOKUP($W24, Controle!$AN$11:$AN$1001,Controle!$AR$11:$AR$1001)),"")</f>
        <v/>
      </c>
      <c r="Z24" s="405" t="str">
        <f>IFS($X24&lt;&gt;"Futuros", SUMIFS('Alocação'!$M$2:$M$1003,'Alocação'!$C$2:$C$1003,$W24,'Alocação'!$B$2:$B$1003,$B$3,'Alocação'!$F$2:$F$1003,$N$4),
$X24="","",
$X24="Futuros","")</f>
        <v/>
      </c>
      <c r="AA24" s="405" t="str">
        <f t="shared" si="10"/>
        <v/>
      </c>
      <c r="AB24" s="307"/>
    </row>
    <row r="25" ht="15.75" customHeight="1">
      <c r="A25" s="348"/>
      <c r="B25" s="406" t="str">
        <f>IFERROR(__xludf.DUMMYFUNCTION("""COMPUTED_VALUE"""),"ASAI3")</f>
        <v>ASAI3</v>
      </c>
      <c r="C25" s="4">
        <f>IF($B25 &lt;&gt; "",SUMIFS('Alocação'!$O$3:$O$1002,'Alocação'!$C$3:$C$1002,$B25,'Alocação'!$F$3:$F$1002,$N$4,'Alocação'!$B$3:$B$1002,"&lt;="&amp;$B$3), "")</f>
        <v>450000</v>
      </c>
      <c r="D25" s="4" t="str">
        <f t="array" ref="D25">IFERROR(XLOOKUP($B25,'Cadastro dos Ativos'!$A:$A,'Cadastro dos Ativos'!$C:$C, ""))</f>
        <v>Ações Listadas na B3</v>
      </c>
      <c r="E25" s="407">
        <f>IFS($D25="Ações Listadas na B3", (($C25 * HLOOKUP($B25, 'Histórico'!$A$1:$FI$296, MATCH($B$3,'Histórico'!$A:$A),0)) / $B$6),
$D25="Ações Americanas",(($C25 * HLOOKUP($B25, 'Histórico'!$A$1:$FI$296, MATCH($B$3,'Histórico'!$A:$A),0)) * HLOOKUP("PTAX", 'Histórico'!$A$1:$FI$296, MATCH($B$3,'Histórico'!$A:$A),0) / $B$6),
$D25="Ações Europeias",(($C25 * HLOOKUP($B25, 'Histórico'!$A$1:$FI$296, MATCH($B$3,'Histórico'!$A:$A),0)) * HLOOKUP("EUR/BRL", 'Histórico'!$A$1:$FI$296, MATCH($B$3,'Histórico'!$A:$A),0) / $B$6),
$D25="Futuros",(SUMIFS('Alocação'!$N:$N,'Alocação'!$C:$C,$B25,'Alocação'!$F:$F,$N$4,'Alocação'!$B:$B,"&lt;="&amp;$B$3))/($B$6)+($C25*SUMPRODUCT(('Histórico T'!$A:$A=$B25)*('Histórico T'!$B:$AAW)))/($B$6),$D25="Moedas",(($C25 * HLOOKUP($B25, 'Histórico'!$A$1:$FI$296, MATCH($B$3,'Histórico'!$A:$A),0)) / $B$6),$D25="Títulos", (($C25 * HLOOKUP($B25, 'Histórico'!$A$1:$FI$296, MATCH($B$3,'Histórico'!$A:$A),0)) / $B$6),$B25="","")</f>
        <v>0.04933395639</v>
      </c>
      <c r="F25" s="408">
        <f t="shared" si="6"/>
        <v>0.04933395639</v>
      </c>
      <c r="G25" s="394">
        <f>IFS(OR($D25="Ações Listadas na B3",$D25="Ações Americanas",$D25="Moedas",$D25="Ações Europeias",$D25="Títulos"),$AA25,
$D25="Futuros",
(SUMIFS('Alocação'!$O$3:$O$1002,'Alocação'!$C$3:$C$1002,B25,'Alocação'!$F$3:$F$1002,N$4,'Alocação'!$B$3:$B$1002,"&lt;="&amp;$C$3))*HLOOKUP(B25,'Histórico'!$A$1:$DD$990,MATCH($B$3,'Histórico'!$A:$A),FALSE),
$D25="",""
)</f>
        <v>112500</v>
      </c>
      <c r="H25" s="446">
        <f t="shared" si="7"/>
        <v>0.001045253779</v>
      </c>
      <c r="I25" s="467"/>
      <c r="J25" s="383"/>
      <c r="K25" s="383"/>
      <c r="L25" s="383"/>
      <c r="M25" s="383"/>
      <c r="N25" s="346">
        <f>$B$14</f>
        <v>4620000</v>
      </c>
      <c r="O25" s="347">
        <f>$N$25/$C$6</f>
        <v>0.04292508853</v>
      </c>
      <c r="P25" s="247"/>
      <c r="Q25" s="247"/>
      <c r="R25" s="400">
        <f t="array" ref="R25">IFERROR(IF(D25&lt;&gt;"Futuros",
(INDEX('Histórico'!$B$1:$ADT990, MATCH($B$3, 'Histórico'!$A$1:$A990, 0), MATCH(B25, 'Histórico'!$1:$1, 0)-1)/INDEX('Histórico'!$B$1:$ADT990, MATCH($C$3, 'Histórico'!$A$1:$A990, 0), MATCH(B25, 'Histórico'!$1:$1, 0)-1)-1),
""),"")</f>
        <v>0.0215331617</v>
      </c>
      <c r="S25" s="401">
        <f t="shared" si="8"/>
        <v>0</v>
      </c>
      <c r="T25" s="402">
        <f t="shared" si="9"/>
        <v>3</v>
      </c>
      <c r="U25" s="247"/>
      <c r="V25" s="348"/>
      <c r="W25" s="417" t="str">
        <f>IFERROR(__xludf.DUMMYFUNCTION("""COMPUTED_VALUE"""),"ASAI3")</f>
        <v>ASAI3</v>
      </c>
      <c r="X25" s="404" t="str">
        <f t="array" ref="X25">IFERROR(XLOOKUP($W25,'Cadastro dos Ativos'!$A:$A,'Cadastro dos Ativos'!$C:$C, ""))</f>
        <v>Ações Listadas na B3</v>
      </c>
      <c r="Y25" s="405">
        <f t="array" ref="Y25">IFERROR(IFERROR(IF($X25&lt;&gt;"Futuros", 
IFERROR(XLOOKUP($W25, Controle!$AN$11:$AN$1001,Controle!$AR$11:$AR$1001),0)-XLOOKUP($W25, 'Controle D-1'!$AN$11:$AN$1001,'Controle D-1'!$AR$11:$AR$1001), 
""),XLOOKUP($W25, Controle!$AN$11:$AN$1001,Controle!$AR$11:$AR$1001)),"")</f>
        <v>112500</v>
      </c>
      <c r="Z25" s="405">
        <f>IFS($X25&lt;&gt;"Futuros", SUMIFS('Alocação'!$M$2:$M$1003,'Alocação'!$C$2:$C$1003,$W25,'Alocação'!$B$2:$B$1003,$B$3,'Alocação'!$F$2:$F$1003,$N$4),
$X25="","",
$X25="Futuros","")</f>
        <v>0</v>
      </c>
      <c r="AA25" s="405">
        <f t="shared" si="10"/>
        <v>112500</v>
      </c>
      <c r="AB25" s="307"/>
    </row>
    <row r="26" ht="15.75" customHeight="1">
      <c r="A26" s="348"/>
      <c r="B26" s="406" t="str">
        <f>IFERROR(__xludf.DUMMYFUNCTION("""COMPUTED_VALUE"""),"DI1-F24")</f>
        <v>DI1-F24</v>
      </c>
      <c r="C26" s="4">
        <f>IF($B26 &lt;&gt; "",SUMIFS('Alocação'!$O$3:$O$1002,'Alocação'!$C$3:$C$1002,$B26,'Alocação'!$F$3:$F$1002,$N$4,'Alocação'!$B$3:$B$1002,"&lt;="&amp;$B$3), "")</f>
        <v>403</v>
      </c>
      <c r="D26" s="4" t="str">
        <f t="array" ref="D26">IFERROR(XLOOKUP($B26,'Cadastro dos Ativos'!$A:$A,'Cadastro dos Ativos'!$C:$C, ""))</f>
        <v>Futuros</v>
      </c>
      <c r="E26" s="407">
        <f>IFS($D26="Ações Listadas na B3", (($C26 * HLOOKUP($B26, 'Histórico'!$A$1:$FI$296, MATCH($B$3,'Histórico'!$A:$A),0)) / $B$6),
$D26="Ações Americanas",(($C26 * HLOOKUP($B26, 'Histórico'!$A$1:$FI$296, MATCH($B$3,'Histórico'!$A:$A),0)) * HLOOKUP("PTAX", 'Histórico'!$A$1:$FI$296, MATCH($B$3,'Histórico'!$A:$A),0) / $B$6),
$D26="Ações Europeias",(($C26 * HLOOKUP($B26, 'Histórico'!$A$1:$FI$296, MATCH($B$3,'Histórico'!$A:$A),0)) * HLOOKUP("EUR/BRL", 'Histórico'!$A$1:$FI$296, MATCH($B$3,'Histórico'!$A:$A),0) / $B$6),
$D26="Futuros",(SUMIFS('Alocação'!$N:$N,'Alocação'!$C:$C,$B26,'Alocação'!$F:$F,$N$4,'Alocação'!$B:$B,"&lt;="&amp;$B$3))/($B$6)+($C26*SUMPRODUCT(('Histórico T'!$A:$A=$B26)*('Histórico T'!$B:$AAW)))/($B$6),$D26="Moedas",(($C26 * HLOOKUP($B26, 'Histórico'!$A$1:$FI$296, MATCH($B$3,'Histórico'!$A:$A),0)) / $B$6),$D26="Títulos", (($C26 * HLOOKUP($B26, 'Histórico'!$A$1:$FI$296, MATCH($B$3,'Histórico'!$A:$A),0)) / $B$6),$B26="","")</f>
        <v>0.3579245576</v>
      </c>
      <c r="F26" s="408">
        <f t="shared" si="6"/>
        <v>0.3579245576</v>
      </c>
      <c r="G26" s="394">
        <f>IFS(OR($D26="Ações Listadas na B3",$D26="Ações Americanas",$D26="Moedas",$D26="Ações Europeias",$D26="Títulos"),$AA26,
$D26="Futuros",
(SUMIFS('Alocação'!$O$3:$O$1002,'Alocação'!$C$3:$C$1002,B26,'Alocação'!$F$3:$F$1002,N$4,'Alocação'!$B$3:$B$1002,"&lt;="&amp;$C$3))*HLOOKUP(B26,'Histórico'!$A$1:$DD$990,MATCH($B$3,'Histórico'!$A:$A),FALSE),
$D26="",""
)</f>
        <v>-253.89</v>
      </c>
      <c r="H26" s="446">
        <f t="shared" si="7"/>
        <v>-0.000002358928729</v>
      </c>
      <c r="I26" s="467"/>
      <c r="J26" s="383"/>
      <c r="K26" s="383"/>
      <c r="L26" s="383"/>
      <c r="M26" s="383"/>
      <c r="N26" s="247"/>
      <c r="O26" s="247"/>
      <c r="P26" s="247"/>
      <c r="Q26" s="247"/>
      <c r="R26" s="400" t="str">
        <f t="array" ref="R26">IFERROR(IF(D26&lt;&gt;"Futuros",
(INDEX('Histórico'!$B$1:$ADT991, MATCH($B$3, 'Histórico'!$A$1:$A991, 0), MATCH(B26, 'Histórico'!$1:$1, 0)-1)/INDEX('Histórico'!$B$1:$ADT991, MATCH($C$3, 'Histórico'!$A$1:$A991, 0), MATCH(B26, 'Histórico'!$1:$1, 0)-1)-1),
""),"")</f>
        <v/>
      </c>
      <c r="S26" s="401" t="str">
        <f t="shared" si="8"/>
        <v/>
      </c>
      <c r="T26" s="402" t="str">
        <f t="shared" si="9"/>
        <v/>
      </c>
      <c r="U26" s="247"/>
      <c r="V26" s="348"/>
      <c r="W26" s="419" t="str">
        <f>IFERROR(__xludf.DUMMYFUNCTION("""COMPUTED_VALUE"""),"DI1-F24")</f>
        <v>DI1-F24</v>
      </c>
      <c r="X26" s="404" t="str">
        <f t="array" ref="X26">IFERROR(XLOOKUP($W26,'Cadastro dos Ativos'!$A:$A,'Cadastro dos Ativos'!$C:$C, ""))</f>
        <v>Futuros</v>
      </c>
      <c r="Y26" s="405" t="str">
        <f t="array" ref="Y26">IFERROR(IFERROR(IF($X26&lt;&gt;"Futuros", 
IFERROR(XLOOKUP($W26, Controle!$AN$11:$AN$1001,Controle!$AR$11:$AR$1001),0)-XLOOKUP($W26, 'Controle D-1'!$AN$11:$AN$1001,'Controle D-1'!$AR$11:$AR$1001), 
""),XLOOKUP($W26, Controle!$AN$11:$AN$1001,Controle!$AR$11:$AR$1001)),"")</f>
        <v/>
      </c>
      <c r="Z26" s="405" t="str">
        <f>IFS($X26&lt;&gt;"Futuros", SUMIFS('Alocação'!$M$2:$M$1003,'Alocação'!$C$2:$C$1003,$W26,'Alocação'!$B$2:$B$1003,$B$3,'Alocação'!$F$2:$F$1003,$N$4),
$X26="","",
$X26="Futuros","")</f>
        <v/>
      </c>
      <c r="AA26" s="405" t="str">
        <f t="shared" si="10"/>
        <v/>
      </c>
      <c r="AB26" s="307"/>
    </row>
    <row r="27" ht="15.75" customHeight="1">
      <c r="A27" s="348"/>
      <c r="B27" s="406" t="str">
        <f>IFERROR(__xludf.DUMMYFUNCTION("""COMPUTED_VALUE"""),"DI1-F27")</f>
        <v>DI1-F27</v>
      </c>
      <c r="C27" s="4">
        <f>IF($B27 &lt;&gt; "",SUMIFS('Alocação'!$O$3:$O$1002,'Alocação'!$C$3:$C$1002,$B27,'Alocação'!$F$3:$F$1002,$N$4,'Alocação'!$B$3:$B$1002,"&lt;="&amp;$B$3), "")</f>
        <v>-650</v>
      </c>
      <c r="D27" s="4" t="str">
        <f t="array" ref="D27">IFERROR(XLOOKUP($B27,'Cadastro dos Ativos'!$A:$A,'Cadastro dos Ativos'!$C:$C, ""))</f>
        <v>Futuros</v>
      </c>
      <c r="E27" s="408">
        <f>IFS($D27="Ações Listadas na B3", (($C27 * HLOOKUP($B27, 'Histórico'!$A$1:$FI$296, MATCH($B$3,'Histórico'!$A:$A),0)) / $B$6),
$D27="Ações Americanas",(($C27 * HLOOKUP($B27, 'Histórico'!$A$1:$FI$296, MATCH($B$3,'Histórico'!$A:$A),0)) * HLOOKUP("PTAX", 'Histórico'!$A$1:$FI$296, MATCH($B$3,'Histórico'!$A:$A),0) / $B$6),
$D27="Ações Europeias",(($C27 * HLOOKUP($B27, 'Histórico'!$A$1:$FI$296, MATCH($B$3,'Histórico'!$A:$A),0)) * HLOOKUP("EUR/BRL", 'Histórico'!$A$1:$FI$296, MATCH($B$3,'Histórico'!$A:$A),0) / $B$6),
$D27="Futuros",(SUMIFS('Alocação'!$N:$N,'Alocação'!$C:$C,$B27,'Alocação'!$F:$F,$N$4,'Alocação'!$B:$B,"&lt;="&amp;$B$3))/($B$6)+($C27*SUMPRODUCT(('Histórico T'!$A:$A=$B27)*('Histórico T'!$B:$AAW)))/($B$6),$D27="Moedas",(($C27 * HLOOKUP($B27, 'Histórico'!$A$1:$FI$296, MATCH($B$3,'Histórico'!$A:$A),0)) / $B$6),$B27="","")</f>
        <v>-0.4318177109</v>
      </c>
      <c r="F27" s="408">
        <f t="shared" si="6"/>
        <v>0.4318177109</v>
      </c>
      <c r="G27" s="394">
        <f>IFS(OR($D27="Ações Listadas na B3",$D27="Ações Americanas",$D27="Moedas",$D27="Ações Europeias",$D27="Títulos"),$AA27,
$D27="Futuros",
(SUMIFS('Alocação'!$O$3:$O$1002,'Alocação'!$C$3:$C$1002,B27,'Alocação'!$F$3:$F$1002,N$4,'Alocação'!$B$3:$B$1002,"&lt;="&amp;$C$3))*HLOOKUP(B27,'Histórico'!$A$1:$DD$990,MATCH($B$3,'Histórico'!$A:$A),FALSE),
$D27="",""
)</f>
        <v>23003.5</v>
      </c>
      <c r="H27" s="446">
        <f t="shared" si="7"/>
        <v>0.0002137288472</v>
      </c>
      <c r="I27" s="467"/>
      <c r="J27" s="383"/>
      <c r="K27" s="383"/>
      <c r="L27" s="383"/>
      <c r="M27" s="383"/>
      <c r="N27" s="332" t="s">
        <v>374</v>
      </c>
      <c r="O27" s="89"/>
      <c r="P27" s="247"/>
      <c r="Q27" s="247"/>
      <c r="R27" s="400" t="str">
        <f t="array" ref="R27">IFERROR(IF(D27&lt;&gt;"Futuros",
(INDEX('Histórico'!$B$1:$ADT992, MATCH($B$3, 'Histórico'!$A$1:$A992, 0), MATCH(B27, 'Histórico'!$1:$1, 0)-1)/INDEX('Histórico'!$B$1:$ADT992, MATCH($C$3, 'Histórico'!$A$1:$A992, 0), MATCH(B27, 'Histórico'!$1:$1, 0)-1)-1),
""),"")</f>
        <v/>
      </c>
      <c r="S27" s="401" t="str">
        <f t="shared" si="8"/>
        <v/>
      </c>
      <c r="T27" s="402" t="str">
        <f t="shared" si="9"/>
        <v/>
      </c>
      <c r="U27" s="247"/>
      <c r="V27" s="348"/>
      <c r="W27" s="454" t="str">
        <f>IFERROR(__xludf.DUMMYFUNCTION("""COMPUTED_VALUE"""),"DI1-F27")</f>
        <v>DI1-F27</v>
      </c>
      <c r="X27" s="404" t="str">
        <f t="array" ref="X27">IFERROR(XLOOKUP($W27,'Cadastro dos Ativos'!$A:$A,'Cadastro dos Ativos'!$C:$C, ""))</f>
        <v>Futuros</v>
      </c>
      <c r="Y27" s="405" t="str">
        <f t="array" ref="Y27">IFERROR(IFERROR(IF($X27&lt;&gt;"Futuros", 
IFERROR(XLOOKUP($W27, Controle!$AN$11:$AN$1001,Controle!$AR$11:$AR$1001),0)-XLOOKUP($W27, 'Controle D-1'!$AN$11:$AN$1001,'Controle D-1'!$AR$11:$AR$1001), 
""),XLOOKUP($W27, Controle!$AN$11:$AN$1001,Controle!$AR$11:$AR$1001)),"")</f>
        <v/>
      </c>
      <c r="Z27" s="405" t="str">
        <f>IFS($X27&lt;&gt;"Futuros", SUMIFS('Alocação'!$M$2:$M$1003,'Alocação'!$C$2:$C$1003,$W27,'Alocação'!$B$2:$B$1003,$B$3,'Alocação'!$F$2:$F$1003,$N$4),
$X27="","",
$X27="Futuros","")</f>
        <v/>
      </c>
      <c r="AA27" s="405" t="str">
        <f t="shared" si="10"/>
        <v/>
      </c>
      <c r="AB27" s="307"/>
    </row>
    <row r="28" ht="15.75" customHeight="1">
      <c r="A28" s="348"/>
      <c r="B28" s="406" t="str">
        <f>IFERROR(__xludf.DUMMYFUNCTION("""COMPUTED_VALUE"""),"BEEF3")</f>
        <v>BEEF3</v>
      </c>
      <c r="C28" s="4">
        <f>IF($B28 &lt;&gt; "",SUMIFS('Alocação'!$O$3:$O$1002,'Alocação'!$C$3:$C$1002,$B28,'Alocação'!$F$3:$F$1002,$N$4,'Alocação'!$B$3:$B$1002,"&lt;="&amp;$B$3), "")</f>
        <v>0</v>
      </c>
      <c r="D28" s="4" t="str">
        <f t="array" ref="D28">IFERROR(XLOOKUP($B28,'Cadastro dos Ativos'!$A:$A,'Cadastro dos Ativos'!$C:$C, ""))</f>
        <v>Ações Listadas na B3</v>
      </c>
      <c r="E28" s="408">
        <f>IFS($D28="Ações Listadas na B3", (($C28 * HLOOKUP($B28, 'Histórico'!$A$1:$FI$296, MATCH($B$3,'Histórico'!$A:$A),0)) / $B$6),
$D28="Ações Americanas",(($C28 * HLOOKUP($B28, 'Histórico'!$A$1:$FI$296, MATCH($B$3,'Histórico'!$A:$A),0)) * HLOOKUP("PTAX", 'Histórico'!$A$1:$FI$296, MATCH($B$3,'Histórico'!$A:$A),0) / $B$6),
$D28="Ações Europeias",(($C28 * HLOOKUP($B28, 'Histórico'!$A$1:$FI$296, MATCH($B$3,'Histórico'!$A:$A),0)) * HLOOKUP("EUR/BRL", 'Histórico'!$A$1:$FI$296, MATCH($B$3,'Histórico'!$A:$A),0) / $B$6),
$D28="Futuros",(SUMIFS('Alocação'!$N:$N,'Alocação'!$C:$C,$B28,'Alocação'!$F:$F,$N$4,'Alocação'!$B:$B,"&lt;="&amp;$B$3))/($B$6)+($C28*SUMPRODUCT(('Histórico T'!$A:$A=$B28)*('Histórico T'!$B:$AAW)))/($B$6),$D28="Moedas",(($C28 * HLOOKUP($B28, 'Histórico'!$A$1:$FI$296, MATCH($B$3,'Histórico'!$A:$A),0)) / $B$6),$B28="","")</f>
        <v>0</v>
      </c>
      <c r="F28" s="408">
        <f t="shared" si="6"/>
        <v>0</v>
      </c>
      <c r="G28" s="394">
        <f>IFS(OR($D28="Ações Listadas na B3",$D28="Ações Americanas",$D28="Moedas",$D28="Ações Europeias",$D28="Títulos"),$AA28,
$D28="Futuros",
(SUMIFS('Alocação'!$O$3:$O$1002,'Alocação'!$C$3:$C$1002,B28,'Alocação'!$F$3:$F$1002,N$4,'Alocação'!$B$3:$B$1002,"&lt;="&amp;$C$3))*HLOOKUP(B28,'Histórico'!$A$1:$DD$990,MATCH($B$3,'Histórico'!$A:$A),FALSE),
$D28="",""
)</f>
        <v>0.2098083496</v>
      </c>
      <c r="H28" s="446">
        <f t="shared" si="7"/>
        <v>0.000000001949359736</v>
      </c>
      <c r="I28" s="467"/>
      <c r="J28" s="383"/>
      <c r="K28" s="383"/>
      <c r="L28" s="383"/>
      <c r="M28" s="383"/>
      <c r="N28" s="336" t="s">
        <v>375</v>
      </c>
      <c r="O28" s="337" t="s">
        <v>376</v>
      </c>
      <c r="P28" s="247"/>
      <c r="Q28" s="247"/>
      <c r="R28" s="400">
        <f t="array" ref="R28">IFERROR(IF(D28&lt;&gt;"Futuros",
(INDEX('Histórico'!$B$1:$ADT993, MATCH($B$3, 'Histórico'!$A$1:$A993, 0), MATCH(B28, 'Histórico'!$1:$1, 0)-1)/INDEX('Histórico'!$B$1:$ADT993, MATCH($C$3, 'Histórico'!$A$1:$A993, 0), MATCH(B28, 'Histórico'!$1:$1, 0)-1)-1),
""),"")</f>
        <v>-1</v>
      </c>
      <c r="S28" s="401">
        <f t="shared" si="8"/>
        <v>-0.000000001</v>
      </c>
      <c r="T28" s="402">
        <f t="shared" si="9"/>
        <v>7</v>
      </c>
      <c r="U28" s="247"/>
      <c r="V28" s="348"/>
      <c r="W28" s="455" t="str">
        <f>IFERROR(__xludf.DUMMYFUNCTION("""COMPUTED_VALUE"""),"BEEF3")</f>
        <v>BEEF3</v>
      </c>
      <c r="X28" s="404" t="str">
        <f t="array" ref="X28">IFERROR(XLOOKUP($W28,'Cadastro dos Ativos'!$A:$A,'Cadastro dos Ativos'!$C:$C, ""))</f>
        <v>Ações Listadas na B3</v>
      </c>
      <c r="Y28" s="405">
        <f t="array" ref="Y28">IFERROR(IFERROR(IF($X28&lt;&gt;"Futuros", 
IFERROR(XLOOKUP($W28, Controle!$AN$11:$AN$1001,Controle!$AR$11:$AR$1001),0)-XLOOKUP($W28, 'Controle D-1'!$AN$11:$AN$1001,'Controle D-1'!$AR$11:$AR$1001), 
""),XLOOKUP($W28, Controle!$AN$11:$AN$1001,Controle!$AR$11:$AR$1001)),"")</f>
        <v>-4619999.79</v>
      </c>
      <c r="Z28" s="405">
        <f>IFS($X28&lt;&gt;"Futuros", SUMIFS('Alocação'!$M$2:$M$1003,'Alocação'!$C$2:$C$1003,$W28,'Alocação'!$B$2:$B$1003,$B$3,'Alocação'!$F$2:$F$1003,$N$4),
$X28="","",
$X28="Futuros","")</f>
        <v>4620000</v>
      </c>
      <c r="AA28" s="405">
        <f t="shared" si="10"/>
        <v>0.2098083496</v>
      </c>
      <c r="AB28" s="307"/>
    </row>
    <row r="29" ht="15.75" customHeight="1">
      <c r="A29" s="348"/>
      <c r="B29" s="406" t="str">
        <f>IFERROR(__xludf.DUMMYFUNCTION("""COMPUTED_VALUE"""),"T10-Z23")</f>
        <v>T10-Z23</v>
      </c>
      <c r="C29" s="4">
        <f>IF($B29 &lt;&gt; "",SUMIFS('Alocação'!$O$3:$O$1002,'Alocação'!$C$3:$C$1002,$B29,'Alocação'!$F$3:$F$1002,$N$4,'Alocação'!$B$3:$B$1002,"&lt;="&amp;$B$3), "")</f>
        <v>-20</v>
      </c>
      <c r="D29" s="4" t="str">
        <f t="array" ref="D29">IFERROR(XLOOKUP($B29,'Cadastro dos Ativos'!$A:$A,'Cadastro dos Ativos'!$C:$C, ""))</f>
        <v>Futuros</v>
      </c>
      <c r="E29" s="408">
        <f>IFS($D29="Ações Listadas na B3", (($C29 * HLOOKUP($B29, 'Histórico'!$A$1:$FI$296, MATCH($B$3,'Histórico'!$A:$A),0)) / $B$6),
$D29="Ações Americanas",(($C29 * HLOOKUP($B29, 'Histórico'!$A$1:$FI$296, MATCH($B$3,'Histórico'!$A:$A),0)) * HLOOKUP("PTAX", 'Histórico'!$A$1:$FI$296, MATCH($B$3,'Histórico'!$A:$A),0) / $B$6),
$D29="Ações Europeias",(($C29 * HLOOKUP($B29, 'Histórico'!$A$1:$FI$296, MATCH($B$3,'Histórico'!$A:$A),0)) * HLOOKUP("EUR/BRL", 'Histórico'!$A$1:$FI$296, MATCH($B$3,'Histórico'!$A:$A),0) / $B$6),
$D29="Futuros",(SUMIFS('Alocação'!$N:$N,'Alocação'!$C:$C,$B29,'Alocação'!$F:$F,$N$4,'Alocação'!$B:$B,"&lt;="&amp;$B$3))/($B$6)+($C29*SUMPRODUCT(('Histórico T'!$A:$A=$B29)*('Histórico T'!$B:$AAW)))/($B$6),$D29="Moedas",(($C29 * HLOOKUP($B29, 'Histórico'!$A$1:$FI$296, MATCH($B$3,'Histórico'!$A:$A),0)) / $B$6),$B29="","")</f>
        <v>-0.0989753871</v>
      </c>
      <c r="F29" s="408">
        <f t="shared" si="6"/>
        <v>0.0989753871</v>
      </c>
      <c r="G29" s="394">
        <f>IFS(OR($D29="Ações Listadas na B3",$D29="Ações Americanas",$D29="Moedas",$D29="Ações Europeias",$D29="Títulos"),$AA29,
$D29="Futuros",
(SUMIFS('Alocação'!$O$3:$O$1002,'Alocação'!$C$3:$C$1002,B29,'Alocação'!$F$3:$F$1002,N$4,'Alocação'!$B$3:$B$1002,"&lt;="&amp;$C$3))*HLOOKUP(B29,'Histórico'!$A$1:$DD$990,MATCH($B$3,'Histórico'!$A:$A),FALSE),
$D29="",""
)</f>
        <v>44691.8</v>
      </c>
      <c r="H29" s="446">
        <f t="shared" si="7"/>
        <v>0.0004152379808</v>
      </c>
      <c r="I29" s="467"/>
      <c r="J29" s="383"/>
      <c r="K29" s="383"/>
      <c r="L29" s="383"/>
      <c r="M29" s="383"/>
      <c r="N29" s="346">
        <f>SUM($N$8,$N$12,$N$16)</f>
        <v>551698.4981</v>
      </c>
      <c r="O29" s="423">
        <f>$N$29/$C$6</f>
        <v>0.005125910578</v>
      </c>
      <c r="P29" s="247"/>
      <c r="Q29" s="247"/>
      <c r="R29" s="400" t="str">
        <f t="array" ref="R29">IFERROR(IF(D29&lt;&gt;"Futuros",
(INDEX('Histórico'!$B$1:$ADT994, MATCH($B$3, 'Histórico'!$A$1:$A994, 0), MATCH(B29, 'Histórico'!$1:$1, 0)-1)/INDEX('Histórico'!$B$1:$ADT994, MATCH($C$3, 'Histórico'!$A$1:$A994, 0), MATCH(B29, 'Histórico'!$1:$1, 0)-1)-1),
""),"")</f>
        <v/>
      </c>
      <c r="S29" s="401" t="str">
        <f t="shared" si="8"/>
        <v/>
      </c>
      <c r="T29" s="402" t="str">
        <f t="shared" si="9"/>
        <v/>
      </c>
      <c r="U29" s="247"/>
      <c r="V29" s="348"/>
      <c r="W29" s="455" t="str">
        <f>IFERROR(__xludf.DUMMYFUNCTION("""COMPUTED_VALUE"""),"T10-Z23")</f>
        <v>T10-Z23</v>
      </c>
      <c r="X29" s="404" t="str">
        <f t="array" ref="X29">IFERROR(XLOOKUP($W29,'Cadastro dos Ativos'!$A:$A,'Cadastro dos Ativos'!$C:$C, ""))</f>
        <v>Futuros</v>
      </c>
      <c r="Y29" s="405" t="str">
        <f t="array" ref="Y29">IFERROR(IFERROR(IF($X29&lt;&gt;"Futuros", 
IFERROR(XLOOKUP($W29, Controle!$AN$11:$AN$1001,Controle!$AR$11:$AR$1001),0)-XLOOKUP($W29, 'Controle D-1'!$AN$11:$AN$1001,'Controle D-1'!$AR$11:$AR$1001), 
""),XLOOKUP($W29, Controle!$AN$11:$AN$1001,Controle!$AR$11:$AR$1001)),"")</f>
        <v/>
      </c>
      <c r="Z29" s="405" t="str">
        <f>IFS($X29&lt;&gt;"Futuros", SUMIFS('Alocação'!$M$2:$M$1003,'Alocação'!$C$2:$C$1003,$W29,'Alocação'!$B$2:$B$1003,$B$3,'Alocação'!$F$2:$F$1003,$N$4),
$X29="","",
$X29="Futuros","")</f>
        <v/>
      </c>
      <c r="AA29" s="405" t="str">
        <f t="shared" si="10"/>
        <v/>
      </c>
      <c r="AB29" s="307"/>
    </row>
    <row r="30" ht="15.75" customHeight="1">
      <c r="A30" s="348"/>
      <c r="B30" s="406" t="str">
        <f>IFERROR(__xludf.DUMMYFUNCTION("""COMPUTED_VALUE"""),"CNH-V23")</f>
        <v>CNH-V23</v>
      </c>
      <c r="C30" s="4">
        <f>IF($B30 &lt;&gt; "",SUMIFS('Alocação'!$O$3:$O$1002,'Alocação'!$C$3:$C$1002,$B30,'Alocação'!$F$3:$F$1002,$N$4,'Alocação'!$B$3:$B$1002,"&lt;="&amp;$B$3), "")</f>
        <v>450</v>
      </c>
      <c r="D30" s="4" t="str">
        <f t="array" ref="D30">IFERROR(XLOOKUP($B30,'Cadastro dos Ativos'!$A:$A,'Cadastro dos Ativos'!$C:$C, ""))</f>
        <v>Futuros</v>
      </c>
      <c r="E30" s="408">
        <f>IFS($D30="Ações Listadas na B3", (($C30 * HLOOKUP($B30, 'Histórico'!$A$1:$FI$296, MATCH($B$3,'Histórico'!$A:$A),0)) / $B$6),
$D30="Ações Americanas",(($C30 * HLOOKUP($B30, 'Histórico'!$A$1:$FI$296, MATCH($B$3,'Histórico'!$A:$A),0)) * HLOOKUP("PTAX", 'Histórico'!$A$1:$FI$296, MATCH($B$3,'Histórico'!$A:$A),0) / $B$6),
$D30="Ações Europeias",(($C30 * HLOOKUP($B30, 'Histórico'!$A$1:$FI$296, MATCH($B$3,'Histórico'!$A:$A),0)) * HLOOKUP("EUR/BRL", 'Histórico'!$A$1:$FI$296, MATCH($B$3,'Histórico'!$A:$A),0) / $B$6),
$D30="Futuros",(SUMIFS('Alocação'!$N:$N,'Alocação'!$C:$C,$B30,'Alocação'!$F:$F,$N$4,'Alocação'!$B:$B,"&lt;="&amp;$B$3))/($B$6)+($C30*SUMPRODUCT(('Histórico T'!$A:$A=$B30)*('Histórico T'!$B:$AAW)))/($B$6),$D30="Moedas",(($C30 * HLOOKUP($B30, 'Histórico'!$A$1:$FI$296, MATCH($B$3,'Histórico'!$A:$A),0)) / $B$6),$B30="","")</f>
        <v>0.2022984344</v>
      </c>
      <c r="F30" s="408">
        <f t="shared" si="6"/>
        <v>0.2022984344</v>
      </c>
      <c r="G30" s="394">
        <f>IFS(OR($D30="Ações Listadas na B3",$D30="Ações Americanas",$D30="Moedas",$D30="Ações Europeias",$D30="Títulos"),$AA30,
$D30="Futuros",
(SUMIFS('Alocação'!$O$3:$O$1002,'Alocação'!$C$3:$C$1002,B30,'Alocação'!$F$3:$F$1002,N$4,'Alocação'!$B$3:$B$1002,"&lt;="&amp;$C$3))*HLOOKUP(B30,'Histórico'!$A$1:$DD$990,MATCH($B$3,'Histórico'!$A:$A),FALSE),
$D30="",""
)</f>
        <v>-11632.5</v>
      </c>
      <c r="H30" s="446">
        <f t="shared" si="7"/>
        <v>-0.0001080792408</v>
      </c>
      <c r="I30" s="467"/>
      <c r="J30" s="383"/>
      <c r="K30" s="383"/>
      <c r="L30" s="383"/>
      <c r="M30" s="383"/>
      <c r="N30" s="348"/>
      <c r="O30" s="348"/>
      <c r="P30" s="247"/>
      <c r="Q30" s="247"/>
      <c r="R30" s="400" t="str">
        <f t="array" ref="R30">IFERROR(IF(D30&lt;&gt;"Futuros",
(INDEX('Histórico'!$B$1:$ADT995, MATCH($B$3, 'Histórico'!$A$1:$A995, 0), MATCH(B30, 'Histórico'!$1:$1, 0)-1)/INDEX('Histórico'!$B$1:$ADT995, MATCH($C$3, 'Histórico'!$A$1:$A995, 0), MATCH(B30, 'Histórico'!$1:$1, 0)-1)-1),
""),"")</f>
        <v/>
      </c>
      <c r="S30" s="401" t="str">
        <f t="shared" si="8"/>
        <v/>
      </c>
      <c r="T30" s="402" t="str">
        <f t="shared" si="9"/>
        <v/>
      </c>
      <c r="U30" s="247"/>
      <c r="V30" s="348"/>
      <c r="W30" s="455" t="str">
        <f>IFERROR(__xludf.DUMMYFUNCTION("""COMPUTED_VALUE"""),"CNH-V23")</f>
        <v>CNH-V23</v>
      </c>
      <c r="X30" s="404" t="str">
        <f t="array" ref="X30">IFERROR(XLOOKUP($W30,'Cadastro dos Ativos'!$A:$A,'Cadastro dos Ativos'!$C:$C, ""))</f>
        <v>Futuros</v>
      </c>
      <c r="Y30" s="405" t="str">
        <f t="array" ref="Y30">IFERROR(IFERROR(IF($X30&lt;&gt;"Futuros", 
IFERROR(XLOOKUP($W30, Controle!$AN$11:$AN$1001,Controle!$AR$11:$AR$1001),0)-XLOOKUP($W30, 'Controle D-1'!$AN$11:$AN$1001,'Controle D-1'!$AR$11:$AR$1001), 
""),XLOOKUP($W30, Controle!$AN$11:$AN$1001,Controle!$AR$11:$AR$1001)),"")</f>
        <v/>
      </c>
      <c r="Z30" s="405" t="str">
        <f>IFS($X30&lt;&gt;"Futuros", SUMIFS('Alocação'!$M$2:$M$1003,'Alocação'!$C$2:$C$1003,$W30,'Alocação'!$B$2:$B$1003,$B$3,'Alocação'!$F$2:$F$1003,$N$4),
$X30="","",
$X30="Futuros","")</f>
        <v/>
      </c>
      <c r="AA30" s="405" t="str">
        <f t="shared" si="10"/>
        <v/>
      </c>
      <c r="AB30" s="307"/>
    </row>
    <row r="31" ht="15.75" customHeight="1">
      <c r="A31" s="348"/>
      <c r="B31" s="406"/>
      <c r="C31" s="4" t="str">
        <f>IF($B31 &lt;&gt; "",SUMIFS('Alocação'!$O$3:$O$1002,'Alocação'!$C$3:$C$1002,$B31,'Alocação'!$F$3:$F$1002,$N$4,'Alocação'!$B$3:$B$1002,"&lt;="&amp;$B$3), "")</f>
        <v/>
      </c>
      <c r="D31" s="4" t="str">
        <f t="array" ref="D31">IFERROR(XLOOKUP($B31,'Cadastro dos Ativos'!$A:$A,'Cadastro dos Ativos'!$C:$C, ""))</f>
        <v/>
      </c>
      <c r="E31" s="408" t="str">
        <f>IFS($D31="Ações Listadas na B3", (($C31 * HLOOKUP($B31, 'Histórico'!$A$1:$FI$296, MATCH($B$3,'Histórico'!$A:$A),0)) / $B$6),
$D31="Ações Americanas",(($C31 * HLOOKUP($B31, 'Histórico'!$A$1:$FI$296, MATCH($B$3,'Histórico'!$A:$A),0)) * HLOOKUP("PTAX", 'Histórico'!$A$1:$FI$296, MATCH($B$3,'Histórico'!$A:$A),0) / $B$6),
$D31="Ações Europeias",(($C31 * HLOOKUP($B31, 'Histórico'!$A$1:$FI$296, MATCH($B$3,'Histórico'!$A:$A),0)) * HLOOKUP("EUR/BRL", 'Histórico'!$A$1:$FI$296, MATCH($B$3,'Histórico'!$A:$A),0) / $B$6),
$D31="Futuros",(SUMIFS('Alocação'!$N:$N,'Alocação'!$C:$C,$B31,'Alocação'!$F:$F,$N$4,'Alocação'!$B:$B,"&lt;="&amp;$B$3))/($B$6)+($C31*SUMPRODUCT(('Histórico T'!$A:$A=$B31)*('Histórico T'!$B:$AAW)))/($B$6),$D31="Moedas",(($C31 * HLOOKUP($B31, 'Histórico'!$A$1:$FI$296, MATCH($B$3,'Histórico'!$A:$A),0)) / $B$6),$B31="","")</f>
        <v/>
      </c>
      <c r="F31" s="408" t="str">
        <f t="shared" si="6"/>
        <v/>
      </c>
      <c r="G31" s="394" t="str">
        <f>IFS(OR($D31="Ações Listadas na B3",$D31="Ações Americanas",$D31="Moedas",$D31="Ações Europeias",$D31="Títulos"),$AA31,
$D31="Futuros",
(SUMIFS('Alocação'!$O$3:$O$1002,'Alocação'!$C$3:$C$1002,B31,'Alocação'!$F$3:$F$1002,N$4,'Alocação'!$B$3:$B$1002,"&lt;="&amp;$C$3))*HLOOKUP(B31,'Histórico'!$A$1:$DD$990,MATCH($B$3,'Histórico'!$A:$A),FALSE),
$D31="",""
)</f>
        <v/>
      </c>
      <c r="H31" s="446" t="str">
        <f t="shared" si="7"/>
        <v/>
      </c>
      <c r="I31" s="467"/>
      <c r="J31" s="383"/>
      <c r="K31" s="383"/>
      <c r="L31" s="383"/>
      <c r="M31" s="383"/>
      <c r="N31" s="348"/>
      <c r="O31" s="348"/>
      <c r="P31" s="247"/>
      <c r="Q31" s="247"/>
      <c r="R31" s="400" t="str">
        <f t="array" ref="R31">IFERROR(IF(D31&lt;&gt;"Futuros",
(INDEX('Histórico'!$B$1:$ADT996, MATCH($B$3, 'Histórico'!$A$1:$A996, 0), MATCH(B31, 'Histórico'!$1:$1, 0)-1)/INDEX('Histórico'!$B$1:$ADT996, MATCH($C$3, 'Histórico'!$A$1:$A996, 0), MATCH(B31, 'Histórico'!$1:$1, 0)-1)-1),
""),"")</f>
        <v/>
      </c>
      <c r="S31" s="401" t="str">
        <f t="shared" si="8"/>
        <v/>
      </c>
      <c r="T31" s="402" t="str">
        <f t="shared" si="9"/>
        <v/>
      </c>
      <c r="U31" s="247"/>
      <c r="V31" s="348"/>
      <c r="W31" s="455"/>
      <c r="X31" s="404" t="str">
        <f t="array" ref="X31">IFERROR(XLOOKUP($W31,'Cadastro dos Ativos'!$A:$A,'Cadastro dos Ativos'!$C:$C, ""))</f>
        <v/>
      </c>
      <c r="Y31" s="405" t="str">
        <f t="array" ref="Y31">IFERROR(IFERROR(IF($X31&lt;&gt;"Futuros", 
IFERROR(XLOOKUP($W31, Controle!$AN$11:$AN$1001,Controle!$AR$11:$AR$1001),0)-XLOOKUP($W31, 'Controle D-1'!$AN$11:$AN$1001,'Controle D-1'!$AR$11:$AR$1001), 
""),XLOOKUP($W31, Controle!$AN$11:$AN$1001,Controle!$AR$11:$AR$1001)),"")</f>
        <v/>
      </c>
      <c r="Z31" s="405">
        <f>IFS($X31&lt;&gt;"Futuros", SUMIFS('Alocação'!$M$2:$M$1003,'Alocação'!$C$2:$C$1003,$W31,'Alocação'!$B$2:$B$1003,$B$3,'Alocação'!$F$2:$F$1003,$N$4),
$X31="","",
$X31="Futuros","")</f>
        <v>0</v>
      </c>
      <c r="AA31" s="405" t="str">
        <f t="shared" si="10"/>
        <v/>
      </c>
      <c r="AB31" s="307"/>
    </row>
    <row r="32" ht="15.75" customHeight="1">
      <c r="A32" s="348"/>
      <c r="B32" s="406"/>
      <c r="C32" s="4" t="str">
        <f>IF($B32 &lt;&gt; "",SUMIFS('Alocação'!$O$3:$O$1002,'Alocação'!$C$3:$C$1002,$B32,'Alocação'!$F$3:$F$1002,$N$4,'Alocação'!$B$3:$B$1002,"&lt;="&amp;$B$3), "")</f>
        <v/>
      </c>
      <c r="D32" s="4" t="str">
        <f t="array" ref="D32">IFERROR(XLOOKUP($B32,'Cadastro dos Ativos'!$A:$A,'Cadastro dos Ativos'!$C:$C, ""))</f>
        <v/>
      </c>
      <c r="E32" s="408" t="str">
        <f>IFS($D32="Ações Listadas na B3", (($C32 * HLOOKUP($B32, 'Histórico'!$A$1:$FI$296, MATCH($B$3,'Histórico'!$A:$A),0)) / $B$6),
$D32="Ações Americanas",(($C32 * HLOOKUP($B32, 'Histórico'!$A$1:$FI$296, MATCH($B$3,'Histórico'!$A:$A),0)) * HLOOKUP("PTAX", 'Histórico'!$A$1:$FI$296, MATCH($B$3,'Histórico'!$A:$A),0) / $B$6),
$D32="Ações Europeias",(($C32 * HLOOKUP($B32, 'Histórico'!$A$1:$FI$296, MATCH($B$3,'Histórico'!$A:$A),0)) * HLOOKUP("EUR/BRL", 'Histórico'!$A$1:$FI$296, MATCH($B$3,'Histórico'!$A:$A),0) / $B$6),
$D32="Futuros",(SUMIFS('Alocação'!$N:$N,'Alocação'!$C:$C,$B32,'Alocação'!$F:$F,$N$4,'Alocação'!$B:$B,"&lt;="&amp;$B$3))/($B$6)+($C32*SUMPRODUCT(('Histórico T'!$A:$A=$B32)*('Histórico T'!$B:$AAW)))/($B$6),$D32="Moedas",(($C32 * HLOOKUP($B32, 'Histórico'!$A$1:$FI$296, MATCH($B$3,'Histórico'!$A:$A),0)) / $B$6),$B32="","")</f>
        <v/>
      </c>
      <c r="F32" s="408" t="str">
        <f t="shared" si="6"/>
        <v/>
      </c>
      <c r="G32" s="394" t="str">
        <f>IFS(OR($D32="Ações Listadas na B3",$D32="Ações Americanas",$D32="Moedas",$D32="Ações Europeias",$D32="Títulos"),$AA32,
$D32="Futuros",
(SUMIFS('Alocação'!$O$3:$O$1002,'Alocação'!$C$3:$C$1002,B32,'Alocação'!$F$3:$F$1002,N$4,'Alocação'!$B$3:$B$1002,"&lt;="&amp;$C$3))*HLOOKUP(B32,'Histórico'!$A$1:$DD$990,MATCH($B$3,'Histórico'!$A:$A),FALSE),
$D32="",""
)</f>
        <v/>
      </c>
      <c r="H32" s="446" t="str">
        <f t="shared" si="7"/>
        <v/>
      </c>
      <c r="I32" s="467"/>
      <c r="J32" s="383"/>
      <c r="K32" s="383"/>
      <c r="L32" s="383"/>
      <c r="M32" s="383"/>
      <c r="N32" s="348"/>
      <c r="O32" s="348"/>
      <c r="P32" s="247"/>
      <c r="Q32" s="247"/>
      <c r="R32" s="400" t="str">
        <f t="array" ref="R32">IFERROR(IF(D32&lt;&gt;"Futuros",
(INDEX('Histórico'!$B$1:$ADT997, MATCH($B$3, 'Histórico'!$A$1:$A997, 0), MATCH(B32, 'Histórico'!$1:$1, 0)-1)/INDEX('Histórico'!$B$1:$ADT997, MATCH($C$3, 'Histórico'!$A$1:$A997, 0), MATCH(B32, 'Histórico'!$1:$1, 0)-1)-1),
""),"")</f>
        <v/>
      </c>
      <c r="S32" s="401" t="str">
        <f t="shared" si="8"/>
        <v/>
      </c>
      <c r="T32" s="402" t="str">
        <f t="shared" si="9"/>
        <v/>
      </c>
      <c r="U32" s="247"/>
      <c r="V32" s="247"/>
      <c r="W32" s="247"/>
      <c r="X32" s="247"/>
      <c r="Y32" s="348"/>
      <c r="Z32" s="427" t="str">
        <f>IF(D32&lt;&gt;"Futuros","",HLOOKUP(B32,'Preços Futuros'!$A$1:$Z$1000,$B$3))</f>
        <v/>
      </c>
      <c r="AA32" s="311"/>
      <c r="AB32" s="307"/>
    </row>
    <row r="33" ht="15.75" customHeight="1">
      <c r="A33" s="348"/>
      <c r="B33" s="406"/>
      <c r="C33" s="4" t="str">
        <f>IF($B33 &lt;&gt; "",SUMIFS('Alocação'!$O$3:$O$1002,'Alocação'!$C$3:$C$1002,$B33,'Alocação'!$F$3:$F$1002,$N$4,'Alocação'!$B$3:$B$1002,"&lt;="&amp;$B$3), "")</f>
        <v/>
      </c>
      <c r="D33" s="4" t="str">
        <f t="array" ref="D33">IFERROR(XLOOKUP($B33,'Cadastro dos Ativos'!$A:$A,'Cadastro dos Ativos'!$C:$C, ""))</f>
        <v/>
      </c>
      <c r="E33" s="408" t="str">
        <f>IFS($D33="Ações Listadas na B3", (($C33 * HLOOKUP($B33, 'Histórico'!$A$1:$FI$296, MATCH($B$3,'Histórico'!$A:$A),0)) / $B$6),
$D33="Ações Americanas",(($C33 * HLOOKUP($B33, 'Histórico'!$A$1:$FI$296, MATCH($B$3,'Histórico'!$A:$A),0)) * HLOOKUP("PTAX", 'Histórico'!$A$1:$FI$296, MATCH($B$3,'Histórico'!$A:$A),0) / $B$6),
$D33="Ações Europeias",(($C33 * HLOOKUP($B33, 'Histórico'!$A$1:$FI$296, MATCH($B$3,'Histórico'!$A:$A),0)) * HLOOKUP("EUR/BRL", 'Histórico'!$A$1:$FI$296, MATCH($B$3,'Histórico'!$A:$A),0) / $B$6),
$D33="Futuros",(SUMIFS('Alocação'!$N:$N,'Alocação'!$C:$C,$B33,'Alocação'!$F:$F,$N$4,'Alocação'!$B:$B,"&lt;="&amp;$B$3))/($B$6)+($C33*SUMPRODUCT(('Histórico T'!$A:$A=$B33)*('Histórico T'!$B:$AAW)))/($B$6),$D33="Moedas",(($C33 * HLOOKUP($B33, 'Histórico'!$A$1:$FI$296, MATCH($B$3,'Histórico'!$A:$A),0)) / $B$6),$B33="","")</f>
        <v/>
      </c>
      <c r="F33" s="408" t="str">
        <f t="shared" si="6"/>
        <v/>
      </c>
      <c r="G33" s="394" t="str">
        <f>IFS(OR($D33="Ações Listadas na B3",$D33="Ações Americanas",$D33="Moedas",$D33="Ações Europeias",$D33="Títulos"),$AA33,
$D33="Futuros",
(SUMIFS('Alocação'!$O$3:$O$1002,'Alocação'!$C$3:$C$1002,B33,'Alocação'!$F$3:$F$1002,N$4,'Alocação'!$B$3:$B$1002,"&lt;="&amp;$C$3))*HLOOKUP(B33,'Histórico'!$A$1:$DD$990,MATCH($B$3,'Histórico'!$A:$A),FALSE),
$D33="",""
)</f>
        <v/>
      </c>
      <c r="H33" s="446" t="str">
        <f t="shared" si="7"/>
        <v/>
      </c>
      <c r="I33" s="467"/>
      <c r="J33" s="383"/>
      <c r="K33" s="383"/>
      <c r="L33" s="383"/>
      <c r="M33" s="383"/>
      <c r="N33" s="348"/>
      <c r="O33" s="348"/>
      <c r="P33" s="247"/>
      <c r="Q33" s="247"/>
      <c r="R33" s="400" t="str">
        <f t="array" ref="R33">IFERROR(IF(D33&lt;&gt;"Futuros",
(INDEX('Histórico'!$B$1:$ADT998, MATCH($B$3, 'Histórico'!$A$1:$A998, 0), MATCH(B33, 'Histórico'!$1:$1, 0)-1)/INDEX('Histórico'!$B$1:$ADT998, MATCH($C$3, 'Histórico'!$A$1:$A998, 0), MATCH(B33, 'Histórico'!$1:$1, 0)-1)-1),
""),"")</f>
        <v/>
      </c>
      <c r="S33" s="401" t="str">
        <f t="shared" si="8"/>
        <v/>
      </c>
      <c r="T33" s="402" t="str">
        <f t="shared" si="9"/>
        <v/>
      </c>
      <c r="U33" s="247"/>
      <c r="V33" s="247"/>
      <c r="W33" s="247"/>
      <c r="X33" s="247"/>
      <c r="Y33" s="348"/>
      <c r="Z33" s="427" t="str">
        <f>IF(D33&lt;&gt;"Futuros","",HLOOKUP(B33,'Preços Futuros'!$A$1:$Z$1000,$B$3))</f>
        <v/>
      </c>
      <c r="AA33" s="311"/>
      <c r="AB33" s="307"/>
    </row>
    <row r="34" ht="15.75" customHeight="1">
      <c r="A34" s="348"/>
      <c r="B34" s="406"/>
      <c r="C34" s="4" t="str">
        <f>IF($B34 &lt;&gt; "",SUMIFS('Alocação'!$O$3:$O$1002,'Alocação'!$C$3:$C$1002,$B34,'Alocação'!$F$3:$F$1002,$N$4,'Alocação'!$B$3:$B$1002,"&lt;="&amp;$B$3), "")</f>
        <v/>
      </c>
      <c r="D34" s="4" t="str">
        <f t="array" ref="D34">IFERROR(XLOOKUP($B34,'Cadastro dos Ativos'!$A:$A,'Cadastro dos Ativos'!$C:$C, ""))</f>
        <v/>
      </c>
      <c r="E34" s="408" t="str">
        <f>IFS($D34="Ações Listadas na B3", (($C34 * HLOOKUP($B34, 'Histórico'!$A$1:$FI$296, MATCH($B$3,'Histórico'!$A:$A),0)) / $B$6),
$D34="Ações Americanas",(($C34 * HLOOKUP($B34, 'Histórico'!$A$1:$FI$296, MATCH($B$3,'Histórico'!$A:$A),0)) * HLOOKUP("PTAX", 'Histórico'!$A$1:$FI$296, MATCH($B$3,'Histórico'!$A:$A),0) / $B$6),
$D34="Ações Europeias",(($C34 * HLOOKUP($B34, 'Histórico'!$A$1:$FI$296, MATCH($B$3,'Histórico'!$A:$A),0)) * HLOOKUP("EUR/BRL", 'Histórico'!$A$1:$FI$296, MATCH($B$3,'Histórico'!$A:$A),0) / $B$6),
$D34="Futuros",(SUMIFS('Alocação'!$N:$N,'Alocação'!$C:$C,$B34,'Alocação'!$F:$F,$N$4,'Alocação'!$B:$B,"&lt;="&amp;$B$3))/($B$6)+($C34*SUMPRODUCT(('Histórico T'!$A:$A=$B34)*('Histórico T'!$B:$AAW)))/($B$6),$D34="Moedas",(($C34 * HLOOKUP($B34, 'Histórico'!$A$1:$FI$296, MATCH($B$3,'Histórico'!$A:$A),0)) / $B$6),$B34="","")</f>
        <v/>
      </c>
      <c r="F34" s="408" t="str">
        <f t="shared" si="6"/>
        <v/>
      </c>
      <c r="G34" s="394" t="str">
        <f>IFS(OR($D34="Ações Listadas na B3",$D34="Ações Americanas",$D34="Moedas",$D34="Ações Europeias",$D34="Títulos"),$AA34,
$D34="Futuros",
(SUMIFS('Alocação'!$O$3:$O$1002,'Alocação'!$C$3:$C$1002,B34,'Alocação'!$F$3:$F$1002,N$4,'Alocação'!$B$3:$B$1002,"&lt;="&amp;$C$3))*HLOOKUP(B34,'Histórico'!$A$1:$DD$990,MATCH($B$3,'Histórico'!$A:$A),FALSE),
$D34="",""
)</f>
        <v/>
      </c>
      <c r="H34" s="446" t="str">
        <f t="shared" si="7"/>
        <v/>
      </c>
      <c r="I34" s="467"/>
      <c r="J34" s="383"/>
      <c r="K34" s="383"/>
      <c r="L34" s="383"/>
      <c r="M34" s="383"/>
      <c r="N34" s="348"/>
      <c r="O34" s="348"/>
      <c r="P34" s="247"/>
      <c r="Q34" s="247"/>
      <c r="R34" s="400" t="str">
        <f t="array" ref="R34">IFERROR(IF(D34&lt;&gt;"Futuros",
(INDEX('Histórico'!$B$1:$ADT999, MATCH($B$3, 'Histórico'!$A$1:$A999, 0), MATCH(B34, 'Histórico'!$1:$1, 0)-1)/INDEX('Histórico'!$B$1:$ADT999, MATCH($C$3, 'Histórico'!$A$1:$A999, 0), MATCH(B34, 'Histórico'!$1:$1, 0)-1)-1),
""),"")</f>
        <v/>
      </c>
      <c r="S34" s="401" t="str">
        <f t="shared" si="8"/>
        <v/>
      </c>
      <c r="T34" s="402" t="str">
        <f t="shared" si="9"/>
        <v/>
      </c>
      <c r="U34" s="247"/>
      <c r="V34" s="247"/>
      <c r="W34" s="247"/>
      <c r="X34" s="247"/>
      <c r="Y34" s="348"/>
      <c r="Z34" s="427" t="str">
        <f>IF(D34&lt;&gt;"Futuros","",HLOOKUP(B34,'Preços Futuros'!$A$1:$Z$1000,$B$3))</f>
        <v/>
      </c>
      <c r="AA34" s="311"/>
      <c r="AB34" s="307"/>
    </row>
    <row r="35" ht="15.75" customHeight="1">
      <c r="A35" s="348"/>
      <c r="B35" s="406"/>
      <c r="C35" s="4" t="str">
        <f>IF($B35 &lt;&gt; "",SUMIFS('Alocação'!$O$3:$O$1002,'Alocação'!$C$3:$C$1002,$B35,'Alocação'!$F$3:$F$1002,$N$4,'Alocação'!$B$3:$B$1002,"&lt;="&amp;$B$3), "")</f>
        <v/>
      </c>
      <c r="D35" s="4" t="str">
        <f t="array" ref="D35">IFERROR(XLOOKUP($B35,'Cadastro dos Ativos'!$A:$A,'Cadastro dos Ativos'!$C:$C, ""))</f>
        <v/>
      </c>
      <c r="E35" s="408" t="str">
        <f>IFS($D35="Ações Listadas na B3", (($C35 * HLOOKUP($B35, 'Histórico'!$A$1:$FI$296, MATCH($B$3,'Histórico'!$A:$A),0)) / $B$6),
$D35="Ações Americanas",(($C35 * HLOOKUP($B35, 'Histórico'!$A$1:$FI$296, MATCH($B$3,'Histórico'!$A:$A),0)) * HLOOKUP("PTAX", 'Histórico'!$A$1:$FI$296, MATCH($B$3,'Histórico'!$A:$A),0) / $B$6),
$D35="Ações Europeias",(($C35 * HLOOKUP($B35, 'Histórico'!$A$1:$FI$296, MATCH($B$3,'Histórico'!$A:$A),0)) * HLOOKUP("EUR/BRL", 'Histórico'!$A$1:$FI$296, MATCH($B$3,'Histórico'!$A:$A),0) / $B$6),
$D35="Futuros",(SUMIFS('Alocação'!$N:$N,'Alocação'!$C:$C,$B35,'Alocação'!$F:$F,$N$4,'Alocação'!$B:$B,"&lt;="&amp;$B$3))/($B$6)+($C35*SUMPRODUCT(('Histórico T'!$A:$A=$B35)*('Histórico T'!$B:$AAW)))/($B$6),$D35="Moedas",(($C35 * HLOOKUP($B35, 'Histórico'!$A$1:$FI$296, MATCH($B$3,'Histórico'!$A:$A),0)) / $B$6),$B35="","")</f>
        <v/>
      </c>
      <c r="F35" s="408" t="str">
        <f t="shared" si="6"/>
        <v/>
      </c>
      <c r="G35" s="394" t="str">
        <f>IFS(OR($D35="Ações Listadas na B3",$D35="Ações Americanas",$D35="Moedas",$D35="Ações Europeias",$D35="Títulos"),$AA35,
$D35="Futuros",
(SUMIFS('Alocação'!$O$3:$O$1002,'Alocação'!$C$3:$C$1002,B35,'Alocação'!$F$3:$F$1002,N$4,'Alocação'!$B$3:$B$1002,"&lt;="&amp;$C$3))*HLOOKUP(B35,'Histórico'!$A$1:$DD$990,MATCH($B$3,'Histórico'!$A:$A),FALSE),
$D35="",""
)</f>
        <v/>
      </c>
      <c r="H35" s="446" t="str">
        <f t="shared" si="7"/>
        <v/>
      </c>
      <c r="I35" s="467"/>
      <c r="J35" s="383"/>
      <c r="K35" s="383"/>
      <c r="L35" s="383"/>
      <c r="M35" s="383"/>
      <c r="N35" s="348"/>
      <c r="O35" s="348"/>
      <c r="P35" s="247"/>
      <c r="Q35" s="247"/>
      <c r="R35" s="400" t="str">
        <f t="array" ref="R35">IFERROR(IF(D35&lt;&gt;"Futuros",
(INDEX('Histórico'!$B$1:$ADT1000, MATCH($B$3, 'Histórico'!$A$1:$A1000, 0), MATCH(B35, 'Histórico'!$1:$1, 0)-1)/INDEX('Histórico'!$B$1:$ADT1000, MATCH($C$3, 'Histórico'!$A$1:$A1000, 0), MATCH(B35, 'Histórico'!$1:$1, 0)-1)-1),
""),"")</f>
        <v/>
      </c>
      <c r="S35" s="401" t="str">
        <f t="shared" si="8"/>
        <v/>
      </c>
      <c r="T35" s="402" t="str">
        <f t="shared" si="9"/>
        <v/>
      </c>
      <c r="U35" s="247"/>
      <c r="V35" s="247"/>
      <c r="W35" s="247"/>
      <c r="X35" s="247"/>
      <c r="Y35" s="348"/>
      <c r="Z35" s="427" t="str">
        <f>IF(D35&lt;&gt;"Futuros","",HLOOKUP(B35,'Preços Futuros'!$A$1:$Z$1000,$B$3))</f>
        <v/>
      </c>
      <c r="AA35" s="311"/>
      <c r="AB35" s="307"/>
    </row>
    <row r="36" ht="15.75" customHeight="1">
      <c r="A36" s="348"/>
      <c r="B36" s="406"/>
      <c r="C36" s="4" t="str">
        <f>IF($B36 &lt;&gt; "",SUMIFS('Alocação'!$O$3:$O$1002,'Alocação'!$C$3:$C$1002,$B36,'Alocação'!$F$3:$F$1002,$N$4,'Alocação'!$B$3:$B$1002,"&lt;="&amp;$B$3), "")</f>
        <v/>
      </c>
      <c r="D36" s="4" t="str">
        <f t="array" ref="D36">IFERROR(XLOOKUP($B36,'Cadastro dos Ativos'!$A:$A,'Cadastro dos Ativos'!$C:$C, ""))</f>
        <v/>
      </c>
      <c r="E36" s="408" t="str">
        <f>IFS($D36="Ações Listadas na B3", (($C36 * HLOOKUP($B36, 'Histórico'!$A$1:$FI$296, MATCH($B$3,'Histórico'!$A:$A),0)) / $B$6),
$D36="Ações Americanas",(($C36 * HLOOKUP($B36, 'Histórico'!$A$1:$FI$296, MATCH($B$3,'Histórico'!$A:$A),0)) * HLOOKUP("PTAX", 'Histórico'!$A$1:$FI$296, MATCH($B$3,'Histórico'!$A:$A),0) / $B$6),
$D36="Ações Europeias",(($C36 * HLOOKUP($B36, 'Histórico'!$A$1:$FI$296, MATCH($B$3,'Histórico'!$A:$A),0)) * HLOOKUP("EUR/BRL", 'Histórico'!$A$1:$FI$296, MATCH($B$3,'Histórico'!$A:$A),0) / $B$6),
$D36="Futuros",(SUMIFS('Alocação'!$N:$N,'Alocação'!$C:$C,$B36,'Alocação'!$F:$F,$N$4,'Alocação'!$B:$B,"&lt;="&amp;$B$3))/($B$6)+($C36*SUMPRODUCT(('Histórico T'!$A:$A=$B36)*('Histórico T'!$B:$AAW)))/($B$6),$D36="Moedas",(($C36 * HLOOKUP($B36, 'Histórico'!$A$1:$FI$296, MATCH($B$3,'Histórico'!$A:$A),0)) / $B$6),$B36="","")</f>
        <v/>
      </c>
      <c r="F36" s="408" t="str">
        <f t="shared" si="6"/>
        <v/>
      </c>
      <c r="G36" s="394" t="str">
        <f>IFS(OR($D36="Ações Listadas na B3",$D36="Ações Americanas",$D36="Moedas",$D36="Ações Europeias",$D36="Títulos"),$AA36,
$D36="Futuros",
(SUMIFS('Alocação'!$O$3:$O$1002,'Alocação'!$C$3:$C$1002,B36,'Alocação'!$F$3:$F$1002,N$4,'Alocação'!$B$3:$B$1002,"&lt;="&amp;$C$3))*HLOOKUP(B36,'Histórico'!$A$1:$DD$990,MATCH($B$3,'Histórico'!$A:$A),FALSE),
$D36="",""
)</f>
        <v/>
      </c>
      <c r="H36" s="446" t="str">
        <f t="shared" si="7"/>
        <v/>
      </c>
      <c r="I36" s="467"/>
      <c r="J36" s="383"/>
      <c r="K36" s="383"/>
      <c r="L36" s="383"/>
      <c r="M36" s="383"/>
      <c r="N36" s="348"/>
      <c r="O36" s="348"/>
      <c r="P36" s="247"/>
      <c r="Q36" s="247"/>
      <c r="R36" s="400" t="str">
        <f t="array" ref="R36">IFERROR(IF(D36&lt;&gt;"Futuros",
(INDEX('Histórico'!$B$1:$ADT1001, MATCH($B$3, 'Histórico'!$A$1:$A1001, 0), MATCH(B36, 'Histórico'!$1:$1, 0)-1)/INDEX('Histórico'!$B$1:$ADT1001, MATCH($C$3, 'Histórico'!$A$1:$A1001, 0), MATCH(B36, 'Histórico'!$1:$1, 0)-1)-1),
""),"")</f>
        <v/>
      </c>
      <c r="S36" s="348"/>
      <c r="T36" s="348"/>
      <c r="U36" s="348"/>
      <c r="V36" s="307"/>
      <c r="W36" s="247"/>
      <c r="X36" s="247"/>
      <c r="Y36" s="348"/>
      <c r="Z36" s="427" t="str">
        <f>IF(D36&lt;&gt;"Futuros","",HLOOKUP(B36,'Preços Futuros'!$A$1:$Z$1000,$B$3))</f>
        <v/>
      </c>
      <c r="AA36" s="311"/>
      <c r="AB36" s="307"/>
    </row>
    <row r="37" ht="15.75" customHeight="1">
      <c r="A37" s="348"/>
      <c r="B37" s="429"/>
      <c r="C37" s="430" t="str">
        <f>IF($B37 &lt;&gt; "",SUMIFS('Alocação'!$O$3:$O$1002,'Alocação'!$C$3:$C$1002,$B37,'Alocação'!$F$3:$F$1002,$N$4,'Alocação'!$B$3:$B$1002,"&lt;="&amp;$B$3), "")</f>
        <v/>
      </c>
      <c r="D37" s="430" t="str">
        <f t="array" ref="D37">IFERROR(XLOOKUP($B37,'Cadastro dos Ativos'!$A:$A,'Cadastro dos Ativos'!$C:$C, ""))</f>
        <v/>
      </c>
      <c r="E37" s="431" t="str">
        <f>IFS($D37="Ações Listadas na B3", (($C37 * HLOOKUP($B37, 'Histórico'!$A$1:$FI$296, MATCH($B$3,'Histórico'!$A:$A),0)) / $B$6),
$D37="Ações Americanas",(($C37 * HLOOKUP($B37, 'Histórico'!$A$1:$FI$296, MATCH($B$3,'Histórico'!$A:$A),0)) * HLOOKUP("PTAX", 'Histórico'!$A$1:$FI$296, MATCH($B$3,'Histórico'!$A:$A),0) / $B$6),
$D37="Ações Europeias",(($C37 * HLOOKUP($B37, 'Histórico'!$A$1:$FI$296, MATCH($B$3,'Histórico'!$A:$A),0)) * HLOOKUP("EUR/BRL", 'Histórico'!$A$1:$FI$296, MATCH($B$3,'Histórico'!$A:$A),0) / $B$6),
$D37="Futuros",(SUMIFS('Alocação'!$N:$N,'Alocação'!$C:$C,$B37,'Alocação'!$F:$F,$N$4,'Alocação'!$B:$B,"&lt;="&amp;$B$3))/($B$6)+($C37*SUMPRODUCT(('Histórico T'!$A:$A=$B37)*('Histórico T'!$B:$AAW)))/($B$6),$D37="Moedas",(($C37 * HLOOKUP($B37, 'Histórico'!$A$1:$FI$296, MATCH($B$3,'Histórico'!$A:$A),0)) / $B$6),$B37="","")</f>
        <v/>
      </c>
      <c r="F37" s="431" t="str">
        <f t="shared" si="6"/>
        <v/>
      </c>
      <c r="G37" s="432" t="str">
        <f>IFS(OR($D37="Ações Listadas na B3",$D37="Ações Americanas",$D37="Moedas",$D37="Ações Europeias",$D37="Títulos"),$AA37,
$D37="Futuros",
(SUMIFS('Alocação'!$O$3:$O$1002,'Alocação'!$C$3:$C$1002,B37,'Alocação'!$F$3:$F$1002,N$4,'Alocação'!$B$3:$B$1002,"&lt;="&amp;$C$3))*HLOOKUP(B37,'Histórico'!$A$1:$DD$990,MATCH($B$3,'Histórico'!$A:$A),FALSE),
$D37="",""
)</f>
        <v/>
      </c>
      <c r="H37" s="458" t="str">
        <f t="shared" si="7"/>
        <v/>
      </c>
      <c r="I37" s="467"/>
      <c r="J37" s="383"/>
      <c r="K37" s="383"/>
      <c r="L37" s="383"/>
      <c r="M37" s="247"/>
      <c r="N37" s="247"/>
      <c r="O37" s="247"/>
      <c r="P37" s="247"/>
      <c r="Q37" s="247"/>
      <c r="R37" s="400" t="str">
        <f t="array" ref="R37">IFERROR(IF(D37&lt;&gt;"Futuros",
(INDEX('Histórico'!$B$1:$ADT1002, MATCH($B$3, 'Histórico'!$A$1:$A1002, 0), MATCH(B37, 'Histórico'!$1:$1, 0)-1)/INDEX('Histórico'!$B$1:$ADT1002, MATCH($C$3, 'Histórico'!$A$1:$A1002, 0), MATCH(B37, 'Histórico'!$1:$1, 0)-1)-1),
""),"")</f>
        <v/>
      </c>
      <c r="S37" s="348"/>
      <c r="T37" s="348"/>
      <c r="U37" s="348"/>
      <c r="V37" s="307"/>
      <c r="W37" s="247"/>
      <c r="X37" s="247"/>
      <c r="Y37" s="348"/>
      <c r="Z37" s="427" t="str">
        <f>IF(D37&lt;&gt;"Futuros","",HLOOKUP(B37,'Preços Futuros'!$A$1:$Z$1000,$B$3))</f>
        <v/>
      </c>
      <c r="AA37" s="307"/>
      <c r="AB37" s="307"/>
    </row>
    <row r="38" ht="15.75" customHeight="1">
      <c r="A38" s="306"/>
      <c r="B38" s="306"/>
      <c r="C38" s="306"/>
      <c r="D38" s="306"/>
      <c r="E38" s="306"/>
      <c r="F38" s="306"/>
      <c r="G38" s="306"/>
      <c r="H38" s="306"/>
      <c r="I38" s="435"/>
      <c r="J38" s="435"/>
      <c r="K38" s="306"/>
      <c r="L38" s="307"/>
      <c r="M38" s="307"/>
      <c r="N38" s="307"/>
      <c r="O38" s="307"/>
      <c r="P38" s="307"/>
      <c r="Q38" s="307"/>
      <c r="R38" s="307"/>
      <c r="S38" s="348"/>
      <c r="T38" s="348"/>
      <c r="U38" s="348"/>
      <c r="V38" s="307"/>
      <c r="W38" s="307"/>
      <c r="X38" s="307"/>
      <c r="Y38" s="348"/>
      <c r="Z38" s="307"/>
      <c r="AA38" s="307"/>
      <c r="AB38" s="307"/>
    </row>
    <row r="39" ht="15.75" customHeight="1">
      <c r="A39" s="306"/>
      <c r="B39" s="306"/>
      <c r="C39" s="306"/>
      <c r="D39" s="306"/>
      <c r="E39" s="306"/>
      <c r="F39" s="306"/>
      <c r="G39" s="306"/>
      <c r="H39" s="306"/>
      <c r="I39" s="306"/>
      <c r="J39" s="306"/>
      <c r="K39" s="306"/>
      <c r="L39" s="307"/>
      <c r="M39" s="307"/>
      <c r="N39" s="307"/>
      <c r="O39" s="307"/>
      <c r="P39" s="307"/>
      <c r="Q39" s="307"/>
      <c r="R39" s="307"/>
      <c r="S39" s="348"/>
      <c r="T39" s="348"/>
      <c r="U39" s="348"/>
      <c r="V39" s="307"/>
      <c r="W39" s="307"/>
      <c r="X39" s="307"/>
      <c r="Y39" s="307"/>
      <c r="Z39" s="307"/>
      <c r="AA39" s="307"/>
      <c r="AB39" s="307"/>
    </row>
    <row r="40" ht="15.75" customHeight="1">
      <c r="A40" s="306"/>
      <c r="B40" s="306"/>
      <c r="C40" s="306"/>
      <c r="D40" s="306"/>
      <c r="E40" s="306"/>
      <c r="F40" s="306"/>
      <c r="G40" s="306"/>
      <c r="H40" s="306"/>
      <c r="I40" s="306"/>
      <c r="J40" s="306"/>
      <c r="K40" s="306"/>
      <c r="L40" s="307"/>
      <c r="M40" s="307"/>
      <c r="N40" s="307"/>
      <c r="O40" s="307"/>
      <c r="P40" s="307"/>
      <c r="Q40" s="307"/>
      <c r="R40" s="307"/>
      <c r="S40" s="348"/>
      <c r="T40" s="348"/>
      <c r="U40" s="348"/>
      <c r="V40" s="307"/>
      <c r="W40" s="307"/>
      <c r="X40" s="307"/>
      <c r="Y40" s="307"/>
      <c r="Z40" s="307"/>
      <c r="AA40" s="307"/>
      <c r="AB40" s="307"/>
    </row>
    <row r="41" ht="15.75" customHeight="1">
      <c r="A41" s="306"/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7"/>
      <c r="M41" s="307"/>
      <c r="N41" s="307"/>
      <c r="O41" s="307"/>
      <c r="P41" s="307"/>
      <c r="Q41" s="307"/>
      <c r="R41" s="307"/>
      <c r="S41" s="348"/>
      <c r="T41" s="348"/>
      <c r="U41" s="348"/>
      <c r="V41" s="307"/>
      <c r="W41" s="307"/>
      <c r="X41" s="307"/>
      <c r="Y41" s="307"/>
      <c r="Z41" s="307"/>
      <c r="AA41" s="307"/>
      <c r="AB41" s="307"/>
    </row>
    <row r="42" ht="15.75" customHeight="1">
      <c r="A42" s="306"/>
      <c r="B42" s="306"/>
      <c r="C42" s="306"/>
      <c r="D42" s="306"/>
      <c r="E42" s="306"/>
      <c r="F42" s="306"/>
      <c r="G42" s="306"/>
      <c r="H42" s="306"/>
      <c r="I42" s="306"/>
      <c r="J42" s="306"/>
      <c r="K42" s="306"/>
      <c r="L42" s="307"/>
      <c r="M42" s="307"/>
      <c r="N42" s="307"/>
      <c r="O42" s="307"/>
      <c r="P42" s="307"/>
      <c r="Q42" s="307"/>
      <c r="R42" s="307"/>
      <c r="S42" s="348"/>
      <c r="T42" s="348"/>
      <c r="U42" s="348"/>
      <c r="V42" s="307"/>
      <c r="W42" s="307"/>
      <c r="X42" s="307"/>
      <c r="Y42" s="307"/>
      <c r="Z42" s="307"/>
      <c r="AA42" s="307"/>
      <c r="AB42" s="307"/>
    </row>
    <row r="43" ht="15.75" customHeight="1">
      <c r="A43" s="306"/>
      <c r="B43" s="306"/>
      <c r="C43" s="306"/>
      <c r="D43" s="306"/>
      <c r="E43" s="306"/>
      <c r="F43" s="306"/>
      <c r="G43" s="306"/>
      <c r="H43" s="306"/>
      <c r="I43" s="306"/>
      <c r="J43" s="306"/>
      <c r="K43" s="306"/>
      <c r="L43" s="307"/>
      <c r="M43" s="307"/>
      <c r="N43" s="307"/>
      <c r="O43" s="307"/>
      <c r="P43" s="307"/>
      <c r="Q43" s="307"/>
      <c r="R43" s="307"/>
      <c r="S43" s="348"/>
      <c r="T43" s="348"/>
      <c r="U43" s="348"/>
      <c r="V43" s="307"/>
      <c r="W43" s="307"/>
      <c r="X43" s="307"/>
      <c r="Y43" s="307"/>
      <c r="Z43" s="307"/>
      <c r="AA43" s="307"/>
      <c r="AB43" s="307"/>
    </row>
    <row r="44" ht="15.75" customHeight="1">
      <c r="A44" s="306"/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7"/>
      <c r="M44" s="307"/>
      <c r="N44" s="307"/>
      <c r="O44" s="307"/>
      <c r="P44" s="307"/>
      <c r="Q44" s="307"/>
      <c r="R44" s="307"/>
      <c r="S44" s="348"/>
      <c r="T44" s="348"/>
      <c r="U44" s="348"/>
      <c r="V44" s="307"/>
      <c r="W44" s="307"/>
      <c r="X44" s="307"/>
      <c r="Y44" s="307"/>
      <c r="Z44" s="307"/>
      <c r="AA44" s="307"/>
      <c r="AB44" s="307"/>
    </row>
    <row r="45" ht="15.75" customHeight="1">
      <c r="A45" s="306"/>
      <c r="B45" s="306"/>
      <c r="C45" s="306"/>
      <c r="D45" s="306"/>
      <c r="E45" s="306"/>
      <c r="F45" s="306"/>
      <c r="G45" s="306"/>
      <c r="H45" s="306"/>
      <c r="I45" s="306"/>
      <c r="J45" s="306"/>
      <c r="K45" s="306"/>
      <c r="L45" s="307"/>
      <c r="M45" s="307"/>
      <c r="N45" s="307"/>
      <c r="O45" s="307"/>
      <c r="P45" s="307"/>
      <c r="Q45" s="307"/>
      <c r="R45" s="307"/>
      <c r="S45" s="348"/>
      <c r="T45" s="348"/>
      <c r="U45" s="348"/>
      <c r="V45" s="307"/>
      <c r="W45" s="307"/>
      <c r="X45" s="307"/>
      <c r="Y45" s="307"/>
      <c r="Z45" s="307"/>
      <c r="AA45" s="307"/>
      <c r="AB45" s="307"/>
    </row>
    <row r="46" ht="15.75" customHeight="1">
      <c r="A46" s="306"/>
      <c r="B46" s="306"/>
      <c r="C46" s="306"/>
      <c r="D46" s="306"/>
      <c r="E46" s="306"/>
      <c r="F46" s="306"/>
      <c r="G46" s="306"/>
      <c r="H46" s="306"/>
      <c r="I46" s="306"/>
      <c r="J46" s="306"/>
      <c r="K46" s="306"/>
      <c r="L46" s="307"/>
      <c r="M46" s="307"/>
      <c r="N46" s="307"/>
      <c r="O46" s="307"/>
      <c r="P46" s="307"/>
      <c r="Q46" s="307"/>
      <c r="R46" s="307"/>
      <c r="S46" s="348"/>
      <c r="T46" s="348"/>
      <c r="U46" s="348"/>
      <c r="V46" s="307"/>
      <c r="W46" s="307"/>
      <c r="X46" s="307"/>
      <c r="Y46" s="307"/>
      <c r="Z46" s="307"/>
      <c r="AA46" s="307"/>
      <c r="AB46" s="307"/>
    </row>
    <row r="47" ht="15.75" customHeight="1">
      <c r="A47" s="306"/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7"/>
      <c r="M47" s="307"/>
      <c r="N47" s="307"/>
      <c r="O47" s="307"/>
      <c r="P47" s="307"/>
      <c r="Q47" s="307"/>
      <c r="R47" s="307"/>
      <c r="S47" s="348"/>
      <c r="T47" s="348"/>
      <c r="U47" s="348"/>
      <c r="V47" s="307"/>
      <c r="W47" s="307"/>
      <c r="X47" s="307"/>
      <c r="Y47" s="307"/>
      <c r="Z47" s="307"/>
      <c r="AA47" s="307"/>
      <c r="AB47" s="307"/>
    </row>
    <row r="48" ht="15.75" customHeight="1">
      <c r="A48" s="306"/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7"/>
      <c r="M48" s="307"/>
      <c r="N48" s="307"/>
      <c r="O48" s="307"/>
      <c r="P48" s="307"/>
      <c r="Q48" s="307"/>
      <c r="R48" s="307"/>
      <c r="S48" s="348"/>
      <c r="T48" s="348"/>
      <c r="U48" s="348"/>
      <c r="V48" s="307"/>
      <c r="W48" s="307"/>
      <c r="X48" s="307"/>
      <c r="Y48" s="307"/>
      <c r="Z48" s="307"/>
      <c r="AA48" s="307"/>
      <c r="AB48" s="307"/>
    </row>
    <row r="49" ht="15.75" customHeight="1">
      <c r="A49" s="306"/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7"/>
      <c r="M49" s="307"/>
      <c r="N49" s="307"/>
      <c r="O49" s="307"/>
      <c r="P49" s="307"/>
      <c r="Q49" s="307"/>
      <c r="R49" s="307"/>
      <c r="S49" s="348"/>
      <c r="T49" s="348"/>
      <c r="U49" s="348"/>
      <c r="V49" s="307"/>
      <c r="W49" s="307"/>
      <c r="X49" s="307"/>
      <c r="Y49" s="307"/>
      <c r="Z49" s="307"/>
      <c r="AA49" s="307"/>
      <c r="AB49" s="307"/>
    </row>
    <row r="50" ht="15.75" customHeight="1">
      <c r="A50" s="306"/>
      <c r="B50" s="306"/>
      <c r="C50" s="306"/>
      <c r="D50" s="306"/>
      <c r="E50" s="306"/>
      <c r="F50" s="306"/>
      <c r="G50" s="306"/>
      <c r="H50" s="306"/>
      <c r="I50" s="306"/>
      <c r="J50" s="306"/>
      <c r="K50" s="306"/>
      <c r="L50" s="307"/>
      <c r="M50" s="307"/>
      <c r="N50" s="307"/>
      <c r="O50" s="307"/>
      <c r="P50" s="307"/>
      <c r="Q50" s="307"/>
      <c r="R50" s="307"/>
      <c r="S50" s="348"/>
      <c r="T50" s="348"/>
      <c r="U50" s="348"/>
      <c r="V50" s="307"/>
      <c r="W50" s="307"/>
      <c r="X50" s="307"/>
      <c r="Y50" s="307"/>
      <c r="Z50" s="307"/>
      <c r="AA50" s="307"/>
      <c r="AB50" s="307"/>
    </row>
    <row r="51" ht="15.75" customHeight="1">
      <c r="A51" s="306"/>
      <c r="B51" s="306"/>
      <c r="C51" s="306"/>
      <c r="D51" s="306"/>
      <c r="E51" s="306"/>
      <c r="F51" s="306"/>
      <c r="G51" s="306"/>
      <c r="H51" s="306"/>
      <c r="I51" s="306"/>
      <c r="J51" s="306"/>
      <c r="K51" s="306"/>
      <c r="L51" s="307"/>
      <c r="M51" s="307"/>
      <c r="N51" s="307"/>
      <c r="O51" s="307"/>
      <c r="P51" s="307"/>
      <c r="Q51" s="307"/>
      <c r="R51" s="307"/>
      <c r="S51" s="348"/>
      <c r="T51" s="348"/>
      <c r="U51" s="348"/>
      <c r="V51" s="307"/>
      <c r="W51" s="307"/>
      <c r="X51" s="307"/>
      <c r="Y51" s="307"/>
      <c r="Z51" s="307"/>
      <c r="AA51" s="307"/>
      <c r="AB51" s="307"/>
    </row>
    <row r="52" ht="15.75" customHeight="1">
      <c r="A52" s="306"/>
      <c r="B52" s="306"/>
      <c r="C52" s="306"/>
      <c r="D52" s="306"/>
      <c r="E52" s="306"/>
      <c r="F52" s="306"/>
      <c r="G52" s="306"/>
      <c r="H52" s="306"/>
      <c r="I52" s="306"/>
      <c r="J52" s="306"/>
      <c r="K52" s="306"/>
      <c r="L52" s="307"/>
      <c r="M52" s="307"/>
      <c r="N52" s="307"/>
      <c r="O52" s="307"/>
      <c r="P52" s="307"/>
      <c r="Q52" s="307"/>
      <c r="R52" s="307"/>
      <c r="S52" s="348"/>
      <c r="T52" s="348"/>
      <c r="U52" s="348"/>
      <c r="V52" s="307"/>
      <c r="W52" s="307"/>
      <c r="X52" s="307"/>
      <c r="Y52" s="307"/>
      <c r="Z52" s="307"/>
      <c r="AA52" s="307"/>
      <c r="AB52" s="307"/>
    </row>
    <row r="53" ht="15.75" customHeight="1">
      <c r="A53" s="306"/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7"/>
      <c r="M53" s="307"/>
      <c r="N53" s="307"/>
      <c r="O53" s="307"/>
      <c r="P53" s="307"/>
      <c r="Q53" s="307"/>
      <c r="R53" s="307"/>
      <c r="S53" s="348"/>
      <c r="T53" s="348"/>
      <c r="U53" s="348"/>
      <c r="V53" s="307"/>
      <c r="W53" s="307"/>
      <c r="X53" s="307"/>
      <c r="Y53" s="307"/>
      <c r="Z53" s="307"/>
      <c r="AA53" s="307"/>
      <c r="AB53" s="307"/>
    </row>
    <row r="54" ht="15.75" customHeight="1">
      <c r="A54" s="306"/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7"/>
      <c r="M54" s="307"/>
      <c r="N54" s="307"/>
      <c r="O54" s="307"/>
      <c r="P54" s="307"/>
      <c r="Q54" s="307"/>
      <c r="R54" s="307"/>
      <c r="S54" s="427" t="s">
        <v>377</v>
      </c>
      <c r="T54" s="436" t="s">
        <v>378</v>
      </c>
      <c r="U54" s="348" t="s">
        <v>379</v>
      </c>
      <c r="V54" s="307"/>
      <c r="W54" s="307"/>
      <c r="X54" s="307"/>
      <c r="Y54" s="307"/>
      <c r="Z54" s="307"/>
      <c r="AA54" s="307"/>
      <c r="AB54" s="307"/>
    </row>
    <row r="55" ht="15.75" customHeight="1">
      <c r="A55" s="306"/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7"/>
      <c r="M55" s="307"/>
      <c r="N55" s="307"/>
      <c r="O55" s="307"/>
      <c r="P55" s="307"/>
      <c r="Q55" s="307"/>
      <c r="R55" s="307"/>
      <c r="S55" s="437">
        <f t="array" ref="S55">ABS(IF($D18="Ações Americanas",
$C18*(INDEX('Histórico'!$1:$991,MATCH($B$3,'Histórico'!$A:$A,0),MATCH($B18,'Histórico'!$1:$1,0))-INDEX('Histórico'!$1:$991,MATCH($C$3,'Histórico'!$A:$A,0),MATCH($B18,'Histórico'!$1:$1,0)))*INDEX('Histórico'!$1:$991,MATCH($B$3,'Histórico'!$A:$A,0),MATCH("PTAX",'Histórico'!$1:$1,0)),
IF($D18="Futuros",$C18*INDEX('Histórico'!$1:$991,MATCH($B$3,'Histórico'!$A:$A,0),MATCH($B18,'Histórico'!$1:$1,0)),
$C18*(INDEX('Histórico'!$1:$991,MATCH($B$3,'Histórico'!$A:$A,0),MATCH($B18,'Histórico'!$1:$1,0))-INDEX('Histórico'!$1:$991,MATCH($C$3,'Histórico'!$A:$A,0),MATCH($B18,'Histórico'!$1:$1,0))))))</f>
        <v>0.4400005341</v>
      </c>
      <c r="T55" s="427" t="str">
        <f>IF(D18&lt;&gt;"Futuros","",HLOOKUP(B18,'Preços Futuros'!$A$1:$Z$1000,$B$3))</f>
        <v/>
      </c>
      <c r="U55" s="311"/>
      <c r="V55" s="307"/>
      <c r="W55" s="307"/>
      <c r="X55" s="307"/>
      <c r="Y55" s="307"/>
      <c r="Z55" s="307"/>
      <c r="AA55" s="307"/>
      <c r="AB55" s="307"/>
    </row>
    <row r="56" ht="15.75" customHeight="1">
      <c r="A56" s="306"/>
      <c r="B56" s="306"/>
      <c r="C56" s="306"/>
      <c r="D56" s="306"/>
      <c r="E56" s="306"/>
      <c r="F56" s="306"/>
      <c r="G56" s="306"/>
      <c r="H56" s="306"/>
      <c r="I56" s="306"/>
      <c r="J56" s="306"/>
      <c r="K56" s="306"/>
      <c r="L56" s="307"/>
      <c r="M56" s="307"/>
      <c r="N56" s="307"/>
      <c r="O56" s="307"/>
      <c r="P56" s="307"/>
      <c r="Q56" s="307"/>
      <c r="R56" s="307"/>
      <c r="S56" s="437">
        <f t="array" ref="S56">ABS(IF($D19="Ações Americanas",
$C19*(INDEX('Histórico'!$1:$991,MATCH($B$3,'Histórico'!$A:$A,0),MATCH($B19,'Histórico'!$1:$1,0))-INDEX('Histórico'!$1:$991,MATCH($C$3,'Histórico'!$A:$A,0),MATCH($B19,'Histórico'!$1:$1,0)))*INDEX('Histórico'!$1:$991,MATCH($B$3,'Histórico'!$A:$A,0),MATCH("PTAX",'Histórico'!$1:$1,0)),
IF($D19="Futuros",$C19*INDEX('Histórico'!$1:$991,MATCH($B$3,'Histórico'!$A:$A,0),MATCH($B19,'Histórico'!$1:$1,0)),
$C19*(INDEX('Histórico'!$1:$991,MATCH($B$3,'Histórico'!$A:$A,0),MATCH($B19,'Histórico'!$1:$1,0))-INDEX('Histórico'!$1:$991,MATCH($C$3,'Histórico'!$A:$A,0),MATCH($B19,'Histórico'!$1:$1,0))))))</f>
        <v>47061.23419</v>
      </c>
      <c r="T56" s="427" t="str">
        <f>IF(D19&lt;&gt;"Futuros","",HLOOKUP(B19,'Preços Futuros'!$A$1:$Z$1000,$B$3))</f>
        <v/>
      </c>
      <c r="U56" s="311"/>
      <c r="V56" s="307"/>
      <c r="W56" s="307"/>
      <c r="X56" s="307"/>
      <c r="Y56" s="307"/>
      <c r="Z56" s="307"/>
      <c r="AA56" s="307"/>
      <c r="AB56" s="307"/>
    </row>
    <row r="57" ht="15.75" customHeight="1">
      <c r="A57" s="306"/>
      <c r="B57" s="306"/>
      <c r="C57" s="306"/>
      <c r="D57" s="306"/>
      <c r="E57" s="306"/>
      <c r="F57" s="306"/>
      <c r="G57" s="306"/>
      <c r="H57" s="306"/>
      <c r="I57" s="306"/>
      <c r="J57" s="306"/>
      <c r="K57" s="306"/>
      <c r="L57" s="307"/>
      <c r="M57" s="307"/>
      <c r="N57" s="307"/>
      <c r="O57" s="307"/>
      <c r="P57" s="307"/>
      <c r="Q57" s="307"/>
      <c r="R57" s="307"/>
      <c r="S57" s="437">
        <f t="array" ref="S57">ABS(IF($D20="Ações Americanas",
$C20*(INDEX('Histórico'!$1:$991,MATCH($B$3,'Histórico'!$A:$A,0),MATCH($B20,'Histórico'!$1:$1,0))-INDEX('Histórico'!$1:$991,MATCH($C$3,'Histórico'!$A:$A,0),MATCH($B20,'Histórico'!$1:$1,0)))*INDEX('Histórico'!$1:$991,MATCH($B$3,'Histórico'!$A:$A,0),MATCH("PTAX",'Histórico'!$1:$1,0)),
IF($D20="Futuros",$C20*INDEX('Histórico'!$1:$991,MATCH($B$3,'Histórico'!$A:$A,0),MATCH($B20,'Histórico'!$1:$1,0)),
$C20*(INDEX('Histórico'!$1:$991,MATCH($B$3,'Histórico'!$A:$A,0),MATCH($B20,'Histórico'!$1:$1,0))-INDEX('Histórico'!$1:$991,MATCH($C$3,'Histórico'!$A:$A,0),MATCH($B20,'Histórico'!$1:$1,0))))))</f>
        <v>92141.09193</v>
      </c>
      <c r="T57" s="307"/>
      <c r="U57" s="307"/>
      <c r="V57" s="307"/>
      <c r="W57" s="307"/>
      <c r="X57" s="307"/>
      <c r="Y57" s="307"/>
      <c r="Z57" s="307"/>
      <c r="AA57" s="307"/>
      <c r="AB57" s="307"/>
    </row>
    <row r="58" ht="15.75" customHeight="1">
      <c r="A58" s="306"/>
      <c r="B58" s="306"/>
      <c r="C58" s="306"/>
      <c r="D58" s="306"/>
      <c r="E58" s="306"/>
      <c r="F58" s="306"/>
      <c r="G58" s="306"/>
      <c r="H58" s="306"/>
      <c r="I58" s="306"/>
      <c r="J58" s="306"/>
      <c r="K58" s="306"/>
      <c r="L58" s="307"/>
      <c r="M58" s="307"/>
      <c r="N58" s="307"/>
      <c r="O58" s="307"/>
      <c r="P58" s="307"/>
      <c r="Q58" s="307"/>
      <c r="R58" s="307"/>
      <c r="S58" s="437">
        <f t="array" ref="S58">ABS(IF($D21="Ações Americanas",
$C21*(INDEX('Histórico'!$1:$991,MATCH($B$3,'Histórico'!$A:$A,0),MATCH($B21,'Histórico'!$1:$1,0))-INDEX('Histórico'!$1:$991,MATCH($C$3,'Histórico'!$A:$A,0),MATCH($B21,'Histórico'!$1:$1,0)))*INDEX('Histórico'!$1:$991,MATCH($B$3,'Histórico'!$A:$A,0),MATCH("PTAX",'Histórico'!$1:$1,0)),
IF($D21="Futuros",$C21*INDEX('Histórico'!$1:$991,MATCH($B$3,'Histórico'!$A:$A,0),MATCH($B21,'Histórico'!$1:$1,0)),
$C21*(INDEX('Histórico'!$1:$991,MATCH($B$3,'Histórico'!$A:$A,0),MATCH($B21,'Histórico'!$1:$1,0))-INDEX('Histórico'!$1:$991,MATCH($C$3,'Histórico'!$A:$A,0),MATCH($B21,'Histórico'!$1:$1,0))))))</f>
        <v>35419.75459</v>
      </c>
      <c r="T58" s="307"/>
      <c r="U58" s="307"/>
      <c r="V58" s="307"/>
      <c r="W58" s="307"/>
      <c r="X58" s="307"/>
      <c r="Y58" s="307"/>
      <c r="Z58" s="307"/>
      <c r="AA58" s="307"/>
      <c r="AB58" s="307"/>
    </row>
    <row r="59" ht="15.75" customHeight="1">
      <c r="A59" s="306"/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7"/>
      <c r="M59" s="307"/>
      <c r="N59" s="307"/>
      <c r="O59" s="307"/>
      <c r="P59" s="307"/>
      <c r="Q59" s="307"/>
      <c r="R59" s="307"/>
      <c r="S59" s="437">
        <f t="array" ref="S59">ABS(IF($D22="Ações Americanas",
$C22*(INDEX('Histórico'!$1:$991,MATCH($B$3,'Histórico'!$A:$A,0),MATCH($B22,'Histórico'!$1:$1,0))-INDEX('Histórico'!$1:$991,MATCH($C$3,'Histórico'!$A:$A,0),MATCH($B22,'Histórico'!$1:$1,0)))*INDEX('Histórico'!$1:$991,MATCH($B$3,'Histórico'!$A:$A,0),MATCH("PTAX",'Histórico'!$1:$1,0)),
IF($D22="Futuros",$C22*INDEX('Histórico'!$1:$991,MATCH($B$3,'Histórico'!$A:$A,0),MATCH($B22,'Histórico'!$1:$1,0)),
$C22*(INDEX('Histórico'!$1:$991,MATCH($B$3,'Histórico'!$A:$A,0),MATCH($B22,'Histórico'!$1:$1,0))-INDEX('Histórico'!$1:$991,MATCH($C$3,'Histórico'!$A:$A,0),MATCH($B22,'Histórico'!$1:$1,0))))))</f>
        <v>4395.6</v>
      </c>
      <c r="T59" s="307"/>
      <c r="U59" s="307"/>
      <c r="V59" s="307"/>
      <c r="W59" s="307"/>
      <c r="X59" s="307"/>
      <c r="Y59" s="307"/>
      <c r="Z59" s="307"/>
      <c r="AA59" s="307"/>
      <c r="AB59" s="307"/>
    </row>
    <row r="60" ht="15.75" customHeight="1">
      <c r="A60" s="306"/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7"/>
      <c r="M60" s="307"/>
      <c r="N60" s="307"/>
      <c r="O60" s="307"/>
      <c r="P60" s="307"/>
      <c r="Q60" s="307"/>
      <c r="R60" s="307"/>
      <c r="S60" s="437">
        <f t="array" ref="S60">ABS(IF($D23="Ações Americanas",
$C23*(INDEX('Histórico'!$1:$991,MATCH($B$3,'Histórico'!$A:$A,0),MATCH($B23,'Histórico'!$1:$1,0))-INDEX('Histórico'!$1:$991,MATCH($C$3,'Histórico'!$A:$A,0),MATCH($B23,'Histórico'!$1:$1,0)))*INDEX('Histórico'!$1:$991,MATCH($B$3,'Histórico'!$A:$A,0),MATCH("PTAX",'Histórico'!$1:$1,0)),
IF($D23="Futuros",$C23*INDEX('Histórico'!$1:$991,MATCH($B$3,'Histórico'!$A:$A,0),MATCH($B23,'Histórico'!$1:$1,0)),
$C23*(INDEX('Histórico'!$1:$991,MATCH($B$3,'Histórico'!$A:$A,0),MATCH($B23,'Histórico'!$1:$1,0))-INDEX('Histórico'!$1:$991,MATCH($C$3,'Histórico'!$A:$A,0),MATCH($B23,'Histórico'!$1:$1,0))))))</f>
        <v>141183.4191</v>
      </c>
      <c r="T60" s="307"/>
      <c r="U60" s="307"/>
      <c r="V60" s="307"/>
      <c r="W60" s="307"/>
      <c r="X60" s="307"/>
      <c r="Y60" s="307"/>
      <c r="Z60" s="307"/>
      <c r="AA60" s="307"/>
      <c r="AB60" s="307"/>
    </row>
    <row r="61" ht="15.75" customHeight="1">
      <c r="A61" s="306"/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7"/>
      <c r="M61" s="307"/>
      <c r="N61" s="307"/>
      <c r="O61" s="307"/>
      <c r="P61" s="307"/>
      <c r="Q61" s="307"/>
      <c r="R61" s="307"/>
      <c r="S61" s="437">
        <f t="array" ref="S61">ABS(IF($D24="Ações Americanas",
$C24*(INDEX('Histórico'!$1:$991,MATCH($B$3,'Histórico'!$A:$A,0),MATCH($B24,'Histórico'!$1:$1,0))-INDEX('Histórico'!$1:$991,MATCH($C$3,'Histórico'!$A:$A,0),MATCH($B24,'Histórico'!$1:$1,0)))*INDEX('Histórico'!$1:$991,MATCH($B$3,'Histórico'!$A:$A,0),MATCH("PTAX",'Histórico'!$1:$1,0)),
IF($D24="Futuros",$C24*INDEX('Histórico'!$1:$991,MATCH($B$3,'Histórico'!$A:$A,0),MATCH($B24,'Histórico'!$1:$1,0)),
$C24*(INDEX('Histórico'!$1:$991,MATCH($B$3,'Histórico'!$A:$A,0),MATCH($B24,'Histórico'!$1:$1,0))-INDEX('Histórico'!$1:$991,MATCH($C$3,'Histórico'!$A:$A,0),MATCH($B24,'Histórico'!$1:$1,0))))))</f>
        <v>218500</v>
      </c>
      <c r="T61" s="307"/>
      <c r="U61" s="307"/>
      <c r="V61" s="307"/>
      <c r="W61" s="307"/>
      <c r="X61" s="307"/>
      <c r="Y61" s="307"/>
      <c r="Z61" s="307"/>
      <c r="AA61" s="307"/>
      <c r="AB61" s="307"/>
    </row>
    <row r="62" ht="15.75" customHeight="1">
      <c r="A62" s="306"/>
      <c r="B62" s="306"/>
      <c r="C62" s="306"/>
      <c r="D62" s="306"/>
      <c r="E62" s="306"/>
      <c r="F62" s="306"/>
      <c r="G62" s="306"/>
      <c r="H62" s="306"/>
      <c r="I62" s="306"/>
      <c r="J62" s="306"/>
      <c r="K62" s="306"/>
      <c r="L62" s="307"/>
      <c r="M62" s="307"/>
      <c r="N62" s="307"/>
      <c r="O62" s="307"/>
      <c r="P62" s="307"/>
      <c r="Q62" s="307"/>
      <c r="R62" s="307"/>
      <c r="S62" s="437">
        <f t="array" ref="S62">ABS(IF($D25="Ações Americanas",
$C25*(INDEX('Histórico'!$1:$991,MATCH($B$3,'Histórico'!$A:$A,0),MATCH($B25,'Histórico'!$1:$1,0))-INDEX('Histórico'!$1:$991,MATCH($C$3,'Histórico'!$A:$A,0),MATCH($B25,'Histórico'!$1:$1,0)))*INDEX('Histórico'!$1:$991,MATCH($B$3,'Histórico'!$A:$A,0),MATCH("PTAX",'Histórico'!$1:$1,0)),
IF($D25="Futuros",$C25*INDEX('Histórico'!$1:$991,MATCH($B$3,'Histórico'!$A:$A,0),MATCH($B25,'Histórico'!$1:$1,0)),
$C25*(INDEX('Histórico'!$1:$991,MATCH($B$3,'Histórico'!$A:$A,0),MATCH($B25,'Histórico'!$1:$1,0))-INDEX('Histórico'!$1:$991,MATCH($C$3,'Histórico'!$A:$A,0),MATCH($B25,'Histórico'!$1:$1,0))))))</f>
        <v>112500</v>
      </c>
      <c r="T62" s="307"/>
      <c r="U62" s="307"/>
      <c r="V62" s="307"/>
      <c r="W62" s="307"/>
      <c r="X62" s="307"/>
      <c r="Y62" s="307"/>
      <c r="Z62" s="307"/>
      <c r="AA62" s="307"/>
      <c r="AB62" s="307"/>
    </row>
    <row r="63" ht="15.75" customHeight="1">
      <c r="A63" s="306"/>
      <c r="B63" s="306"/>
      <c r="C63" s="306"/>
      <c r="D63" s="306"/>
      <c r="E63" s="306"/>
      <c r="F63" s="306"/>
      <c r="G63" s="306"/>
      <c r="H63" s="306"/>
      <c r="I63" s="306"/>
      <c r="J63" s="306"/>
      <c r="K63" s="306"/>
      <c r="L63" s="307"/>
      <c r="M63" s="307"/>
      <c r="N63" s="307"/>
      <c r="O63" s="307"/>
      <c r="P63" s="307"/>
      <c r="Q63" s="307"/>
      <c r="R63" s="307"/>
      <c r="S63" s="437">
        <f t="array" ref="S63">ABS(IF($D26="Ações Americanas",
$C26*(INDEX('Histórico'!$1:$991,MATCH($B$3,'Histórico'!$A:$A,0),MATCH($B26,'Histórico'!$1:$1,0))-INDEX('Histórico'!$1:$991,MATCH($C$3,'Histórico'!$A:$A,0),MATCH($B26,'Histórico'!$1:$1,0)))*INDEX('Histórico'!$1:$991,MATCH($B$3,'Histórico'!$A:$A,0),MATCH("PTAX",'Histórico'!$1:$1,0)),
IF($D26="Futuros",$C26*INDEX('Histórico'!$1:$991,MATCH($B$3,'Histórico'!$A:$A,0),MATCH($B26,'Histórico'!$1:$1,0)),
$C26*(INDEX('Histórico'!$1:$991,MATCH($B$3,'Histórico'!$A:$A,0),MATCH($B26,'Histórico'!$1:$1,0))-INDEX('Histórico'!$1:$991,MATCH($C$3,'Histórico'!$A:$A,0),MATCH($B26,'Histórico'!$1:$1,0))))))</f>
        <v>253.89</v>
      </c>
      <c r="T63" s="307"/>
      <c r="U63" s="307"/>
      <c r="V63" s="307"/>
      <c r="W63" s="307"/>
      <c r="X63" s="307"/>
      <c r="Y63" s="307"/>
      <c r="Z63" s="307"/>
      <c r="AA63" s="307"/>
      <c r="AB63" s="307"/>
    </row>
    <row r="64" ht="15.75" customHeight="1">
      <c r="A64" s="306"/>
      <c r="B64" s="306"/>
      <c r="C64" s="306"/>
      <c r="D64" s="306"/>
      <c r="E64" s="306"/>
      <c r="F64" s="306"/>
      <c r="G64" s="306"/>
      <c r="H64" s="306"/>
      <c r="I64" s="306"/>
      <c r="J64" s="306"/>
      <c r="K64" s="306"/>
      <c r="L64" s="307"/>
      <c r="M64" s="307"/>
      <c r="N64" s="307"/>
      <c r="O64" s="307"/>
      <c r="P64" s="307"/>
      <c r="Q64" s="307"/>
      <c r="R64" s="307"/>
      <c r="S64" s="307"/>
      <c r="T64" s="307"/>
      <c r="U64" s="307"/>
      <c r="V64" s="307"/>
      <c r="W64" s="307"/>
      <c r="X64" s="307"/>
      <c r="Y64" s="307"/>
      <c r="Z64" s="307"/>
      <c r="AA64" s="307"/>
      <c r="AB64" s="307"/>
    </row>
    <row r="65" ht="15.75" customHeight="1">
      <c r="A65" s="306"/>
      <c r="B65" s="306"/>
      <c r="C65" s="306"/>
      <c r="D65" s="306"/>
      <c r="E65" s="306"/>
      <c r="F65" s="306"/>
      <c r="G65" s="306"/>
      <c r="H65" s="306"/>
      <c r="I65" s="306"/>
      <c r="J65" s="306"/>
      <c r="K65" s="306"/>
      <c r="L65" s="307"/>
      <c r="M65" s="307"/>
      <c r="N65" s="307"/>
      <c r="O65" s="307"/>
      <c r="P65" s="307"/>
      <c r="Q65" s="307"/>
      <c r="R65" s="307"/>
      <c r="S65" s="307"/>
      <c r="T65" s="307"/>
      <c r="U65" s="307"/>
      <c r="V65" s="307"/>
      <c r="W65" s="307"/>
      <c r="X65" s="307"/>
      <c r="Y65" s="307"/>
      <c r="Z65" s="307"/>
      <c r="AA65" s="307"/>
      <c r="AB65" s="307"/>
    </row>
    <row r="66" ht="15.75" customHeight="1">
      <c r="A66" s="306"/>
      <c r="B66" s="306"/>
      <c r="C66" s="306"/>
      <c r="D66" s="306"/>
      <c r="E66" s="306"/>
      <c r="F66" s="306"/>
      <c r="G66" s="306"/>
      <c r="H66" s="306"/>
      <c r="I66" s="306"/>
      <c r="J66" s="306"/>
      <c r="K66" s="306"/>
      <c r="L66" s="307"/>
      <c r="M66" s="307"/>
      <c r="N66" s="307"/>
      <c r="O66" s="307"/>
      <c r="P66" s="307"/>
      <c r="Q66" s="307"/>
      <c r="R66" s="307"/>
      <c r="S66" s="307"/>
      <c r="T66" s="307"/>
      <c r="U66" s="307"/>
      <c r="V66" s="307"/>
      <c r="W66" s="307"/>
      <c r="X66" s="307"/>
      <c r="Y66" s="307"/>
      <c r="Z66" s="307"/>
      <c r="AA66" s="307"/>
      <c r="AB66" s="307"/>
    </row>
    <row r="67" ht="15.75" customHeight="1">
      <c r="A67" s="306"/>
      <c r="B67" s="306"/>
      <c r="C67" s="306"/>
      <c r="D67" s="306"/>
      <c r="E67" s="306"/>
      <c r="F67" s="306"/>
      <c r="G67" s="306"/>
      <c r="H67" s="306"/>
      <c r="I67" s="306"/>
      <c r="J67" s="306"/>
      <c r="K67" s="306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307"/>
      <c r="W67" s="307"/>
      <c r="X67" s="307"/>
      <c r="Y67" s="307"/>
      <c r="Z67" s="307"/>
      <c r="AA67" s="307"/>
      <c r="AB67" s="307"/>
    </row>
    <row r="68" ht="15.75" customHeight="1">
      <c r="A68" s="306"/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7"/>
      <c r="M68" s="307"/>
      <c r="N68" s="307"/>
      <c r="O68" s="307"/>
      <c r="P68" s="307"/>
      <c r="Q68" s="307"/>
      <c r="R68" s="307"/>
      <c r="S68" s="307"/>
      <c r="T68" s="307"/>
      <c r="U68" s="307"/>
      <c r="V68" s="307"/>
      <c r="W68" s="307"/>
      <c r="X68" s="307"/>
      <c r="Y68" s="307"/>
      <c r="Z68" s="307"/>
      <c r="AA68" s="307"/>
      <c r="AB68" s="307"/>
    </row>
    <row r="69" ht="15.75" customHeight="1">
      <c r="A69" s="306"/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7"/>
      <c r="M69" s="307"/>
      <c r="N69" s="307"/>
      <c r="O69" s="307"/>
      <c r="P69" s="307"/>
      <c r="Q69" s="307"/>
      <c r="R69" s="307"/>
      <c r="S69" s="307"/>
      <c r="T69" s="307"/>
      <c r="U69" s="307"/>
      <c r="V69" s="307"/>
      <c r="W69" s="307"/>
      <c r="X69" s="307"/>
      <c r="Y69" s="307"/>
      <c r="Z69" s="307"/>
      <c r="AA69" s="307"/>
      <c r="AB69" s="307"/>
    </row>
    <row r="70" ht="15.75" customHeight="1">
      <c r="A70" s="306"/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7"/>
      <c r="M70" s="307"/>
      <c r="N70" s="307"/>
      <c r="O70" s="307"/>
      <c r="P70" s="307"/>
      <c r="Q70" s="307"/>
      <c r="R70" s="307"/>
      <c r="S70" s="307"/>
      <c r="T70" s="307"/>
      <c r="U70" s="307"/>
      <c r="V70" s="307"/>
      <c r="W70" s="307"/>
      <c r="X70" s="307"/>
      <c r="Y70" s="307"/>
      <c r="Z70" s="307"/>
      <c r="AA70" s="307"/>
      <c r="AB70" s="307"/>
    </row>
    <row r="71" ht="15.75" customHeight="1">
      <c r="A71" s="306"/>
      <c r="B71" s="306"/>
      <c r="C71" s="306"/>
      <c r="D71" s="306"/>
      <c r="E71" s="306"/>
      <c r="F71" s="306"/>
      <c r="G71" s="306"/>
      <c r="H71" s="306"/>
      <c r="I71" s="306"/>
      <c r="J71" s="306"/>
      <c r="K71" s="306"/>
      <c r="L71" s="307"/>
      <c r="M71" s="307"/>
      <c r="N71" s="307"/>
      <c r="O71" s="307"/>
      <c r="P71" s="307"/>
      <c r="Q71" s="307"/>
      <c r="R71" s="307"/>
      <c r="S71" s="307"/>
      <c r="T71" s="307"/>
      <c r="U71" s="307"/>
      <c r="V71" s="307"/>
      <c r="W71" s="307"/>
      <c r="X71" s="307"/>
      <c r="Y71" s="307"/>
      <c r="Z71" s="307"/>
      <c r="AA71" s="307"/>
      <c r="AB71" s="307"/>
    </row>
    <row r="72" ht="15.75" customHeight="1">
      <c r="A72" s="306"/>
      <c r="B72" s="306"/>
      <c r="C72" s="306"/>
      <c r="D72" s="306"/>
      <c r="E72" s="306"/>
      <c r="F72" s="306"/>
      <c r="G72" s="306"/>
      <c r="H72" s="306"/>
      <c r="I72" s="306"/>
      <c r="J72" s="306"/>
      <c r="K72" s="306"/>
      <c r="L72" s="307"/>
      <c r="M72" s="307"/>
      <c r="N72" s="307"/>
      <c r="O72" s="307"/>
      <c r="P72" s="307"/>
      <c r="Q72" s="307"/>
      <c r="R72" s="307"/>
      <c r="S72" s="307"/>
      <c r="T72" s="307"/>
      <c r="U72" s="307"/>
      <c r="V72" s="307"/>
      <c r="W72" s="307"/>
      <c r="X72" s="307"/>
      <c r="Y72" s="307"/>
      <c r="Z72" s="307"/>
      <c r="AA72" s="307"/>
      <c r="AB72" s="307"/>
    </row>
    <row r="73" ht="15.75" customHeight="1">
      <c r="A73" s="306"/>
      <c r="B73" s="306"/>
      <c r="C73" s="306"/>
      <c r="D73" s="306"/>
      <c r="E73" s="306"/>
      <c r="F73" s="306"/>
      <c r="G73" s="306"/>
      <c r="H73" s="306"/>
      <c r="I73" s="306"/>
      <c r="J73" s="306"/>
      <c r="K73" s="306"/>
      <c r="L73" s="307"/>
      <c r="M73" s="307"/>
      <c r="N73" s="307"/>
      <c r="O73" s="307"/>
      <c r="P73" s="307"/>
      <c r="Q73" s="307"/>
      <c r="R73" s="307"/>
      <c r="S73" s="307"/>
      <c r="T73" s="307"/>
      <c r="U73" s="307"/>
      <c r="V73" s="307"/>
      <c r="W73" s="307"/>
      <c r="X73" s="307"/>
      <c r="Y73" s="307"/>
      <c r="Z73" s="307"/>
      <c r="AA73" s="307"/>
      <c r="AB73" s="307"/>
    </row>
    <row r="74" ht="15.75" customHeight="1">
      <c r="A74" s="306"/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7"/>
      <c r="M74" s="307"/>
      <c r="N74" s="307"/>
      <c r="O74" s="307"/>
      <c r="P74" s="307"/>
      <c r="Q74" s="307"/>
      <c r="R74" s="307"/>
      <c r="S74" s="307"/>
      <c r="T74" s="307"/>
      <c r="U74" s="307"/>
      <c r="V74" s="307"/>
      <c r="W74" s="307"/>
      <c r="X74" s="307"/>
      <c r="Y74" s="307"/>
      <c r="Z74" s="307"/>
      <c r="AA74" s="307"/>
      <c r="AB74" s="307"/>
    </row>
    <row r="75" ht="15.75" customHeight="1">
      <c r="A75" s="306"/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7"/>
      <c r="M75" s="307"/>
      <c r="N75" s="307"/>
      <c r="O75" s="307"/>
      <c r="P75" s="307"/>
      <c r="Q75" s="307"/>
      <c r="R75" s="307"/>
      <c r="S75" s="307"/>
      <c r="T75" s="307"/>
      <c r="U75" s="307"/>
      <c r="V75" s="307"/>
      <c r="W75" s="307"/>
      <c r="X75" s="307"/>
      <c r="Y75" s="307"/>
      <c r="Z75" s="307"/>
      <c r="AA75" s="307"/>
      <c r="AB75" s="307"/>
    </row>
    <row r="76" ht="15.75" customHeight="1">
      <c r="A76" s="306"/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7"/>
      <c r="M76" s="307"/>
      <c r="N76" s="307"/>
      <c r="O76" s="307"/>
      <c r="P76" s="307"/>
      <c r="Q76" s="307"/>
      <c r="R76" s="307"/>
      <c r="S76" s="307"/>
      <c r="T76" s="307"/>
      <c r="U76" s="307"/>
      <c r="V76" s="307"/>
      <c r="W76" s="307"/>
      <c r="X76" s="307"/>
      <c r="Y76" s="307"/>
      <c r="Z76" s="307"/>
      <c r="AA76" s="307"/>
      <c r="AB76" s="307"/>
    </row>
    <row r="77" ht="15.75" customHeight="1">
      <c r="A77" s="306"/>
      <c r="B77" s="306"/>
      <c r="C77" s="306"/>
      <c r="D77" s="306"/>
      <c r="E77" s="306"/>
      <c r="F77" s="306"/>
      <c r="G77" s="306"/>
      <c r="H77" s="306"/>
      <c r="I77" s="306"/>
      <c r="J77" s="306"/>
      <c r="K77" s="306"/>
      <c r="L77" s="307"/>
      <c r="M77" s="307"/>
      <c r="N77" s="307"/>
      <c r="O77" s="307"/>
      <c r="P77" s="307"/>
      <c r="Q77" s="307"/>
      <c r="R77" s="307"/>
      <c r="S77" s="307"/>
      <c r="T77" s="307"/>
      <c r="U77" s="307"/>
      <c r="V77" s="307"/>
      <c r="W77" s="307"/>
      <c r="X77" s="307"/>
      <c r="Y77" s="307"/>
      <c r="Z77" s="307"/>
      <c r="AA77" s="307"/>
      <c r="AB77" s="307"/>
    </row>
    <row r="78" ht="15.75" customHeight="1">
      <c r="A78" s="306"/>
      <c r="B78" s="306"/>
      <c r="C78" s="306"/>
      <c r="D78" s="306"/>
      <c r="E78" s="306"/>
      <c r="F78" s="306"/>
      <c r="G78" s="306"/>
      <c r="H78" s="306"/>
      <c r="I78" s="306"/>
      <c r="J78" s="306"/>
      <c r="K78" s="306"/>
      <c r="L78" s="307"/>
      <c r="M78" s="307"/>
      <c r="N78" s="307"/>
      <c r="O78" s="307"/>
      <c r="P78" s="307"/>
      <c r="Q78" s="307"/>
      <c r="R78" s="307"/>
      <c r="S78" s="307"/>
      <c r="T78" s="307"/>
      <c r="U78" s="307"/>
      <c r="V78" s="307"/>
      <c r="W78" s="307"/>
      <c r="X78" s="307"/>
      <c r="Y78" s="307"/>
      <c r="Z78" s="307"/>
      <c r="AA78" s="307"/>
      <c r="AB78" s="307"/>
    </row>
    <row r="79" ht="15.75" customHeight="1">
      <c r="A79" s="306"/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7"/>
      <c r="M79" s="307"/>
      <c r="N79" s="307"/>
      <c r="O79" s="307"/>
      <c r="P79" s="307"/>
      <c r="Q79" s="307"/>
      <c r="R79" s="307"/>
      <c r="S79" s="307"/>
      <c r="T79" s="307"/>
      <c r="U79" s="307"/>
      <c r="V79" s="307"/>
      <c r="W79" s="307"/>
      <c r="X79" s="307"/>
      <c r="Y79" s="307"/>
      <c r="Z79" s="307"/>
      <c r="AA79" s="307"/>
      <c r="AB79" s="307"/>
    </row>
    <row r="80" ht="15.75" customHeight="1">
      <c r="A80" s="306"/>
      <c r="B80" s="306"/>
      <c r="C80" s="306"/>
      <c r="D80" s="306"/>
      <c r="E80" s="306"/>
      <c r="F80" s="306"/>
      <c r="G80" s="306"/>
      <c r="H80" s="306"/>
      <c r="I80" s="306"/>
      <c r="J80" s="306"/>
      <c r="K80" s="306"/>
      <c r="L80" s="307"/>
      <c r="M80" s="307"/>
      <c r="N80" s="307"/>
      <c r="O80" s="307"/>
      <c r="P80" s="307"/>
      <c r="Q80" s="307"/>
      <c r="R80" s="307"/>
      <c r="S80" s="307"/>
      <c r="T80" s="307"/>
      <c r="U80" s="307"/>
      <c r="V80" s="307"/>
      <c r="W80" s="307"/>
      <c r="X80" s="307"/>
      <c r="Y80" s="307"/>
      <c r="Z80" s="307"/>
      <c r="AA80" s="307"/>
      <c r="AB80" s="307"/>
    </row>
    <row r="81" ht="15.75" customHeight="1">
      <c r="A81" s="306"/>
      <c r="B81" s="306"/>
      <c r="C81" s="306"/>
      <c r="D81" s="306"/>
      <c r="E81" s="306"/>
      <c r="F81" s="306"/>
      <c r="G81" s="306"/>
      <c r="H81" s="306"/>
      <c r="I81" s="306"/>
      <c r="J81" s="306"/>
      <c r="K81" s="306"/>
      <c r="L81" s="307"/>
      <c r="M81" s="307"/>
      <c r="N81" s="307"/>
      <c r="O81" s="307"/>
      <c r="P81" s="307"/>
      <c r="Q81" s="307"/>
      <c r="R81" s="307"/>
      <c r="S81" s="307"/>
      <c r="T81" s="307"/>
      <c r="U81" s="307"/>
      <c r="V81" s="307"/>
      <c r="W81" s="307"/>
      <c r="X81" s="307"/>
      <c r="Y81" s="307"/>
      <c r="Z81" s="307"/>
      <c r="AA81" s="307"/>
      <c r="AB81" s="307"/>
    </row>
    <row r="82" ht="15.75" customHeight="1">
      <c r="A82" s="306"/>
      <c r="B82" s="306"/>
      <c r="C82" s="306"/>
      <c r="D82" s="306"/>
      <c r="E82" s="306"/>
      <c r="F82" s="306"/>
      <c r="G82" s="306"/>
      <c r="H82" s="306"/>
      <c r="I82" s="306"/>
      <c r="J82" s="306"/>
      <c r="K82" s="306"/>
      <c r="L82" s="307"/>
      <c r="M82" s="307"/>
      <c r="N82" s="307"/>
      <c r="O82" s="307"/>
      <c r="P82" s="307"/>
      <c r="Q82" s="307"/>
      <c r="R82" s="307"/>
      <c r="S82" s="307"/>
      <c r="T82" s="307"/>
      <c r="U82" s="307"/>
      <c r="V82" s="307"/>
      <c r="W82" s="307"/>
      <c r="X82" s="307"/>
      <c r="Y82" s="307"/>
      <c r="Z82" s="307"/>
      <c r="AA82" s="307"/>
      <c r="AB82" s="307"/>
    </row>
    <row r="83" ht="15.75" customHeight="1">
      <c r="A83" s="306"/>
      <c r="B83" s="306"/>
      <c r="C83" s="306"/>
      <c r="D83" s="306"/>
      <c r="E83" s="306"/>
      <c r="F83" s="306"/>
      <c r="G83" s="306"/>
      <c r="H83" s="306"/>
      <c r="I83" s="306"/>
      <c r="J83" s="306"/>
      <c r="K83" s="306"/>
      <c r="L83" s="307"/>
      <c r="M83" s="307"/>
      <c r="N83" s="307"/>
      <c r="O83" s="307"/>
      <c r="P83" s="307"/>
      <c r="Q83" s="307"/>
      <c r="R83" s="307"/>
      <c r="S83" s="307"/>
      <c r="T83" s="307"/>
      <c r="U83" s="307"/>
      <c r="V83" s="307"/>
      <c r="W83" s="307"/>
      <c r="X83" s="307"/>
      <c r="Y83" s="307"/>
      <c r="Z83" s="307"/>
      <c r="AA83" s="307"/>
      <c r="AB83" s="307"/>
    </row>
    <row r="84" ht="15.75" customHeight="1">
      <c r="A84" s="306"/>
      <c r="B84" s="306"/>
      <c r="C84" s="306"/>
      <c r="D84" s="306"/>
      <c r="E84" s="306"/>
      <c r="F84" s="306"/>
      <c r="G84" s="306"/>
      <c r="H84" s="306"/>
      <c r="I84" s="306"/>
      <c r="J84" s="306"/>
      <c r="K84" s="306"/>
      <c r="L84" s="307"/>
      <c r="M84" s="307"/>
      <c r="N84" s="307"/>
      <c r="O84" s="307"/>
      <c r="P84" s="307"/>
      <c r="Q84" s="307"/>
      <c r="R84" s="307"/>
      <c r="S84" s="307"/>
      <c r="T84" s="307"/>
      <c r="U84" s="307"/>
      <c r="V84" s="307"/>
      <c r="W84" s="307"/>
      <c r="X84" s="307"/>
      <c r="Y84" s="307"/>
      <c r="Z84" s="307"/>
      <c r="AA84" s="307"/>
      <c r="AB84" s="307"/>
    </row>
    <row r="85" ht="15.75" customHeight="1">
      <c r="A85" s="306"/>
      <c r="B85" s="306"/>
      <c r="C85" s="306"/>
      <c r="D85" s="306"/>
      <c r="E85" s="306"/>
      <c r="F85" s="306"/>
      <c r="G85" s="306"/>
      <c r="H85" s="306"/>
      <c r="I85" s="306"/>
      <c r="J85" s="306"/>
      <c r="K85" s="306"/>
      <c r="L85" s="307"/>
      <c r="M85" s="307"/>
      <c r="N85" s="307"/>
      <c r="O85" s="307"/>
      <c r="P85" s="307"/>
      <c r="Q85" s="307"/>
      <c r="R85" s="307"/>
      <c r="S85" s="307"/>
      <c r="T85" s="307"/>
      <c r="U85" s="307"/>
      <c r="V85" s="307"/>
      <c r="W85" s="307"/>
      <c r="X85" s="307"/>
      <c r="Y85" s="307"/>
      <c r="Z85" s="307"/>
      <c r="AA85" s="307"/>
      <c r="AB85" s="307"/>
    </row>
    <row r="86" ht="15.75" customHeight="1">
      <c r="A86" s="306"/>
      <c r="B86" s="306"/>
      <c r="C86" s="306"/>
      <c r="D86" s="306"/>
      <c r="E86" s="306"/>
      <c r="F86" s="306"/>
      <c r="G86" s="306"/>
      <c r="H86" s="306"/>
      <c r="I86" s="306"/>
      <c r="J86" s="306"/>
      <c r="K86" s="306"/>
      <c r="L86" s="307"/>
      <c r="M86" s="307"/>
      <c r="N86" s="307"/>
      <c r="O86" s="307"/>
      <c r="P86" s="307"/>
      <c r="Q86" s="307"/>
      <c r="R86" s="307"/>
      <c r="S86" s="307"/>
      <c r="T86" s="307"/>
      <c r="U86" s="307"/>
      <c r="V86" s="307"/>
      <c r="W86" s="307"/>
      <c r="X86" s="307"/>
      <c r="Y86" s="307"/>
      <c r="Z86" s="307"/>
      <c r="AA86" s="307"/>
      <c r="AB86" s="307"/>
    </row>
    <row r="87" ht="15.75" customHeight="1">
      <c r="A87" s="306"/>
      <c r="B87" s="306"/>
      <c r="C87" s="306"/>
      <c r="D87" s="306"/>
      <c r="E87" s="306"/>
      <c r="F87" s="306"/>
      <c r="G87" s="306"/>
      <c r="H87" s="306"/>
      <c r="I87" s="306"/>
      <c r="J87" s="306"/>
      <c r="K87" s="306"/>
      <c r="L87" s="307"/>
      <c r="M87" s="307"/>
      <c r="N87" s="307"/>
      <c r="O87" s="307"/>
      <c r="P87" s="307"/>
      <c r="Q87" s="307"/>
      <c r="R87" s="307"/>
      <c r="S87" s="307"/>
      <c r="T87" s="307"/>
      <c r="U87" s="307"/>
      <c r="V87" s="307"/>
      <c r="W87" s="307"/>
      <c r="X87" s="307"/>
      <c r="Y87" s="307"/>
      <c r="Z87" s="307"/>
      <c r="AA87" s="307"/>
      <c r="AB87" s="307"/>
    </row>
    <row r="88" ht="15.75" customHeight="1">
      <c r="A88" s="306"/>
      <c r="B88" s="306"/>
      <c r="C88" s="306"/>
      <c r="D88" s="306"/>
      <c r="E88" s="306"/>
      <c r="F88" s="306"/>
      <c r="G88" s="306"/>
      <c r="H88" s="306"/>
      <c r="I88" s="306"/>
      <c r="J88" s="306"/>
      <c r="K88" s="306"/>
      <c r="L88" s="307"/>
      <c r="M88" s="307"/>
      <c r="N88" s="307"/>
      <c r="O88" s="307"/>
      <c r="P88" s="307"/>
      <c r="Q88" s="307"/>
      <c r="R88" s="307"/>
      <c r="S88" s="307"/>
      <c r="T88" s="307"/>
      <c r="U88" s="307"/>
      <c r="V88" s="307"/>
      <c r="W88" s="307"/>
      <c r="X88" s="307"/>
      <c r="Y88" s="307"/>
      <c r="Z88" s="307"/>
      <c r="AA88" s="307"/>
      <c r="AB88" s="307"/>
    </row>
    <row r="89" ht="15.75" customHeight="1">
      <c r="A89" s="306"/>
      <c r="B89" s="306"/>
      <c r="C89" s="306"/>
      <c r="D89" s="306"/>
      <c r="E89" s="306"/>
      <c r="F89" s="306"/>
      <c r="G89" s="306"/>
      <c r="H89" s="306"/>
      <c r="I89" s="306"/>
      <c r="J89" s="306"/>
      <c r="K89" s="306"/>
      <c r="L89" s="307"/>
      <c r="M89" s="307"/>
      <c r="N89" s="307"/>
      <c r="O89" s="307"/>
      <c r="P89" s="307"/>
      <c r="Q89" s="307"/>
      <c r="R89" s="307"/>
      <c r="S89" s="307"/>
      <c r="T89" s="307"/>
      <c r="U89" s="307"/>
      <c r="V89" s="307"/>
      <c r="W89" s="307"/>
      <c r="X89" s="307"/>
      <c r="Y89" s="307"/>
      <c r="Z89" s="307"/>
      <c r="AA89" s="307"/>
      <c r="AB89" s="307"/>
    </row>
    <row r="90" ht="15.75" customHeight="1">
      <c r="A90" s="306"/>
      <c r="B90" s="306"/>
      <c r="C90" s="306"/>
      <c r="D90" s="306"/>
      <c r="E90" s="306"/>
      <c r="F90" s="306"/>
      <c r="G90" s="306"/>
      <c r="H90" s="306"/>
      <c r="I90" s="306"/>
      <c r="J90" s="306"/>
      <c r="K90" s="306"/>
      <c r="L90" s="307"/>
      <c r="M90" s="307"/>
      <c r="N90" s="307"/>
      <c r="O90" s="307"/>
      <c r="P90" s="307"/>
      <c r="Q90" s="307"/>
      <c r="R90" s="307"/>
      <c r="S90" s="307"/>
      <c r="T90" s="307"/>
      <c r="U90" s="307"/>
      <c r="V90" s="307"/>
      <c r="W90" s="307"/>
      <c r="X90" s="307"/>
      <c r="Y90" s="307"/>
      <c r="Z90" s="307"/>
      <c r="AA90" s="307"/>
      <c r="AB90" s="307"/>
    </row>
    <row r="91" ht="15.75" customHeight="1">
      <c r="A91" s="306"/>
      <c r="B91" s="306"/>
      <c r="C91" s="306"/>
      <c r="D91" s="306"/>
      <c r="E91" s="306"/>
      <c r="F91" s="306"/>
      <c r="G91" s="306"/>
      <c r="H91" s="306"/>
      <c r="I91" s="306"/>
      <c r="J91" s="306"/>
      <c r="K91" s="306"/>
      <c r="L91" s="307"/>
      <c r="M91" s="307"/>
      <c r="N91" s="307"/>
      <c r="O91" s="307"/>
      <c r="P91" s="307"/>
      <c r="Q91" s="307"/>
      <c r="R91" s="307"/>
      <c r="S91" s="307"/>
      <c r="T91" s="307"/>
      <c r="U91" s="307"/>
      <c r="V91" s="307"/>
      <c r="W91" s="307"/>
      <c r="X91" s="307"/>
      <c r="Y91" s="307"/>
      <c r="Z91" s="307"/>
      <c r="AA91" s="307"/>
      <c r="AB91" s="307"/>
    </row>
    <row r="92" ht="15.75" customHeight="1">
      <c r="A92" s="306"/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7"/>
      <c r="M92" s="307"/>
      <c r="N92" s="307"/>
      <c r="O92" s="307"/>
      <c r="P92" s="307"/>
      <c r="Q92" s="307"/>
      <c r="R92" s="307"/>
      <c r="S92" s="307"/>
      <c r="T92" s="307"/>
      <c r="U92" s="307"/>
      <c r="V92" s="307"/>
      <c r="W92" s="307"/>
      <c r="X92" s="307"/>
      <c r="Y92" s="307"/>
      <c r="Z92" s="307"/>
      <c r="AA92" s="307"/>
      <c r="AB92" s="307"/>
    </row>
    <row r="93" ht="15.75" customHeight="1">
      <c r="A93" s="306"/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7"/>
      <c r="AA93" s="307"/>
      <c r="AB93" s="307"/>
    </row>
    <row r="94" ht="15.75" customHeight="1">
      <c r="A94" s="306"/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7"/>
      <c r="M94" s="307"/>
      <c r="N94" s="307"/>
      <c r="O94" s="307"/>
      <c r="P94" s="307"/>
      <c r="Q94" s="307"/>
      <c r="R94" s="307"/>
      <c r="S94" s="307"/>
      <c r="T94" s="307"/>
      <c r="U94" s="307"/>
      <c r="V94" s="307"/>
      <c r="W94" s="307"/>
      <c r="X94" s="307"/>
      <c r="Y94" s="307"/>
      <c r="Z94" s="307"/>
      <c r="AA94" s="307"/>
      <c r="AB94" s="307"/>
    </row>
    <row r="95" ht="15.75" customHeight="1">
      <c r="A95" s="306"/>
      <c r="B95" s="306"/>
      <c r="C95" s="306"/>
      <c r="D95" s="306"/>
      <c r="E95" s="306"/>
      <c r="F95" s="306"/>
      <c r="G95" s="306"/>
      <c r="H95" s="306"/>
      <c r="I95" s="306"/>
      <c r="J95" s="306"/>
      <c r="K95" s="306"/>
      <c r="L95" s="307"/>
      <c r="M95" s="307"/>
      <c r="N95" s="307"/>
      <c r="O95" s="307"/>
      <c r="P95" s="307"/>
      <c r="Q95" s="307"/>
      <c r="R95" s="307"/>
      <c r="S95" s="307"/>
      <c r="T95" s="307"/>
      <c r="U95" s="307"/>
      <c r="V95" s="307"/>
      <c r="W95" s="307"/>
      <c r="X95" s="307"/>
      <c r="Y95" s="307"/>
      <c r="Z95" s="307"/>
      <c r="AA95" s="307"/>
      <c r="AB95" s="307"/>
    </row>
    <row r="96" ht="15.75" customHeight="1">
      <c r="A96" s="306"/>
      <c r="B96" s="306"/>
      <c r="C96" s="306"/>
      <c r="D96" s="306"/>
      <c r="E96" s="306"/>
      <c r="F96" s="306"/>
      <c r="G96" s="306"/>
      <c r="H96" s="306"/>
      <c r="I96" s="306"/>
      <c r="J96" s="306"/>
      <c r="K96" s="306"/>
      <c r="L96" s="307"/>
      <c r="M96" s="307"/>
      <c r="N96" s="307"/>
      <c r="O96" s="307"/>
      <c r="P96" s="307"/>
      <c r="Q96" s="307"/>
      <c r="R96" s="307"/>
      <c r="S96" s="307"/>
      <c r="T96" s="307"/>
      <c r="U96" s="307"/>
      <c r="V96" s="307"/>
      <c r="W96" s="307"/>
      <c r="X96" s="307"/>
      <c r="Y96" s="307"/>
      <c r="Z96" s="307"/>
      <c r="AA96" s="307"/>
      <c r="AB96" s="307"/>
    </row>
    <row r="97" ht="15.75" customHeight="1">
      <c r="A97" s="306"/>
      <c r="B97" s="306"/>
      <c r="C97" s="306"/>
      <c r="D97" s="306"/>
      <c r="E97" s="306"/>
      <c r="F97" s="306"/>
      <c r="G97" s="306"/>
      <c r="H97" s="306"/>
      <c r="I97" s="306"/>
      <c r="J97" s="306"/>
      <c r="K97" s="306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307"/>
      <c r="W97" s="307"/>
      <c r="X97" s="307"/>
      <c r="Y97" s="307"/>
      <c r="Z97" s="307"/>
      <c r="AA97" s="307"/>
      <c r="AB97" s="307"/>
    </row>
    <row r="98" ht="15.75" customHeight="1">
      <c r="A98" s="306"/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307"/>
      <c r="W98" s="307"/>
      <c r="X98" s="307"/>
      <c r="Y98" s="307"/>
      <c r="Z98" s="307"/>
      <c r="AA98" s="307"/>
      <c r="AB98" s="307"/>
    </row>
    <row r="99" ht="15.75" customHeight="1">
      <c r="A99" s="306"/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7"/>
      <c r="M99" s="307"/>
      <c r="N99" s="307"/>
      <c r="O99" s="307"/>
      <c r="P99" s="307"/>
      <c r="Q99" s="307"/>
      <c r="R99" s="307"/>
      <c r="S99" s="307"/>
      <c r="T99" s="307"/>
      <c r="U99" s="307"/>
      <c r="V99" s="307"/>
      <c r="W99" s="307"/>
      <c r="X99" s="307"/>
      <c r="Y99" s="307"/>
      <c r="Z99" s="307"/>
      <c r="AA99" s="307"/>
      <c r="AB99" s="307"/>
    </row>
    <row r="100" ht="15.75" customHeight="1">
      <c r="A100" s="306"/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7"/>
      <c r="M100" s="307"/>
      <c r="N100" s="307"/>
      <c r="O100" s="307"/>
      <c r="P100" s="307"/>
      <c r="Q100" s="307"/>
      <c r="R100" s="307"/>
      <c r="S100" s="307"/>
      <c r="T100" s="307"/>
      <c r="U100" s="307"/>
      <c r="V100" s="307"/>
      <c r="W100" s="307"/>
      <c r="X100" s="307"/>
      <c r="Y100" s="307"/>
      <c r="Z100" s="307"/>
      <c r="AA100" s="307"/>
      <c r="AB100" s="307"/>
    </row>
    <row r="101" ht="15.75" customHeight="1">
      <c r="A101" s="306"/>
      <c r="B101" s="306"/>
      <c r="C101" s="306"/>
      <c r="D101" s="306"/>
      <c r="E101" s="306"/>
      <c r="F101" s="306"/>
      <c r="G101" s="306"/>
      <c r="H101" s="306"/>
      <c r="I101" s="306"/>
      <c r="J101" s="306"/>
      <c r="K101" s="306"/>
      <c r="L101" s="307"/>
      <c r="M101" s="307"/>
      <c r="N101" s="307"/>
      <c r="O101" s="307"/>
      <c r="P101" s="307"/>
      <c r="Q101" s="307"/>
      <c r="R101" s="307"/>
      <c r="S101" s="307"/>
      <c r="T101" s="307"/>
      <c r="U101" s="307"/>
      <c r="V101" s="307"/>
      <c r="W101" s="307"/>
      <c r="X101" s="307"/>
      <c r="Y101" s="307"/>
      <c r="Z101" s="307"/>
      <c r="AA101" s="307"/>
      <c r="AB101" s="307"/>
    </row>
    <row r="102" ht="15.75" customHeight="1">
      <c r="A102" s="306"/>
      <c r="B102" s="306"/>
      <c r="C102" s="306"/>
      <c r="D102" s="306"/>
      <c r="E102" s="306"/>
      <c r="F102" s="306"/>
      <c r="G102" s="306"/>
      <c r="H102" s="306"/>
      <c r="I102" s="306"/>
      <c r="J102" s="306"/>
      <c r="K102" s="306"/>
      <c r="L102" s="307"/>
      <c r="M102" s="307"/>
      <c r="N102" s="307"/>
      <c r="O102" s="307"/>
      <c r="P102" s="307"/>
      <c r="Q102" s="307"/>
      <c r="R102" s="307"/>
      <c r="S102" s="307"/>
      <c r="T102" s="307"/>
      <c r="U102" s="307"/>
      <c r="V102" s="307"/>
      <c r="W102" s="307"/>
      <c r="X102" s="307"/>
      <c r="Y102" s="307"/>
      <c r="Z102" s="307"/>
      <c r="AA102" s="307"/>
      <c r="AB102" s="307"/>
    </row>
    <row r="103" ht="15.75" customHeight="1">
      <c r="A103" s="306"/>
      <c r="B103" s="306"/>
      <c r="C103" s="306"/>
      <c r="D103" s="306"/>
      <c r="E103" s="306"/>
      <c r="F103" s="306"/>
      <c r="G103" s="306"/>
      <c r="H103" s="306"/>
      <c r="I103" s="306"/>
      <c r="J103" s="306"/>
      <c r="K103" s="306"/>
      <c r="L103" s="307"/>
      <c r="M103" s="307"/>
      <c r="N103" s="307"/>
      <c r="O103" s="307"/>
      <c r="P103" s="307"/>
      <c r="Q103" s="307"/>
      <c r="R103" s="307"/>
      <c r="S103" s="307"/>
      <c r="T103" s="307"/>
      <c r="U103" s="307"/>
      <c r="V103" s="307"/>
      <c r="W103" s="307"/>
      <c r="X103" s="307"/>
      <c r="Y103" s="307"/>
      <c r="Z103" s="307"/>
      <c r="AA103" s="307"/>
      <c r="AB103" s="307"/>
    </row>
    <row r="104" ht="15.75" customHeight="1">
      <c r="A104" s="306"/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7"/>
      <c r="M104" s="307"/>
      <c r="N104" s="307"/>
      <c r="O104" s="307"/>
      <c r="P104" s="307"/>
      <c r="Q104" s="307"/>
      <c r="R104" s="307"/>
      <c r="S104" s="307"/>
      <c r="T104" s="307"/>
      <c r="U104" s="307"/>
      <c r="V104" s="307"/>
      <c r="W104" s="307"/>
      <c r="X104" s="307"/>
      <c r="Y104" s="307"/>
      <c r="Z104" s="307"/>
      <c r="AA104" s="307"/>
      <c r="AB104" s="307"/>
    </row>
    <row r="105" ht="15.75" customHeight="1">
      <c r="A105" s="306"/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7"/>
      <c r="M105" s="307"/>
      <c r="N105" s="307"/>
      <c r="O105" s="307"/>
      <c r="P105" s="307"/>
      <c r="Q105" s="307"/>
      <c r="R105" s="307"/>
      <c r="S105" s="307"/>
      <c r="T105" s="307"/>
      <c r="U105" s="307"/>
      <c r="V105" s="307"/>
      <c r="W105" s="307"/>
      <c r="X105" s="307"/>
      <c r="Y105" s="307"/>
      <c r="Z105" s="307"/>
      <c r="AA105" s="307"/>
      <c r="AB105" s="307"/>
    </row>
    <row r="106" ht="15.75" customHeight="1">
      <c r="A106" s="306"/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7"/>
      <c r="M106" s="307"/>
      <c r="N106" s="307"/>
      <c r="O106" s="307"/>
      <c r="P106" s="307"/>
      <c r="Q106" s="307"/>
      <c r="R106" s="307"/>
      <c r="S106" s="307"/>
      <c r="T106" s="307"/>
      <c r="U106" s="307"/>
      <c r="V106" s="307"/>
      <c r="W106" s="307"/>
      <c r="X106" s="307"/>
      <c r="Y106" s="307"/>
      <c r="Z106" s="307"/>
      <c r="AA106" s="307"/>
      <c r="AB106" s="307"/>
    </row>
    <row r="107" ht="15.75" customHeight="1">
      <c r="A107" s="306"/>
      <c r="B107" s="306"/>
      <c r="C107" s="306"/>
      <c r="D107" s="306"/>
      <c r="E107" s="306"/>
      <c r="F107" s="306"/>
      <c r="G107" s="306"/>
      <c r="H107" s="306"/>
      <c r="I107" s="306"/>
      <c r="J107" s="306"/>
      <c r="K107" s="306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307"/>
      <c r="Z107" s="307"/>
      <c r="AA107" s="307"/>
      <c r="AB107" s="307"/>
    </row>
    <row r="108" ht="15.75" customHeight="1">
      <c r="A108" s="306"/>
      <c r="B108" s="306"/>
      <c r="C108" s="306"/>
      <c r="D108" s="306"/>
      <c r="E108" s="306"/>
      <c r="F108" s="306"/>
      <c r="G108" s="306"/>
      <c r="H108" s="306"/>
      <c r="I108" s="306"/>
      <c r="J108" s="306"/>
      <c r="K108" s="306"/>
      <c r="L108" s="307"/>
      <c r="M108" s="307"/>
      <c r="N108" s="307"/>
      <c r="O108" s="307"/>
      <c r="P108" s="307"/>
      <c r="Q108" s="307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</row>
    <row r="109" ht="15.75" customHeight="1">
      <c r="A109" s="306"/>
      <c r="B109" s="306"/>
      <c r="C109" s="306"/>
      <c r="D109" s="306"/>
      <c r="E109" s="306"/>
      <c r="F109" s="306"/>
      <c r="G109" s="306"/>
      <c r="H109" s="306"/>
      <c r="I109" s="306"/>
      <c r="J109" s="306"/>
      <c r="K109" s="306"/>
      <c r="L109" s="307"/>
      <c r="M109" s="307"/>
      <c r="N109" s="307"/>
      <c r="O109" s="307"/>
      <c r="P109" s="307"/>
      <c r="Q109" s="307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</row>
    <row r="110" ht="15.75" customHeight="1">
      <c r="A110" s="306"/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7"/>
      <c r="M110" s="307"/>
      <c r="N110" s="307"/>
      <c r="O110" s="307"/>
      <c r="P110" s="307"/>
      <c r="Q110" s="307"/>
      <c r="R110" s="307"/>
      <c r="S110" s="307"/>
      <c r="T110" s="307"/>
      <c r="U110" s="307"/>
      <c r="V110" s="307"/>
      <c r="W110" s="307"/>
      <c r="X110" s="307"/>
      <c r="Y110" s="307"/>
      <c r="Z110" s="307"/>
      <c r="AA110" s="307"/>
      <c r="AB110" s="307"/>
    </row>
    <row r="111" ht="15.75" customHeight="1">
      <c r="A111" s="306"/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7"/>
      <c r="M111" s="307"/>
      <c r="N111" s="307"/>
      <c r="O111" s="307"/>
      <c r="P111" s="307"/>
      <c r="Q111" s="307"/>
      <c r="R111" s="307"/>
      <c r="S111" s="307"/>
      <c r="T111" s="307"/>
      <c r="U111" s="307"/>
      <c r="V111" s="307"/>
      <c r="W111" s="307"/>
      <c r="X111" s="307"/>
      <c r="Y111" s="307"/>
      <c r="Z111" s="307"/>
      <c r="AA111" s="307"/>
      <c r="AB111" s="307"/>
    </row>
    <row r="112" ht="15.75" customHeight="1">
      <c r="A112" s="306"/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7"/>
      <c r="M112" s="307"/>
      <c r="N112" s="307"/>
      <c r="O112" s="307"/>
      <c r="P112" s="307"/>
      <c r="Q112" s="307"/>
      <c r="R112" s="307"/>
      <c r="S112" s="307"/>
      <c r="T112" s="307"/>
      <c r="U112" s="307"/>
      <c r="V112" s="307"/>
      <c r="W112" s="307"/>
      <c r="X112" s="307"/>
      <c r="Y112" s="307"/>
      <c r="Z112" s="307"/>
      <c r="AA112" s="307"/>
      <c r="AB112" s="307"/>
    </row>
    <row r="113" ht="15.75" customHeight="1">
      <c r="A113" s="306"/>
      <c r="B113" s="306"/>
      <c r="C113" s="306"/>
      <c r="D113" s="306"/>
      <c r="E113" s="306"/>
      <c r="F113" s="306"/>
      <c r="G113" s="306"/>
      <c r="H113" s="306"/>
      <c r="I113" s="306"/>
      <c r="J113" s="306"/>
      <c r="K113" s="306"/>
      <c r="L113" s="307"/>
      <c r="M113" s="307"/>
      <c r="N113" s="307"/>
      <c r="O113" s="307"/>
      <c r="P113" s="307"/>
      <c r="Q113" s="307"/>
      <c r="R113" s="307"/>
      <c r="S113" s="307"/>
      <c r="T113" s="307"/>
      <c r="U113" s="307"/>
      <c r="V113" s="307"/>
      <c r="W113" s="307"/>
      <c r="X113" s="307"/>
      <c r="Y113" s="307"/>
      <c r="Z113" s="307"/>
      <c r="AA113" s="307"/>
      <c r="AB113" s="307"/>
    </row>
    <row r="114" ht="15.75" customHeight="1">
      <c r="A114" s="306"/>
      <c r="B114" s="306"/>
      <c r="C114" s="306"/>
      <c r="D114" s="306"/>
      <c r="E114" s="306"/>
      <c r="F114" s="306"/>
      <c r="G114" s="306"/>
      <c r="H114" s="306"/>
      <c r="I114" s="306"/>
      <c r="J114" s="306"/>
      <c r="K114" s="306"/>
      <c r="L114" s="307"/>
      <c r="M114" s="307"/>
      <c r="N114" s="307"/>
      <c r="O114" s="307"/>
      <c r="P114" s="307"/>
      <c r="Q114" s="307"/>
      <c r="R114" s="307"/>
      <c r="S114" s="307"/>
      <c r="T114" s="307"/>
      <c r="U114" s="307"/>
      <c r="V114" s="307"/>
      <c r="W114" s="307"/>
      <c r="X114" s="307"/>
      <c r="Y114" s="307"/>
      <c r="Z114" s="307"/>
      <c r="AA114" s="307"/>
      <c r="AB114" s="307"/>
    </row>
    <row r="115" ht="15.75" customHeight="1">
      <c r="A115" s="306"/>
      <c r="B115" s="306"/>
      <c r="C115" s="306"/>
      <c r="D115" s="306"/>
      <c r="E115" s="306"/>
      <c r="F115" s="306"/>
      <c r="G115" s="306"/>
      <c r="H115" s="306"/>
      <c r="I115" s="306"/>
      <c r="J115" s="306"/>
      <c r="K115" s="306"/>
      <c r="L115" s="307"/>
      <c r="M115" s="307"/>
      <c r="N115" s="307"/>
      <c r="O115" s="307"/>
      <c r="P115" s="307"/>
      <c r="Q115" s="307"/>
      <c r="R115" s="307"/>
      <c r="S115" s="307"/>
      <c r="T115" s="307"/>
      <c r="U115" s="307"/>
      <c r="V115" s="307"/>
      <c r="W115" s="307"/>
      <c r="X115" s="307"/>
      <c r="Y115" s="307"/>
      <c r="Z115" s="307"/>
      <c r="AA115" s="307"/>
      <c r="AB115" s="307"/>
    </row>
    <row r="116" ht="15.75" customHeight="1">
      <c r="A116" s="306"/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307"/>
      <c r="M116" s="307"/>
      <c r="N116" s="307"/>
      <c r="O116" s="307"/>
      <c r="P116" s="307"/>
      <c r="Q116" s="307"/>
      <c r="R116" s="307"/>
      <c r="S116" s="307"/>
      <c r="T116" s="307"/>
      <c r="U116" s="307"/>
      <c r="V116" s="307"/>
      <c r="W116" s="307"/>
      <c r="X116" s="307"/>
      <c r="Y116" s="307"/>
      <c r="Z116" s="307"/>
      <c r="AA116" s="307"/>
      <c r="AB116" s="307"/>
    </row>
    <row r="117" ht="15.75" customHeight="1">
      <c r="A117" s="306"/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7"/>
      <c r="M117" s="307"/>
      <c r="N117" s="307"/>
      <c r="O117" s="307"/>
      <c r="P117" s="307"/>
      <c r="Q117" s="307"/>
      <c r="R117" s="307"/>
      <c r="S117" s="307"/>
      <c r="T117" s="307"/>
      <c r="U117" s="307"/>
      <c r="V117" s="307"/>
      <c r="W117" s="307"/>
      <c r="X117" s="307"/>
      <c r="Y117" s="307"/>
      <c r="Z117" s="307"/>
      <c r="AA117" s="307"/>
      <c r="AB117" s="307"/>
    </row>
    <row r="118" ht="15.75" customHeight="1">
      <c r="A118" s="306"/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7"/>
      <c r="M118" s="307"/>
      <c r="N118" s="307"/>
      <c r="O118" s="307"/>
      <c r="P118" s="307"/>
      <c r="Q118" s="307"/>
      <c r="R118" s="307"/>
      <c r="S118" s="307"/>
      <c r="T118" s="307"/>
      <c r="U118" s="307"/>
      <c r="V118" s="307"/>
      <c r="W118" s="307"/>
      <c r="X118" s="307"/>
      <c r="Y118" s="307"/>
      <c r="Z118" s="307"/>
      <c r="AA118" s="307"/>
      <c r="AB118" s="307"/>
    </row>
    <row r="119" ht="15.75" customHeight="1">
      <c r="A119" s="306"/>
      <c r="B119" s="306"/>
      <c r="C119" s="306"/>
      <c r="D119" s="306"/>
      <c r="E119" s="306"/>
      <c r="F119" s="306"/>
      <c r="G119" s="306"/>
      <c r="H119" s="306"/>
      <c r="I119" s="306"/>
      <c r="J119" s="306"/>
      <c r="K119" s="306"/>
      <c r="L119" s="307"/>
      <c r="M119" s="307"/>
      <c r="N119" s="307"/>
      <c r="O119" s="307"/>
      <c r="P119" s="307"/>
      <c r="Q119" s="307"/>
      <c r="R119" s="307"/>
      <c r="S119" s="307"/>
      <c r="T119" s="307"/>
      <c r="U119" s="307"/>
      <c r="V119" s="307"/>
      <c r="W119" s="307"/>
      <c r="X119" s="307"/>
      <c r="Y119" s="307"/>
      <c r="Z119" s="307"/>
      <c r="AA119" s="307"/>
      <c r="AB119" s="307"/>
    </row>
    <row r="120" ht="15.75" customHeight="1">
      <c r="A120" s="306"/>
      <c r="B120" s="306"/>
      <c r="C120" s="306"/>
      <c r="D120" s="306"/>
      <c r="E120" s="306"/>
      <c r="F120" s="306"/>
      <c r="G120" s="306"/>
      <c r="H120" s="306"/>
      <c r="I120" s="306"/>
      <c r="J120" s="306"/>
      <c r="K120" s="306"/>
      <c r="L120" s="307"/>
      <c r="M120" s="307"/>
      <c r="N120" s="307"/>
      <c r="O120" s="307"/>
      <c r="P120" s="307"/>
      <c r="Q120" s="307"/>
      <c r="R120" s="307"/>
      <c r="S120" s="307"/>
      <c r="T120" s="307"/>
      <c r="U120" s="307"/>
      <c r="V120" s="307"/>
      <c r="W120" s="307"/>
      <c r="X120" s="307"/>
      <c r="Y120" s="307"/>
      <c r="Z120" s="307"/>
      <c r="AA120" s="307"/>
      <c r="AB120" s="307"/>
    </row>
    <row r="121" ht="15.75" customHeight="1">
      <c r="A121" s="306"/>
      <c r="B121" s="306"/>
      <c r="C121" s="306"/>
      <c r="D121" s="306"/>
      <c r="E121" s="306"/>
      <c r="F121" s="306"/>
      <c r="G121" s="306"/>
      <c r="H121" s="306"/>
      <c r="I121" s="306"/>
      <c r="J121" s="306"/>
      <c r="K121" s="306"/>
      <c r="L121" s="307"/>
      <c r="M121" s="307"/>
      <c r="N121" s="307"/>
      <c r="O121" s="307"/>
      <c r="P121" s="307"/>
      <c r="Q121" s="307"/>
      <c r="R121" s="307"/>
      <c r="S121" s="307"/>
      <c r="T121" s="307"/>
      <c r="U121" s="307"/>
      <c r="V121" s="307"/>
      <c r="W121" s="307"/>
      <c r="X121" s="307"/>
      <c r="Y121" s="307"/>
      <c r="Z121" s="307"/>
      <c r="AA121" s="307"/>
      <c r="AB121" s="307"/>
    </row>
    <row r="122" ht="15.75" customHeight="1">
      <c r="A122" s="306"/>
      <c r="B122" s="306"/>
      <c r="C122" s="306"/>
      <c r="D122" s="306"/>
      <c r="E122" s="306"/>
      <c r="F122" s="306"/>
      <c r="G122" s="306"/>
      <c r="H122" s="306"/>
      <c r="I122" s="306"/>
      <c r="J122" s="306"/>
      <c r="K122" s="306"/>
      <c r="L122" s="307"/>
      <c r="M122" s="307"/>
      <c r="N122" s="307"/>
      <c r="O122" s="307"/>
      <c r="P122" s="307"/>
      <c r="Q122" s="307"/>
      <c r="R122" s="307"/>
      <c r="S122" s="307"/>
      <c r="T122" s="307"/>
      <c r="U122" s="307"/>
      <c r="V122" s="307"/>
      <c r="W122" s="307"/>
      <c r="X122" s="307"/>
      <c r="Y122" s="307"/>
      <c r="Z122" s="307"/>
      <c r="AA122" s="307"/>
      <c r="AB122" s="307"/>
    </row>
    <row r="123" ht="15.75" customHeight="1">
      <c r="A123" s="306"/>
      <c r="B123" s="306"/>
      <c r="C123" s="306"/>
      <c r="D123" s="306"/>
      <c r="E123" s="306"/>
      <c r="F123" s="306"/>
      <c r="G123" s="306"/>
      <c r="H123" s="306"/>
      <c r="I123" s="306"/>
      <c r="J123" s="306"/>
      <c r="K123" s="306"/>
      <c r="L123" s="307"/>
      <c r="M123" s="307"/>
      <c r="N123" s="307"/>
      <c r="O123" s="307"/>
      <c r="P123" s="307"/>
      <c r="Q123" s="307"/>
      <c r="R123" s="307"/>
      <c r="S123" s="307"/>
      <c r="T123" s="307"/>
      <c r="U123" s="307"/>
      <c r="V123" s="307"/>
      <c r="W123" s="307"/>
      <c r="X123" s="307"/>
      <c r="Y123" s="307"/>
      <c r="Z123" s="307"/>
      <c r="AA123" s="307"/>
      <c r="AB123" s="307"/>
    </row>
    <row r="124" ht="15.75" customHeight="1">
      <c r="A124" s="306"/>
      <c r="B124" s="306"/>
      <c r="C124" s="306"/>
      <c r="D124" s="306"/>
      <c r="E124" s="306"/>
      <c r="F124" s="306"/>
      <c r="G124" s="306"/>
      <c r="H124" s="306"/>
      <c r="I124" s="306"/>
      <c r="J124" s="306"/>
      <c r="K124" s="306"/>
      <c r="L124" s="307"/>
      <c r="M124" s="307"/>
      <c r="N124" s="307"/>
      <c r="O124" s="307"/>
      <c r="P124" s="307"/>
      <c r="Q124" s="307"/>
      <c r="R124" s="307"/>
      <c r="S124" s="307"/>
      <c r="T124" s="307"/>
      <c r="U124" s="307"/>
      <c r="V124" s="307"/>
      <c r="W124" s="307"/>
      <c r="X124" s="307"/>
      <c r="Y124" s="307"/>
      <c r="Z124" s="307"/>
      <c r="AA124" s="307"/>
      <c r="AB124" s="307"/>
    </row>
    <row r="125" ht="15.75" customHeight="1">
      <c r="A125" s="306"/>
      <c r="B125" s="306"/>
      <c r="C125" s="306"/>
      <c r="D125" s="306"/>
      <c r="E125" s="306"/>
      <c r="F125" s="306"/>
      <c r="G125" s="306"/>
      <c r="H125" s="306"/>
      <c r="I125" s="306"/>
      <c r="J125" s="306"/>
      <c r="K125" s="306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W125" s="307"/>
      <c r="X125" s="307"/>
      <c r="Y125" s="307"/>
      <c r="Z125" s="307"/>
      <c r="AA125" s="307"/>
      <c r="AB125" s="307"/>
    </row>
    <row r="126" ht="15.75" customHeight="1">
      <c r="A126" s="306"/>
      <c r="B126" s="306"/>
      <c r="C126" s="306"/>
      <c r="D126" s="306"/>
      <c r="E126" s="306"/>
      <c r="F126" s="306"/>
      <c r="G126" s="306"/>
      <c r="H126" s="306"/>
      <c r="I126" s="306"/>
      <c r="J126" s="306"/>
      <c r="K126" s="306"/>
      <c r="L126" s="307"/>
      <c r="M126" s="307"/>
      <c r="N126" s="307"/>
      <c r="O126" s="307"/>
      <c r="P126" s="307"/>
      <c r="Q126" s="307"/>
      <c r="R126" s="307"/>
      <c r="S126" s="307"/>
      <c r="T126" s="307"/>
      <c r="U126" s="307"/>
      <c r="V126" s="307"/>
      <c r="W126" s="307"/>
      <c r="X126" s="307"/>
      <c r="Y126" s="307"/>
      <c r="Z126" s="307"/>
      <c r="AA126" s="307"/>
      <c r="AB126" s="307"/>
    </row>
    <row r="127" ht="15.75" customHeight="1">
      <c r="A127" s="306"/>
      <c r="B127" s="306"/>
      <c r="C127" s="306"/>
      <c r="D127" s="306"/>
      <c r="E127" s="306"/>
      <c r="F127" s="306"/>
      <c r="G127" s="306"/>
      <c r="H127" s="306"/>
      <c r="I127" s="306"/>
      <c r="J127" s="306"/>
      <c r="K127" s="306"/>
      <c r="L127" s="307"/>
      <c r="M127" s="307"/>
      <c r="N127" s="307"/>
      <c r="O127" s="307"/>
      <c r="P127" s="307"/>
      <c r="Q127" s="307"/>
      <c r="R127" s="307"/>
      <c r="S127" s="307"/>
      <c r="T127" s="307"/>
      <c r="U127" s="307"/>
      <c r="V127" s="307"/>
      <c r="W127" s="307"/>
      <c r="X127" s="307"/>
      <c r="Y127" s="307"/>
      <c r="Z127" s="307"/>
      <c r="AA127" s="307"/>
      <c r="AB127" s="307"/>
    </row>
    <row r="128" ht="15.75" customHeight="1">
      <c r="A128" s="306"/>
      <c r="B128" s="306"/>
      <c r="C128" s="306"/>
      <c r="D128" s="306"/>
      <c r="E128" s="306"/>
      <c r="F128" s="306"/>
      <c r="G128" s="306"/>
      <c r="H128" s="306"/>
      <c r="I128" s="306"/>
      <c r="J128" s="306"/>
      <c r="K128" s="306"/>
      <c r="L128" s="307"/>
      <c r="M128" s="307"/>
      <c r="N128" s="307"/>
      <c r="O128" s="307"/>
      <c r="P128" s="307"/>
      <c r="Q128" s="307"/>
      <c r="R128" s="307"/>
      <c r="S128" s="307"/>
      <c r="T128" s="307"/>
      <c r="U128" s="307"/>
      <c r="V128" s="307"/>
      <c r="W128" s="307"/>
      <c r="X128" s="307"/>
      <c r="Y128" s="307"/>
      <c r="Z128" s="307"/>
      <c r="AA128" s="307"/>
      <c r="AB128" s="307"/>
    </row>
    <row r="129" ht="15.75" customHeight="1">
      <c r="A129" s="306"/>
      <c r="B129" s="306"/>
      <c r="C129" s="306"/>
      <c r="D129" s="306"/>
      <c r="E129" s="306"/>
      <c r="F129" s="306"/>
      <c r="G129" s="306"/>
      <c r="H129" s="306"/>
      <c r="I129" s="306"/>
      <c r="J129" s="306"/>
      <c r="K129" s="306"/>
      <c r="L129" s="307"/>
      <c r="M129" s="307"/>
      <c r="N129" s="307"/>
      <c r="O129" s="307"/>
      <c r="P129" s="307"/>
      <c r="Q129" s="307"/>
      <c r="R129" s="307"/>
      <c r="S129" s="307"/>
      <c r="T129" s="307"/>
      <c r="U129" s="307"/>
      <c r="V129" s="307"/>
      <c r="W129" s="307"/>
      <c r="X129" s="307"/>
      <c r="Y129" s="307"/>
      <c r="Z129" s="307"/>
      <c r="AA129" s="307"/>
      <c r="AB129" s="307"/>
    </row>
    <row r="130" ht="15.75" customHeight="1">
      <c r="A130" s="306"/>
      <c r="B130" s="306"/>
      <c r="C130" s="306"/>
      <c r="D130" s="306"/>
      <c r="E130" s="306"/>
      <c r="F130" s="306"/>
      <c r="G130" s="306"/>
      <c r="H130" s="306"/>
      <c r="I130" s="306"/>
      <c r="J130" s="306"/>
      <c r="K130" s="306"/>
      <c r="L130" s="307"/>
      <c r="M130" s="307"/>
      <c r="N130" s="307"/>
      <c r="O130" s="307"/>
      <c r="P130" s="307"/>
      <c r="Q130" s="307"/>
      <c r="R130" s="307"/>
      <c r="S130" s="307"/>
      <c r="T130" s="307"/>
      <c r="U130" s="307"/>
      <c r="V130" s="307"/>
      <c r="W130" s="307"/>
      <c r="X130" s="307"/>
      <c r="Y130" s="307"/>
      <c r="Z130" s="307"/>
      <c r="AA130" s="307"/>
      <c r="AB130" s="307"/>
    </row>
    <row r="131" ht="15.75" customHeight="1">
      <c r="A131" s="306"/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7"/>
      <c r="M131" s="307"/>
      <c r="N131" s="307"/>
      <c r="O131" s="307"/>
      <c r="P131" s="307"/>
      <c r="Q131" s="307"/>
      <c r="R131" s="307"/>
      <c r="S131" s="307"/>
      <c r="T131" s="307"/>
      <c r="U131" s="307"/>
      <c r="V131" s="307"/>
      <c r="W131" s="307"/>
      <c r="X131" s="307"/>
      <c r="Y131" s="307"/>
      <c r="Z131" s="307"/>
      <c r="AA131" s="307"/>
      <c r="AB131" s="307"/>
    </row>
    <row r="132" ht="15.75" customHeight="1">
      <c r="A132" s="306"/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7"/>
      <c r="M132" s="307"/>
      <c r="N132" s="307"/>
      <c r="O132" s="307"/>
      <c r="P132" s="307"/>
      <c r="Q132" s="307"/>
      <c r="R132" s="307"/>
      <c r="S132" s="307"/>
      <c r="T132" s="307"/>
      <c r="U132" s="307"/>
      <c r="V132" s="307"/>
      <c r="W132" s="307"/>
      <c r="X132" s="307"/>
      <c r="Y132" s="307"/>
      <c r="Z132" s="307"/>
      <c r="AA132" s="307"/>
      <c r="AB132" s="307"/>
    </row>
    <row r="133" ht="15.75" customHeight="1">
      <c r="A133" s="306"/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7"/>
      <c r="M133" s="307"/>
      <c r="N133" s="307"/>
      <c r="O133" s="307"/>
      <c r="P133" s="307"/>
      <c r="Q133" s="307"/>
      <c r="R133" s="307"/>
      <c r="S133" s="307"/>
      <c r="T133" s="307"/>
      <c r="U133" s="307"/>
      <c r="V133" s="307"/>
      <c r="W133" s="307"/>
      <c r="X133" s="307"/>
      <c r="Y133" s="307"/>
      <c r="Z133" s="307"/>
      <c r="AA133" s="307"/>
      <c r="AB133" s="307"/>
    </row>
    <row r="134" ht="15.75" customHeight="1">
      <c r="A134" s="306"/>
      <c r="B134" s="306"/>
      <c r="C134" s="306"/>
      <c r="D134" s="306"/>
      <c r="E134" s="306"/>
      <c r="F134" s="306"/>
      <c r="G134" s="306"/>
      <c r="H134" s="306"/>
      <c r="I134" s="306"/>
      <c r="J134" s="306"/>
      <c r="K134" s="306"/>
      <c r="L134" s="307"/>
      <c r="M134" s="307"/>
      <c r="N134" s="307"/>
      <c r="O134" s="307"/>
      <c r="P134" s="307"/>
      <c r="Q134" s="307"/>
      <c r="R134" s="307"/>
      <c r="S134" s="307"/>
      <c r="T134" s="307"/>
      <c r="U134" s="307"/>
      <c r="V134" s="307"/>
      <c r="W134" s="307"/>
      <c r="X134" s="307"/>
      <c r="Y134" s="307"/>
      <c r="Z134" s="307"/>
      <c r="AA134" s="307"/>
      <c r="AB134" s="307"/>
    </row>
    <row r="135" ht="15.75" customHeight="1">
      <c r="A135" s="306"/>
      <c r="B135" s="306"/>
      <c r="C135" s="306"/>
      <c r="D135" s="306"/>
      <c r="E135" s="306"/>
      <c r="F135" s="306"/>
      <c r="G135" s="306"/>
      <c r="H135" s="306"/>
      <c r="I135" s="306"/>
      <c r="J135" s="306"/>
      <c r="K135" s="306"/>
      <c r="L135" s="307"/>
      <c r="M135" s="307"/>
      <c r="N135" s="307"/>
      <c r="O135" s="307"/>
      <c r="P135" s="307"/>
      <c r="Q135" s="307"/>
      <c r="R135" s="307"/>
      <c r="S135" s="307"/>
      <c r="T135" s="307"/>
      <c r="U135" s="307"/>
      <c r="V135" s="307"/>
      <c r="W135" s="307"/>
      <c r="X135" s="307"/>
      <c r="Y135" s="307"/>
      <c r="Z135" s="307"/>
      <c r="AA135" s="307"/>
      <c r="AB135" s="307"/>
    </row>
    <row r="136" ht="15.75" customHeight="1">
      <c r="A136" s="306"/>
      <c r="B136" s="306"/>
      <c r="C136" s="306"/>
      <c r="D136" s="306"/>
      <c r="E136" s="306"/>
      <c r="F136" s="306"/>
      <c r="G136" s="306"/>
      <c r="H136" s="306"/>
      <c r="I136" s="306"/>
      <c r="J136" s="306"/>
      <c r="K136" s="306"/>
      <c r="L136" s="307"/>
      <c r="M136" s="307"/>
      <c r="N136" s="307"/>
      <c r="O136" s="307"/>
      <c r="P136" s="307"/>
      <c r="Q136" s="307"/>
      <c r="R136" s="307"/>
      <c r="S136" s="307"/>
      <c r="T136" s="307"/>
      <c r="U136" s="307"/>
      <c r="V136" s="307"/>
      <c r="W136" s="307"/>
      <c r="X136" s="307"/>
      <c r="Y136" s="307"/>
      <c r="Z136" s="307"/>
      <c r="AA136" s="307"/>
      <c r="AB136" s="307"/>
    </row>
    <row r="137" ht="15.75" customHeight="1">
      <c r="A137" s="306"/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307"/>
      <c r="Z137" s="307"/>
      <c r="AA137" s="307"/>
      <c r="AB137" s="307"/>
    </row>
    <row r="138" ht="15.75" customHeight="1">
      <c r="A138" s="306"/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7"/>
      <c r="M138" s="307"/>
      <c r="N138" s="307"/>
      <c r="O138" s="307"/>
      <c r="P138" s="307"/>
      <c r="Q138" s="307"/>
      <c r="R138" s="307"/>
      <c r="S138" s="307"/>
      <c r="T138" s="307"/>
      <c r="U138" s="307"/>
      <c r="V138" s="307"/>
      <c r="W138" s="307"/>
      <c r="X138" s="307"/>
      <c r="Y138" s="307"/>
      <c r="Z138" s="307"/>
      <c r="AA138" s="307"/>
      <c r="AB138" s="307"/>
    </row>
    <row r="139" ht="15.75" customHeight="1">
      <c r="A139" s="306"/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7"/>
      <c r="M139" s="307"/>
      <c r="N139" s="307"/>
      <c r="O139" s="307"/>
      <c r="P139" s="307"/>
      <c r="Q139" s="307"/>
      <c r="R139" s="307"/>
      <c r="S139" s="307"/>
      <c r="T139" s="307"/>
      <c r="U139" s="307"/>
      <c r="V139" s="307"/>
      <c r="W139" s="307"/>
      <c r="X139" s="307"/>
      <c r="Y139" s="307"/>
      <c r="Z139" s="307"/>
      <c r="AA139" s="307"/>
      <c r="AB139" s="307"/>
    </row>
    <row r="140" ht="15.75" customHeight="1">
      <c r="A140" s="306"/>
      <c r="B140" s="306"/>
      <c r="C140" s="306"/>
      <c r="D140" s="306"/>
      <c r="E140" s="306"/>
      <c r="F140" s="306"/>
      <c r="G140" s="306"/>
      <c r="H140" s="306"/>
      <c r="I140" s="306"/>
      <c r="J140" s="306"/>
      <c r="K140" s="306"/>
      <c r="L140" s="307"/>
      <c r="M140" s="307"/>
      <c r="N140" s="307"/>
      <c r="O140" s="307"/>
      <c r="P140" s="307"/>
      <c r="Q140" s="307"/>
      <c r="R140" s="307"/>
      <c r="S140" s="307"/>
      <c r="T140" s="307"/>
      <c r="U140" s="307"/>
      <c r="V140" s="307"/>
      <c r="W140" s="307"/>
      <c r="X140" s="307"/>
      <c r="Y140" s="307"/>
      <c r="Z140" s="307"/>
      <c r="AA140" s="307"/>
      <c r="AB140" s="307"/>
    </row>
    <row r="141" ht="15.75" customHeight="1">
      <c r="A141" s="306"/>
      <c r="B141" s="306"/>
      <c r="C141" s="306"/>
      <c r="D141" s="306"/>
      <c r="E141" s="306"/>
      <c r="F141" s="306"/>
      <c r="G141" s="306"/>
      <c r="H141" s="306"/>
      <c r="I141" s="306"/>
      <c r="J141" s="306"/>
      <c r="K141" s="306"/>
      <c r="L141" s="307"/>
      <c r="M141" s="307"/>
      <c r="N141" s="307"/>
      <c r="O141" s="307"/>
      <c r="P141" s="307"/>
      <c r="Q141" s="307"/>
      <c r="R141" s="307"/>
      <c r="S141" s="307"/>
      <c r="T141" s="307"/>
      <c r="U141" s="307"/>
      <c r="V141" s="307"/>
      <c r="W141" s="307"/>
      <c r="X141" s="307"/>
      <c r="Y141" s="307"/>
      <c r="Z141" s="307"/>
      <c r="AA141" s="307"/>
      <c r="AB141" s="307"/>
    </row>
    <row r="142" ht="15.75" customHeight="1">
      <c r="A142" s="306"/>
      <c r="B142" s="306"/>
      <c r="C142" s="306"/>
      <c r="D142" s="306"/>
      <c r="E142" s="306"/>
      <c r="F142" s="306"/>
      <c r="G142" s="306"/>
      <c r="H142" s="306"/>
      <c r="I142" s="306"/>
      <c r="J142" s="306"/>
      <c r="K142" s="306"/>
      <c r="L142" s="307"/>
      <c r="M142" s="307"/>
      <c r="N142" s="307"/>
      <c r="O142" s="307"/>
      <c r="P142" s="307"/>
      <c r="Q142" s="307"/>
      <c r="R142" s="307"/>
      <c r="S142" s="307"/>
      <c r="T142" s="307"/>
      <c r="U142" s="307"/>
      <c r="V142" s="307"/>
      <c r="W142" s="307"/>
      <c r="X142" s="307"/>
      <c r="Y142" s="307"/>
      <c r="Z142" s="307"/>
      <c r="AA142" s="307"/>
      <c r="AB142" s="307"/>
    </row>
    <row r="143" ht="15.75" customHeight="1">
      <c r="A143" s="306"/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7"/>
      <c r="M143" s="307"/>
      <c r="N143" s="307"/>
      <c r="O143" s="307"/>
      <c r="P143" s="307"/>
      <c r="Q143" s="307"/>
      <c r="R143" s="307"/>
      <c r="S143" s="307"/>
      <c r="T143" s="307"/>
      <c r="U143" s="307"/>
      <c r="V143" s="307"/>
      <c r="W143" s="307"/>
      <c r="X143" s="307"/>
      <c r="Y143" s="307"/>
      <c r="Z143" s="307"/>
      <c r="AA143" s="307"/>
      <c r="AB143" s="307"/>
    </row>
    <row r="144" ht="15.75" customHeight="1">
      <c r="A144" s="306"/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7"/>
      <c r="M144" s="307"/>
      <c r="N144" s="307"/>
      <c r="O144" s="307"/>
      <c r="P144" s="307"/>
      <c r="Q144" s="307"/>
      <c r="R144" s="307"/>
      <c r="S144" s="307"/>
      <c r="T144" s="307"/>
      <c r="U144" s="307"/>
      <c r="V144" s="307"/>
      <c r="W144" s="307"/>
      <c r="X144" s="307"/>
      <c r="Y144" s="307"/>
      <c r="Z144" s="307"/>
      <c r="AA144" s="307"/>
      <c r="AB144" s="307"/>
    </row>
    <row r="145" ht="15.75" customHeight="1">
      <c r="A145" s="306"/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7"/>
      <c r="M145" s="307"/>
      <c r="N145" s="307"/>
      <c r="O145" s="307"/>
      <c r="P145" s="307"/>
      <c r="Q145" s="307"/>
      <c r="R145" s="307"/>
      <c r="S145" s="307"/>
      <c r="T145" s="307"/>
      <c r="U145" s="307"/>
      <c r="V145" s="307"/>
      <c r="W145" s="307"/>
      <c r="X145" s="307"/>
      <c r="Y145" s="307"/>
      <c r="Z145" s="307"/>
      <c r="AA145" s="307"/>
      <c r="AB145" s="307"/>
    </row>
    <row r="146" ht="15.75" customHeight="1">
      <c r="A146" s="306"/>
      <c r="B146" s="306"/>
      <c r="C146" s="306"/>
      <c r="D146" s="306"/>
      <c r="E146" s="306"/>
      <c r="F146" s="306"/>
      <c r="G146" s="306"/>
      <c r="H146" s="306"/>
      <c r="I146" s="306"/>
      <c r="J146" s="306"/>
      <c r="K146" s="306"/>
      <c r="L146" s="307"/>
      <c r="M146" s="307"/>
      <c r="N146" s="307"/>
      <c r="O146" s="307"/>
      <c r="P146" s="307"/>
      <c r="Q146" s="307"/>
      <c r="R146" s="307"/>
      <c r="S146" s="307"/>
      <c r="T146" s="307"/>
      <c r="U146" s="307"/>
      <c r="V146" s="307"/>
      <c r="W146" s="307"/>
      <c r="X146" s="307"/>
      <c r="Y146" s="307"/>
      <c r="Z146" s="307"/>
      <c r="AA146" s="307"/>
      <c r="AB146" s="307"/>
    </row>
    <row r="147" ht="15.75" customHeight="1">
      <c r="A147" s="306"/>
      <c r="B147" s="306"/>
      <c r="C147" s="306"/>
      <c r="D147" s="306"/>
      <c r="E147" s="306"/>
      <c r="F147" s="306"/>
      <c r="G147" s="306"/>
      <c r="H147" s="306"/>
      <c r="I147" s="306"/>
      <c r="J147" s="306"/>
      <c r="K147" s="306"/>
      <c r="L147" s="307"/>
      <c r="M147" s="307"/>
      <c r="N147" s="307"/>
      <c r="O147" s="307"/>
      <c r="P147" s="307"/>
      <c r="Q147" s="307"/>
      <c r="R147" s="307"/>
      <c r="S147" s="307"/>
      <c r="T147" s="307"/>
      <c r="U147" s="307"/>
      <c r="V147" s="307"/>
      <c r="W147" s="307"/>
      <c r="X147" s="307"/>
      <c r="Y147" s="307"/>
      <c r="Z147" s="307"/>
      <c r="AA147" s="307"/>
      <c r="AB147" s="307"/>
    </row>
    <row r="148" ht="15.75" customHeight="1">
      <c r="A148" s="306"/>
      <c r="B148" s="306"/>
      <c r="C148" s="306"/>
      <c r="D148" s="306"/>
      <c r="E148" s="306"/>
      <c r="F148" s="306"/>
      <c r="G148" s="306"/>
      <c r="H148" s="306"/>
      <c r="I148" s="306"/>
      <c r="J148" s="306"/>
      <c r="K148" s="306"/>
      <c r="L148" s="307"/>
      <c r="M148" s="307"/>
      <c r="N148" s="307"/>
      <c r="O148" s="307"/>
      <c r="P148" s="307"/>
      <c r="Q148" s="307"/>
      <c r="R148" s="307"/>
      <c r="S148" s="307"/>
      <c r="T148" s="307"/>
      <c r="U148" s="307"/>
      <c r="V148" s="307"/>
      <c r="W148" s="307"/>
      <c r="X148" s="307"/>
      <c r="Y148" s="307"/>
      <c r="Z148" s="307"/>
      <c r="AA148" s="307"/>
      <c r="AB148" s="307"/>
    </row>
    <row r="149" ht="15.75" customHeight="1">
      <c r="A149" s="306"/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7"/>
      <c r="M149" s="307"/>
      <c r="N149" s="307"/>
      <c r="O149" s="307"/>
      <c r="P149" s="307"/>
      <c r="Q149" s="307"/>
      <c r="R149" s="307"/>
      <c r="S149" s="307"/>
      <c r="T149" s="307"/>
      <c r="U149" s="307"/>
      <c r="V149" s="307"/>
      <c r="W149" s="307"/>
      <c r="X149" s="307"/>
      <c r="Y149" s="307"/>
      <c r="Z149" s="307"/>
      <c r="AA149" s="307"/>
      <c r="AB149" s="307"/>
    </row>
    <row r="150" ht="15.75" customHeight="1">
      <c r="A150" s="306"/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7"/>
      <c r="M150" s="307"/>
      <c r="N150" s="307"/>
      <c r="O150" s="307"/>
      <c r="P150" s="307"/>
      <c r="Q150" s="307"/>
      <c r="R150" s="307"/>
      <c r="S150" s="307"/>
      <c r="T150" s="307"/>
      <c r="U150" s="307"/>
      <c r="V150" s="307"/>
      <c r="W150" s="307"/>
      <c r="X150" s="307"/>
      <c r="Y150" s="307"/>
      <c r="Z150" s="307"/>
      <c r="AA150" s="307"/>
      <c r="AB150" s="307"/>
    </row>
    <row r="151" ht="15.75" customHeight="1">
      <c r="A151" s="306"/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7"/>
      <c r="M151" s="307"/>
      <c r="N151" s="307"/>
      <c r="O151" s="307"/>
      <c r="P151" s="307"/>
      <c r="Q151" s="307"/>
      <c r="R151" s="307"/>
      <c r="S151" s="307"/>
      <c r="T151" s="307"/>
      <c r="U151" s="307"/>
      <c r="V151" s="307"/>
      <c r="W151" s="307"/>
      <c r="X151" s="307"/>
      <c r="Y151" s="307"/>
      <c r="Z151" s="307"/>
      <c r="AA151" s="307"/>
      <c r="AB151" s="307"/>
    </row>
    <row r="152" ht="15.75" customHeight="1">
      <c r="A152" s="306"/>
      <c r="B152" s="306"/>
      <c r="C152" s="306"/>
      <c r="D152" s="306"/>
      <c r="E152" s="306"/>
      <c r="F152" s="306"/>
      <c r="G152" s="306"/>
      <c r="H152" s="306"/>
      <c r="I152" s="306"/>
      <c r="J152" s="306"/>
      <c r="K152" s="306"/>
      <c r="L152" s="307"/>
      <c r="M152" s="307"/>
      <c r="N152" s="307"/>
      <c r="O152" s="307"/>
      <c r="P152" s="307"/>
      <c r="Q152" s="307"/>
      <c r="R152" s="307"/>
      <c r="S152" s="307"/>
      <c r="T152" s="307"/>
      <c r="U152" s="307"/>
      <c r="V152" s="307"/>
      <c r="W152" s="307"/>
      <c r="X152" s="307"/>
      <c r="Y152" s="307"/>
      <c r="Z152" s="307"/>
      <c r="AA152" s="307"/>
      <c r="AB152" s="307"/>
    </row>
    <row r="153" ht="15.75" customHeight="1">
      <c r="A153" s="306"/>
      <c r="B153" s="306"/>
      <c r="C153" s="306"/>
      <c r="D153" s="306"/>
      <c r="E153" s="306"/>
      <c r="F153" s="306"/>
      <c r="G153" s="306"/>
      <c r="H153" s="306"/>
      <c r="I153" s="306"/>
      <c r="J153" s="306"/>
      <c r="K153" s="306"/>
      <c r="L153" s="307"/>
      <c r="M153" s="307"/>
      <c r="N153" s="307"/>
      <c r="O153" s="307"/>
      <c r="P153" s="307"/>
      <c r="Q153" s="307"/>
      <c r="R153" s="307"/>
      <c r="S153" s="307"/>
      <c r="T153" s="307"/>
      <c r="U153" s="307"/>
      <c r="V153" s="307"/>
      <c r="W153" s="307"/>
      <c r="X153" s="307"/>
      <c r="Y153" s="307"/>
      <c r="Z153" s="307"/>
      <c r="AA153" s="307"/>
      <c r="AB153" s="307"/>
    </row>
    <row r="154" ht="15.75" customHeight="1">
      <c r="A154" s="306"/>
      <c r="B154" s="306"/>
      <c r="C154" s="306"/>
      <c r="D154" s="306"/>
      <c r="E154" s="306"/>
      <c r="F154" s="306"/>
      <c r="G154" s="306"/>
      <c r="H154" s="306"/>
      <c r="I154" s="306"/>
      <c r="J154" s="306"/>
      <c r="K154" s="306"/>
      <c r="L154" s="307"/>
      <c r="M154" s="307"/>
      <c r="N154" s="307"/>
      <c r="O154" s="307"/>
      <c r="P154" s="307"/>
      <c r="Q154" s="307"/>
      <c r="R154" s="307"/>
      <c r="S154" s="307"/>
      <c r="T154" s="307"/>
      <c r="U154" s="307"/>
      <c r="V154" s="307"/>
      <c r="W154" s="307"/>
      <c r="X154" s="307"/>
      <c r="Y154" s="307"/>
      <c r="Z154" s="307"/>
      <c r="AA154" s="307"/>
      <c r="AB154" s="307"/>
    </row>
    <row r="155" ht="15.75" customHeight="1">
      <c r="A155" s="306"/>
      <c r="B155" s="306"/>
      <c r="C155" s="306"/>
      <c r="D155" s="306"/>
      <c r="E155" s="306"/>
      <c r="F155" s="306"/>
      <c r="G155" s="306"/>
      <c r="H155" s="306"/>
      <c r="I155" s="306"/>
      <c r="J155" s="306"/>
      <c r="K155" s="306"/>
      <c r="L155" s="307"/>
      <c r="M155" s="307"/>
      <c r="N155" s="307"/>
      <c r="O155" s="307"/>
      <c r="P155" s="307"/>
      <c r="Q155" s="307"/>
      <c r="R155" s="307"/>
      <c r="S155" s="307"/>
      <c r="T155" s="307"/>
      <c r="U155" s="307"/>
      <c r="V155" s="307"/>
      <c r="W155" s="307"/>
      <c r="X155" s="307"/>
      <c r="Y155" s="307"/>
      <c r="Z155" s="307"/>
      <c r="AA155" s="307"/>
      <c r="AB155" s="307"/>
    </row>
    <row r="156" ht="15.75" customHeight="1">
      <c r="A156" s="306"/>
      <c r="B156" s="306"/>
      <c r="C156" s="306"/>
      <c r="D156" s="306"/>
      <c r="E156" s="306"/>
      <c r="F156" s="306"/>
      <c r="G156" s="306"/>
      <c r="H156" s="306"/>
      <c r="I156" s="306"/>
      <c r="J156" s="306"/>
      <c r="K156" s="306"/>
      <c r="L156" s="307"/>
      <c r="M156" s="307"/>
      <c r="N156" s="307"/>
      <c r="O156" s="307"/>
      <c r="P156" s="307"/>
      <c r="Q156" s="307"/>
      <c r="R156" s="307"/>
      <c r="S156" s="307"/>
      <c r="T156" s="307"/>
      <c r="U156" s="307"/>
      <c r="V156" s="307"/>
      <c r="W156" s="307"/>
      <c r="X156" s="307"/>
      <c r="Y156" s="307"/>
      <c r="Z156" s="307"/>
      <c r="AA156" s="307"/>
      <c r="AB156" s="307"/>
    </row>
    <row r="157" ht="15.75" customHeight="1">
      <c r="A157" s="306"/>
      <c r="B157" s="306"/>
      <c r="C157" s="306"/>
      <c r="D157" s="306"/>
      <c r="E157" s="306"/>
      <c r="F157" s="306"/>
      <c r="G157" s="306"/>
      <c r="H157" s="306"/>
      <c r="I157" s="306"/>
      <c r="J157" s="306"/>
      <c r="K157" s="306"/>
      <c r="L157" s="307"/>
      <c r="M157" s="307"/>
      <c r="N157" s="307"/>
      <c r="O157" s="307"/>
      <c r="P157" s="307"/>
      <c r="Q157" s="307"/>
      <c r="R157" s="307"/>
      <c r="S157" s="307"/>
      <c r="T157" s="307"/>
      <c r="U157" s="307"/>
      <c r="V157" s="307"/>
      <c r="W157" s="307"/>
      <c r="X157" s="307"/>
      <c r="Y157" s="307"/>
      <c r="Z157" s="307"/>
      <c r="AA157" s="307"/>
      <c r="AB157" s="307"/>
    </row>
    <row r="158" ht="15.75" customHeight="1">
      <c r="A158" s="306"/>
      <c r="B158" s="306"/>
      <c r="C158" s="306"/>
      <c r="D158" s="306"/>
      <c r="E158" s="306"/>
      <c r="F158" s="306"/>
      <c r="G158" s="306"/>
      <c r="H158" s="306"/>
      <c r="I158" s="306"/>
      <c r="J158" s="306"/>
      <c r="K158" s="306"/>
      <c r="L158" s="307"/>
      <c r="M158" s="307"/>
      <c r="N158" s="307"/>
      <c r="O158" s="307"/>
      <c r="P158" s="307"/>
      <c r="Q158" s="307"/>
      <c r="R158" s="307"/>
      <c r="S158" s="307"/>
      <c r="T158" s="307"/>
      <c r="U158" s="307"/>
      <c r="V158" s="307"/>
      <c r="W158" s="307"/>
      <c r="X158" s="307"/>
      <c r="Y158" s="307"/>
      <c r="Z158" s="307"/>
      <c r="AA158" s="307"/>
      <c r="AB158" s="307"/>
    </row>
    <row r="159" ht="15.75" customHeight="1">
      <c r="A159" s="306"/>
      <c r="B159" s="306"/>
      <c r="C159" s="306"/>
      <c r="D159" s="306"/>
      <c r="E159" s="306"/>
      <c r="F159" s="306"/>
      <c r="G159" s="306"/>
      <c r="H159" s="306"/>
      <c r="I159" s="306"/>
      <c r="J159" s="306"/>
      <c r="K159" s="306"/>
      <c r="L159" s="307"/>
      <c r="M159" s="307"/>
      <c r="N159" s="307"/>
      <c r="O159" s="307"/>
      <c r="P159" s="307"/>
      <c r="Q159" s="307"/>
      <c r="R159" s="307"/>
      <c r="S159" s="307"/>
      <c r="T159" s="307"/>
      <c r="U159" s="307"/>
      <c r="V159" s="307"/>
      <c r="W159" s="307"/>
      <c r="X159" s="307"/>
      <c r="Y159" s="307"/>
      <c r="Z159" s="307"/>
      <c r="AA159" s="307"/>
      <c r="AB159" s="307"/>
    </row>
    <row r="160" ht="15.75" customHeight="1">
      <c r="A160" s="306"/>
      <c r="B160" s="306"/>
      <c r="C160" s="306"/>
      <c r="D160" s="306"/>
      <c r="E160" s="306"/>
      <c r="F160" s="306"/>
      <c r="G160" s="306"/>
      <c r="H160" s="306"/>
      <c r="I160" s="306"/>
      <c r="J160" s="306"/>
      <c r="K160" s="306"/>
      <c r="L160" s="307"/>
      <c r="M160" s="307"/>
      <c r="N160" s="307"/>
      <c r="O160" s="307"/>
      <c r="P160" s="307"/>
      <c r="Q160" s="307"/>
      <c r="R160" s="307"/>
      <c r="S160" s="307"/>
      <c r="T160" s="307"/>
      <c r="U160" s="307"/>
      <c r="V160" s="307"/>
      <c r="W160" s="307"/>
      <c r="X160" s="307"/>
      <c r="Y160" s="307"/>
      <c r="Z160" s="307"/>
      <c r="AA160" s="307"/>
      <c r="AB160" s="307"/>
    </row>
    <row r="161" ht="15.75" customHeight="1">
      <c r="A161" s="306"/>
      <c r="B161" s="306"/>
      <c r="C161" s="306"/>
      <c r="D161" s="306"/>
      <c r="E161" s="306"/>
      <c r="F161" s="306"/>
      <c r="G161" s="306"/>
      <c r="H161" s="306"/>
      <c r="I161" s="306"/>
      <c r="J161" s="306"/>
      <c r="K161" s="306"/>
      <c r="L161" s="307"/>
      <c r="M161" s="307"/>
      <c r="N161" s="307"/>
      <c r="O161" s="307"/>
      <c r="P161" s="307"/>
      <c r="Q161" s="307"/>
      <c r="R161" s="307"/>
      <c r="S161" s="307"/>
      <c r="T161" s="307"/>
      <c r="U161" s="307"/>
      <c r="V161" s="307"/>
      <c r="W161" s="307"/>
      <c r="X161" s="307"/>
      <c r="Y161" s="307"/>
      <c r="Z161" s="307"/>
      <c r="AA161" s="307"/>
      <c r="AB161" s="307"/>
    </row>
    <row r="162" ht="15.75" customHeight="1">
      <c r="A162" s="306"/>
      <c r="B162" s="306"/>
      <c r="C162" s="306"/>
      <c r="D162" s="306"/>
      <c r="E162" s="306"/>
      <c r="F162" s="306"/>
      <c r="G162" s="306"/>
      <c r="H162" s="306"/>
      <c r="I162" s="306"/>
      <c r="J162" s="306"/>
      <c r="K162" s="306"/>
      <c r="L162" s="307"/>
      <c r="M162" s="307"/>
      <c r="N162" s="307"/>
      <c r="O162" s="307"/>
      <c r="P162" s="307"/>
      <c r="Q162" s="307"/>
      <c r="R162" s="307"/>
      <c r="S162" s="307"/>
      <c r="T162" s="307"/>
      <c r="U162" s="307"/>
      <c r="V162" s="307"/>
      <c r="W162" s="307"/>
      <c r="X162" s="307"/>
      <c r="Y162" s="307"/>
      <c r="Z162" s="307"/>
      <c r="AA162" s="307"/>
      <c r="AB162" s="307"/>
    </row>
    <row r="163" ht="15.75" customHeight="1">
      <c r="A163" s="306"/>
      <c r="B163" s="306"/>
      <c r="C163" s="306"/>
      <c r="D163" s="306"/>
      <c r="E163" s="306"/>
      <c r="F163" s="306"/>
      <c r="G163" s="306"/>
      <c r="H163" s="306"/>
      <c r="I163" s="306"/>
      <c r="J163" s="306"/>
      <c r="K163" s="306"/>
      <c r="L163" s="307"/>
      <c r="M163" s="307"/>
      <c r="N163" s="307"/>
      <c r="O163" s="307"/>
      <c r="P163" s="307"/>
      <c r="Q163" s="307"/>
      <c r="R163" s="307"/>
      <c r="S163" s="307"/>
      <c r="T163" s="307"/>
      <c r="U163" s="307"/>
      <c r="V163" s="307"/>
      <c r="W163" s="307"/>
      <c r="X163" s="307"/>
      <c r="Y163" s="307"/>
      <c r="Z163" s="307"/>
      <c r="AA163" s="307"/>
      <c r="AB163" s="307"/>
    </row>
    <row r="164" ht="15.75" customHeight="1">
      <c r="A164" s="306"/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7"/>
      <c r="M164" s="307"/>
      <c r="N164" s="307"/>
      <c r="O164" s="307"/>
      <c r="P164" s="307"/>
      <c r="Q164" s="307"/>
      <c r="R164" s="307"/>
      <c r="S164" s="307"/>
      <c r="T164" s="307"/>
      <c r="U164" s="307"/>
      <c r="V164" s="307"/>
      <c r="W164" s="307"/>
      <c r="X164" s="307"/>
      <c r="Y164" s="307"/>
      <c r="Z164" s="307"/>
      <c r="AA164" s="307"/>
      <c r="AB164" s="307"/>
    </row>
    <row r="165" ht="15.75" customHeight="1">
      <c r="A165" s="306"/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7"/>
      <c r="M165" s="307"/>
      <c r="N165" s="307"/>
      <c r="O165" s="307"/>
      <c r="P165" s="307"/>
      <c r="Q165" s="307"/>
      <c r="R165" s="307"/>
      <c r="S165" s="307"/>
      <c r="T165" s="307"/>
      <c r="U165" s="307"/>
      <c r="V165" s="307"/>
      <c r="W165" s="307"/>
      <c r="X165" s="307"/>
      <c r="Y165" s="307"/>
      <c r="Z165" s="307"/>
      <c r="AA165" s="307"/>
      <c r="AB165" s="307"/>
    </row>
    <row r="166" ht="15.75" customHeight="1">
      <c r="A166" s="306"/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7"/>
      <c r="M166" s="307"/>
      <c r="N166" s="307"/>
      <c r="O166" s="307"/>
      <c r="P166" s="307"/>
      <c r="Q166" s="307"/>
      <c r="R166" s="307"/>
      <c r="S166" s="307"/>
      <c r="T166" s="307"/>
      <c r="U166" s="307"/>
      <c r="V166" s="307"/>
      <c r="W166" s="307"/>
      <c r="X166" s="307"/>
      <c r="Y166" s="307"/>
      <c r="Z166" s="307"/>
      <c r="AA166" s="307"/>
      <c r="AB166" s="307"/>
    </row>
    <row r="167" ht="15.75" customHeight="1">
      <c r="A167" s="306"/>
      <c r="B167" s="306"/>
      <c r="C167" s="306"/>
      <c r="D167" s="306"/>
      <c r="E167" s="306"/>
      <c r="F167" s="306"/>
      <c r="G167" s="306"/>
      <c r="H167" s="306"/>
      <c r="I167" s="306"/>
      <c r="J167" s="306"/>
      <c r="K167" s="306"/>
      <c r="L167" s="307"/>
      <c r="M167" s="307"/>
      <c r="N167" s="307"/>
      <c r="O167" s="307"/>
      <c r="P167" s="307"/>
      <c r="Q167" s="307"/>
      <c r="R167" s="307"/>
      <c r="S167" s="307"/>
      <c r="T167" s="307"/>
      <c r="U167" s="307"/>
      <c r="V167" s="307"/>
      <c r="W167" s="307"/>
      <c r="X167" s="307"/>
      <c r="Y167" s="307"/>
      <c r="Z167" s="307"/>
      <c r="AA167" s="307"/>
      <c r="AB167" s="307"/>
    </row>
    <row r="168" ht="15.75" customHeight="1">
      <c r="A168" s="306"/>
      <c r="B168" s="306"/>
      <c r="C168" s="306"/>
      <c r="D168" s="306"/>
      <c r="E168" s="306"/>
      <c r="F168" s="306"/>
      <c r="G168" s="306"/>
      <c r="H168" s="306"/>
      <c r="I168" s="306"/>
      <c r="J168" s="306"/>
      <c r="K168" s="306"/>
      <c r="L168" s="307"/>
      <c r="M168" s="307"/>
      <c r="N168" s="307"/>
      <c r="O168" s="307"/>
      <c r="P168" s="307"/>
      <c r="Q168" s="307"/>
      <c r="R168" s="307"/>
      <c r="S168" s="307"/>
      <c r="T168" s="307"/>
      <c r="U168" s="307"/>
      <c r="V168" s="307"/>
      <c r="W168" s="307"/>
      <c r="X168" s="307"/>
      <c r="Y168" s="307"/>
      <c r="Z168" s="307"/>
      <c r="AA168" s="307"/>
      <c r="AB168" s="307"/>
    </row>
    <row r="169" ht="15.75" customHeight="1">
      <c r="A169" s="306"/>
      <c r="B169" s="306"/>
      <c r="C169" s="306"/>
      <c r="D169" s="306"/>
      <c r="E169" s="306"/>
      <c r="F169" s="306"/>
      <c r="G169" s="306"/>
      <c r="H169" s="306"/>
      <c r="I169" s="306"/>
      <c r="J169" s="306"/>
      <c r="K169" s="306"/>
      <c r="L169" s="307"/>
      <c r="M169" s="307"/>
      <c r="N169" s="307"/>
      <c r="O169" s="307"/>
      <c r="P169" s="307"/>
      <c r="Q169" s="307"/>
      <c r="R169" s="307"/>
      <c r="S169" s="307"/>
      <c r="T169" s="307"/>
      <c r="U169" s="307"/>
      <c r="V169" s="307"/>
      <c r="W169" s="307"/>
      <c r="X169" s="307"/>
      <c r="Y169" s="307"/>
      <c r="Z169" s="307"/>
      <c r="AA169" s="307"/>
      <c r="AB169" s="307"/>
    </row>
    <row r="170" ht="15.75" customHeight="1">
      <c r="A170" s="306"/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7"/>
      <c r="M170" s="307"/>
      <c r="N170" s="307"/>
      <c r="O170" s="307"/>
      <c r="P170" s="307"/>
      <c r="Q170" s="307"/>
      <c r="R170" s="307"/>
      <c r="S170" s="307"/>
      <c r="T170" s="307"/>
      <c r="U170" s="307"/>
      <c r="V170" s="307"/>
      <c r="W170" s="307"/>
      <c r="X170" s="307"/>
      <c r="Y170" s="307"/>
      <c r="Z170" s="307"/>
      <c r="AA170" s="307"/>
      <c r="AB170" s="307"/>
    </row>
    <row r="171" ht="15.75" customHeight="1">
      <c r="A171" s="306"/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7"/>
      <c r="M171" s="307"/>
      <c r="N171" s="307"/>
      <c r="O171" s="307"/>
      <c r="P171" s="307"/>
      <c r="Q171" s="307"/>
      <c r="R171" s="307"/>
      <c r="S171" s="307"/>
      <c r="T171" s="307"/>
      <c r="U171" s="307"/>
      <c r="V171" s="307"/>
      <c r="W171" s="307"/>
      <c r="X171" s="307"/>
      <c r="Y171" s="307"/>
      <c r="Z171" s="307"/>
      <c r="AA171" s="307"/>
      <c r="AB171" s="307"/>
    </row>
    <row r="172" ht="15.75" customHeight="1">
      <c r="A172" s="306"/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7"/>
      <c r="M172" s="307"/>
      <c r="N172" s="307"/>
      <c r="O172" s="307"/>
      <c r="P172" s="307"/>
      <c r="Q172" s="307"/>
      <c r="R172" s="307"/>
      <c r="S172" s="307"/>
      <c r="T172" s="307"/>
      <c r="U172" s="307"/>
      <c r="V172" s="307"/>
      <c r="W172" s="307"/>
      <c r="X172" s="307"/>
      <c r="Y172" s="307"/>
      <c r="Z172" s="307"/>
      <c r="AA172" s="307"/>
      <c r="AB172" s="307"/>
    </row>
    <row r="173" ht="15.75" customHeight="1">
      <c r="A173" s="306"/>
      <c r="B173" s="306"/>
      <c r="C173" s="306"/>
      <c r="D173" s="306"/>
      <c r="E173" s="306"/>
      <c r="F173" s="306"/>
      <c r="G173" s="306"/>
      <c r="H173" s="306"/>
      <c r="I173" s="306"/>
      <c r="J173" s="306"/>
      <c r="K173" s="306"/>
      <c r="L173" s="307"/>
      <c r="M173" s="307"/>
      <c r="N173" s="307"/>
      <c r="O173" s="307"/>
      <c r="P173" s="307"/>
      <c r="Q173" s="307"/>
      <c r="R173" s="307"/>
      <c r="S173" s="307"/>
      <c r="T173" s="307"/>
      <c r="U173" s="307"/>
      <c r="V173" s="307"/>
      <c r="W173" s="307"/>
      <c r="X173" s="307"/>
      <c r="Y173" s="307"/>
      <c r="Z173" s="307"/>
      <c r="AA173" s="307"/>
      <c r="AB173" s="307"/>
    </row>
    <row r="174" ht="15.75" customHeight="1">
      <c r="A174" s="306"/>
      <c r="B174" s="306"/>
      <c r="C174" s="306"/>
      <c r="D174" s="306"/>
      <c r="E174" s="306"/>
      <c r="F174" s="306"/>
      <c r="G174" s="306"/>
      <c r="H174" s="306"/>
      <c r="I174" s="306"/>
      <c r="J174" s="306"/>
      <c r="K174" s="306"/>
      <c r="L174" s="307"/>
      <c r="M174" s="307"/>
      <c r="N174" s="307"/>
      <c r="O174" s="307"/>
      <c r="P174" s="307"/>
      <c r="Q174" s="307"/>
      <c r="R174" s="307"/>
      <c r="S174" s="307"/>
      <c r="T174" s="307"/>
      <c r="U174" s="307"/>
      <c r="V174" s="307"/>
      <c r="W174" s="307"/>
      <c r="X174" s="307"/>
      <c r="Y174" s="307"/>
      <c r="Z174" s="307"/>
      <c r="AA174" s="307"/>
      <c r="AB174" s="307"/>
    </row>
    <row r="175" ht="15.75" customHeight="1">
      <c r="A175" s="306"/>
      <c r="B175" s="306"/>
      <c r="C175" s="306"/>
      <c r="D175" s="306"/>
      <c r="E175" s="306"/>
      <c r="F175" s="306"/>
      <c r="G175" s="306"/>
      <c r="H175" s="306"/>
      <c r="I175" s="306"/>
      <c r="J175" s="306"/>
      <c r="K175" s="306"/>
      <c r="L175" s="307"/>
      <c r="M175" s="307"/>
      <c r="N175" s="307"/>
      <c r="O175" s="307"/>
      <c r="P175" s="307"/>
      <c r="Q175" s="307"/>
      <c r="R175" s="307"/>
      <c r="S175" s="307"/>
      <c r="T175" s="307"/>
      <c r="U175" s="307"/>
      <c r="V175" s="307"/>
      <c r="W175" s="307"/>
      <c r="X175" s="307"/>
      <c r="Y175" s="307"/>
      <c r="Z175" s="307"/>
      <c r="AA175" s="307"/>
      <c r="AB175" s="307"/>
    </row>
    <row r="176" ht="15.75" customHeight="1">
      <c r="A176" s="306"/>
      <c r="B176" s="306"/>
      <c r="C176" s="306"/>
      <c r="D176" s="306"/>
      <c r="E176" s="306"/>
      <c r="F176" s="306"/>
      <c r="G176" s="306"/>
      <c r="H176" s="306"/>
      <c r="I176" s="306"/>
      <c r="J176" s="306"/>
      <c r="K176" s="306"/>
      <c r="L176" s="307"/>
      <c r="M176" s="307"/>
      <c r="N176" s="307"/>
      <c r="O176" s="307"/>
      <c r="P176" s="307"/>
      <c r="Q176" s="307"/>
      <c r="R176" s="307"/>
      <c r="S176" s="307"/>
      <c r="T176" s="307"/>
      <c r="U176" s="307"/>
      <c r="V176" s="307"/>
      <c r="W176" s="307"/>
      <c r="X176" s="307"/>
      <c r="Y176" s="307"/>
      <c r="Z176" s="307"/>
      <c r="AA176" s="307"/>
      <c r="AB176" s="307"/>
    </row>
    <row r="177" ht="15.75" customHeight="1">
      <c r="A177" s="306"/>
      <c r="B177" s="306"/>
      <c r="C177" s="306"/>
      <c r="D177" s="306"/>
      <c r="E177" s="306"/>
      <c r="F177" s="306"/>
      <c r="G177" s="306"/>
      <c r="H177" s="306"/>
      <c r="I177" s="306"/>
      <c r="J177" s="306"/>
      <c r="K177" s="306"/>
      <c r="L177" s="307"/>
      <c r="M177" s="307"/>
      <c r="N177" s="307"/>
      <c r="O177" s="307"/>
      <c r="P177" s="307"/>
      <c r="Q177" s="307"/>
      <c r="R177" s="307"/>
      <c r="S177" s="307"/>
      <c r="T177" s="307"/>
      <c r="U177" s="307"/>
      <c r="V177" s="307"/>
      <c r="W177" s="307"/>
      <c r="X177" s="307"/>
      <c r="Y177" s="307"/>
      <c r="Z177" s="307"/>
      <c r="AA177" s="307"/>
      <c r="AB177" s="307"/>
    </row>
    <row r="178" ht="15.75" customHeight="1">
      <c r="A178" s="306"/>
      <c r="B178" s="306"/>
      <c r="C178" s="306"/>
      <c r="D178" s="306"/>
      <c r="E178" s="306"/>
      <c r="F178" s="306"/>
      <c r="G178" s="306"/>
      <c r="H178" s="306"/>
      <c r="I178" s="306"/>
      <c r="J178" s="306"/>
      <c r="K178" s="306"/>
      <c r="L178" s="307"/>
      <c r="M178" s="307"/>
      <c r="N178" s="307"/>
      <c r="O178" s="307"/>
      <c r="P178" s="307"/>
      <c r="Q178" s="307"/>
      <c r="R178" s="307"/>
      <c r="S178" s="307"/>
      <c r="T178" s="307"/>
      <c r="U178" s="307"/>
      <c r="V178" s="307"/>
      <c r="W178" s="307"/>
      <c r="X178" s="307"/>
      <c r="Y178" s="307"/>
      <c r="Z178" s="307"/>
      <c r="AA178" s="307"/>
      <c r="AB178" s="307"/>
    </row>
    <row r="179" ht="15.75" customHeight="1">
      <c r="A179" s="306"/>
      <c r="B179" s="306"/>
      <c r="C179" s="306"/>
      <c r="D179" s="306"/>
      <c r="E179" s="306"/>
      <c r="F179" s="306"/>
      <c r="G179" s="306"/>
      <c r="H179" s="306"/>
      <c r="I179" s="306"/>
      <c r="J179" s="306"/>
      <c r="K179" s="306"/>
      <c r="L179" s="307"/>
      <c r="M179" s="307"/>
      <c r="N179" s="307"/>
      <c r="O179" s="307"/>
      <c r="P179" s="307"/>
      <c r="Q179" s="307"/>
      <c r="R179" s="307"/>
      <c r="S179" s="307"/>
      <c r="T179" s="307"/>
      <c r="U179" s="307"/>
      <c r="V179" s="307"/>
      <c r="W179" s="307"/>
      <c r="X179" s="307"/>
      <c r="Y179" s="307"/>
      <c r="Z179" s="307"/>
      <c r="AA179" s="307"/>
      <c r="AB179" s="307"/>
    </row>
    <row r="180" ht="15.75" customHeight="1">
      <c r="A180" s="306"/>
      <c r="B180" s="306"/>
      <c r="C180" s="306"/>
      <c r="D180" s="306"/>
      <c r="E180" s="306"/>
      <c r="F180" s="306"/>
      <c r="G180" s="306"/>
      <c r="H180" s="306"/>
      <c r="I180" s="306"/>
      <c r="J180" s="306"/>
      <c r="K180" s="306"/>
      <c r="L180" s="307"/>
      <c r="M180" s="307"/>
      <c r="N180" s="307"/>
      <c r="O180" s="307"/>
      <c r="P180" s="307"/>
      <c r="Q180" s="307"/>
      <c r="R180" s="307"/>
      <c r="S180" s="307"/>
      <c r="T180" s="307"/>
      <c r="U180" s="307"/>
      <c r="V180" s="307"/>
      <c r="W180" s="307"/>
      <c r="X180" s="307"/>
      <c r="Y180" s="307"/>
      <c r="Z180" s="307"/>
      <c r="AA180" s="307"/>
      <c r="AB180" s="307"/>
    </row>
    <row r="181" ht="15.75" customHeight="1">
      <c r="A181" s="306"/>
      <c r="B181" s="306"/>
      <c r="C181" s="306"/>
      <c r="D181" s="306"/>
      <c r="E181" s="306"/>
      <c r="F181" s="306"/>
      <c r="G181" s="306"/>
      <c r="H181" s="306"/>
      <c r="I181" s="306"/>
      <c r="J181" s="306"/>
      <c r="K181" s="306"/>
      <c r="L181" s="307"/>
      <c r="M181" s="307"/>
      <c r="N181" s="307"/>
      <c r="O181" s="307"/>
      <c r="P181" s="307"/>
      <c r="Q181" s="307"/>
      <c r="R181" s="307"/>
      <c r="S181" s="307"/>
      <c r="T181" s="307"/>
      <c r="U181" s="307"/>
      <c r="V181" s="307"/>
      <c r="W181" s="307"/>
      <c r="X181" s="307"/>
      <c r="Y181" s="307"/>
      <c r="Z181" s="307"/>
      <c r="AA181" s="307"/>
      <c r="AB181" s="307"/>
    </row>
    <row r="182" ht="15.75" customHeight="1">
      <c r="A182" s="306"/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7"/>
      <c r="M182" s="307"/>
      <c r="N182" s="307"/>
      <c r="O182" s="307"/>
      <c r="P182" s="307"/>
      <c r="Q182" s="307"/>
      <c r="R182" s="307"/>
      <c r="S182" s="307"/>
      <c r="T182" s="307"/>
      <c r="U182" s="307"/>
      <c r="V182" s="307"/>
      <c r="W182" s="307"/>
      <c r="X182" s="307"/>
      <c r="Y182" s="307"/>
      <c r="Z182" s="307"/>
      <c r="AA182" s="307"/>
      <c r="AB182" s="307"/>
    </row>
    <row r="183" ht="15.75" customHeight="1">
      <c r="A183" s="306"/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7"/>
      <c r="M183" s="307"/>
      <c r="N183" s="307"/>
      <c r="O183" s="307"/>
      <c r="P183" s="307"/>
      <c r="Q183" s="307"/>
      <c r="R183" s="307"/>
      <c r="S183" s="307"/>
      <c r="T183" s="307"/>
      <c r="U183" s="307"/>
      <c r="V183" s="307"/>
      <c r="W183" s="307"/>
      <c r="X183" s="307"/>
      <c r="Y183" s="307"/>
      <c r="Z183" s="307"/>
      <c r="AA183" s="307"/>
      <c r="AB183" s="307"/>
    </row>
    <row r="184" ht="15.75" customHeight="1">
      <c r="A184" s="306"/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7"/>
      <c r="M184" s="307"/>
      <c r="N184" s="307"/>
      <c r="O184" s="307"/>
      <c r="P184" s="307"/>
      <c r="Q184" s="307"/>
      <c r="R184" s="307"/>
      <c r="S184" s="307"/>
      <c r="T184" s="307"/>
      <c r="U184" s="307"/>
      <c r="V184" s="307"/>
      <c r="W184" s="307"/>
      <c r="X184" s="307"/>
      <c r="Y184" s="307"/>
      <c r="Z184" s="307"/>
      <c r="AA184" s="307"/>
      <c r="AB184" s="307"/>
    </row>
    <row r="185" ht="15.75" customHeight="1">
      <c r="A185" s="306"/>
      <c r="B185" s="306"/>
      <c r="C185" s="306"/>
      <c r="D185" s="306"/>
      <c r="E185" s="306"/>
      <c r="F185" s="306"/>
      <c r="G185" s="306"/>
      <c r="H185" s="306"/>
      <c r="I185" s="306"/>
      <c r="J185" s="306"/>
      <c r="K185" s="306"/>
      <c r="L185" s="307"/>
      <c r="M185" s="307"/>
      <c r="N185" s="307"/>
      <c r="O185" s="307"/>
      <c r="P185" s="307"/>
      <c r="Q185" s="307"/>
      <c r="R185" s="307"/>
      <c r="S185" s="307"/>
      <c r="T185" s="307"/>
      <c r="U185" s="307"/>
      <c r="V185" s="307"/>
      <c r="W185" s="307"/>
      <c r="X185" s="307"/>
      <c r="Y185" s="307"/>
      <c r="Z185" s="307"/>
      <c r="AA185" s="307"/>
      <c r="AB185" s="307"/>
    </row>
    <row r="186" ht="15.75" customHeight="1">
      <c r="A186" s="306"/>
      <c r="B186" s="306"/>
      <c r="C186" s="306"/>
      <c r="D186" s="306"/>
      <c r="E186" s="306"/>
      <c r="F186" s="306"/>
      <c r="G186" s="306"/>
      <c r="H186" s="306"/>
      <c r="I186" s="306"/>
      <c r="J186" s="306"/>
      <c r="K186" s="306"/>
      <c r="L186" s="307"/>
      <c r="M186" s="307"/>
      <c r="N186" s="307"/>
      <c r="O186" s="307"/>
      <c r="P186" s="307"/>
      <c r="Q186" s="307"/>
      <c r="R186" s="307"/>
      <c r="S186" s="307"/>
      <c r="T186" s="307"/>
      <c r="U186" s="307"/>
      <c r="V186" s="307"/>
      <c r="W186" s="307"/>
      <c r="X186" s="307"/>
      <c r="Y186" s="307"/>
      <c r="Z186" s="307"/>
      <c r="AA186" s="307"/>
      <c r="AB186" s="307"/>
    </row>
    <row r="187" ht="15.75" customHeight="1">
      <c r="A187" s="306"/>
      <c r="B187" s="306"/>
      <c r="C187" s="306"/>
      <c r="D187" s="306"/>
      <c r="E187" s="306"/>
      <c r="F187" s="306"/>
      <c r="G187" s="306"/>
      <c r="H187" s="306"/>
      <c r="I187" s="306"/>
      <c r="J187" s="306"/>
      <c r="K187" s="306"/>
      <c r="L187" s="307"/>
      <c r="M187" s="307"/>
      <c r="N187" s="307"/>
      <c r="O187" s="307"/>
      <c r="P187" s="307"/>
      <c r="Q187" s="307"/>
      <c r="R187" s="307"/>
      <c r="S187" s="307"/>
      <c r="T187" s="307"/>
      <c r="U187" s="307"/>
      <c r="V187" s="307"/>
      <c r="W187" s="307"/>
      <c r="X187" s="307"/>
      <c r="Y187" s="307"/>
      <c r="Z187" s="307"/>
      <c r="AA187" s="307"/>
      <c r="AB187" s="307"/>
    </row>
    <row r="188" ht="15.75" customHeight="1">
      <c r="A188" s="306"/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7"/>
      <c r="M188" s="307"/>
      <c r="N188" s="307"/>
      <c r="O188" s="307"/>
      <c r="P188" s="307"/>
      <c r="Q188" s="307"/>
      <c r="R188" s="307"/>
      <c r="S188" s="307"/>
      <c r="T188" s="307"/>
      <c r="U188" s="307"/>
      <c r="V188" s="307"/>
      <c r="W188" s="307"/>
      <c r="X188" s="307"/>
      <c r="Y188" s="307"/>
      <c r="Z188" s="307"/>
      <c r="AA188" s="307"/>
      <c r="AB188" s="307"/>
    </row>
    <row r="189" ht="15.75" customHeight="1">
      <c r="A189" s="306"/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7"/>
      <c r="M189" s="307"/>
      <c r="N189" s="307"/>
      <c r="O189" s="307"/>
      <c r="P189" s="307"/>
      <c r="Q189" s="307"/>
      <c r="R189" s="307"/>
      <c r="S189" s="307"/>
      <c r="T189" s="307"/>
      <c r="U189" s="307"/>
      <c r="V189" s="307"/>
      <c r="W189" s="307"/>
      <c r="X189" s="307"/>
      <c r="Y189" s="307"/>
      <c r="Z189" s="307"/>
      <c r="AA189" s="307"/>
      <c r="AB189" s="307"/>
    </row>
    <row r="190" ht="15.75" customHeight="1">
      <c r="A190" s="306"/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7"/>
      <c r="M190" s="307"/>
      <c r="N190" s="307"/>
      <c r="O190" s="307"/>
      <c r="P190" s="307"/>
      <c r="Q190" s="307"/>
      <c r="R190" s="307"/>
      <c r="S190" s="307"/>
      <c r="T190" s="307"/>
      <c r="U190" s="307"/>
      <c r="V190" s="307"/>
      <c r="W190" s="307"/>
      <c r="X190" s="307"/>
      <c r="Y190" s="307"/>
      <c r="Z190" s="307"/>
      <c r="AA190" s="307"/>
      <c r="AB190" s="307"/>
    </row>
    <row r="191" ht="15.75" customHeight="1">
      <c r="A191" s="306"/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7"/>
      <c r="M191" s="307"/>
      <c r="N191" s="307"/>
      <c r="O191" s="307"/>
      <c r="P191" s="307"/>
      <c r="Q191" s="307"/>
      <c r="R191" s="307"/>
      <c r="S191" s="307"/>
      <c r="T191" s="307"/>
      <c r="U191" s="307"/>
      <c r="V191" s="307"/>
      <c r="W191" s="307"/>
      <c r="X191" s="307"/>
      <c r="Y191" s="307"/>
      <c r="Z191" s="307"/>
      <c r="AA191" s="307"/>
      <c r="AB191" s="307"/>
    </row>
    <row r="192" ht="15.75" customHeight="1">
      <c r="A192" s="306"/>
      <c r="B192" s="306"/>
      <c r="C192" s="306"/>
      <c r="D192" s="306"/>
      <c r="E192" s="306"/>
      <c r="F192" s="306"/>
      <c r="G192" s="306"/>
      <c r="H192" s="306"/>
      <c r="I192" s="306"/>
      <c r="J192" s="306"/>
      <c r="K192" s="306"/>
      <c r="L192" s="307"/>
      <c r="M192" s="307"/>
      <c r="N192" s="307"/>
      <c r="O192" s="307"/>
      <c r="P192" s="307"/>
      <c r="Q192" s="307"/>
      <c r="R192" s="307"/>
      <c r="S192" s="307"/>
      <c r="T192" s="307"/>
      <c r="U192" s="307"/>
      <c r="V192" s="307"/>
      <c r="W192" s="307"/>
      <c r="X192" s="307"/>
      <c r="Y192" s="307"/>
      <c r="Z192" s="307"/>
      <c r="AA192" s="307"/>
      <c r="AB192" s="307"/>
    </row>
    <row r="193" ht="15.75" customHeight="1">
      <c r="A193" s="306"/>
      <c r="B193" s="306"/>
      <c r="C193" s="306"/>
      <c r="D193" s="306"/>
      <c r="E193" s="306"/>
      <c r="F193" s="306"/>
      <c r="G193" s="306"/>
      <c r="H193" s="306"/>
      <c r="I193" s="306"/>
      <c r="J193" s="306"/>
      <c r="K193" s="306"/>
      <c r="L193" s="307"/>
      <c r="M193" s="307"/>
      <c r="N193" s="307"/>
      <c r="O193" s="307"/>
      <c r="P193" s="307"/>
      <c r="Q193" s="307"/>
      <c r="R193" s="307"/>
      <c r="S193" s="307"/>
      <c r="T193" s="307"/>
      <c r="U193" s="307"/>
      <c r="V193" s="307"/>
      <c r="W193" s="307"/>
      <c r="X193" s="307"/>
      <c r="Y193" s="307"/>
      <c r="Z193" s="307"/>
      <c r="AA193" s="307"/>
      <c r="AB193" s="307"/>
    </row>
    <row r="194" ht="15.75" customHeight="1">
      <c r="A194" s="306"/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7"/>
      <c r="M194" s="307"/>
      <c r="N194" s="307"/>
      <c r="O194" s="307"/>
      <c r="P194" s="307"/>
      <c r="Q194" s="307"/>
      <c r="R194" s="307"/>
      <c r="S194" s="307"/>
      <c r="T194" s="307"/>
      <c r="U194" s="307"/>
      <c r="V194" s="307"/>
      <c r="W194" s="307"/>
      <c r="X194" s="307"/>
      <c r="Y194" s="307"/>
      <c r="Z194" s="307"/>
      <c r="AA194" s="307"/>
      <c r="AB194" s="307"/>
    </row>
    <row r="195" ht="15.75" customHeight="1">
      <c r="A195" s="306"/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7"/>
      <c r="M195" s="307"/>
      <c r="N195" s="307"/>
      <c r="O195" s="307"/>
      <c r="P195" s="307"/>
      <c r="Q195" s="307"/>
      <c r="R195" s="307"/>
      <c r="S195" s="307"/>
      <c r="T195" s="307"/>
      <c r="U195" s="307"/>
      <c r="V195" s="307"/>
      <c r="W195" s="307"/>
      <c r="X195" s="307"/>
      <c r="Y195" s="307"/>
      <c r="Z195" s="307"/>
      <c r="AA195" s="307"/>
      <c r="AB195" s="307"/>
    </row>
    <row r="196" ht="15.75" customHeight="1">
      <c r="A196" s="306"/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7"/>
      <c r="M196" s="307"/>
      <c r="N196" s="307"/>
      <c r="O196" s="307"/>
      <c r="P196" s="307"/>
      <c r="Q196" s="307"/>
      <c r="R196" s="307"/>
      <c r="S196" s="307"/>
      <c r="T196" s="307"/>
      <c r="U196" s="307"/>
      <c r="V196" s="307"/>
      <c r="W196" s="307"/>
      <c r="X196" s="307"/>
      <c r="Y196" s="307"/>
      <c r="Z196" s="307"/>
      <c r="AA196" s="307"/>
      <c r="AB196" s="307"/>
    </row>
    <row r="197" ht="15.75" customHeight="1">
      <c r="A197" s="306"/>
      <c r="B197" s="306"/>
      <c r="C197" s="306"/>
      <c r="D197" s="306"/>
      <c r="E197" s="306"/>
      <c r="F197" s="306"/>
      <c r="G197" s="306"/>
      <c r="H197" s="306"/>
      <c r="I197" s="306"/>
      <c r="J197" s="306"/>
      <c r="K197" s="306"/>
      <c r="L197" s="307"/>
      <c r="M197" s="307"/>
      <c r="N197" s="307"/>
      <c r="O197" s="307"/>
      <c r="P197" s="307"/>
      <c r="Q197" s="307"/>
      <c r="R197" s="307"/>
      <c r="S197" s="307"/>
      <c r="T197" s="307"/>
      <c r="U197" s="307"/>
      <c r="V197" s="307"/>
      <c r="W197" s="307"/>
      <c r="X197" s="307"/>
      <c r="Y197" s="307"/>
      <c r="Z197" s="307"/>
      <c r="AA197" s="307"/>
      <c r="AB197" s="307"/>
    </row>
    <row r="198" ht="15.75" customHeight="1">
      <c r="A198" s="306"/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7"/>
      <c r="M198" s="307"/>
      <c r="N198" s="307"/>
      <c r="O198" s="307"/>
      <c r="P198" s="307"/>
      <c r="Q198" s="307"/>
      <c r="R198" s="307"/>
      <c r="S198" s="307"/>
      <c r="T198" s="307"/>
      <c r="U198" s="307"/>
      <c r="V198" s="307"/>
      <c r="W198" s="307"/>
      <c r="X198" s="307"/>
      <c r="Y198" s="307"/>
      <c r="Z198" s="307"/>
      <c r="AA198" s="307"/>
      <c r="AB198" s="307"/>
    </row>
    <row r="199" ht="15.75" customHeight="1">
      <c r="A199" s="306"/>
      <c r="B199" s="306"/>
      <c r="C199" s="306"/>
      <c r="D199" s="306"/>
      <c r="E199" s="306"/>
      <c r="F199" s="306"/>
      <c r="G199" s="306"/>
      <c r="H199" s="306"/>
      <c r="I199" s="306"/>
      <c r="J199" s="306"/>
      <c r="K199" s="306"/>
      <c r="L199" s="307"/>
      <c r="M199" s="307"/>
      <c r="N199" s="307"/>
      <c r="O199" s="307"/>
      <c r="P199" s="307"/>
      <c r="Q199" s="307"/>
      <c r="R199" s="307"/>
      <c r="S199" s="307"/>
      <c r="T199" s="307"/>
      <c r="U199" s="307"/>
      <c r="V199" s="307"/>
      <c r="W199" s="307"/>
      <c r="X199" s="307"/>
      <c r="Y199" s="307"/>
      <c r="Z199" s="307"/>
      <c r="AA199" s="307"/>
      <c r="AB199" s="307"/>
    </row>
    <row r="200" ht="15.75" customHeight="1">
      <c r="A200" s="306"/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7"/>
      <c r="M200" s="307"/>
      <c r="N200" s="307"/>
      <c r="O200" s="307"/>
      <c r="P200" s="307"/>
      <c r="Q200" s="307"/>
      <c r="R200" s="307"/>
      <c r="S200" s="307"/>
      <c r="T200" s="307"/>
      <c r="U200" s="307"/>
      <c r="V200" s="307"/>
      <c r="W200" s="307"/>
      <c r="X200" s="307"/>
      <c r="Y200" s="307"/>
      <c r="Z200" s="307"/>
      <c r="AA200" s="307"/>
      <c r="AB200" s="307"/>
    </row>
    <row r="201" ht="15.75" customHeight="1">
      <c r="A201" s="306"/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7"/>
      <c r="M201" s="307"/>
      <c r="N201" s="307"/>
      <c r="O201" s="307"/>
      <c r="P201" s="307"/>
      <c r="Q201" s="307"/>
      <c r="R201" s="307"/>
      <c r="S201" s="307"/>
      <c r="T201" s="307"/>
      <c r="U201" s="307"/>
      <c r="V201" s="307"/>
      <c r="W201" s="307"/>
      <c r="X201" s="307"/>
      <c r="Y201" s="307"/>
      <c r="Z201" s="307"/>
      <c r="AA201" s="307"/>
      <c r="AB201" s="307"/>
    </row>
    <row r="202" ht="15.75" customHeight="1">
      <c r="A202" s="306"/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7"/>
      <c r="M202" s="307"/>
      <c r="N202" s="307"/>
      <c r="O202" s="307"/>
      <c r="P202" s="307"/>
      <c r="Q202" s="307"/>
      <c r="R202" s="307"/>
      <c r="S202" s="307"/>
      <c r="T202" s="307"/>
      <c r="U202" s="307"/>
      <c r="V202" s="307"/>
      <c r="W202" s="307"/>
      <c r="X202" s="307"/>
      <c r="Y202" s="307"/>
      <c r="Z202" s="307"/>
      <c r="AA202" s="307"/>
      <c r="AB202" s="307"/>
    </row>
    <row r="203" ht="15.75" customHeight="1">
      <c r="A203" s="306"/>
      <c r="B203" s="306"/>
      <c r="C203" s="306"/>
      <c r="D203" s="306"/>
      <c r="E203" s="306"/>
      <c r="F203" s="306"/>
      <c r="G203" s="306"/>
      <c r="H203" s="306"/>
      <c r="I203" s="306"/>
      <c r="J203" s="306"/>
      <c r="K203" s="306"/>
      <c r="L203" s="307"/>
      <c r="M203" s="307"/>
      <c r="N203" s="307"/>
      <c r="O203" s="307"/>
      <c r="P203" s="307"/>
      <c r="Q203" s="307"/>
      <c r="R203" s="307"/>
      <c r="S203" s="307"/>
      <c r="T203" s="307"/>
      <c r="U203" s="307"/>
      <c r="V203" s="307"/>
      <c r="W203" s="307"/>
      <c r="X203" s="307"/>
      <c r="Y203" s="307"/>
      <c r="Z203" s="307"/>
      <c r="AA203" s="307"/>
      <c r="AB203" s="307"/>
    </row>
    <row r="204" ht="15.75" customHeight="1">
      <c r="A204" s="306"/>
      <c r="B204" s="306"/>
      <c r="C204" s="306"/>
      <c r="D204" s="306"/>
      <c r="E204" s="306"/>
      <c r="F204" s="306"/>
      <c r="G204" s="306"/>
      <c r="H204" s="306"/>
      <c r="I204" s="306"/>
      <c r="J204" s="306"/>
      <c r="K204" s="306"/>
      <c r="L204" s="307"/>
      <c r="M204" s="307"/>
      <c r="N204" s="307"/>
      <c r="O204" s="307"/>
      <c r="P204" s="307"/>
      <c r="Q204" s="307"/>
      <c r="R204" s="307"/>
      <c r="S204" s="307"/>
      <c r="T204" s="307"/>
      <c r="U204" s="307"/>
      <c r="V204" s="307"/>
      <c r="W204" s="307"/>
      <c r="X204" s="307"/>
      <c r="Y204" s="307"/>
      <c r="Z204" s="307"/>
      <c r="AA204" s="307"/>
      <c r="AB204" s="307"/>
    </row>
    <row r="205" ht="15.75" customHeight="1">
      <c r="A205" s="306"/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7"/>
      <c r="M205" s="307"/>
      <c r="N205" s="307"/>
      <c r="O205" s="307"/>
      <c r="P205" s="307"/>
      <c r="Q205" s="307"/>
      <c r="R205" s="307"/>
      <c r="S205" s="307"/>
      <c r="T205" s="307"/>
      <c r="U205" s="307"/>
      <c r="V205" s="307"/>
      <c r="W205" s="307"/>
      <c r="X205" s="307"/>
      <c r="Y205" s="307"/>
      <c r="Z205" s="307"/>
      <c r="AA205" s="307"/>
      <c r="AB205" s="307"/>
    </row>
    <row r="206" ht="15.75" customHeight="1">
      <c r="A206" s="306"/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7"/>
      <c r="M206" s="307"/>
      <c r="N206" s="307"/>
      <c r="O206" s="307"/>
      <c r="P206" s="307"/>
      <c r="Q206" s="307"/>
      <c r="R206" s="307"/>
      <c r="S206" s="307"/>
      <c r="T206" s="307"/>
      <c r="U206" s="307"/>
      <c r="V206" s="307"/>
      <c r="W206" s="307"/>
      <c r="X206" s="307"/>
      <c r="Y206" s="307"/>
      <c r="Z206" s="307"/>
      <c r="AA206" s="307"/>
      <c r="AB206" s="307"/>
    </row>
    <row r="207" ht="15.75" customHeight="1">
      <c r="A207" s="306"/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7"/>
      <c r="M207" s="307"/>
      <c r="N207" s="307"/>
      <c r="O207" s="307"/>
      <c r="P207" s="307"/>
      <c r="Q207" s="307"/>
      <c r="R207" s="307"/>
      <c r="S207" s="307"/>
      <c r="T207" s="307"/>
      <c r="U207" s="307"/>
      <c r="V207" s="307"/>
      <c r="W207" s="307"/>
      <c r="X207" s="307"/>
      <c r="Y207" s="307"/>
      <c r="Z207" s="307"/>
      <c r="AA207" s="307"/>
      <c r="AB207" s="307"/>
    </row>
    <row r="208" ht="15.75" customHeight="1">
      <c r="A208" s="306"/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7"/>
      <c r="M208" s="307"/>
      <c r="N208" s="307"/>
      <c r="O208" s="307"/>
      <c r="P208" s="307"/>
      <c r="Q208" s="307"/>
      <c r="R208" s="307"/>
      <c r="S208" s="307"/>
      <c r="T208" s="307"/>
      <c r="U208" s="307"/>
      <c r="V208" s="307"/>
      <c r="W208" s="307"/>
      <c r="X208" s="307"/>
      <c r="Y208" s="307"/>
      <c r="Z208" s="307"/>
      <c r="AA208" s="307"/>
      <c r="AB208" s="307"/>
    </row>
    <row r="209" ht="15.75" customHeight="1">
      <c r="A209" s="306"/>
      <c r="B209" s="306"/>
      <c r="C209" s="306"/>
      <c r="D209" s="306"/>
      <c r="E209" s="306"/>
      <c r="F209" s="306"/>
      <c r="G209" s="306"/>
      <c r="H209" s="306"/>
      <c r="I209" s="306"/>
      <c r="J209" s="306"/>
      <c r="K209" s="306"/>
      <c r="L209" s="307"/>
      <c r="M209" s="307"/>
      <c r="N209" s="307"/>
      <c r="O209" s="307"/>
      <c r="P209" s="307"/>
      <c r="Q209" s="307"/>
      <c r="R209" s="307"/>
      <c r="S209" s="307"/>
      <c r="T209" s="307"/>
      <c r="U209" s="307"/>
      <c r="V209" s="307"/>
      <c r="W209" s="307"/>
      <c r="X209" s="307"/>
      <c r="Y209" s="307"/>
      <c r="Z209" s="307"/>
      <c r="AA209" s="307"/>
      <c r="AB209" s="307"/>
    </row>
    <row r="210" ht="15.75" customHeight="1">
      <c r="A210" s="306"/>
      <c r="B210" s="306"/>
      <c r="C210" s="306"/>
      <c r="D210" s="306"/>
      <c r="E210" s="306"/>
      <c r="F210" s="306"/>
      <c r="G210" s="306"/>
      <c r="H210" s="306"/>
      <c r="I210" s="306"/>
      <c r="J210" s="306"/>
      <c r="K210" s="306"/>
      <c r="L210" s="307"/>
      <c r="M210" s="307"/>
      <c r="N210" s="307"/>
      <c r="O210" s="307"/>
      <c r="P210" s="307"/>
      <c r="Q210" s="307"/>
      <c r="R210" s="307"/>
      <c r="S210" s="307"/>
      <c r="T210" s="307"/>
      <c r="U210" s="307"/>
      <c r="V210" s="307"/>
      <c r="W210" s="307"/>
      <c r="X210" s="307"/>
      <c r="Y210" s="307"/>
      <c r="Z210" s="307"/>
      <c r="AA210" s="307"/>
      <c r="AB210" s="307"/>
    </row>
    <row r="211" ht="15.75" customHeight="1">
      <c r="A211" s="306"/>
      <c r="B211" s="306"/>
      <c r="C211" s="306"/>
      <c r="D211" s="306"/>
      <c r="E211" s="306"/>
      <c r="F211" s="306"/>
      <c r="G211" s="306"/>
      <c r="H211" s="306"/>
      <c r="I211" s="306"/>
      <c r="J211" s="306"/>
      <c r="K211" s="306"/>
      <c r="L211" s="307"/>
      <c r="M211" s="307"/>
      <c r="N211" s="307"/>
      <c r="O211" s="307"/>
      <c r="P211" s="307"/>
      <c r="Q211" s="307"/>
      <c r="R211" s="307"/>
      <c r="S211" s="307"/>
      <c r="T211" s="307"/>
      <c r="U211" s="307"/>
      <c r="V211" s="307"/>
      <c r="W211" s="307"/>
      <c r="X211" s="307"/>
      <c r="Y211" s="307"/>
      <c r="Z211" s="307"/>
      <c r="AA211" s="307"/>
      <c r="AB211" s="307"/>
    </row>
    <row r="212" ht="15.75" customHeight="1">
      <c r="A212" s="306"/>
      <c r="B212" s="306"/>
      <c r="C212" s="306"/>
      <c r="D212" s="306"/>
      <c r="E212" s="306"/>
      <c r="F212" s="306"/>
      <c r="G212" s="306"/>
      <c r="H212" s="306"/>
      <c r="I212" s="306"/>
      <c r="J212" s="306"/>
      <c r="K212" s="306"/>
      <c r="L212" s="307"/>
      <c r="M212" s="307"/>
      <c r="N212" s="307"/>
      <c r="O212" s="307"/>
      <c r="P212" s="307"/>
      <c r="Q212" s="307"/>
      <c r="R212" s="307"/>
      <c r="S212" s="307"/>
      <c r="T212" s="307"/>
      <c r="U212" s="307"/>
      <c r="V212" s="307"/>
      <c r="W212" s="307"/>
      <c r="X212" s="307"/>
      <c r="Y212" s="307"/>
      <c r="Z212" s="307"/>
      <c r="AA212" s="307"/>
      <c r="AB212" s="307"/>
    </row>
    <row r="213" ht="15.75" customHeight="1">
      <c r="A213" s="306"/>
      <c r="B213" s="306"/>
      <c r="C213" s="306"/>
      <c r="D213" s="306"/>
      <c r="E213" s="306"/>
      <c r="F213" s="306"/>
      <c r="G213" s="306"/>
      <c r="H213" s="306"/>
      <c r="I213" s="306"/>
      <c r="J213" s="306"/>
      <c r="K213" s="306"/>
      <c r="L213" s="307"/>
      <c r="M213" s="307"/>
      <c r="N213" s="307"/>
      <c r="O213" s="307"/>
      <c r="P213" s="307"/>
      <c r="Q213" s="307"/>
      <c r="R213" s="307"/>
      <c r="S213" s="307"/>
      <c r="T213" s="307"/>
      <c r="U213" s="307"/>
      <c r="V213" s="307"/>
      <c r="W213" s="307"/>
      <c r="X213" s="307"/>
      <c r="Y213" s="307"/>
      <c r="Z213" s="307"/>
      <c r="AA213" s="307"/>
      <c r="AB213" s="307"/>
    </row>
    <row r="214" ht="15.75" customHeight="1">
      <c r="A214" s="306"/>
      <c r="B214" s="306"/>
      <c r="C214" s="306"/>
      <c r="D214" s="306"/>
      <c r="E214" s="306"/>
      <c r="F214" s="306"/>
      <c r="G214" s="306"/>
      <c r="H214" s="306"/>
      <c r="I214" s="306"/>
      <c r="J214" s="306"/>
      <c r="K214" s="306"/>
      <c r="L214" s="307"/>
      <c r="M214" s="307"/>
      <c r="N214" s="307"/>
      <c r="O214" s="307"/>
      <c r="P214" s="307"/>
      <c r="Q214" s="307"/>
      <c r="R214" s="307"/>
      <c r="S214" s="307"/>
      <c r="T214" s="307"/>
      <c r="U214" s="307"/>
      <c r="V214" s="307"/>
      <c r="W214" s="307"/>
      <c r="X214" s="307"/>
      <c r="Y214" s="307"/>
      <c r="Z214" s="307"/>
      <c r="AA214" s="307"/>
      <c r="AB214" s="307"/>
    </row>
    <row r="215" ht="15.75" customHeight="1">
      <c r="A215" s="306"/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7"/>
      <c r="M215" s="307"/>
      <c r="N215" s="307"/>
      <c r="O215" s="307"/>
      <c r="P215" s="307"/>
      <c r="Q215" s="307"/>
      <c r="R215" s="307"/>
      <c r="S215" s="307"/>
      <c r="T215" s="307"/>
      <c r="U215" s="307"/>
      <c r="V215" s="307"/>
      <c r="W215" s="307"/>
      <c r="X215" s="307"/>
      <c r="Y215" s="307"/>
      <c r="Z215" s="307"/>
      <c r="AA215" s="307"/>
      <c r="AB215" s="307"/>
    </row>
    <row r="216" ht="15.75" customHeight="1">
      <c r="A216" s="306"/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7"/>
      <c r="M216" s="307"/>
      <c r="N216" s="307"/>
      <c r="O216" s="307"/>
      <c r="P216" s="307"/>
      <c r="Q216" s="307"/>
      <c r="R216" s="307"/>
      <c r="S216" s="307"/>
      <c r="T216" s="307"/>
      <c r="U216" s="307"/>
      <c r="V216" s="307"/>
      <c r="W216" s="307"/>
      <c r="X216" s="307"/>
      <c r="Y216" s="307"/>
      <c r="Z216" s="307"/>
      <c r="AA216" s="307"/>
      <c r="AB216" s="307"/>
    </row>
    <row r="217" ht="15.75" customHeight="1">
      <c r="A217" s="306"/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7"/>
      <c r="M217" s="307"/>
      <c r="N217" s="307"/>
      <c r="O217" s="307"/>
      <c r="P217" s="307"/>
      <c r="Q217" s="307"/>
      <c r="R217" s="307"/>
      <c r="S217" s="307"/>
      <c r="T217" s="307"/>
      <c r="U217" s="307"/>
      <c r="V217" s="307"/>
      <c r="W217" s="307"/>
      <c r="X217" s="307"/>
      <c r="Y217" s="307"/>
      <c r="Z217" s="307"/>
      <c r="AA217" s="307"/>
      <c r="AB217" s="307"/>
    </row>
    <row r="218" ht="15.75" customHeight="1">
      <c r="A218" s="306"/>
      <c r="B218" s="306"/>
      <c r="C218" s="306"/>
      <c r="D218" s="306"/>
      <c r="E218" s="306"/>
      <c r="F218" s="306"/>
      <c r="G218" s="306"/>
      <c r="H218" s="306"/>
      <c r="I218" s="306"/>
      <c r="J218" s="306"/>
      <c r="K218" s="306"/>
      <c r="L218" s="307"/>
      <c r="M218" s="307"/>
      <c r="N218" s="307"/>
      <c r="O218" s="307"/>
      <c r="P218" s="307"/>
      <c r="Q218" s="307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</row>
    <row r="219" ht="15.75" customHeight="1">
      <c r="A219" s="306"/>
      <c r="B219" s="306"/>
      <c r="C219" s="306"/>
      <c r="D219" s="306"/>
      <c r="E219" s="306"/>
      <c r="F219" s="306"/>
      <c r="G219" s="306"/>
      <c r="H219" s="306"/>
      <c r="I219" s="306"/>
      <c r="J219" s="306"/>
      <c r="K219" s="306"/>
      <c r="L219" s="307"/>
      <c r="M219" s="307"/>
      <c r="N219" s="307"/>
      <c r="O219" s="307"/>
      <c r="P219" s="307"/>
      <c r="Q219" s="307"/>
      <c r="R219" s="307"/>
      <c r="S219" s="307"/>
      <c r="T219" s="307"/>
      <c r="U219" s="307"/>
      <c r="V219" s="307"/>
      <c r="W219" s="307"/>
      <c r="X219" s="307"/>
      <c r="Y219" s="307"/>
      <c r="Z219" s="307"/>
      <c r="AA219" s="307"/>
      <c r="AB219" s="307"/>
    </row>
    <row r="220" ht="15.75" customHeight="1">
      <c r="A220" s="306"/>
      <c r="B220" s="306"/>
      <c r="C220" s="306"/>
      <c r="D220" s="306"/>
      <c r="E220" s="306"/>
      <c r="F220" s="306"/>
      <c r="G220" s="306"/>
      <c r="H220" s="306"/>
      <c r="I220" s="306"/>
      <c r="J220" s="306"/>
      <c r="K220" s="306"/>
      <c r="L220" s="307"/>
      <c r="M220" s="307"/>
      <c r="N220" s="307"/>
      <c r="O220" s="307"/>
      <c r="P220" s="307"/>
      <c r="Q220" s="307"/>
      <c r="R220" s="307"/>
      <c r="S220" s="307"/>
      <c r="T220" s="307"/>
      <c r="U220" s="307"/>
      <c r="V220" s="307"/>
      <c r="W220" s="307"/>
      <c r="X220" s="307"/>
      <c r="Y220" s="307"/>
      <c r="Z220" s="307"/>
      <c r="AA220" s="307"/>
      <c r="AB220" s="307"/>
    </row>
    <row r="221" ht="15.75" customHeight="1">
      <c r="A221" s="306"/>
      <c r="B221" s="306"/>
      <c r="C221" s="306"/>
      <c r="D221" s="306"/>
      <c r="E221" s="306"/>
      <c r="F221" s="306"/>
      <c r="G221" s="306"/>
      <c r="H221" s="306"/>
      <c r="I221" s="307"/>
      <c r="J221" s="307"/>
      <c r="K221" s="307"/>
      <c r="L221" s="307"/>
      <c r="M221" s="307"/>
      <c r="N221" s="307"/>
      <c r="O221" s="307"/>
      <c r="P221" s="307"/>
      <c r="Q221" s="307"/>
      <c r="R221" s="307"/>
      <c r="S221" s="307"/>
      <c r="T221" s="307"/>
      <c r="U221" s="307"/>
      <c r="V221" s="307"/>
      <c r="W221" s="307"/>
      <c r="X221" s="307"/>
      <c r="Y221" s="307"/>
      <c r="Z221" s="307"/>
      <c r="AA221" s="307"/>
      <c r="AB221" s="307"/>
    </row>
    <row r="222" ht="15.75" customHeight="1">
      <c r="A222" s="306"/>
      <c r="B222" s="306"/>
      <c r="C222" s="306"/>
      <c r="D222" s="306"/>
      <c r="E222" s="306"/>
      <c r="F222" s="306"/>
      <c r="G222" s="306"/>
      <c r="H222" s="306"/>
      <c r="I222" s="307"/>
      <c r="J222" s="307"/>
      <c r="K222" s="307"/>
      <c r="L222" s="307"/>
      <c r="M222" s="307"/>
      <c r="N222" s="307"/>
      <c r="O222" s="307"/>
      <c r="P222" s="307"/>
      <c r="Q222" s="307"/>
      <c r="R222" s="307"/>
      <c r="S222" s="307"/>
      <c r="T222" s="307"/>
      <c r="U222" s="307"/>
      <c r="V222" s="307"/>
      <c r="W222" s="307"/>
      <c r="X222" s="307"/>
      <c r="Y222" s="307"/>
      <c r="Z222" s="307"/>
      <c r="AA222" s="307"/>
      <c r="AB222" s="307"/>
    </row>
    <row r="223" ht="15.75" customHeight="1">
      <c r="A223" s="306"/>
      <c r="B223" s="306"/>
      <c r="C223" s="306"/>
      <c r="D223" s="306"/>
      <c r="E223" s="306"/>
      <c r="F223" s="306"/>
      <c r="G223" s="306"/>
      <c r="H223" s="306"/>
      <c r="I223" s="307"/>
      <c r="J223" s="307"/>
      <c r="K223" s="307"/>
      <c r="L223" s="307"/>
      <c r="M223" s="307"/>
      <c r="N223" s="307"/>
      <c r="O223" s="307"/>
      <c r="P223" s="307"/>
      <c r="Q223" s="307"/>
      <c r="R223" s="307"/>
      <c r="S223" s="307"/>
      <c r="T223" s="307"/>
      <c r="U223" s="307"/>
      <c r="V223" s="307"/>
      <c r="W223" s="307"/>
      <c r="X223" s="307"/>
      <c r="Y223" s="307"/>
      <c r="Z223" s="307"/>
      <c r="AA223" s="307"/>
      <c r="AB223" s="307"/>
    </row>
    <row r="224" ht="15.75" customHeight="1">
      <c r="A224" s="306"/>
      <c r="B224" s="306"/>
      <c r="C224" s="306"/>
      <c r="D224" s="306"/>
      <c r="E224" s="306"/>
      <c r="F224" s="306"/>
      <c r="G224" s="306"/>
      <c r="H224" s="306"/>
      <c r="I224" s="307"/>
      <c r="J224" s="307"/>
      <c r="K224" s="307"/>
      <c r="L224" s="307"/>
      <c r="M224" s="307"/>
      <c r="N224" s="307"/>
      <c r="O224" s="307"/>
      <c r="P224" s="307"/>
      <c r="Q224" s="307"/>
      <c r="R224" s="307"/>
      <c r="S224" s="307"/>
      <c r="T224" s="307"/>
      <c r="U224" s="307"/>
      <c r="V224" s="307"/>
      <c r="W224" s="307"/>
      <c r="X224" s="307"/>
      <c r="Y224" s="307"/>
      <c r="Z224" s="307"/>
      <c r="AA224" s="307"/>
      <c r="AB224" s="307"/>
    </row>
    <row r="225" ht="15.75" customHeight="1">
      <c r="A225" s="306"/>
      <c r="B225" s="306"/>
      <c r="C225" s="306"/>
      <c r="D225" s="306"/>
      <c r="E225" s="306"/>
      <c r="F225" s="306"/>
      <c r="G225" s="306"/>
      <c r="H225" s="306"/>
      <c r="I225" s="307"/>
      <c r="J225" s="307"/>
      <c r="K225" s="307"/>
      <c r="L225" s="307"/>
      <c r="M225" s="307"/>
      <c r="N225" s="307"/>
      <c r="O225" s="307"/>
      <c r="P225" s="307"/>
      <c r="Q225" s="307"/>
      <c r="R225" s="307"/>
      <c r="S225" s="307"/>
      <c r="T225" s="307"/>
      <c r="U225" s="307"/>
      <c r="V225" s="307"/>
      <c r="W225" s="307"/>
      <c r="X225" s="307"/>
      <c r="Y225" s="307"/>
      <c r="Z225" s="307"/>
      <c r="AA225" s="307"/>
      <c r="AB225" s="307"/>
    </row>
    <row r="226" ht="15.75" customHeight="1">
      <c r="A226" s="306"/>
      <c r="B226" s="306"/>
      <c r="C226" s="306"/>
      <c r="D226" s="306"/>
      <c r="E226" s="306"/>
      <c r="F226" s="306"/>
      <c r="G226" s="306"/>
      <c r="H226" s="306"/>
      <c r="I226" s="307"/>
      <c r="J226" s="307"/>
      <c r="K226" s="307"/>
      <c r="L226" s="307"/>
      <c r="M226" s="307"/>
      <c r="N226" s="307"/>
      <c r="O226" s="307"/>
      <c r="P226" s="307"/>
      <c r="Q226" s="307"/>
      <c r="R226" s="307"/>
      <c r="S226" s="307"/>
      <c r="T226" s="307"/>
      <c r="U226" s="307"/>
      <c r="V226" s="307"/>
      <c r="W226" s="307"/>
      <c r="X226" s="307"/>
      <c r="Y226" s="307"/>
      <c r="Z226" s="307"/>
      <c r="AA226" s="307"/>
      <c r="AB226" s="307"/>
    </row>
    <row r="227" ht="15.75" customHeight="1">
      <c r="A227" s="306"/>
      <c r="B227" s="306"/>
      <c r="C227" s="306"/>
      <c r="D227" s="306"/>
      <c r="E227" s="306"/>
      <c r="F227" s="306"/>
      <c r="G227" s="306"/>
      <c r="H227" s="306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307"/>
      <c r="T227" s="307"/>
      <c r="U227" s="307"/>
      <c r="V227" s="307"/>
      <c r="W227" s="307"/>
      <c r="X227" s="307"/>
      <c r="Y227" s="307"/>
      <c r="Z227" s="307"/>
      <c r="AA227" s="307"/>
      <c r="AB227" s="307"/>
    </row>
    <row r="228" ht="15.75" customHeight="1">
      <c r="A228" s="306"/>
      <c r="B228" s="306"/>
      <c r="C228" s="306"/>
      <c r="D228" s="306"/>
      <c r="E228" s="306"/>
      <c r="F228" s="306"/>
      <c r="G228" s="306"/>
      <c r="H228" s="306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307"/>
      <c r="T228" s="307"/>
      <c r="U228" s="307"/>
      <c r="V228" s="307"/>
      <c r="W228" s="307"/>
      <c r="X228" s="307"/>
      <c r="Y228" s="307"/>
      <c r="Z228" s="307"/>
      <c r="AA228" s="307"/>
      <c r="AB228" s="307"/>
    </row>
    <row r="229" ht="15.75" customHeight="1">
      <c r="A229" s="306"/>
      <c r="B229" s="306"/>
      <c r="C229" s="306"/>
      <c r="D229" s="306"/>
      <c r="E229" s="306"/>
      <c r="F229" s="306"/>
      <c r="G229" s="306"/>
      <c r="H229" s="306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307"/>
      <c r="T229" s="307"/>
      <c r="U229" s="307"/>
      <c r="V229" s="307"/>
      <c r="W229" s="307"/>
      <c r="X229" s="307"/>
      <c r="Y229" s="307"/>
      <c r="Z229" s="307"/>
      <c r="AA229" s="307"/>
      <c r="AB229" s="307"/>
    </row>
    <row r="230" ht="15.75" customHeight="1">
      <c r="A230" s="306"/>
      <c r="B230" s="306"/>
      <c r="C230" s="306"/>
      <c r="D230" s="306"/>
      <c r="E230" s="306"/>
      <c r="F230" s="306"/>
      <c r="G230" s="306"/>
      <c r="H230" s="306"/>
      <c r="I230" s="307"/>
      <c r="J230" s="307"/>
      <c r="K230" s="307"/>
      <c r="L230" s="307"/>
      <c r="M230" s="307"/>
      <c r="N230" s="307"/>
      <c r="O230" s="307"/>
      <c r="P230" s="307"/>
      <c r="Q230" s="307"/>
      <c r="R230" s="307"/>
      <c r="S230" s="307"/>
      <c r="T230" s="307"/>
      <c r="U230" s="307"/>
      <c r="V230" s="307"/>
      <c r="W230" s="307"/>
      <c r="X230" s="307"/>
      <c r="Y230" s="307"/>
      <c r="Z230" s="307"/>
      <c r="AA230" s="307"/>
      <c r="AB230" s="307"/>
    </row>
    <row r="231" ht="15.75" customHeight="1">
      <c r="A231" s="306"/>
      <c r="B231" s="306"/>
      <c r="C231" s="306"/>
      <c r="D231" s="306"/>
      <c r="E231" s="306"/>
      <c r="F231" s="306"/>
      <c r="G231" s="306"/>
      <c r="H231" s="306"/>
      <c r="I231" s="307"/>
      <c r="J231" s="307"/>
      <c r="K231" s="307"/>
      <c r="L231" s="307"/>
      <c r="M231" s="307"/>
      <c r="N231" s="307"/>
      <c r="O231" s="307"/>
      <c r="P231" s="307"/>
      <c r="Q231" s="307"/>
      <c r="R231" s="307"/>
      <c r="S231" s="307"/>
      <c r="T231" s="307"/>
      <c r="U231" s="307"/>
      <c r="V231" s="307"/>
      <c r="W231" s="307"/>
      <c r="X231" s="307"/>
      <c r="Y231" s="307"/>
      <c r="Z231" s="307"/>
      <c r="AA231" s="307"/>
      <c r="AB231" s="307"/>
    </row>
    <row r="232" ht="15.75" customHeight="1">
      <c r="A232" s="306"/>
      <c r="B232" s="306"/>
      <c r="C232" s="306"/>
      <c r="D232" s="306"/>
      <c r="E232" s="306"/>
      <c r="F232" s="306"/>
      <c r="G232" s="306"/>
      <c r="H232" s="306"/>
      <c r="I232" s="307"/>
      <c r="J232" s="307"/>
      <c r="K232" s="307"/>
      <c r="L232" s="307"/>
      <c r="M232" s="307"/>
      <c r="N232" s="307"/>
      <c r="O232" s="307"/>
      <c r="P232" s="307"/>
      <c r="Q232" s="307"/>
      <c r="R232" s="307"/>
      <c r="S232" s="307"/>
      <c r="T232" s="307"/>
      <c r="U232" s="307"/>
      <c r="V232" s="307"/>
      <c r="W232" s="307"/>
      <c r="X232" s="307"/>
      <c r="Y232" s="307"/>
      <c r="Z232" s="307"/>
      <c r="AA232" s="307"/>
      <c r="AB232" s="307"/>
    </row>
    <row r="233" ht="15.75" customHeight="1">
      <c r="A233" s="306"/>
      <c r="B233" s="306"/>
      <c r="C233" s="306"/>
      <c r="D233" s="306"/>
      <c r="E233" s="306"/>
      <c r="F233" s="306"/>
      <c r="G233" s="306"/>
      <c r="H233" s="306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307"/>
      <c r="T233" s="307"/>
      <c r="U233" s="307"/>
      <c r="V233" s="307"/>
      <c r="W233" s="307"/>
      <c r="X233" s="307"/>
      <c r="Y233" s="307"/>
      <c r="Z233" s="307"/>
      <c r="AA233" s="307"/>
      <c r="AB233" s="307"/>
    </row>
    <row r="234" ht="15.75" customHeight="1">
      <c r="A234" s="306"/>
      <c r="B234" s="306"/>
      <c r="C234" s="306"/>
      <c r="D234" s="306"/>
      <c r="E234" s="306"/>
      <c r="F234" s="306"/>
      <c r="G234" s="306"/>
      <c r="H234" s="306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307"/>
      <c r="T234" s="307"/>
      <c r="U234" s="307"/>
      <c r="V234" s="307"/>
      <c r="W234" s="307"/>
      <c r="X234" s="307"/>
      <c r="Y234" s="307"/>
      <c r="Z234" s="307"/>
      <c r="AA234" s="307"/>
      <c r="AB234" s="307"/>
    </row>
    <row r="235" ht="15.75" customHeight="1">
      <c r="A235" s="306"/>
      <c r="B235" s="306"/>
      <c r="C235" s="306"/>
      <c r="D235" s="306"/>
      <c r="E235" s="306"/>
      <c r="F235" s="306"/>
      <c r="G235" s="306"/>
      <c r="H235" s="306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307"/>
      <c r="T235" s="307"/>
      <c r="U235" s="307"/>
      <c r="V235" s="307"/>
      <c r="W235" s="307"/>
      <c r="X235" s="307"/>
      <c r="Y235" s="307"/>
      <c r="Z235" s="307"/>
      <c r="AA235" s="307"/>
      <c r="AB235" s="307"/>
    </row>
    <row r="236" ht="15.75" customHeight="1">
      <c r="A236" s="306"/>
      <c r="B236" s="306"/>
      <c r="C236" s="306"/>
      <c r="D236" s="306"/>
      <c r="E236" s="306"/>
      <c r="F236" s="306"/>
      <c r="G236" s="306"/>
      <c r="H236" s="306"/>
      <c r="I236" s="307"/>
      <c r="J236" s="307"/>
      <c r="K236" s="307"/>
      <c r="L236" s="307"/>
      <c r="M236" s="307"/>
      <c r="N236" s="307"/>
      <c r="O236" s="307"/>
      <c r="P236" s="307"/>
      <c r="Q236" s="307"/>
      <c r="R236" s="307"/>
      <c r="S236" s="307"/>
      <c r="T236" s="307"/>
      <c r="U236" s="307"/>
      <c r="V236" s="307"/>
      <c r="W236" s="307"/>
      <c r="X236" s="307"/>
      <c r="Y236" s="307"/>
      <c r="Z236" s="307"/>
      <c r="AA236" s="307"/>
      <c r="AB236" s="307"/>
    </row>
    <row r="237" ht="15.75" customHeight="1">
      <c r="A237" s="306"/>
      <c r="B237" s="306"/>
      <c r="C237" s="306"/>
      <c r="D237" s="306"/>
      <c r="E237" s="306"/>
      <c r="F237" s="306"/>
      <c r="G237" s="306"/>
      <c r="H237" s="306"/>
      <c r="I237" s="307"/>
      <c r="J237" s="307"/>
      <c r="K237" s="307"/>
      <c r="L237" s="307"/>
      <c r="M237" s="307"/>
      <c r="N237" s="307"/>
      <c r="O237" s="307"/>
      <c r="P237" s="307"/>
      <c r="Q237" s="307"/>
      <c r="R237" s="307"/>
      <c r="S237" s="307"/>
      <c r="T237" s="307"/>
      <c r="U237" s="307"/>
      <c r="V237" s="307"/>
      <c r="W237" s="307"/>
      <c r="X237" s="307"/>
      <c r="Y237" s="307"/>
      <c r="Z237" s="307"/>
      <c r="AA237" s="307"/>
      <c r="AB237" s="307"/>
    </row>
    <row r="238" ht="15.75" customHeight="1">
      <c r="A238" s="348"/>
      <c r="B238" s="311"/>
      <c r="C238" s="311"/>
      <c r="D238" s="311"/>
      <c r="E238" s="311"/>
      <c r="F238" s="311"/>
      <c r="G238" s="311"/>
      <c r="H238" s="311"/>
      <c r="I238" s="311"/>
      <c r="J238" s="311"/>
      <c r="K238" s="311"/>
      <c r="L238" s="311"/>
      <c r="M238" s="348"/>
      <c r="N238" s="348"/>
      <c r="O238" s="348"/>
      <c r="P238" s="348"/>
      <c r="Q238" s="348"/>
      <c r="R238" s="348"/>
      <c r="S238" s="307"/>
      <c r="T238" s="307"/>
      <c r="U238" s="307"/>
      <c r="V238" s="348"/>
      <c r="W238" s="348"/>
      <c r="X238" s="348"/>
      <c r="Y238" s="348"/>
      <c r="Z238" s="348"/>
      <c r="AA238" s="348"/>
      <c r="AB238" s="348"/>
    </row>
    <row r="239" ht="15.75" customHeight="1">
      <c r="A239" s="348"/>
      <c r="B239" s="311"/>
      <c r="C239" s="311"/>
      <c r="D239" s="311"/>
      <c r="E239" s="311"/>
      <c r="F239" s="311"/>
      <c r="G239" s="311"/>
      <c r="H239" s="311"/>
      <c r="I239" s="311"/>
      <c r="J239" s="311"/>
      <c r="K239" s="311"/>
      <c r="L239" s="311"/>
      <c r="M239" s="348"/>
      <c r="N239" s="348"/>
      <c r="O239" s="348"/>
      <c r="P239" s="348"/>
      <c r="Q239" s="348"/>
      <c r="R239" s="348"/>
      <c r="S239" s="307"/>
      <c r="T239" s="307"/>
      <c r="U239" s="307"/>
      <c r="V239" s="348"/>
      <c r="W239" s="348"/>
      <c r="X239" s="348"/>
      <c r="Y239" s="348"/>
      <c r="Z239" s="348"/>
      <c r="AA239" s="348"/>
      <c r="AB239" s="348"/>
    </row>
    <row r="240" ht="15.75" customHeight="1">
      <c r="A240" s="348"/>
      <c r="B240" s="311"/>
      <c r="C240" s="311"/>
      <c r="D240" s="311"/>
      <c r="E240" s="311"/>
      <c r="F240" s="311"/>
      <c r="G240" s="311"/>
      <c r="H240" s="311"/>
      <c r="I240" s="311"/>
      <c r="J240" s="311"/>
      <c r="K240" s="311"/>
      <c r="L240" s="311"/>
      <c r="M240" s="348"/>
      <c r="N240" s="348"/>
      <c r="O240" s="348"/>
      <c r="P240" s="348"/>
      <c r="Q240" s="348"/>
      <c r="R240" s="348"/>
      <c r="S240" s="307"/>
      <c r="T240" s="307"/>
      <c r="U240" s="307"/>
      <c r="V240" s="348"/>
      <c r="W240" s="348"/>
      <c r="X240" s="348"/>
      <c r="Y240" s="348"/>
      <c r="Z240" s="348"/>
      <c r="AA240" s="348"/>
      <c r="AB240" s="348"/>
    </row>
    <row r="241" ht="15.75" customHeight="1">
      <c r="A241" s="348"/>
      <c r="B241" s="311"/>
      <c r="C241" s="311"/>
      <c r="D241" s="311"/>
      <c r="E241" s="311"/>
      <c r="F241" s="311"/>
      <c r="G241" s="311"/>
      <c r="H241" s="311"/>
      <c r="I241" s="311"/>
      <c r="J241" s="311"/>
      <c r="K241" s="311"/>
      <c r="L241" s="311"/>
      <c r="M241" s="348"/>
      <c r="N241" s="348"/>
      <c r="O241" s="348"/>
      <c r="P241" s="348"/>
      <c r="Q241" s="348"/>
      <c r="R241" s="348"/>
      <c r="S241" s="307"/>
      <c r="T241" s="307"/>
      <c r="U241" s="307"/>
      <c r="V241" s="348"/>
      <c r="W241" s="348"/>
      <c r="X241" s="348"/>
      <c r="Y241" s="348"/>
      <c r="Z241" s="348"/>
      <c r="AA241" s="348"/>
      <c r="AB241" s="348"/>
    </row>
    <row r="242" ht="15.75" customHeight="1">
      <c r="A242" s="348"/>
      <c r="B242" s="311"/>
      <c r="C242" s="311"/>
      <c r="D242" s="311"/>
      <c r="E242" s="311"/>
      <c r="F242" s="311"/>
      <c r="G242" s="311"/>
      <c r="H242" s="311"/>
      <c r="I242" s="311"/>
      <c r="J242" s="311"/>
      <c r="K242" s="311"/>
      <c r="L242" s="311"/>
      <c r="M242" s="348"/>
      <c r="N242" s="348"/>
      <c r="O242" s="348"/>
      <c r="P242" s="348"/>
      <c r="Q242" s="348"/>
      <c r="R242" s="348"/>
      <c r="S242" s="307"/>
      <c r="T242" s="307"/>
      <c r="U242" s="307"/>
      <c r="V242" s="348"/>
      <c r="W242" s="348"/>
      <c r="X242" s="348"/>
      <c r="Y242" s="348"/>
      <c r="Z242" s="348"/>
      <c r="AA242" s="348"/>
      <c r="AB242" s="348"/>
    </row>
    <row r="243" ht="15.75" customHeight="1">
      <c r="A243" s="348"/>
      <c r="B243" s="311"/>
      <c r="C243" s="311"/>
      <c r="D243" s="311"/>
      <c r="E243" s="311"/>
      <c r="F243" s="311"/>
      <c r="G243" s="311"/>
      <c r="H243" s="311"/>
      <c r="I243" s="311"/>
      <c r="J243" s="311"/>
      <c r="K243" s="311"/>
      <c r="L243" s="311"/>
      <c r="M243" s="348"/>
      <c r="N243" s="348"/>
      <c r="O243" s="348"/>
      <c r="P243" s="348"/>
      <c r="Q243" s="348"/>
      <c r="R243" s="348"/>
      <c r="S243" s="307"/>
      <c r="T243" s="307"/>
      <c r="U243" s="307"/>
      <c r="V243" s="348"/>
      <c r="W243" s="348"/>
      <c r="X243" s="348"/>
      <c r="Y243" s="348"/>
      <c r="Z243" s="348"/>
      <c r="AA243" s="348"/>
      <c r="AB243" s="348"/>
    </row>
    <row r="244" ht="15.75" customHeight="1">
      <c r="A244" s="348"/>
      <c r="B244" s="311"/>
      <c r="C244" s="311"/>
      <c r="D244" s="311"/>
      <c r="E244" s="311"/>
      <c r="F244" s="311"/>
      <c r="G244" s="311"/>
      <c r="H244" s="311"/>
      <c r="I244" s="311"/>
      <c r="J244" s="311"/>
      <c r="K244" s="311"/>
      <c r="L244" s="311"/>
      <c r="M244" s="348"/>
      <c r="N244" s="348"/>
      <c r="O244" s="348"/>
      <c r="P244" s="348"/>
      <c r="Q244" s="348"/>
      <c r="R244" s="348"/>
      <c r="S244" s="307"/>
      <c r="T244" s="307"/>
      <c r="U244" s="307"/>
      <c r="V244" s="348"/>
      <c r="W244" s="348"/>
      <c r="X244" s="348"/>
      <c r="Y244" s="348"/>
      <c r="Z244" s="348"/>
      <c r="AA244" s="348"/>
      <c r="AB244" s="348"/>
    </row>
    <row r="245" ht="15.75" customHeight="1">
      <c r="A245" s="348"/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48"/>
      <c r="N245" s="348"/>
      <c r="O245" s="348"/>
      <c r="P245" s="348"/>
      <c r="Q245" s="348"/>
      <c r="R245" s="348"/>
      <c r="S245" s="307"/>
      <c r="T245" s="307"/>
      <c r="U245" s="307"/>
      <c r="V245" s="348"/>
      <c r="W245" s="348"/>
      <c r="X245" s="348"/>
      <c r="Y245" s="348"/>
      <c r="Z245" s="348"/>
      <c r="AA245" s="348"/>
      <c r="AB245" s="348"/>
    </row>
    <row r="246" ht="15.75" customHeight="1">
      <c r="A246" s="348"/>
      <c r="B246" s="311"/>
      <c r="C246" s="311"/>
      <c r="D246" s="311"/>
      <c r="E246" s="311"/>
      <c r="F246" s="311"/>
      <c r="G246" s="311"/>
      <c r="H246" s="311"/>
      <c r="I246" s="311"/>
      <c r="J246" s="311"/>
      <c r="K246" s="311"/>
      <c r="L246" s="311"/>
      <c r="M246" s="348"/>
      <c r="N246" s="348"/>
      <c r="O246" s="348"/>
      <c r="P246" s="348"/>
      <c r="Q246" s="348"/>
      <c r="R246" s="348"/>
      <c r="S246" s="307"/>
      <c r="T246" s="307"/>
      <c r="U246" s="307"/>
      <c r="V246" s="348"/>
      <c r="W246" s="348"/>
      <c r="X246" s="348"/>
      <c r="Y246" s="348"/>
      <c r="Z246" s="348"/>
      <c r="AA246" s="348"/>
      <c r="AB246" s="348"/>
    </row>
    <row r="247" ht="15.75" customHeight="1">
      <c r="A247" s="348"/>
      <c r="B247" s="311"/>
      <c r="C247" s="311"/>
      <c r="D247" s="311"/>
      <c r="E247" s="311"/>
      <c r="F247" s="311"/>
      <c r="G247" s="311"/>
      <c r="H247" s="311"/>
      <c r="I247" s="311"/>
      <c r="J247" s="311"/>
      <c r="K247" s="311"/>
      <c r="L247" s="311"/>
      <c r="M247" s="348"/>
      <c r="N247" s="348"/>
      <c r="O247" s="348"/>
      <c r="P247" s="348"/>
      <c r="Q247" s="348"/>
      <c r="R247" s="348"/>
      <c r="S247" s="307"/>
      <c r="T247" s="307"/>
      <c r="U247" s="307"/>
      <c r="V247" s="348"/>
      <c r="W247" s="348"/>
      <c r="X247" s="348"/>
      <c r="Y247" s="348"/>
      <c r="Z247" s="348"/>
      <c r="AA247" s="348"/>
      <c r="AB247" s="348"/>
    </row>
    <row r="248" ht="15.75" customHeight="1">
      <c r="A248" s="348"/>
      <c r="B248" s="311"/>
      <c r="C248" s="311"/>
      <c r="D248" s="311"/>
      <c r="E248" s="311"/>
      <c r="F248" s="311"/>
      <c r="G248" s="311"/>
      <c r="H248" s="311"/>
      <c r="I248" s="311"/>
      <c r="J248" s="311"/>
      <c r="K248" s="311"/>
      <c r="L248" s="311"/>
      <c r="M248" s="348"/>
      <c r="N248" s="348"/>
      <c r="O248" s="348"/>
      <c r="P248" s="348"/>
      <c r="Q248" s="348"/>
      <c r="R248" s="348"/>
      <c r="S248" s="307"/>
      <c r="T248" s="307"/>
      <c r="U248" s="307"/>
      <c r="V248" s="348"/>
      <c r="W248" s="348"/>
      <c r="X248" s="348"/>
      <c r="Y248" s="348"/>
      <c r="Z248" s="348"/>
      <c r="AA248" s="348"/>
      <c r="AB248" s="348"/>
    </row>
    <row r="249" ht="15.75" customHeight="1">
      <c r="A249" s="348"/>
      <c r="B249" s="311"/>
      <c r="C249" s="311"/>
      <c r="D249" s="311"/>
      <c r="E249" s="311"/>
      <c r="F249" s="311"/>
      <c r="G249" s="311"/>
      <c r="H249" s="311"/>
      <c r="I249" s="311"/>
      <c r="J249" s="311"/>
      <c r="K249" s="311"/>
      <c r="L249" s="311"/>
      <c r="M249" s="348"/>
      <c r="N249" s="348"/>
      <c r="O249" s="348"/>
      <c r="P249" s="348"/>
      <c r="Q249" s="348"/>
      <c r="R249" s="348"/>
      <c r="S249" s="307"/>
      <c r="T249" s="307"/>
      <c r="U249" s="307"/>
      <c r="V249" s="348"/>
      <c r="W249" s="348"/>
      <c r="X249" s="348"/>
      <c r="Y249" s="348"/>
      <c r="Z249" s="348"/>
      <c r="AA249" s="348"/>
      <c r="AB249" s="348"/>
    </row>
    <row r="250" ht="15.75" customHeight="1">
      <c r="A250" s="348"/>
      <c r="B250" s="311"/>
      <c r="C250" s="311"/>
      <c r="D250" s="311"/>
      <c r="E250" s="311"/>
      <c r="F250" s="311"/>
      <c r="G250" s="311"/>
      <c r="H250" s="311"/>
      <c r="I250" s="311"/>
      <c r="J250" s="311"/>
      <c r="K250" s="311"/>
      <c r="L250" s="311"/>
      <c r="M250" s="348"/>
      <c r="N250" s="348"/>
      <c r="O250" s="348"/>
      <c r="P250" s="348"/>
      <c r="Q250" s="348"/>
      <c r="R250" s="348"/>
      <c r="S250" s="307"/>
      <c r="T250" s="307"/>
      <c r="U250" s="307"/>
      <c r="V250" s="348"/>
      <c r="W250" s="348"/>
      <c r="X250" s="348"/>
      <c r="Y250" s="348"/>
      <c r="Z250" s="348"/>
      <c r="AA250" s="348"/>
      <c r="AB250" s="348"/>
    </row>
    <row r="251" ht="15.75" customHeight="1">
      <c r="A251" s="348"/>
      <c r="B251" s="311"/>
      <c r="C251" s="311"/>
      <c r="D251" s="311"/>
      <c r="E251" s="311"/>
      <c r="F251" s="311"/>
      <c r="G251" s="311"/>
      <c r="H251" s="311"/>
      <c r="I251" s="311"/>
      <c r="J251" s="311"/>
      <c r="K251" s="311"/>
      <c r="L251" s="311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</row>
    <row r="252" ht="15.75" customHeight="1">
      <c r="A252" s="348"/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</row>
    <row r="253" ht="15.75" customHeight="1">
      <c r="A253" s="348"/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</row>
    <row r="254" ht="15.75" customHeight="1">
      <c r="A254" s="348"/>
      <c r="B254" s="311"/>
      <c r="C254" s="311"/>
      <c r="D254" s="311"/>
      <c r="E254" s="311"/>
      <c r="F254" s="311"/>
      <c r="G254" s="311"/>
      <c r="H254" s="311"/>
      <c r="I254" s="311"/>
      <c r="J254" s="311"/>
      <c r="K254" s="311"/>
      <c r="L254" s="311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</row>
    <row r="255" ht="15.75" customHeight="1">
      <c r="A255" s="348"/>
      <c r="B255" s="311"/>
      <c r="C255" s="311"/>
      <c r="D255" s="311"/>
      <c r="E255" s="311"/>
      <c r="F255" s="311"/>
      <c r="G255" s="311"/>
      <c r="H255" s="311"/>
      <c r="I255" s="311"/>
      <c r="J255" s="311"/>
      <c r="K255" s="311"/>
      <c r="L255" s="311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</row>
    <row r="256" ht="15.75" customHeight="1">
      <c r="A256" s="348"/>
      <c r="B256" s="311"/>
      <c r="C256" s="311"/>
      <c r="D256" s="311"/>
      <c r="E256" s="311"/>
      <c r="F256" s="311"/>
      <c r="G256" s="311"/>
      <c r="H256" s="311"/>
      <c r="I256" s="311"/>
      <c r="J256" s="311"/>
      <c r="K256" s="311"/>
      <c r="L256" s="311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</row>
    <row r="257" ht="15.75" customHeight="1">
      <c r="A257" s="348"/>
      <c r="B257" s="311"/>
      <c r="C257" s="311"/>
      <c r="D257" s="311"/>
      <c r="E257" s="311"/>
      <c r="F257" s="311"/>
      <c r="G257" s="311"/>
      <c r="H257" s="311"/>
      <c r="I257" s="311"/>
      <c r="J257" s="311"/>
      <c r="K257" s="311"/>
      <c r="L257" s="311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</row>
    <row r="258" ht="15.75" customHeight="1">
      <c r="A258" s="348"/>
      <c r="B258" s="311"/>
      <c r="C258" s="311"/>
      <c r="D258" s="311"/>
      <c r="E258" s="311"/>
      <c r="F258" s="311"/>
      <c r="G258" s="311"/>
      <c r="H258" s="311"/>
      <c r="I258" s="311"/>
      <c r="J258" s="311"/>
      <c r="K258" s="311"/>
      <c r="L258" s="311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</row>
    <row r="259" ht="15.75" customHeight="1">
      <c r="A259" s="348"/>
      <c r="B259" s="311"/>
      <c r="C259" s="311"/>
      <c r="D259" s="311"/>
      <c r="E259" s="311"/>
      <c r="F259" s="311"/>
      <c r="G259" s="311"/>
      <c r="H259" s="311"/>
      <c r="I259" s="311"/>
      <c r="J259" s="311"/>
      <c r="K259" s="311"/>
      <c r="L259" s="311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</row>
    <row r="260" ht="15.75" customHeight="1">
      <c r="A260" s="348"/>
      <c r="B260" s="311"/>
      <c r="C260" s="311"/>
      <c r="D260" s="311"/>
      <c r="E260" s="311"/>
      <c r="F260" s="311"/>
      <c r="G260" s="311"/>
      <c r="H260" s="311"/>
      <c r="I260" s="311"/>
      <c r="J260" s="311"/>
      <c r="K260" s="311"/>
      <c r="L260" s="311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</row>
    <row r="261" ht="15.75" customHeight="1">
      <c r="A261" s="348"/>
      <c r="B261" s="311"/>
      <c r="C261" s="311"/>
      <c r="D261" s="311"/>
      <c r="E261" s="311"/>
      <c r="F261" s="311"/>
      <c r="G261" s="311"/>
      <c r="H261" s="311"/>
      <c r="I261" s="311"/>
      <c r="J261" s="311"/>
      <c r="K261" s="311"/>
      <c r="L261" s="311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</row>
    <row r="262" ht="15.75" customHeight="1">
      <c r="A262" s="348"/>
      <c r="B262" s="311"/>
      <c r="C262" s="311"/>
      <c r="D262" s="311"/>
      <c r="E262" s="311"/>
      <c r="F262" s="311"/>
      <c r="G262" s="311"/>
      <c r="H262" s="311"/>
      <c r="I262" s="311"/>
      <c r="J262" s="311"/>
      <c r="K262" s="311"/>
      <c r="L262" s="311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</row>
    <row r="263" ht="15.75" customHeight="1">
      <c r="A263" s="348"/>
      <c r="B263" s="311"/>
      <c r="C263" s="311"/>
      <c r="D263" s="311"/>
      <c r="E263" s="311"/>
      <c r="F263" s="311"/>
      <c r="G263" s="311"/>
      <c r="H263" s="311"/>
      <c r="I263" s="311"/>
      <c r="J263" s="311"/>
      <c r="K263" s="311"/>
      <c r="L263" s="311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X1000" s="2"/>
      <c r="Y1000" s="2"/>
      <c r="Z1000" s="2"/>
    </row>
  </sheetData>
  <mergeCells count="12">
    <mergeCell ref="N10:O10"/>
    <mergeCell ref="N14:O14"/>
    <mergeCell ref="W16:AA16"/>
    <mergeCell ref="N23:O23"/>
    <mergeCell ref="N27:O27"/>
    <mergeCell ref="H5:I5"/>
    <mergeCell ref="K5:L5"/>
    <mergeCell ref="H6:H7"/>
    <mergeCell ref="I6:I7"/>
    <mergeCell ref="K6:K7"/>
    <mergeCell ref="L6:L7"/>
    <mergeCell ref="N6:O6"/>
  </mergeCells>
  <conditionalFormatting sqref="O19:P20">
    <cfRule type="containsText" dxfId="5" priority="1" operator="containsText" text="Verdade">
      <formula>NOT(ISERROR(SEARCH(("Verdade"),(O19))))</formula>
    </cfRule>
  </conditionalFormatting>
  <conditionalFormatting sqref="O19:P20">
    <cfRule type="containsText" dxfId="6" priority="2" operator="containsText" text="Falso">
      <formula>NOT(ISERROR(SEARCH(("Falso"),(O19))))</formula>
    </cfRule>
  </conditionalFormatting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 outlineLevelCol="1"/>
  <cols>
    <col customWidth="1" min="1" max="1" width="7.63"/>
    <col customWidth="1" min="2" max="2" width="15.13"/>
    <col customWidth="1" min="3" max="3" width="18.88" outlineLevel="1"/>
    <col customWidth="1" min="4" max="4" width="18.5"/>
    <col customWidth="1" min="5" max="5" width="18.63"/>
    <col customWidth="1" hidden="1" min="6" max="6" width="18.88"/>
    <col customWidth="1" min="7" max="7" width="12.0"/>
    <col customWidth="1" min="8" max="8" width="15.5"/>
    <col customWidth="1" min="9" max="9" width="11.38"/>
    <col customWidth="1" min="10" max="10" width="2.75"/>
    <col customWidth="1" min="11" max="11" width="14.13"/>
    <col customWidth="1" min="12" max="12" width="11.38"/>
    <col customWidth="1" min="13" max="13" width="3.75"/>
    <col customWidth="1" min="14" max="14" width="20.5"/>
    <col customWidth="1" min="15" max="15" width="17.5"/>
    <col customWidth="1" min="16" max="16" width="15.5"/>
    <col customWidth="1" min="18" max="18" width="7.88"/>
    <col customWidth="1" min="19" max="19" width="15.5"/>
    <col customWidth="1" min="20" max="20" width="21.38"/>
    <col customWidth="1" min="21" max="21" width="21.0"/>
    <col customWidth="1" min="22" max="22" width="15.0"/>
    <col customWidth="1" min="23" max="23" width="9.13"/>
    <col customWidth="1" min="24" max="24" width="18.5"/>
    <col customWidth="1" min="25" max="27" width="14.63"/>
  </cols>
  <sheetData>
    <row r="1" ht="15.75" customHeight="1">
      <c r="A1" s="305"/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307"/>
      <c r="M1" s="307"/>
      <c r="N1" s="307"/>
      <c r="O1" s="307"/>
      <c r="P1" s="307"/>
      <c r="Q1" s="307"/>
      <c r="R1" s="307"/>
      <c r="S1" s="307"/>
      <c r="T1" s="307"/>
      <c r="U1" s="307"/>
      <c r="V1" s="307"/>
      <c r="W1" s="307"/>
      <c r="X1" s="307"/>
      <c r="Y1" s="307"/>
      <c r="Z1" s="307"/>
      <c r="AA1" s="307"/>
      <c r="AB1" s="307"/>
      <c r="AC1" s="307"/>
      <c r="AD1" s="307"/>
    </row>
    <row r="2" ht="15.75" customHeight="1">
      <c r="A2" s="306"/>
      <c r="B2" s="308" t="s">
        <v>329</v>
      </c>
      <c r="C2" s="306"/>
      <c r="D2" s="306"/>
      <c r="E2" s="309" t="s">
        <v>330</v>
      </c>
      <c r="F2" s="306"/>
      <c r="G2" s="306"/>
      <c r="H2" s="306"/>
      <c r="I2" s="306"/>
      <c r="J2" s="306"/>
      <c r="K2" s="310"/>
      <c r="L2" s="311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  <c r="AC2" s="307"/>
      <c r="AD2" s="307"/>
    </row>
    <row r="3" ht="15.75" customHeight="1">
      <c r="A3" s="306"/>
      <c r="B3" s="313">
        <f>Controle!$B$6</f>
        <v>45170</v>
      </c>
      <c r="C3" s="313">
        <f>Controle!$B$4</f>
        <v>45169</v>
      </c>
      <c r="D3" s="306"/>
      <c r="E3" s="314">
        <f>($B$8/100)-1</f>
        <v>0.03699505403</v>
      </c>
      <c r="F3" s="306"/>
      <c r="G3" s="306"/>
      <c r="H3" s="306"/>
      <c r="I3" s="306"/>
      <c r="J3" s="306"/>
      <c r="K3" s="315"/>
      <c r="L3" s="316"/>
      <c r="M3" s="307"/>
      <c r="N3" s="468" t="s">
        <v>331</v>
      </c>
      <c r="O3" s="307"/>
      <c r="P3" s="307"/>
      <c r="Q3" s="307"/>
      <c r="R3" s="307"/>
      <c r="S3" s="307"/>
      <c r="T3" s="307"/>
      <c r="U3" s="307"/>
      <c r="V3" s="307"/>
      <c r="W3" s="307"/>
      <c r="X3" s="307"/>
      <c r="Y3" s="307"/>
      <c r="Z3" s="307"/>
      <c r="AA3" s="307"/>
      <c r="AB3" s="307"/>
      <c r="AC3" s="307"/>
      <c r="AD3" s="307"/>
    </row>
    <row r="4" ht="15.75" customHeight="1">
      <c r="A4" s="306"/>
      <c r="B4" s="306"/>
      <c r="C4" s="306"/>
      <c r="D4" s="306"/>
      <c r="E4" s="306"/>
      <c r="F4" s="306"/>
      <c r="G4" s="306"/>
      <c r="H4" s="306"/>
      <c r="I4" s="306"/>
      <c r="J4" s="306"/>
      <c r="K4" s="306"/>
      <c r="L4" s="307"/>
      <c r="M4" s="307"/>
      <c r="N4" s="318" t="str">
        <f>Controle!$L$2</f>
        <v>Orion</v>
      </c>
      <c r="O4" s="307"/>
      <c r="P4" s="307"/>
      <c r="Q4" s="307"/>
      <c r="R4" s="307"/>
      <c r="S4" s="307"/>
      <c r="T4" s="307"/>
      <c r="U4" s="307"/>
      <c r="V4" s="307"/>
      <c r="W4" s="307"/>
      <c r="X4" s="307"/>
      <c r="Y4" s="307"/>
      <c r="Z4" s="307"/>
      <c r="AA4" s="307"/>
      <c r="AB4" s="307"/>
      <c r="AC4" s="307"/>
      <c r="AD4" s="307"/>
    </row>
    <row r="5" ht="15.75" customHeight="1">
      <c r="A5" s="306"/>
      <c r="B5" s="319" t="s">
        <v>332</v>
      </c>
      <c r="C5" s="320" t="s">
        <v>333</v>
      </c>
      <c r="D5" s="321" t="s">
        <v>312</v>
      </c>
      <c r="E5" s="322" t="s">
        <v>334</v>
      </c>
      <c r="F5" s="231"/>
      <c r="G5" s="306"/>
      <c r="H5" s="323" t="s">
        <v>335</v>
      </c>
      <c r="I5" s="89"/>
      <c r="J5" s="306"/>
      <c r="K5" s="323" t="s">
        <v>336</v>
      </c>
      <c r="L5" s="89"/>
      <c r="M5" s="307"/>
      <c r="N5" s="307"/>
      <c r="O5" s="307"/>
      <c r="P5" s="307"/>
      <c r="Q5" s="307"/>
      <c r="R5" s="307"/>
      <c r="S5" s="307"/>
      <c r="T5" s="307"/>
      <c r="U5" s="307"/>
      <c r="V5" s="307"/>
      <c r="W5" s="307"/>
      <c r="X5" s="307"/>
      <c r="Y5" s="307"/>
      <c r="Z5" s="307"/>
      <c r="AA5" s="307"/>
      <c r="AB5" s="307"/>
      <c r="AC5" s="307"/>
      <c r="AD5" s="307"/>
    </row>
    <row r="6" ht="15.75" customHeight="1">
      <c r="A6" s="306"/>
      <c r="B6" s="324">
        <f>Controle!$L$4</f>
        <v>103699505.4</v>
      </c>
      <c r="C6" s="325">
        <f t="array" ref="C6">xlookup($C$3,Controle!$B$10:$B$1000,Controle!$L$10:$L$1000)</f>
        <v>102759595.3</v>
      </c>
      <c r="D6" s="326">
        <f>Controle!$L$6</f>
        <v>29680585.26</v>
      </c>
      <c r="E6" s="327">
        <f>Controle!$M$4</f>
        <v>74018920.15</v>
      </c>
      <c r="F6" s="328"/>
      <c r="G6" s="306"/>
      <c r="H6" s="329" t="s">
        <v>337</v>
      </c>
      <c r="I6" s="330" t="s">
        <v>338</v>
      </c>
      <c r="J6" s="331"/>
      <c r="K6" s="329" t="s">
        <v>337</v>
      </c>
      <c r="L6" s="330" t="s">
        <v>338</v>
      </c>
      <c r="M6" s="307"/>
      <c r="N6" s="332" t="s">
        <v>306</v>
      </c>
      <c r="O6" s="89"/>
      <c r="P6" s="307"/>
      <c r="Q6" s="307"/>
      <c r="R6" s="307"/>
      <c r="S6" s="307"/>
      <c r="T6" s="307"/>
      <c r="U6" s="307"/>
      <c r="V6" s="307"/>
      <c r="W6" s="307"/>
      <c r="X6" s="307"/>
      <c r="Y6" s="307"/>
      <c r="Z6" s="307"/>
      <c r="AA6" s="307"/>
      <c r="AB6" s="307"/>
      <c r="AC6" s="307"/>
      <c r="AD6" s="307"/>
    </row>
    <row r="7" ht="15.75" customHeight="1">
      <c r="A7" s="306"/>
      <c r="B7" s="333" t="s">
        <v>339</v>
      </c>
      <c r="C7" s="334"/>
      <c r="D7" s="309" t="s">
        <v>340</v>
      </c>
      <c r="E7" s="335" t="s">
        <v>341</v>
      </c>
      <c r="F7" s="231"/>
      <c r="G7" s="306"/>
      <c r="H7" s="115"/>
      <c r="I7" s="123"/>
      <c r="J7" s="331"/>
      <c r="K7" s="115"/>
      <c r="L7" s="123"/>
      <c r="M7" s="307"/>
      <c r="N7" s="336" t="s">
        <v>342</v>
      </c>
      <c r="O7" s="337" t="s">
        <v>343</v>
      </c>
      <c r="P7" s="307"/>
      <c r="Q7" s="307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  <c r="AC7" s="307"/>
      <c r="AD7" s="307"/>
    </row>
    <row r="8" ht="15.75" customHeight="1">
      <c r="A8" s="306"/>
      <c r="B8" s="338">
        <f t="array" ref="B8">XLOOKUP($B$3,Controle!$B$10:$B$242,Controle!$L$10:$L$242)/1000000</f>
        <v>103.6995054</v>
      </c>
      <c r="C8" s="339"/>
      <c r="D8" s="314">
        <f>Controle!$M$6</f>
        <v>0.009146689304</v>
      </c>
      <c r="E8" s="340">
        <f>Controle!$AC$6</f>
        <v>0.00049037</v>
      </c>
      <c r="F8" s="341"/>
      <c r="G8" s="342">
        <v>1.0</v>
      </c>
      <c r="H8" s="343" t="str">
        <f t="shared" ref="H8:H12" si="1">IFERROR(INDEX($B$18:$B$36,MATCH(G8,$T$18:$T$56,0),""))</f>
        <v>PETZ3</v>
      </c>
      <c r="I8" s="344">
        <f t="shared" ref="I8:I12" si="2">IFERROR(INDEX($R$18:$R$37,MATCH(G8,$T$18:$T$55,0)),"")</f>
        <v>0.04927006934</v>
      </c>
      <c r="J8" s="306"/>
      <c r="K8" s="343" t="str">
        <f t="shared" ref="K8:K12" si="3">IFERROR(INDEX($B$18:$B$36,MATCH(M8,$T$18:$T$56,0),""))</f>
        <v>RDOR3</v>
      </c>
      <c r="L8" s="344">
        <f t="shared" ref="L8:L12" si="4">IFERROR(INDEX($R$18:$R$37,MATCH(M8,$T$18:$T$55,0)),"")</f>
        <v>0.00697839372</v>
      </c>
      <c r="M8" s="345">
        <f>MAX($T$18:$T$55)</f>
        <v>4</v>
      </c>
      <c r="N8" s="346">
        <f t="array" ref="N8">XLOOKUP($C$3,Controle!$B$10:$B$901,Controle!$M$10:$M$901,"",0)*$E$8</f>
        <v>36281.84358</v>
      </c>
      <c r="O8" s="347">
        <f>$N$8/$C$6</f>
        <v>0.0003530749948</v>
      </c>
      <c r="P8" s="307"/>
      <c r="Q8" s="307"/>
      <c r="R8" s="307"/>
      <c r="S8" s="307"/>
      <c r="T8" s="307"/>
      <c r="U8" s="307"/>
      <c r="V8" s="307"/>
      <c r="W8" s="307"/>
      <c r="X8" s="307"/>
      <c r="Y8" s="307"/>
      <c r="Z8" s="307"/>
      <c r="AA8" s="307"/>
      <c r="AB8" s="307"/>
      <c r="AC8" s="307"/>
      <c r="AD8" s="307"/>
    </row>
    <row r="9" ht="15.75" customHeight="1">
      <c r="A9" s="306"/>
      <c r="B9" s="348"/>
      <c r="C9" s="349"/>
      <c r="D9" s="350"/>
      <c r="E9" s="306"/>
      <c r="F9" s="306"/>
      <c r="G9" s="342">
        <v>2.0</v>
      </c>
      <c r="H9" s="343" t="str">
        <f t="shared" si="1"/>
        <v>VIVA3</v>
      </c>
      <c r="I9" s="344">
        <f t="shared" si="2"/>
        <v>0.04231050793</v>
      </c>
      <c r="J9" s="306"/>
      <c r="K9" s="343" t="str">
        <f t="shared" si="3"/>
        <v>AZUL4</v>
      </c>
      <c r="L9" s="344">
        <f t="shared" si="4"/>
        <v>0.03036580683</v>
      </c>
      <c r="M9" s="345">
        <f t="shared" ref="M9:M12" si="5">M8-1</f>
        <v>3</v>
      </c>
      <c r="N9" s="351"/>
      <c r="O9" s="352"/>
      <c r="P9" s="307"/>
      <c r="Q9" s="307"/>
      <c r="R9" s="307"/>
      <c r="S9" s="307"/>
      <c r="T9" s="307"/>
      <c r="U9" s="307"/>
      <c r="V9" s="307"/>
      <c r="W9" s="307"/>
      <c r="X9" s="307"/>
      <c r="Y9" s="307"/>
      <c r="Z9" s="307"/>
      <c r="AA9" s="307"/>
      <c r="AB9" s="307"/>
      <c r="AC9" s="307"/>
      <c r="AD9" s="307"/>
    </row>
    <row r="10" ht="15.75" customHeight="1">
      <c r="A10" s="306"/>
      <c r="B10" s="306"/>
      <c r="C10" s="306"/>
      <c r="D10" s="306"/>
      <c r="E10" s="306"/>
      <c r="F10" s="306"/>
      <c r="G10" s="342">
        <v>3.0</v>
      </c>
      <c r="H10" s="343" t="str">
        <f t="shared" si="1"/>
        <v>AZUL4</v>
      </c>
      <c r="I10" s="344">
        <f t="shared" si="2"/>
        <v>0.03036580683</v>
      </c>
      <c r="J10" s="306"/>
      <c r="K10" s="343" t="str">
        <f t="shared" si="3"/>
        <v>VIVA3</v>
      </c>
      <c r="L10" s="344">
        <f t="shared" si="4"/>
        <v>0.04231050793</v>
      </c>
      <c r="M10" s="345">
        <f t="shared" si="5"/>
        <v>2</v>
      </c>
      <c r="N10" s="353" t="s">
        <v>344</v>
      </c>
      <c r="O10" s="123"/>
      <c r="P10" s="307"/>
      <c r="Q10" s="307"/>
      <c r="R10" s="307"/>
      <c r="S10" s="307"/>
      <c r="T10" s="307"/>
      <c r="U10" s="307"/>
      <c r="V10" s="307"/>
      <c r="W10" s="307"/>
      <c r="X10" s="307"/>
      <c r="Y10" s="307"/>
      <c r="Z10" s="307"/>
      <c r="AA10" s="307"/>
      <c r="AB10" s="307"/>
      <c r="AC10" s="307"/>
      <c r="AD10" s="307"/>
    </row>
    <row r="11" ht="15.75" customHeight="1">
      <c r="A11" s="306"/>
      <c r="B11" s="354" t="s">
        <v>307</v>
      </c>
      <c r="C11" s="355"/>
      <c r="D11" s="356" t="s">
        <v>308</v>
      </c>
      <c r="E11" s="357" t="s">
        <v>345</v>
      </c>
      <c r="F11" s="358"/>
      <c r="G11" s="342">
        <v>4.0</v>
      </c>
      <c r="H11" s="343" t="str">
        <f t="shared" si="1"/>
        <v>RDOR3</v>
      </c>
      <c r="I11" s="344">
        <f t="shared" si="2"/>
        <v>0.00697839372</v>
      </c>
      <c r="J11" s="306"/>
      <c r="K11" s="343" t="str">
        <f t="shared" si="3"/>
        <v>PETZ3</v>
      </c>
      <c r="L11" s="344">
        <f t="shared" si="4"/>
        <v>0.04927006934</v>
      </c>
      <c r="M11" s="345">
        <f t="shared" si="5"/>
        <v>1</v>
      </c>
      <c r="N11" s="336" t="s">
        <v>342</v>
      </c>
      <c r="O11" s="337" t="s">
        <v>343</v>
      </c>
      <c r="P11" s="307"/>
      <c r="Q11" s="359"/>
      <c r="R11" s="360"/>
      <c r="S11" s="307" t="s">
        <v>346</v>
      </c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</row>
    <row r="12" ht="15.75" customHeight="1">
      <c r="A12" s="306"/>
      <c r="B12" s="361">
        <f t="array" ref="B12">XLOOKUP($C$3,Controle!$B$10:$B$901,Controle!$M$10:$M$901,"",0)*(1+$E$8)</f>
        <v>74024991.55</v>
      </c>
      <c r="C12" s="362"/>
      <c r="D12" s="363">
        <f t="array" ref="D12">-XLOOKUP($C$3,Controle!$B$10:$B$901,Controle!$L$10:$L$901)*((1+Controle!$AC$4)^(1/252)-1)</f>
        <v>-6071.40076</v>
      </c>
      <c r="E12" s="364">
        <f>0</f>
        <v>0</v>
      </c>
      <c r="F12" s="365"/>
      <c r="G12" s="342">
        <v>5.0</v>
      </c>
      <c r="H12" s="343" t="str">
        <f t="shared" si="1"/>
        <v/>
      </c>
      <c r="I12" s="344" t="str">
        <f t="shared" si="2"/>
        <v/>
      </c>
      <c r="J12" s="306"/>
      <c r="K12" s="343" t="str">
        <f t="shared" si="3"/>
        <v/>
      </c>
      <c r="L12" s="344" t="str">
        <f t="shared" si="4"/>
        <v/>
      </c>
      <c r="M12" s="345">
        <f t="shared" si="5"/>
        <v>0</v>
      </c>
      <c r="N12" s="346">
        <f>SUM($G$18:$G$900)</f>
        <v>909699.6485</v>
      </c>
      <c r="O12" s="347">
        <f>$N$12/$C$6</f>
        <v>0.00885269785</v>
      </c>
      <c r="P12" s="307"/>
      <c r="Q12" s="307"/>
      <c r="R12" s="307"/>
      <c r="S12" s="307"/>
      <c r="T12" s="307"/>
      <c r="U12" s="307"/>
      <c r="V12" s="307"/>
      <c r="W12" s="307"/>
      <c r="X12" s="307"/>
      <c r="Y12" s="366"/>
      <c r="Z12" s="366"/>
      <c r="AA12" s="307"/>
      <c r="AB12" s="307"/>
      <c r="AC12" s="307"/>
      <c r="AD12" s="307"/>
    </row>
    <row r="13" ht="15.75" customHeight="1">
      <c r="A13" s="306"/>
      <c r="B13" s="367" t="s">
        <v>314</v>
      </c>
      <c r="C13" s="368"/>
      <c r="D13" s="369" t="s">
        <v>347</v>
      </c>
      <c r="E13" s="367" t="s">
        <v>348</v>
      </c>
      <c r="F13" s="231"/>
      <c r="G13" s="306"/>
      <c r="H13" s="306"/>
      <c r="I13" s="306"/>
      <c r="J13" s="306"/>
      <c r="K13" s="306"/>
      <c r="L13" s="307"/>
      <c r="M13" s="307"/>
      <c r="N13" s="352"/>
      <c r="O13" s="370"/>
      <c r="P13" s="307"/>
      <c r="Q13" s="307"/>
      <c r="R13" s="307"/>
      <c r="S13" s="307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</row>
    <row r="14" ht="15.75" customHeight="1">
      <c r="A14" s="306"/>
      <c r="B14" s="371">
        <f>SUMIFS('Alocação'!$M:$M, 'Alocação'!$B:$B, Controle!$B$6,'Alocação'!$D:$D,"&lt;&gt;"&amp;"Futuros",'Alocação'!$F:$F,"="&amp;$N$4)</f>
        <v>0</v>
      </c>
      <c r="C14" s="372"/>
      <c r="D14" s="373">
        <f>0</f>
        <v>0</v>
      </c>
      <c r="E14" s="374">
        <f> SUMIFS(Controle!$AX$11:$AX$1000,Controle!$AU$11:$AU$1000,"="&amp;"Futuros")</f>
        <v>0</v>
      </c>
      <c r="F14" s="365"/>
      <c r="G14" s="306"/>
      <c r="H14" s="306"/>
      <c r="I14" s="306"/>
      <c r="J14" s="306"/>
      <c r="K14" s="375" t="s">
        <v>349</v>
      </c>
      <c r="L14" s="375" t="s">
        <v>350</v>
      </c>
      <c r="M14" s="307"/>
      <c r="N14" s="353" t="s">
        <v>351</v>
      </c>
      <c r="O14" s="123"/>
      <c r="P14" s="307"/>
      <c r="Q14" s="307"/>
      <c r="R14" s="307"/>
      <c r="S14" s="307"/>
      <c r="T14" s="307"/>
      <c r="U14" s="307"/>
      <c r="V14" s="307"/>
      <c r="W14" s="307"/>
      <c r="X14" s="307"/>
      <c r="Y14" s="307"/>
      <c r="Z14" s="307"/>
      <c r="AA14" s="307"/>
      <c r="AB14" s="307"/>
      <c r="AC14" s="307"/>
      <c r="AD14" s="307"/>
    </row>
    <row r="15" ht="15.75" customHeight="1">
      <c r="A15" s="306"/>
      <c r="B15" s="306"/>
      <c r="C15" s="306"/>
      <c r="D15" s="306"/>
      <c r="E15" s="306"/>
      <c r="F15" s="306"/>
      <c r="G15" s="81"/>
      <c r="H15" s="306"/>
      <c r="I15" s="383"/>
      <c r="J15" s="306"/>
      <c r="K15" s="376">
        <f>SUM($F$18:$F$999)</f>
        <v>0.2862175186</v>
      </c>
      <c r="L15" s="376">
        <f>SUM($E$18:$E$999)</f>
        <v>0.2862172306</v>
      </c>
      <c r="M15" s="307"/>
      <c r="N15" s="336" t="s">
        <v>352</v>
      </c>
      <c r="O15" s="337" t="s">
        <v>343</v>
      </c>
      <c r="P15" s="307"/>
      <c r="Q15" s="307"/>
      <c r="R15" s="307"/>
      <c r="S15" s="307"/>
      <c r="T15" s="307"/>
      <c r="U15" s="307"/>
      <c r="V15" s="307"/>
      <c r="W15" s="377"/>
      <c r="X15" s="377"/>
      <c r="Y15" s="377"/>
      <c r="Z15" s="377"/>
      <c r="AA15" s="377"/>
      <c r="AB15" s="307"/>
      <c r="AC15" s="307"/>
      <c r="AD15" s="307"/>
    </row>
    <row r="16" ht="15.75" customHeight="1">
      <c r="A16" s="306"/>
      <c r="B16" s="306"/>
      <c r="C16" s="306"/>
      <c r="D16" s="306"/>
      <c r="E16" s="306"/>
      <c r="F16" s="306"/>
      <c r="G16" s="306"/>
      <c r="H16" s="306"/>
      <c r="I16" s="383"/>
      <c r="J16" s="306"/>
      <c r="K16" s="311"/>
      <c r="L16" s="311"/>
      <c r="M16" s="348"/>
      <c r="N16" s="346">
        <f>$D$12</f>
        <v>-6071.40076</v>
      </c>
      <c r="O16" s="347">
        <f>$N$16/$C$6</f>
        <v>-0.00005908354097</v>
      </c>
      <c r="P16" s="307"/>
      <c r="Q16" s="307"/>
      <c r="R16" s="348"/>
      <c r="S16" s="348"/>
      <c r="T16" s="348"/>
      <c r="U16" s="307"/>
      <c r="V16" s="307"/>
      <c r="W16" s="378" t="s">
        <v>353</v>
      </c>
      <c r="X16" s="122"/>
      <c r="Y16" s="122"/>
      <c r="Z16" s="122"/>
      <c r="AA16" s="123"/>
      <c r="AB16" s="307"/>
      <c r="AC16" s="307"/>
      <c r="AD16" s="307"/>
    </row>
    <row r="17" ht="15.75" customHeight="1">
      <c r="A17" s="348"/>
      <c r="B17" s="379" t="s">
        <v>183</v>
      </c>
      <c r="C17" s="379" t="s">
        <v>324</v>
      </c>
      <c r="D17" s="380" t="s">
        <v>354</v>
      </c>
      <c r="E17" s="381" t="s">
        <v>355</v>
      </c>
      <c r="F17" s="381" t="s">
        <v>356</v>
      </c>
      <c r="G17" s="381" t="s">
        <v>357</v>
      </c>
      <c r="H17" s="381" t="s">
        <v>343</v>
      </c>
      <c r="I17" s="383"/>
      <c r="J17" s="383"/>
      <c r="K17" s="384"/>
      <c r="L17" s="385" t="s">
        <v>359</v>
      </c>
      <c r="M17" s="383"/>
      <c r="N17" s="352"/>
      <c r="O17" s="386"/>
      <c r="P17" s="387"/>
      <c r="Q17" s="247"/>
      <c r="R17" s="307" t="s">
        <v>360</v>
      </c>
      <c r="S17" s="307" t="s">
        <v>361</v>
      </c>
      <c r="T17" s="307" t="s">
        <v>362</v>
      </c>
      <c r="U17" s="247"/>
      <c r="V17" s="307"/>
      <c r="W17" s="388" t="s">
        <v>183</v>
      </c>
      <c r="X17" s="389" t="s">
        <v>354</v>
      </c>
      <c r="Y17" s="389" t="s">
        <v>363</v>
      </c>
      <c r="Z17" s="389" t="s">
        <v>364</v>
      </c>
      <c r="AA17" s="389" t="s">
        <v>365</v>
      </c>
      <c r="AB17" s="348"/>
      <c r="AC17" s="348"/>
      <c r="AD17" s="348"/>
    </row>
    <row r="18" ht="15.75" customHeight="1">
      <c r="A18" s="348"/>
      <c r="B18" s="390" t="str">
        <f>IFERROR(__xludf.DUMMYFUNCTION("IFERROR(UNIQUE(filter(VSTACK('Controle D-1'!AT11:AT46,Controle!AT11:AT46),VSTACK('Controle D-1'!AT11:AT46,Controle!AT11:AT46)&lt;&gt;0),""""))"),"AZUL4")</f>
        <v>AZUL4</v>
      </c>
      <c r="C18" s="391">
        <f>IF($B18 &lt;&gt; "",SUMIFS('Alocação'!$O$3:$O$1002,'Alocação'!$C$3:$C$1002,$B18,'Alocação'!$F$3:$F$1002,$N$4,'Alocação'!$B$3:$B$1002,"&lt;="&amp;$B$3), "")</f>
        <v>-1</v>
      </c>
      <c r="D18" s="391" t="str">
        <f>IFERROR(VLOOKUP($B18, 'Cadastro dos Ativos'!$A$1:$C$217, 3, FALSE), "")</f>
        <v>Ações Listadas na B3</v>
      </c>
      <c r="E18" s="392">
        <f>IFS($D18="Ações Listadas na B3", (($C18 * HLOOKUP($B18, 'Histórico'!$A$1:$FI$296, MATCH($B$3,'Histórico'!$A:$A),0)) / $B$6),
$D18="Ações Americanas",(($C18 * HLOOKUP($B18, 'Histórico'!$A$1:$FI$296, MATCH($B$3,'Histórico'!$A:$A),0)) * HLOOKUP("PTAX", 'Histórico'!$A$1:$FI$296, MATCH($B$3,'Histórico'!$A:$A),0) / $B$6),
$D18="Ações Europeias",(($C18 * HLOOKUP($B18, 'Histórico'!$A$1:$FI$296, MATCH($B$3,'Histórico'!$A:$A),0)) * HLOOKUP("EUR/BRL", 'Histórico'!$A$1:$FI$296, MATCH($B$3,'Histórico'!$A:$A),0) / $B$6),
$D18="Futuros",(SUMIFS('Alocação'!$N:$N,'Alocação'!$C:$C,$B18,'Alocação'!$F:$F,$N$4,'Alocação'!$B:$B,"&lt;="&amp;$B$3))/($B$6)+($C18*SUMPRODUCT(('Histórico T'!$A:$A=$B18)*('Histórico T'!$B:$AAW)))/($B$6),$D18="Moedas",(($C18 * HLOOKUP($B18, 'Histórico'!$A$1:$FI$296, MATCH($B$3,'Histórico'!$A:$A),0)) / $B$6),$D18="Títulos", (($C18 * HLOOKUP($B18, 'Histórico'!$A$1:$FI$296, MATCH($B$3,'Histórico'!$A:$A),0)) / $B$6),$B18="","")</f>
        <v>-0.0000001439736887</v>
      </c>
      <c r="F18" s="393">
        <f t="shared" ref="F18:F37" si="7">IF($E18="","", ABS($E18))</f>
        <v>0.0000001439736887</v>
      </c>
      <c r="G18" s="394">
        <f>IFS(OR($D18="Ações Listadas na B3",$D18="Ações Americanas",$D18="Moedas",$D18="Ações Europeias",$D18="Títulos"),$AA18,
$D18="Futuros",
(SUMIFS('Alocação'!$O$3:$O$1002,'Alocação'!$C$3:$C$1002,B18,'Alocação'!$F$3:$F$1002,N$4,'Alocação'!$B$3:$B$1002,"&lt;="&amp;$C$3))*HLOOKUP(B18,'Histórico'!$A$1:$DD$990,MATCH($B$3,'Histórico'!$A:$A),FALSE),
$D18="",""
)</f>
        <v>-0.4400005341</v>
      </c>
      <c r="H18" s="444">
        <f t="shared" ref="H18:H37" si="8">IF(($G18)/$C$6 &lt;&gt; 0 , ($G18)/$C$6 , "")</f>
        <v>-0.00000000428184378</v>
      </c>
      <c r="I18" s="383"/>
      <c r="J18" s="383"/>
      <c r="K18" s="397" t="s">
        <v>366</v>
      </c>
      <c r="L18" s="344">
        <f>STDEV(Controle!$Q$11:$Q$242)</f>
        <v>0.004068652499</v>
      </c>
      <c r="M18" s="383"/>
      <c r="N18" s="353" t="s">
        <v>367</v>
      </c>
      <c r="O18" s="398">
        <f t="shared" ref="O18:P18" si="6">SUM(N$8,N$12,N$16)</f>
        <v>939910.0913</v>
      </c>
      <c r="P18" s="469">
        <f t="shared" si="6"/>
        <v>0.009146689304</v>
      </c>
      <c r="Q18" s="247"/>
      <c r="R18" s="400">
        <f t="array" ref="R18">IFERROR(IF(D18&lt;&gt;"Futuros",
(INDEX('Histórico'!$B$1:$ADT983, MATCH($B$3, 'Histórico'!$A$1:$A983, 0), MATCH(B18, 'Histórico'!$1:$1, 0)-1)/INDEX('Histórico'!$B$1:$ADT983, MATCH($C$3, 'Histórico'!$A$1:$A983, 0), MATCH(B18, 'Histórico'!$1:$1, 0)-1)-1),
""),"")</f>
        <v>0.03036580683</v>
      </c>
      <c r="S18" s="401">
        <f t="shared" ref="S18:S26" si="9">IF(R18&lt;&gt;"",R18*(RANDBETWEEN(1,1.2)/1000000000),"")</f>
        <v>0</v>
      </c>
      <c r="T18" s="402">
        <f t="shared" ref="T18:T35" si="10">IF(S18&lt;&gt;"", RANK(S18,$S$18:$S$37),"")</f>
        <v>3</v>
      </c>
      <c r="U18" s="247"/>
      <c r="V18" s="307"/>
      <c r="W18" s="403" t="str">
        <f>IFERROR(__xludf.DUMMYFUNCTION("IFERROR(UNIQUE(filter(VSTACK('Controle D-1'!AT11:AT46,Controle!AT11:AT46),VSTACK('Controle D-1'!AT11:AT46,Controle!AT11:AT46)&lt;&gt;0),""""))"),"AZUL4")</f>
        <v>AZUL4</v>
      </c>
      <c r="X18" s="404" t="str">
        <f>IFERROR(VLOOKUP(W18, 'Cadastro dos Ativos'!$A$1:$C$216, 3, FALSE), "")</f>
        <v>Ações Listadas na B3</v>
      </c>
      <c r="Y18" s="405">
        <f t="array" ref="Y18">IFERROR(IFERROR(IF($X18&lt;&gt;"Futuros",
XLOOKUP($W18, Controle!$AT$11:$AT$1001,Controle!$AX$11:$AX$1001)-XLOOKUP($W18, 'Controle D-1'!$AT$11:$AT$1001,'Controle D-1'!$AX$11:$AX$1001),
""),XLOOKUP($W18, Controle!$AT$11:$AT$1001,Controle!$AX$11:$AX$1001)),"")</f>
        <v>-0.4400005341</v>
      </c>
      <c r="Z18" s="405">
        <f>IFS($X18&lt;&gt;"Futuros", SUMIFS('Alocação'!$M$2:$M$1003,'Alocação'!$C$2:$C$1003,$W18,'Alocação'!$B$2:$B$1003,$B$3,'Alocação'!$F$2:$F$1003,$N$4),
$X18="","",
$X18="Futuros","")</f>
        <v>0</v>
      </c>
      <c r="AA18" s="405">
        <f t="shared" ref="AA18:AA28" si="11">if(Y18="","",if(Y18=0,0,($Y18+$Z18)))</f>
        <v>-0.4400005341</v>
      </c>
      <c r="AB18" s="81"/>
      <c r="AC18" s="282"/>
      <c r="AD18" s="282"/>
    </row>
    <row r="19" ht="15.75" customHeight="1">
      <c r="A19" s="348"/>
      <c r="B19" s="406" t="str">
        <f>IFERROR(__xludf.DUMMYFUNCTION("""COMPUTED_VALUE"""),"RDOR3")</f>
        <v>RDOR3</v>
      </c>
      <c r="C19" s="4">
        <f>IF($B19 &lt;&gt; "",SUMIFS('Alocação'!$O$3:$O$1002,'Alocação'!$C$3:$C$1002,$B19,'Alocação'!$F$3:$F$1002,$N$4,'Alocação'!$B$3:$B$1002,"&lt;="&amp;$B$3), "")</f>
        <v>355000</v>
      </c>
      <c r="D19" s="4" t="str">
        <f>IFERROR(VLOOKUP($B19, 'Cadastro dos Ativos'!$A$1:$C$217, 3, FALSE), "")</f>
        <v>Ações Listadas na B3</v>
      </c>
      <c r="E19" s="407">
        <f>IFS($D19="Ações Listadas na B3", (($C19 * HLOOKUP($B19, 'Histórico'!$A$1:$FI$296, MATCH($B$3,'Histórico'!$A:$A),0)) / $B$6),
$D19="Ações Americanas",(($C19 * HLOOKUP($B19, 'Histórico'!$A$1:$FI$296, MATCH($B$3,'Histórico'!$A:$A),0)) * HLOOKUP("PTAX", 'Histórico'!$A$1:$FI$296, MATCH($B$3,'Histórico'!$A:$A),0) / $B$6),
$D19="Ações Europeias",(($C19 * HLOOKUP($B19, 'Histórico'!$A$1:$FI$296, MATCH($B$3,'Histórico'!$A:$A),0)) * HLOOKUP("EUR/BRL", 'Histórico'!$A$1:$FI$296, MATCH($B$3,'Histórico'!$A:$A),0) / $B$6),
$D19="Futuros",(SUMIFS('Alocação'!$N:$N,'Alocação'!$C:$C,$B19,'Alocação'!$F:$F,$N$4,'Alocação'!$B:$B,"&lt;="&amp;$B$3))/($B$6)+($C19*SUMPRODUCT(('Histórico T'!$A:$A=$B19)*('Histórico T'!$B:$AAW)))/($B$6),$D19="Moedas",(($C19 * HLOOKUP($B19, 'Histórico'!$A$1:$FI$296, MATCH($B$3,'Histórico'!$A:$A),0)) / $B$6),$D19="Títulos", (($C19 * HLOOKUP($B19, 'Histórico'!$A$1:$FI$296, MATCH($B$3,'Histórico'!$A:$A),0)) / $B$6),$B19="","")</f>
        <v>0.09879796607</v>
      </c>
      <c r="F19" s="408">
        <f t="shared" si="7"/>
        <v>0.09879796607</v>
      </c>
      <c r="G19" s="394">
        <f>IFS(OR($D19="Ações Listadas na B3",$D19="Ações Americanas",$D19="Moedas",$D19="Ações Europeias",$D19="Títulos"),$AA19,
$D19="Futuros",
(SUMIFS('Alocação'!$O$3:$O$1002,'Alocação'!$C$3:$C$1002,B19,'Alocação'!$F$3:$F$1002,N$4,'Alocação'!$B$3:$B$1002,"&lt;="&amp;$C$3))*HLOOKUP(B19,'Histórico'!$A$1:$DD$990,MATCH($B$3,'Histórico'!$A:$A),FALSE),
$D19="",""
)</f>
        <v>71000.27084</v>
      </c>
      <c r="H19" s="446">
        <f t="shared" si="8"/>
        <v>0.0006909356798</v>
      </c>
      <c r="I19" s="383"/>
      <c r="J19" s="383"/>
      <c r="K19" s="397" t="s">
        <v>368</v>
      </c>
      <c r="L19" s="344">
        <f>$L$18*(252^0.5)</f>
        <v>0.0645878561</v>
      </c>
      <c r="M19" s="383"/>
      <c r="N19" s="336" t="s">
        <v>369</v>
      </c>
      <c r="O19" s="409">
        <f>B6-C6</f>
        <v>939910.0913</v>
      </c>
      <c r="P19" s="470">
        <f>B6/C6-1</f>
        <v>0.009146689304</v>
      </c>
      <c r="Q19" s="247"/>
      <c r="R19" s="400">
        <f t="array" ref="R19">IFERROR(IF(D19&lt;&gt;"Futuros",
(INDEX('Histórico'!$B$1:$ADT984, MATCH($B$3, 'Histórico'!$A$1:$A984, 0), MATCH(B19, 'Histórico'!$1:$1, 0)-1)/INDEX('Histórico'!$B$1:$ADT984, MATCH($C$3, 'Histórico'!$A$1:$A984, 0), MATCH(B19, 'Histórico'!$1:$1, 0)-1)-1),
""),"")</f>
        <v>0.00697839372</v>
      </c>
      <c r="S19" s="401">
        <f t="shared" si="9"/>
        <v>0</v>
      </c>
      <c r="T19" s="402">
        <f t="shared" si="10"/>
        <v>4</v>
      </c>
      <c r="U19" s="247"/>
      <c r="V19" s="307"/>
      <c r="W19" s="403" t="str">
        <f>IFERROR(__xludf.DUMMYFUNCTION("""COMPUTED_VALUE"""),"RDOR3")</f>
        <v>RDOR3</v>
      </c>
      <c r="X19" s="404" t="str">
        <f>IFERROR(VLOOKUP(W19, 'Cadastro dos Ativos'!$A$1:$C$216, 3, FALSE), "")</f>
        <v>Ações Listadas na B3</v>
      </c>
      <c r="Y19" s="405">
        <f t="array" ref="Y19">IFERROR(IFERROR(IF($X19&lt;&gt;"Futuros",
XLOOKUP($W19, Controle!$AT$11:$AT$1001,Controle!$AX$11:$AX$1001)-XLOOKUP($W19, 'Controle D-1'!$AT$11:$AT$1001,'Controle D-1'!$AX$11:$AX$1001),
""),XLOOKUP($W19, Controle!$AT$11:$AT$1001,Controle!$AX$11:$AX$1001)),"")</f>
        <v>71000.27084</v>
      </c>
      <c r="Z19" s="405">
        <f>IFS($X19&lt;&gt;"Futuros", SUMIFS('Alocação'!$M$2:$M$1003,'Alocação'!$C$2:$C$1003,$W19,'Alocação'!$B$2:$B$1003,$B$3,'Alocação'!$F$2:$F$1003,$N$4),
$X19="","",
$X19="Futuros","")</f>
        <v>0</v>
      </c>
      <c r="AA19" s="405">
        <f t="shared" si="11"/>
        <v>71000.27084</v>
      </c>
      <c r="AB19" s="411"/>
      <c r="AC19" s="282"/>
      <c r="AD19" s="282"/>
    </row>
    <row r="20" ht="15.75" customHeight="1">
      <c r="A20" s="348"/>
      <c r="B20" s="406" t="str">
        <f>IFERROR(__xludf.DUMMYFUNCTION("""COMPUTED_VALUE"""),"VIVA3")</f>
        <v>VIVA3</v>
      </c>
      <c r="C20" s="4">
        <f>IF($B20 &lt;&gt; "",SUMIFS('Alocação'!$O$3:$O$1002,'Alocação'!$C$3:$C$1002,$B20,'Alocação'!$F$3:$F$1002,$N$4,'Alocação'!$B$3:$B$1002,"&lt;="&amp;$B$3), "")</f>
        <v>410000</v>
      </c>
      <c r="D20" s="4" t="str">
        <f>IFERROR(VLOOKUP($B20, 'Cadastro dos Ativos'!$A$1:$C$217, 3, FALSE), "")</f>
        <v>Ações Listadas na B3</v>
      </c>
      <c r="E20" s="407">
        <f>IFS($D20="Ações Listadas na B3", (($C20 * HLOOKUP($B20, 'Histórico'!$A$1:$FI$296, MATCH($B$3,'Histórico'!$A:$A),0)) / $B$6),
$D20="Ações Americanas",(($C20 * HLOOKUP($B20, 'Histórico'!$A$1:$FI$296, MATCH($B$3,'Histórico'!$A:$A),0)) * HLOOKUP("PTAX", 'Histórico'!$A$1:$FI$296, MATCH($B$3,'Histórico'!$A:$A),0) / $B$6),
$D20="Ações Europeias",(($C20 * HLOOKUP($B20, 'Histórico'!$A$1:$FI$296, MATCH($B$3,'Histórico'!$A:$A),0)) * HLOOKUP("EUR/BRL", 'Histórico'!$A$1:$FI$296, MATCH($B$3,'Histórico'!$A:$A),0) / $B$6),
$D20="Futuros",(SUMIFS('Alocação'!$N:$N,'Alocação'!$C:$C,$B20,'Alocação'!$F:$F,$N$4,'Alocação'!$B:$B,"&lt;="&amp;$B$3))/($B$6)+($C20*SUMPRODUCT(('Histórico T'!$A:$A=$B20)*('Histórico T'!$B:$AAW)))/($B$6),$D20="Moedas",(($C20 * HLOOKUP($B20, 'Histórico'!$A$1:$FI$296, MATCH($B$3,'Histórico'!$A:$A),0)) / $B$6),$D20="Títulos", (($C20 * HLOOKUP($B20, 'Histórico'!$A$1:$FI$296, MATCH($B$3,'Histórico'!$A:$A),0)) / $B$6),$B20="","")</f>
        <v>0.1120092128</v>
      </c>
      <c r="F20" s="408">
        <f t="shared" si="7"/>
        <v>0.1120092128</v>
      </c>
      <c r="G20" s="394">
        <f>IFS(OR($D20="Ações Listadas na B3",$D20="Ações Americanas",$D20="Moedas",$D20="Ações Europeias",$D20="Títulos"),$AA20,
$D20="Futuros",
(SUMIFS('Alocação'!$O$3:$O$1002,'Alocação'!$C$3:$C$1002,B20,'Alocação'!$F$3:$F$1002,N$4,'Alocação'!$B$3:$B$1002,"&lt;="&amp;$C$3))*HLOOKUP(B20,'Histórico'!$A$1:$DD$990,MATCH($B$3,'Histórico'!$A:$A),FALSE),
$D20="",""
)</f>
        <v>471499.8436</v>
      </c>
      <c r="H20" s="446">
        <f t="shared" si="8"/>
        <v>0.004588377778</v>
      </c>
      <c r="I20" s="383"/>
      <c r="J20" s="383"/>
      <c r="K20" s="386"/>
      <c r="L20" s="412"/>
      <c r="M20" s="383"/>
      <c r="N20" s="336" t="s">
        <v>370</v>
      </c>
      <c r="O20" s="413" t="str">
        <f>IF(ABS($O$21)&lt;0.0001,"Verdade","Falso")</f>
        <v>Verdade</v>
      </c>
      <c r="P20" s="413" t="str">
        <f>IF(ABS($P$21)&lt;0.0001,"Verdade","Falso")</f>
        <v>Verdade</v>
      </c>
      <c r="Q20" s="247"/>
      <c r="R20" s="400">
        <f t="array" ref="R20">IFERROR(IF(D20&lt;&gt;"Futuros",
(INDEX('Histórico'!$B$1:$ADT985, MATCH($B$3, 'Histórico'!$A$1:$A985, 0), MATCH(B20, 'Histórico'!$1:$1, 0)-1)/INDEX('Histórico'!$B$1:$ADT985, MATCH($C$3, 'Histórico'!$A$1:$A985, 0), MATCH(B20, 'Histórico'!$1:$1, 0)-1)-1),
""),"")</f>
        <v>0.04231050793</v>
      </c>
      <c r="S20" s="401">
        <f t="shared" si="9"/>
        <v>0</v>
      </c>
      <c r="T20" s="402">
        <f t="shared" si="10"/>
        <v>2</v>
      </c>
      <c r="U20" s="247"/>
      <c r="V20" s="307"/>
      <c r="W20" s="403" t="str">
        <f>IFERROR(__xludf.DUMMYFUNCTION("""COMPUTED_VALUE"""),"VIVA3")</f>
        <v>VIVA3</v>
      </c>
      <c r="X20" s="404" t="str">
        <f>IFERROR(VLOOKUP(W20, 'Cadastro dos Ativos'!$A$1:$C$216, 3, FALSE), "")</f>
        <v>Ações Listadas na B3</v>
      </c>
      <c r="Y20" s="405">
        <f t="array" ref="Y20">IFERROR(IFERROR(IF($X20&lt;&gt;"Futuros",
XLOOKUP($W20, Controle!$AT$11:$AT$1001,Controle!$AX$11:$AX$1001)-XLOOKUP($W20, 'Controle D-1'!$AT$11:$AT$1001,'Controle D-1'!$AX$11:$AX$1001),
""),XLOOKUP($W20, Controle!$AT$11:$AT$1001,Controle!$AX$11:$AX$1001)),"")</f>
        <v>471499.8436</v>
      </c>
      <c r="Z20" s="405">
        <f>IFS($X20&lt;&gt;"Futuros", SUMIFS('Alocação'!$M$2:$M$1003,'Alocação'!$C$2:$C$1003,$W20,'Alocação'!$B$2:$B$1003,$B$3,'Alocação'!$F$2:$F$1003,$N$4),
$X20="","",
$X20="Futuros","")</f>
        <v>0</v>
      </c>
      <c r="AA20" s="405">
        <f t="shared" si="11"/>
        <v>471499.8436</v>
      </c>
      <c r="AB20" s="411"/>
      <c r="AC20" s="282"/>
      <c r="AD20" s="282"/>
    </row>
    <row r="21" ht="15.75" customHeight="1">
      <c r="A21" s="348"/>
      <c r="B21" s="406" t="str">
        <f>IFERROR(__xludf.DUMMYFUNCTION("""COMPUTED_VALUE"""),"PETZ3")</f>
        <v>PETZ3</v>
      </c>
      <c r="C21" s="394">
        <f>IF($B21 &lt;&gt; "",SUMIFS('Alocação'!$O$3:$O$1002,'Alocação'!$C$3:$C$1002,$B21,'Alocação'!$F$3:$F$1002,$N$4,'Alocação'!$B$3:$B$1002,"&lt;="&amp;$B$3), "")</f>
        <v>1360000</v>
      </c>
      <c r="D21" s="4" t="str">
        <f>IFERROR(VLOOKUP($B21, 'Cadastro dos Ativos'!$A$1:$C$217, 3, FALSE), "")</f>
        <v>Ações Listadas na B3</v>
      </c>
      <c r="E21" s="407">
        <f>IFS($D21="Ações Listadas na B3", (($C21 * HLOOKUP($B21, 'Histórico'!$A$1:$FI$296, MATCH($B$3,'Histórico'!$A:$A),0)) / $B$6),
$D21="Ações Americanas",(($C21 * HLOOKUP($B21, 'Histórico'!$A$1:$FI$296, MATCH($B$3,'Histórico'!$A:$A),0)) * HLOOKUP("PTAX", 'Histórico'!$A$1:$FI$296, MATCH($B$3,'Histórico'!$A:$A),0) / $B$6),
$D21="Ações Europeias",(($C21 * HLOOKUP($B21, 'Histórico'!$A$1:$FI$296, MATCH($B$3,'Histórico'!$A:$A),0)) * HLOOKUP("EUR/BRL", 'Histórico'!$A$1:$FI$296, MATCH($B$3,'Histórico'!$A:$A),0) / $B$6),
$D21="Futuros",(SUMIFS('Alocação'!$N:$N,'Alocação'!$C:$C,$B21,'Alocação'!$F:$F,$N$4,'Alocação'!$B:$B,"&lt;="&amp;$B$3))/($B$6)+($C21*SUMPRODUCT(('Histórico T'!$A:$A=$B21)*('Histórico T'!$B:$AAW)))/($B$6),$D21="Moedas",(($C21 * HLOOKUP($B21, 'Histórico'!$A$1:$FI$296, MATCH($B$3,'Histórico'!$A:$A),0)) / $B$6),$D21="Títulos", (($C21 * HLOOKUP($B21, 'Histórico'!$A$1:$FI$296, MATCH($B$3,'Histórico'!$A:$A),0)) / $B$6),$B21="","")</f>
        <v>0.07541019573</v>
      </c>
      <c r="F21" s="408">
        <f t="shared" si="7"/>
        <v>0.07541019573</v>
      </c>
      <c r="G21" s="394">
        <f>IFS(OR($D21="Ações Listadas na B3",$D21="Ações Americanas",$D21="Moedas",$D21="Ações Europeias",$D21="Títulos"),$AA21,
$D21="Futuros",
(SUMIFS('Alocação'!$O$3:$O$1002,'Alocação'!$C$3:$C$1002,B21,'Alocação'!$F$3:$F$1002,N$4,'Alocação'!$B$3:$B$1002,"&lt;="&amp;$C$3))*HLOOKUP(B21,'Histórico'!$A$1:$DD$990,MATCH($B$3,'Histórico'!$A:$A),FALSE),
$D21="",""
)</f>
        <v>367199.9741</v>
      </c>
      <c r="H21" s="446">
        <f t="shared" si="8"/>
        <v>0.003573388674</v>
      </c>
      <c r="I21" s="383"/>
      <c r="J21" s="383"/>
      <c r="K21" s="384"/>
      <c r="L21" s="414" t="s">
        <v>371</v>
      </c>
      <c r="M21" s="383"/>
      <c r="N21" s="336" t="s">
        <v>372</v>
      </c>
      <c r="O21" s="409">
        <f>O18-O19</f>
        <v>-0.00000005471520126</v>
      </c>
      <c r="P21" s="347">
        <f>$P$18-$D$8</f>
        <v>0</v>
      </c>
      <c r="Q21" s="247"/>
      <c r="R21" s="400">
        <f t="array" ref="R21">IFERROR(IF(D21&lt;&gt;"Futuros",
(INDEX('Histórico'!$B$1:$ADT986, MATCH($B$3, 'Histórico'!$A$1:$A986, 0), MATCH(B21, 'Histórico'!$1:$1, 0)-1)/INDEX('Histórico'!$B$1:$ADT986, MATCH($C$3, 'Histórico'!$A$1:$A986, 0), MATCH(B21, 'Histórico'!$1:$1, 0)-1)-1),
""),"")</f>
        <v>0.04927006934</v>
      </c>
      <c r="S21" s="401">
        <f t="shared" si="9"/>
        <v>0</v>
      </c>
      <c r="T21" s="402">
        <f t="shared" si="10"/>
        <v>1</v>
      </c>
      <c r="U21" s="247"/>
      <c r="V21" s="307"/>
      <c r="W21" s="403" t="str">
        <f>IFERROR(__xludf.DUMMYFUNCTION("""COMPUTED_VALUE"""),"PETZ3")</f>
        <v>PETZ3</v>
      </c>
      <c r="X21" s="404" t="str">
        <f>IFERROR(VLOOKUP(W21, 'Cadastro dos Ativos'!$A$1:$C$216, 3, FALSE), "")</f>
        <v>Ações Listadas na B3</v>
      </c>
      <c r="Y21" s="405">
        <f t="array" ref="Y21">IFERROR(IFERROR(IF($X21&lt;&gt;"Futuros",
XLOOKUP($W21, Controle!$AT$11:$AT$1001,Controle!$AX$11:$AX$1001)-XLOOKUP($W21, 'Controle D-1'!$AT$11:$AT$1001,'Controle D-1'!$AX$11:$AX$1001),
""),XLOOKUP($W21, Controle!$AT$11:$AT$1001,Controle!$AX$11:$AX$1001)),"")</f>
        <v>367199.9741</v>
      </c>
      <c r="Z21" s="405">
        <f>IFS($X21&lt;&gt;"Futuros", SUMIFS('Alocação'!$M$2:$M$1003,'Alocação'!$C$2:$C$1003,$W21,'Alocação'!$B$2:$B$1003,$B$3,'Alocação'!$F$2:$F$1003,$N$4),
$X21="","",
$X21="Futuros","")</f>
        <v>0</v>
      </c>
      <c r="AA21" s="405">
        <f t="shared" si="11"/>
        <v>367199.9741</v>
      </c>
      <c r="AB21" s="411"/>
      <c r="AC21" s="282"/>
      <c r="AD21" s="282"/>
    </row>
    <row r="22" ht="15.75" customHeight="1">
      <c r="A22" s="348"/>
      <c r="B22" s="406"/>
      <c r="C22" s="4" t="str">
        <f>IF($B22 &lt;&gt; "",SUMIFS('Alocação'!$O$3:$O$1002,'Alocação'!$C$3:$C$1002,$B22,'Alocação'!$F$3:$F$1002,$N$4,'Alocação'!$B$3:$B$1002,"&lt;="&amp;$B$3), "")</f>
        <v/>
      </c>
      <c r="D22" s="4" t="str">
        <f>IFERROR(VLOOKUP($B22, 'Cadastro dos Ativos'!$A$1:$C$217, 3, FALSE), "")</f>
        <v/>
      </c>
      <c r="E22" s="407" t="str">
        <f>IFS($D22="Ações Listadas na B3", (($C22 * HLOOKUP($B22, 'Histórico'!$A$1:$FI$296, MATCH($B$3,'Histórico'!$A:$A),0)) / $B$6),
$D22="Ações Americanas",(($C22 * HLOOKUP($B22, 'Histórico'!$A$1:$FI$296, MATCH($B$3,'Histórico'!$A:$A),0)) * HLOOKUP("PTAX", 'Histórico'!$A$1:$FI$296, MATCH($B$3,'Histórico'!$A:$A),0) / $B$6),
$D22="Ações Europeias",(($C22 * HLOOKUP($B22, 'Histórico'!$A$1:$FI$296, MATCH($B$3,'Histórico'!$A:$A),0)) * HLOOKUP("EUR/BRL", 'Histórico'!$A$1:$FI$296, MATCH($B$3,'Histórico'!$A:$A),0) / $B$6),
$D22="Futuros",(SUMIFS('Alocação'!$N:$N,'Alocação'!$C:$C,$B22,'Alocação'!$F:$F,$N$4,'Alocação'!$B:$B,"&lt;="&amp;$B$3))/($B$6)+($C22*SUMPRODUCT(('Histórico T'!$A:$A=$B22)*('Histórico T'!$B:$AAW)))/($B$6),$D22="Moedas",(($C22 * HLOOKUP($B22, 'Histórico'!$A$1:$FI$296, MATCH($B$3,'Histórico'!$A:$A),0)) / $B$6),$D22="Títulos", (($C22 * HLOOKUP($B22, 'Histórico'!$A$1:$FI$296, MATCH($B$3,'Histórico'!$A:$A),0)) / $B$6),$B22="","")</f>
        <v/>
      </c>
      <c r="F22" s="408" t="str">
        <f t="shared" si="7"/>
        <v/>
      </c>
      <c r="G22" s="394" t="str">
        <f>IFS(OR($D22="Ações Listadas na B3",$D22="Ações Americanas",$D22="Moedas",$D22="Ações Europeias",$D22="Títulos"),$AA22,
$D22="Futuros",
(SUMIFS('Alocação'!$O$3:$O$1002,'Alocação'!$C$3:$C$1002,B22,'Alocação'!$F$3:$F$1002,N$4,'Alocação'!$B$3:$B$1002,"&lt;="&amp;$C$3))*HLOOKUP(B22,'Histórico'!$A$1:$DD$990,MATCH($B$3,'Histórico'!$A:$A),FALSE),
$D22="",""
)</f>
        <v/>
      </c>
      <c r="H22" s="446" t="str">
        <f t="shared" si="8"/>
        <v/>
      </c>
      <c r="I22" s="383"/>
      <c r="J22" s="383"/>
      <c r="K22" s="415">
        <v>0.95</v>
      </c>
      <c r="L22" s="344">
        <f>PERCENTILE(Controle!$Q$11:$Q$242,0.05)</f>
        <v>-0.00710474527</v>
      </c>
      <c r="M22" s="383"/>
      <c r="N22" s="348"/>
      <c r="O22" s="348"/>
      <c r="P22" s="247"/>
      <c r="Q22" s="247"/>
      <c r="R22" s="400" t="str">
        <f t="array" ref="R22">IFERROR(IF(D22&lt;&gt;"Futuros",
(INDEX('Histórico'!$B$1:$ADT987, MATCH($B$3, 'Histórico'!$A$1:$A987, 0), MATCH(B22, 'Histórico'!$1:$1, 0)-1)/INDEX('Histórico'!$B$1:$ADT987, MATCH($C$3, 'Histórico'!$A$1:$A987, 0), MATCH(B22, 'Histórico'!$1:$1, 0)-1)-1),
""),"")</f>
        <v/>
      </c>
      <c r="S22" s="401" t="str">
        <f t="shared" si="9"/>
        <v/>
      </c>
      <c r="T22" s="402" t="str">
        <f t="shared" si="10"/>
        <v/>
      </c>
      <c r="U22" s="247"/>
      <c r="V22" s="348"/>
      <c r="W22" s="403"/>
      <c r="X22" s="404" t="str">
        <f>IFERROR(VLOOKUP(W22, 'Cadastro dos Ativos'!$A$1:$C$216, 3, FALSE), "")</f>
        <v/>
      </c>
      <c r="Y22" s="405" t="str">
        <f t="array" ref="Y22">IFERROR(IFERROR(IF($X22&lt;&gt;"Futuros",
XLOOKUP($W22, Controle!$AT$11:$AT$1001,Controle!$AX$11:$AX$1001)-XLOOKUP($W22, 'Controle D-1'!$AT$11:$AT$1001,'Controle D-1'!$AX$11:$AX$1001),
""),XLOOKUP($W22, Controle!$AT$11:$AT$1001,Controle!$AX$11:$AX$1001)),"")</f>
        <v/>
      </c>
      <c r="Z22" s="405">
        <f>IFS($X22&lt;&gt;"Futuros", SUMIFS('Alocação'!$M$2:$M$1003,'Alocação'!$C$2:$C$1003,$W22,'Alocação'!$B$2:$B$1003,$B$3,'Alocação'!$F$2:$F$1003,$N$4),
$X22="","",
$X22="Futuros","")</f>
        <v>0</v>
      </c>
      <c r="AA22" s="405" t="str">
        <f t="shared" si="11"/>
        <v/>
      </c>
      <c r="AB22" s="411"/>
      <c r="AC22" s="282"/>
      <c r="AD22" s="282"/>
    </row>
    <row r="23" ht="15.75" customHeight="1">
      <c r="A23" s="348"/>
      <c r="B23" s="406"/>
      <c r="C23" s="4" t="str">
        <f>IF($B23 &lt;&gt; "",SUMIFS('Alocação'!$O$3:$O$1002,'Alocação'!$C$3:$C$1002,$B23,'Alocação'!$F$3:$F$1002,$N$4,'Alocação'!$B$3:$B$1002,"&lt;="&amp;$B$3), "")</f>
        <v/>
      </c>
      <c r="D23" s="4" t="str">
        <f>IFERROR(VLOOKUP($B23, 'Cadastro dos Ativos'!$A$1:$C$217, 3, FALSE), "")</f>
        <v/>
      </c>
      <c r="E23" s="407" t="str">
        <f>IFS($D23="Ações Listadas na B3", (($C23 * HLOOKUP($B23, 'Histórico'!$A$1:$FI$296, MATCH($B$3,'Histórico'!$A:$A),0)) / $B$6),
$D23="Ações Americanas",(($C23 * HLOOKUP($B23, 'Histórico'!$A$1:$FI$296, MATCH($B$3,'Histórico'!$A:$A),0)) * HLOOKUP("PTAX", 'Histórico'!$A$1:$FI$296, MATCH($B$3,'Histórico'!$A:$A),0) / $B$6),
$D23="Ações Europeias",(($C23 * HLOOKUP($B23, 'Histórico'!$A$1:$FI$296, MATCH($B$3,'Histórico'!$A:$A),0)) * HLOOKUP("EUR/BRL", 'Histórico'!$A$1:$FI$296, MATCH($B$3,'Histórico'!$A:$A),0) / $B$6),
$D23="Futuros",(SUMIFS('Alocação'!$N:$N,'Alocação'!$C:$C,$B23,'Alocação'!$F:$F,$N$4,'Alocação'!$B:$B,"&lt;="&amp;$B$3))/($B$6)+($C23*SUMPRODUCT(('Histórico T'!$A:$A=$B23)*('Histórico T'!$B:$AAW)))/($B$6),$D23="Moedas",(($C23 * HLOOKUP($B23, 'Histórico'!$A$1:$FI$296, MATCH($B$3,'Histórico'!$A:$A),0)) / $B$6),$D23="Títulos", (($C23 * HLOOKUP($B23, 'Histórico'!$A$1:$FI$296, MATCH($B$3,'Histórico'!$A:$A),0)) / $B$6),$B23="","")</f>
        <v/>
      </c>
      <c r="F23" s="408" t="str">
        <f t="shared" si="7"/>
        <v/>
      </c>
      <c r="G23" s="394" t="str">
        <f>IFS(OR($D23="Ações Listadas na B3",$D23="Ações Americanas",$D23="Moedas",$D23="Ações Europeias",$D23="Títulos"),$AA23,
$D23="Futuros",
(SUMIFS('Alocação'!$O$3:$O$1002,'Alocação'!$C$3:$C$1002,B23,'Alocação'!$F$3:$F$1002,N$4,'Alocação'!$B$3:$B$1002,"&lt;="&amp;$C$3))*HLOOKUP(B23,'Histórico'!$A$1:$DD$990,MATCH($B$3,'Histórico'!$A:$A),FALSE),
$D23="",""
)</f>
        <v/>
      </c>
      <c r="H23" s="446" t="str">
        <f t="shared" si="8"/>
        <v/>
      </c>
      <c r="I23" s="383"/>
      <c r="J23" s="383"/>
      <c r="K23" s="415">
        <v>0.99</v>
      </c>
      <c r="L23" s="344">
        <f>PERCENTILE(Controle!$Q$11:$Q$242,0.01)</f>
        <v>-0.008900121765</v>
      </c>
      <c r="M23" s="383"/>
      <c r="N23" s="353" t="s">
        <v>364</v>
      </c>
      <c r="O23" s="123"/>
      <c r="P23" s="247"/>
      <c r="Q23" s="247"/>
      <c r="R23" s="400" t="str">
        <f t="array" ref="R23">IFERROR(IF(D23&lt;&gt;"Futuros",
(INDEX('Histórico'!$B$1:$ADT988, MATCH($B$3, 'Histórico'!$A$1:$A988, 0), MATCH(B23, 'Histórico'!$1:$1, 0)-1)/INDEX('Histórico'!$B$1:$ADT988, MATCH($C$3, 'Histórico'!$A$1:$A988, 0), MATCH(B23, 'Histórico'!$1:$1, 0)-1)-1),
""),"")</f>
        <v/>
      </c>
      <c r="S23" s="401" t="str">
        <f t="shared" si="9"/>
        <v/>
      </c>
      <c r="T23" s="402" t="str">
        <f t="shared" si="10"/>
        <v/>
      </c>
      <c r="U23" s="247"/>
      <c r="V23" s="348"/>
      <c r="W23" s="417"/>
      <c r="X23" s="404" t="str">
        <f>IFERROR(VLOOKUP(W23, 'Cadastro dos Ativos'!$A$1:$C$216, 3, FALSE), "")</f>
        <v/>
      </c>
      <c r="Y23" s="405" t="str">
        <f t="array" ref="Y23">IFERROR(IFERROR(IF($X23&lt;&gt;"Futuros",
XLOOKUP($W23, Controle!$AT$11:$AT$1001,Controle!$AX$11:$AX$1001)-XLOOKUP($W23, 'Controle D-1'!$AT$11:$AT$1001,'Controle D-1'!$AX$11:$AX$1001),
""),XLOOKUP($W23, Controle!$AT$11:$AT$1001,Controle!$AX$11:$AX$1001)),"")</f>
        <v/>
      </c>
      <c r="Z23" s="405">
        <f>IFS($X23&lt;&gt;"Futuros", SUMIFS('Alocação'!$M$2:$M$1003,'Alocação'!$C$2:$C$1003,$W23,'Alocação'!$B$2:$B$1003,$B$3,'Alocação'!$F$2:$F$1003,$N$4),
$X23="","",
$X23="Futuros","")</f>
        <v>0</v>
      </c>
      <c r="AA23" s="405" t="str">
        <f t="shared" si="11"/>
        <v/>
      </c>
      <c r="AB23" s="411"/>
      <c r="AC23" s="282"/>
      <c r="AD23" s="282"/>
    </row>
    <row r="24" ht="15.75" customHeight="1">
      <c r="A24" s="348"/>
      <c r="B24" s="406"/>
      <c r="C24" s="4" t="str">
        <f>IF($B24 &lt;&gt; "",SUMIFS('Alocação'!$O$3:$O$1002,'Alocação'!$C$3:$C$1002,$B24,'Alocação'!$F$3:$F$1002,$N$4,'Alocação'!$B$3:$B$1002,"&lt;="&amp;$B$3), "")</f>
        <v/>
      </c>
      <c r="D24" s="4" t="str">
        <f>IFERROR(VLOOKUP($B24, 'Cadastro dos Ativos'!$A$1:$C$217, 3, FALSE), "")</f>
        <v/>
      </c>
      <c r="E24" s="407" t="str">
        <f>IFS($D24="Ações Listadas na B3", (($C24 * HLOOKUP($B24, 'Histórico'!$A$1:$FI$296, MATCH($B$3,'Histórico'!$A:$A),0)) / $B$6),
$D24="Ações Americanas",(($C24 * HLOOKUP($B24, 'Histórico'!$A$1:$FI$296, MATCH($B$3,'Histórico'!$A:$A),0)) * HLOOKUP("PTAX", 'Histórico'!$A$1:$FI$296, MATCH($B$3,'Histórico'!$A:$A),0) / $B$6),
$D24="Ações Europeias",(($C24 * HLOOKUP($B24, 'Histórico'!$A$1:$FI$296, MATCH($B$3,'Histórico'!$A:$A),0)) * HLOOKUP("EUR/BRL", 'Histórico'!$A$1:$FI$296, MATCH($B$3,'Histórico'!$A:$A),0) / $B$6),
$D24="Futuros",(SUMIFS('Alocação'!$N:$N,'Alocação'!$C:$C,$B24,'Alocação'!$F:$F,$N$4,'Alocação'!$B:$B,"&lt;="&amp;$B$3))/($B$6)+($C24*SUMPRODUCT(('Histórico T'!$A:$A=$B24)*('Histórico T'!$B:$AAW)))/($B$6),$D24="Moedas",(($C24 * HLOOKUP($B24, 'Histórico'!$A$1:$FI$296, MATCH($B$3,'Histórico'!$A:$A),0)) / $B$6),$D24="Títulos", (($C24 * HLOOKUP($B24, 'Histórico'!$A$1:$FI$296, MATCH($B$3,'Histórico'!$A:$A),0)) / $B$6),$B24="","")</f>
        <v/>
      </c>
      <c r="F24" s="408" t="str">
        <f t="shared" si="7"/>
        <v/>
      </c>
      <c r="G24" s="394" t="str">
        <f>IFS(OR($D24="Ações Listadas na B3",$D24="Ações Americanas",$D24="Moedas",$D24="Ações Europeias",$D24="Títulos"),$AA24,
$D24="Futuros",
(SUMIFS('Alocação'!$O$3:$O$1002,'Alocação'!$C$3:$C$1002,B24,'Alocação'!$F$3:$F$1002,N$4,'Alocação'!$B$3:$B$1002,"&lt;="&amp;$C$3))*HLOOKUP(B24,'Histórico'!$A$1:$DD$990,MATCH($B$3,'Histórico'!$A:$A),FALSE),
$D24="",""
)</f>
        <v/>
      </c>
      <c r="H24" s="446" t="str">
        <f t="shared" si="8"/>
        <v/>
      </c>
      <c r="I24" s="383"/>
      <c r="J24" s="383"/>
      <c r="K24" s="383"/>
      <c r="L24" s="383"/>
      <c r="M24" s="383"/>
      <c r="N24" s="336" t="s">
        <v>342</v>
      </c>
      <c r="O24" s="337" t="s">
        <v>373</v>
      </c>
      <c r="P24" s="247"/>
      <c r="Q24" s="247"/>
      <c r="R24" s="400" t="str">
        <f t="array" ref="R24">IFERROR(IF(D24&lt;&gt;"Futuros",
(INDEX('Histórico'!$B$1:$ADT989, MATCH($B$3, 'Histórico'!$A$1:$A989, 0), MATCH(B24, 'Histórico'!$1:$1, 0)-1)/INDEX('Histórico'!$B$1:$ADT989, MATCH($C$3, 'Histórico'!$A$1:$A989, 0), MATCH(B24, 'Histórico'!$1:$1, 0)-1)-1),
""),"")</f>
        <v/>
      </c>
      <c r="S24" s="401" t="str">
        <f t="shared" si="9"/>
        <v/>
      </c>
      <c r="T24" s="402" t="str">
        <f t="shared" si="10"/>
        <v/>
      </c>
      <c r="U24" s="247"/>
      <c r="V24" s="348"/>
      <c r="W24" s="417"/>
      <c r="X24" s="404" t="str">
        <f>IFERROR(VLOOKUP(W24, 'Cadastro dos Ativos'!$A$1:$C$216, 3, FALSE), "")</f>
        <v/>
      </c>
      <c r="Y24" s="405" t="str">
        <f t="array" ref="Y24">IFERROR(IFERROR(IF($X24&lt;&gt;"Futuros",
XLOOKUP($W24, Controle!$AT$11:$AT$1001,Controle!$AX$11:$AX$1001)-XLOOKUP($W24, 'Controle D-1'!$AT$11:$AT$1001,'Controle D-1'!$AX$11:$AX$1001),
""),XLOOKUP($W24, Controle!$AT$11:$AT$1001,Controle!$AX$11:$AX$1001)),"")</f>
        <v/>
      </c>
      <c r="Z24" s="405">
        <f>IFS($X24&lt;&gt;"Futuros", SUMIFS('Alocação'!$M$2:$M$1003,'Alocação'!$C$2:$C$1003,$W24,'Alocação'!$B$2:$B$1003,$B$3,'Alocação'!$F$2:$F$1003,$N$4),
$X24="","",
$X24="Futuros","")</f>
        <v>0</v>
      </c>
      <c r="AA24" s="405" t="str">
        <f t="shared" si="11"/>
        <v/>
      </c>
      <c r="AB24" s="411"/>
      <c r="AC24" s="282"/>
      <c r="AD24" s="282"/>
    </row>
    <row r="25" ht="15.75" customHeight="1">
      <c r="A25" s="348"/>
      <c r="B25" s="406"/>
      <c r="C25" s="4" t="str">
        <f>IF($B25 &lt;&gt; "",SUMIFS('Alocação'!$O$3:$O$1002,'Alocação'!$C$3:$C$1002,$B25,'Alocação'!$F$3:$F$1002,$N$4,'Alocação'!$B$3:$B$1002,"&lt;="&amp;$B$3), "")</f>
        <v/>
      </c>
      <c r="D25" s="4" t="str">
        <f>IFERROR(VLOOKUP($B25, 'Cadastro dos Ativos'!$A$1:$C$217, 3, FALSE), "")</f>
        <v/>
      </c>
      <c r="E25" s="407" t="str">
        <f>IFS($D25="Ações Listadas na B3", (($C25 * HLOOKUP($B25, 'Histórico'!$A$1:$FI$296, MATCH($B$3,'Histórico'!$A:$A),0)) / $B$6),
$D25="Ações Americanas",(($C25 * HLOOKUP($B25, 'Histórico'!$A$1:$FI$296, MATCH($B$3,'Histórico'!$A:$A),0)) * HLOOKUP("PTAX", 'Histórico'!$A$1:$FI$296, MATCH($B$3,'Histórico'!$A:$A),0) / $B$6),
$D25="Ações Europeias",(($C25 * HLOOKUP($B25, 'Histórico'!$A$1:$FI$296, MATCH($B$3,'Histórico'!$A:$A),0)) * HLOOKUP("EUR/BRL", 'Histórico'!$A$1:$FI$296, MATCH($B$3,'Histórico'!$A:$A),0) / $B$6),
$D25="Futuros",(SUMIFS('Alocação'!$N:$N,'Alocação'!$C:$C,$B25,'Alocação'!$F:$F,$N$4,'Alocação'!$B:$B,"&lt;="&amp;$B$3))/($B$6)+($C25*SUMPRODUCT(('Histórico T'!$A:$A=$B25)*('Histórico T'!$B:$AAW)))/($B$6),$D25="Moedas",(($C25 * HLOOKUP($B25, 'Histórico'!$A$1:$FI$296, MATCH($B$3,'Histórico'!$A:$A),0)) / $B$6),$D25="Títulos", (($C25 * HLOOKUP($B25, 'Histórico'!$A$1:$FI$296, MATCH($B$3,'Histórico'!$A:$A),0)) / $B$6),$B25="","")</f>
        <v/>
      </c>
      <c r="F25" s="408" t="str">
        <f t="shared" si="7"/>
        <v/>
      </c>
      <c r="G25" s="394" t="str">
        <f>IFS(OR($D25="Ações Listadas na B3",$D25="Ações Americanas",$D25="Moedas",$D25="Ações Europeias",$D25="Títulos"),$AA25,
$D25="Futuros",
(SUMIFS('Alocação'!$O$3:$O$1002,'Alocação'!$C$3:$C$1002,B25,'Alocação'!$F$3:$F$1002,N$4,'Alocação'!$B$3:$B$1002,"&lt;="&amp;$C$3))*HLOOKUP(B25,'Histórico'!$A$1:$DD$990,MATCH($B$3,'Histórico'!$A:$A),FALSE),
$D25="",""
)</f>
        <v/>
      </c>
      <c r="H25" s="446" t="str">
        <f t="shared" si="8"/>
        <v/>
      </c>
      <c r="I25" s="383"/>
      <c r="J25" s="383"/>
      <c r="K25" s="383"/>
      <c r="L25" s="383"/>
      <c r="M25" s="383"/>
      <c r="N25" s="346">
        <f>$B$14</f>
        <v>0</v>
      </c>
      <c r="O25" s="347">
        <f>$N$25/$C$6</f>
        <v>0</v>
      </c>
      <c r="P25" s="247"/>
      <c r="Q25" s="247"/>
      <c r="R25" s="400" t="str">
        <f t="array" ref="R25">IFERROR(IF(D25&lt;&gt;"Futuros",
(INDEX('Histórico'!$B$1:$ADT990, MATCH($B$3, 'Histórico'!$A$1:$A990, 0), MATCH(B25, 'Histórico'!$1:$1, 0)-1)/INDEX('Histórico'!$B$1:$ADT990, MATCH($C$3, 'Histórico'!$A$1:$A990, 0), MATCH(B25, 'Histórico'!$1:$1, 0)-1)-1),
""),"")</f>
        <v/>
      </c>
      <c r="S25" s="401" t="str">
        <f t="shared" si="9"/>
        <v/>
      </c>
      <c r="T25" s="402" t="str">
        <f t="shared" si="10"/>
        <v/>
      </c>
      <c r="U25" s="247"/>
      <c r="V25" s="348"/>
      <c r="W25" s="417"/>
      <c r="X25" s="404" t="str">
        <f>IFERROR(VLOOKUP(W25, 'Cadastro dos Ativos'!$A$1:$C$216, 3, FALSE), "")</f>
        <v/>
      </c>
      <c r="Y25" s="405" t="str">
        <f t="array" ref="Y25">IFERROR(IFERROR(IF($X25&lt;&gt;"Futuros",
XLOOKUP($W25, Controle!$AT$11:$AT$1001,Controle!$AX$11:$AX$1001)-XLOOKUP($W25, 'Controle D-1'!$AT$11:$AT$1001,'Controle D-1'!$AX$11:$AX$1001),
""),XLOOKUP($W25, Controle!$AT$11:$AT$1001,Controle!$AX$11:$AX$1001)),"")</f>
        <v/>
      </c>
      <c r="Z25" s="405">
        <f>IFS($X25&lt;&gt;"Futuros", SUMIFS('Alocação'!$M$2:$M$1003,'Alocação'!$C$2:$C$1003,$W25,'Alocação'!$B$2:$B$1003,$B$3,'Alocação'!$F$2:$F$1003,$N$4),
$X25="","",
$X25="Futuros","")</f>
        <v>0</v>
      </c>
      <c r="AA25" s="405" t="str">
        <f t="shared" si="11"/>
        <v/>
      </c>
      <c r="AB25" s="411"/>
      <c r="AC25" s="282"/>
      <c r="AD25" s="282"/>
    </row>
    <row r="26" ht="15.75" customHeight="1">
      <c r="A26" s="348"/>
      <c r="B26" s="406"/>
      <c r="C26" s="4" t="str">
        <f>IF($B26 &lt;&gt; "",SUMIFS('Alocação'!$O$3:$O$1002,'Alocação'!$C$3:$C$1002,$B26,'Alocação'!$F$3:$F$1002,$N$4,'Alocação'!$B$3:$B$1002,"&lt;="&amp;$B$3), "")</f>
        <v/>
      </c>
      <c r="D26" s="4" t="str">
        <f>IFERROR(VLOOKUP($B26, 'Cadastro dos Ativos'!$A$1:$C$217, 3, FALSE), "")</f>
        <v/>
      </c>
      <c r="E26" s="408" t="str">
        <f>IFS($D26="Ações Listadas na B3", (($C26 * HLOOKUP($B26, 'Histórico'!$A$1:$FI$296, MATCH($B$3,'Histórico'!$A:$A),0)) / $B$6),
$D26="Ações Americanas",(($C26 * HLOOKUP($B26, 'Histórico'!$A$1:$FI$296, MATCH($B$3,'Histórico'!$A:$A),0)) * HLOOKUP("PTAX", 'Histórico'!$A$1:$FI$296, MATCH($B$3,'Histórico'!$A:$A),0) / $B$6),
$D26="Ações Europeias",(($C26 * HLOOKUP($B26, 'Histórico'!$A$1:$FI$296, MATCH($B$3,'Histórico'!$A:$A),0)) * HLOOKUP("EUR/BRL", 'Histórico'!$A$1:$FI$296, MATCH($B$3,'Histórico'!$A:$A),0) / $B$6),
$D26="Futuros",(SUMIFS('Alocação'!$N:$N,'Alocação'!$C:$C,$B26,'Alocação'!$F:$F,$N$4,'Alocação'!$B:$B,"&lt;="&amp;$B$3))/($B$6)+($C26*SUMPRODUCT(('Histórico T'!$A:$A=$B26)*('Histórico T'!$B:$AAW)))/($B$6),$D26="Moedas",(($C26 * HLOOKUP($B26, 'Histórico'!$A$1:$FI$296, MATCH($B$3,'Histórico'!$A:$A),0)) / $B$6),$B26="","")</f>
        <v/>
      </c>
      <c r="F26" s="408" t="str">
        <f t="shared" si="7"/>
        <v/>
      </c>
      <c r="G26" s="394" t="str">
        <f>IFS(OR($D26="Ações Listadas na B3",$D26="Ações Americanas",$D26="Moedas",$D26="Ações Europeias",$D26="Títulos"),$AA26,
$D26="Futuros",
(SUMIFS('Alocação'!$O$3:$O$1002,'Alocação'!$C$3:$C$1002,B26,'Alocação'!$F$3:$F$1002,N$4,'Alocação'!$B$3:$B$1002,"&lt;="&amp;$C$3))*HLOOKUP(B26,'Histórico'!$A$1:$DD$990,MATCH($B$3,'Histórico'!$A:$A),FALSE),
$D26="",""
)</f>
        <v/>
      </c>
      <c r="H26" s="446" t="str">
        <f t="shared" si="8"/>
        <v/>
      </c>
      <c r="I26" s="383"/>
      <c r="J26" s="383"/>
      <c r="K26" s="383"/>
      <c r="L26" s="383"/>
      <c r="M26" s="383"/>
      <c r="N26" s="247"/>
      <c r="O26" s="247"/>
      <c r="P26" s="247"/>
      <c r="Q26" s="247"/>
      <c r="R26" s="400" t="str">
        <f t="array" ref="R26">IFERROR(IF(D26&lt;&gt;"Futuros",
(INDEX('Histórico'!$B$1:$ADT991, MATCH($B$3, 'Histórico'!$A$1:$A991, 0), MATCH(B26, 'Histórico'!$1:$1, 0)-1)/INDEX('Histórico'!$B$1:$ADT991, MATCH($C$3, 'Histórico'!$A$1:$A991, 0), MATCH(B26, 'Histórico'!$1:$1, 0)-1)-1),
""),"")</f>
        <v/>
      </c>
      <c r="S26" s="401" t="str">
        <f t="shared" si="9"/>
        <v/>
      </c>
      <c r="T26" s="402" t="str">
        <f t="shared" si="10"/>
        <v/>
      </c>
      <c r="U26" s="247"/>
      <c r="V26" s="348"/>
      <c r="W26" s="419"/>
      <c r="X26" s="404" t="str">
        <f>IFERROR(VLOOKUP(W26, 'Cadastro dos Ativos'!$A$1:$C$216, 3, FALSE), "")</f>
        <v/>
      </c>
      <c r="Y26" s="405" t="str">
        <f t="array" ref="Y26">IFERROR(IFERROR(IF($X26&lt;&gt;"Futuros",
XLOOKUP($W26, Controle!$AT$11:$AT$1001,Controle!$AX$11:$AX$1001)-XLOOKUP($W26, 'Controle D-1'!$AT$11:$AT$1001,'Controle D-1'!$AX$11:$AX$1001),
""),XLOOKUP($W26, Controle!$AT$11:$AT$1001,Controle!$AX$11:$AX$1001)),"")</f>
        <v/>
      </c>
      <c r="Z26" s="405">
        <f>IFS($X26&lt;&gt;"Futuros", SUMIFS('Alocação'!$M$2:$M$1003,'Alocação'!$C$2:$C$1003,$W26,'Alocação'!$B$2:$B$1003,$B$3,'Alocação'!$F$2:$F$1003,$N$4),
$X26="","",
$X26="Futuros","")</f>
        <v>0</v>
      </c>
      <c r="AA26" s="405" t="str">
        <f t="shared" si="11"/>
        <v/>
      </c>
      <c r="AB26" s="411"/>
      <c r="AC26" s="282"/>
      <c r="AD26" s="282"/>
    </row>
    <row r="27" ht="15.75" customHeight="1">
      <c r="A27" s="348"/>
      <c r="B27" s="406"/>
      <c r="C27" s="4" t="str">
        <f>IF($B27 &lt;&gt; "",SUMIFS('Alocação'!$O$3:$O$1002,'Alocação'!$C$3:$C$1002,$B27,'Alocação'!$F$3:$F$1002,$N$4,'Alocação'!$B$3:$B$1002,"&lt;="&amp;$B$3), "")</f>
        <v/>
      </c>
      <c r="D27" s="4" t="str">
        <f>IFERROR(VLOOKUP($B27, 'Cadastro dos Ativos'!$A$1:$C$217, 3, FALSE), "")</f>
        <v/>
      </c>
      <c r="E27" s="408" t="str">
        <f>IFS($D27="Ações Listadas na B3", (($C27 * HLOOKUP($B27, 'Histórico'!$A$1:$FI$296, MATCH($B$3,'Histórico'!$A:$A),0)) / $B$6),
$D27="Ações Americanas",(($C27 * HLOOKUP($B27, 'Histórico'!$A$1:$FI$296, MATCH($B$3,'Histórico'!$A:$A),0)) * HLOOKUP("PTAX", 'Histórico'!$A$1:$FI$296, MATCH($B$3,'Histórico'!$A:$A),0) / $B$6),
$D27="Ações Europeias",(($C27 * HLOOKUP($B27, 'Histórico'!$A$1:$FI$296, MATCH($B$3,'Histórico'!$A:$A),0)) * HLOOKUP("EUR/BRL", 'Histórico'!$A$1:$FI$296, MATCH($B$3,'Histórico'!$A:$A),0) / $B$6),
$D27="Futuros",(SUMIFS('Alocação'!$N:$N,'Alocação'!$C:$C,$B27,'Alocação'!$F:$F,$N$4,'Alocação'!$B:$B,"&lt;="&amp;$B$3))/($B$6)+($C27*SUMPRODUCT(('Histórico T'!$A:$A=$B27)*('Histórico T'!$B:$AAW)))/($B$6),$D27="Moedas",(($C27 * HLOOKUP($B27, 'Histórico'!$A$1:$FI$296, MATCH($B$3,'Histórico'!$A:$A),0)) / $B$6),$B27="","")</f>
        <v/>
      </c>
      <c r="F27" s="408" t="str">
        <f t="shared" si="7"/>
        <v/>
      </c>
      <c r="G27" s="394" t="str">
        <f>IFS(OR($D27="Ações Listadas na B3",$D27="Ações Americanas",$D27="Moedas",$D27="Ações Europeias",$D27="Títulos"),$AA27,
$D27="Futuros",
(SUMIFS('Alocação'!$O$3:$O$1002,'Alocação'!$C$3:$C$1002,B27,'Alocação'!$F$3:$F$1002,N$4,'Alocação'!$B$3:$B$1002,"&lt;="&amp;$C$3))*HLOOKUP(B27,'Histórico'!$A$1:$DD$990,MATCH($B$3,'Histórico'!$A:$A),FALSE),
$D27="",""
)</f>
        <v/>
      </c>
      <c r="H27" s="446" t="str">
        <f t="shared" si="8"/>
        <v/>
      </c>
      <c r="I27" s="383"/>
      <c r="J27" s="383"/>
      <c r="K27" s="383"/>
      <c r="L27" s="383"/>
      <c r="M27" s="383"/>
      <c r="N27" s="332" t="s">
        <v>374</v>
      </c>
      <c r="O27" s="89"/>
      <c r="P27" s="247"/>
      <c r="Q27" s="247"/>
      <c r="R27" s="400" t="str">
        <f t="array" ref="R27">IFERROR(IF(D27&lt;&gt;"Futuros",
(INDEX('Histórico'!$B$1:$ADT992, MATCH($B$3, 'Histórico'!$A$1:$A992, 0), MATCH(B27, 'Histórico'!$1:$1, 0)-1)/INDEX('Histórico'!$B$1:$ADT992, MATCH($C$3, 'Histórico'!$A$1:$A992, 0), MATCH(B27, 'Histórico'!$1:$1, 0)-1)-1),
""),"")</f>
        <v/>
      </c>
      <c r="S27" s="401"/>
      <c r="T27" s="402" t="str">
        <f t="shared" si="10"/>
        <v/>
      </c>
      <c r="U27" s="247"/>
      <c r="V27" s="348"/>
      <c r="W27" s="403"/>
      <c r="X27" s="420" t="str">
        <f>IFERROR(VLOOKUP(W27, 'Cadastro dos Ativos'!$A$1:$C$216, 3, FALSE), "")</f>
        <v/>
      </c>
      <c r="Y27" s="405" t="str">
        <f t="array" ref="Y27">IFERROR(IFERROR(IF($X27&lt;&gt;"Futuros",
XLOOKUP($W27, Controle!$AT$11:$AT$1001,Controle!$AX$11:$AX$1001)-XLOOKUP($W27, 'Controle D-1'!$AT$11:$AT$1001,'Controle D-1'!$AX$11:$AX$1001),
""),XLOOKUP($W27, Controle!$AT$11:$AT$1001,Controle!$AX$11:$AX$1001)),"")</f>
        <v/>
      </c>
      <c r="Z27" s="405">
        <f>IFS($X27&lt;&gt;"Futuros", SUMIFS('Alocação'!$M$2:$M$1003,'Alocação'!$C$2:$C$1003,$W27,'Alocação'!$B$2:$B$1003,$B$3,'Alocação'!$F$2:$F$1003,$N$4),
$X27="","",
$X27="Futuros","")</f>
        <v>0</v>
      </c>
      <c r="AA27" s="405" t="str">
        <f t="shared" si="11"/>
        <v/>
      </c>
      <c r="AB27" s="411"/>
      <c r="AC27" s="282"/>
      <c r="AD27" s="282"/>
    </row>
    <row r="28" ht="15.75" customHeight="1">
      <c r="A28" s="348"/>
      <c r="B28" s="406"/>
      <c r="C28" s="4" t="str">
        <f>IF($B28 &lt;&gt; "",SUMIFS('Alocação'!$O$3:$O$1002,'Alocação'!$C$3:$C$1002,$B28,'Alocação'!$F$3:$F$1002,$N$4,'Alocação'!$B$3:$B$1002,"&lt;="&amp;$B$3), "")</f>
        <v/>
      </c>
      <c r="D28" s="4" t="str">
        <f>IFERROR(VLOOKUP($B28, 'Cadastro dos Ativos'!$A$1:$C$217, 3, FALSE), "")</f>
        <v/>
      </c>
      <c r="E28" s="408" t="str">
        <f>IFS($D28="Ações Listadas na B3", (($C28 * HLOOKUP($B28, 'Histórico'!$A$1:$FI$296, MATCH($B$3,'Histórico'!$A:$A),0)) / $B$6),
$D28="Ações Americanas",(($C28 * HLOOKUP($B28, 'Histórico'!$A$1:$FI$296, MATCH($B$3,'Histórico'!$A:$A),0)) * HLOOKUP("PTAX", 'Histórico'!$A$1:$FI$296, MATCH($B$3,'Histórico'!$A:$A),0) / $B$6),
$D28="Ações Europeias",(($C28 * HLOOKUP($B28, 'Histórico'!$A$1:$FI$296, MATCH($B$3,'Histórico'!$A:$A),0)) * HLOOKUP("EUR/BRL", 'Histórico'!$A$1:$FI$296, MATCH($B$3,'Histórico'!$A:$A),0) / $B$6),
$D28="Futuros",(SUMIFS('Alocação'!$N:$N,'Alocação'!$C:$C,$B28,'Alocação'!$F:$F,$N$4,'Alocação'!$B:$B,"&lt;="&amp;$B$3))/($B$6)+($C28*SUMPRODUCT(('Histórico T'!$A:$A=$B28)*('Histórico T'!$B:$AAW)))/($B$6),$D28="Moedas",(($C28 * HLOOKUP($B28, 'Histórico'!$A$1:$FI$296, MATCH($B$3,'Histórico'!$A:$A),0)) / $B$6),$B28="","")</f>
        <v/>
      </c>
      <c r="F28" s="408" t="str">
        <f t="shared" si="7"/>
        <v/>
      </c>
      <c r="G28" s="394" t="str">
        <f>IFS(OR($D28="Ações Listadas na B3",$D28="Ações Americanas",$D28="Moedas",$D28="Ações Europeias",$D28="Títulos"),$AA28,
$D28="Futuros",
(SUMIFS('Alocação'!$O$3:$O$1002,'Alocação'!$C$3:$C$1002,B28,'Alocação'!$F$3:$F$1002,N$4,'Alocação'!$B$3:$B$1002,"&lt;="&amp;$C$3))*HLOOKUP(B28,'Histórico'!$A$1:$DD$990,MATCH($B$3,'Histórico'!$A:$A),FALSE),
$D28="",""
)</f>
        <v/>
      </c>
      <c r="H28" s="446" t="str">
        <f t="shared" si="8"/>
        <v/>
      </c>
      <c r="I28" s="383"/>
      <c r="J28" s="383"/>
      <c r="K28" s="383"/>
      <c r="L28" s="383"/>
      <c r="M28" s="383"/>
      <c r="N28" s="336" t="s">
        <v>375</v>
      </c>
      <c r="O28" s="337" t="s">
        <v>376</v>
      </c>
      <c r="P28" s="247"/>
      <c r="Q28" s="247"/>
      <c r="R28" s="400" t="str">
        <f t="array" ref="R28">IFERROR(IF(D28&lt;&gt;"Futuros",
(INDEX('Histórico'!$B$1:$ADT993, MATCH($B$3, 'Histórico'!$A$1:$A993, 0), MATCH(B28, 'Histórico'!$1:$1, 0)-1)/INDEX('Histórico'!$B$1:$ADT993, MATCH($C$3, 'Histórico'!$A$1:$A993, 0), MATCH(B28, 'Histórico'!$1:$1, 0)-1)-1),
""),"")</f>
        <v/>
      </c>
      <c r="S28" s="401" t="str">
        <f t="shared" ref="S28:S35" si="12">IF(R28&lt;&gt;"",R28*(RANDBETWEEN(1,1.2)/1000000000),"")</f>
        <v/>
      </c>
      <c r="T28" s="402" t="str">
        <f t="shared" si="10"/>
        <v/>
      </c>
      <c r="U28" s="247"/>
      <c r="V28" s="348"/>
      <c r="W28" s="421"/>
      <c r="X28" s="422" t="str">
        <f>IFERROR(VLOOKUP(W28, 'Cadastro dos Ativos'!$A$1:$C$216, 3, FALSE), "")</f>
        <v/>
      </c>
      <c r="Y28" s="405" t="str">
        <f t="array" ref="Y28">IFERROR(IFERROR(IF($X28&lt;&gt;"Futuros",
XLOOKUP($W28, Controle!$AT$11:$AT$1001,Controle!$AX$11:$AX$1001)-XLOOKUP($W28, 'Controle D-1'!$AT$11:$AT$1001,'Controle D-1'!$AX$11:$AX$1001),
""),XLOOKUP($W28, Controle!$AT$11:$AT$1001,Controle!$AX$11:$AX$1001)),"")</f>
        <v/>
      </c>
      <c r="Z28" s="405">
        <f>IFS($X28&lt;&gt;"Futuros", SUMIFS('Alocação'!$M$2:$M$1003,'Alocação'!$C$2:$C$1003,$W28,'Alocação'!$B$2:$B$1003,$B$3,'Alocação'!$F$2:$F$1003,$N$4),
$X28="","",
$X28="Futuros","")</f>
        <v>0</v>
      </c>
      <c r="AA28" s="405" t="str">
        <f t="shared" si="11"/>
        <v/>
      </c>
      <c r="AB28" s="348"/>
      <c r="AC28" s="348"/>
      <c r="AD28" s="348"/>
    </row>
    <row r="29" ht="15.75" customHeight="1">
      <c r="A29" s="348"/>
      <c r="B29" s="406"/>
      <c r="C29" s="4" t="str">
        <f>IF($B29 &lt;&gt; "",SUMIFS('Alocação'!$O$3:$O$1002,'Alocação'!$C$3:$C$1002,$B29,'Alocação'!$F$3:$F$1002,$N$4,'Alocação'!$B$3:$B$1002,"&lt;="&amp;$B$3), "")</f>
        <v/>
      </c>
      <c r="D29" s="4" t="str">
        <f>IFERROR(VLOOKUP($B29, 'Cadastro dos Ativos'!$A$1:$C$217, 3, FALSE), "")</f>
        <v/>
      </c>
      <c r="E29" s="408" t="str">
        <f>IFS($D29="Ações Listadas na B3", (($C29 * HLOOKUP($B29, 'Histórico'!$A$1:$FI$296, MATCH($B$3,'Histórico'!$A:$A),0)) / $B$6),
$D29="Ações Americanas",(($C29 * HLOOKUP($B29, 'Histórico'!$A$1:$FI$296, MATCH($B$3,'Histórico'!$A:$A),0)) * HLOOKUP("PTAX", 'Histórico'!$A$1:$FI$296, MATCH($B$3,'Histórico'!$A:$A),0) / $B$6),
$D29="Ações Europeias",(($C29 * HLOOKUP($B29, 'Histórico'!$A$1:$FI$296, MATCH($B$3,'Histórico'!$A:$A),0)) * HLOOKUP("EUR/BRL", 'Histórico'!$A$1:$FI$296, MATCH($B$3,'Histórico'!$A:$A),0) / $B$6),
$D29="Futuros",(SUMIFS('Alocação'!$N:$N,'Alocação'!$C:$C,$B29,'Alocação'!$F:$F,$N$4,'Alocação'!$B:$B,"&lt;="&amp;$B$3))/($B$6)+($C29*SUMPRODUCT(('Histórico T'!$A:$A=$B29)*('Histórico T'!$B:$AAW)))/($B$6),$D29="Moedas",(($C29 * HLOOKUP($B29, 'Histórico'!$A$1:$FI$296, MATCH($B$3,'Histórico'!$A:$A),0)) / $B$6),$B29="","")</f>
        <v/>
      </c>
      <c r="F29" s="408" t="str">
        <f t="shared" si="7"/>
        <v/>
      </c>
      <c r="G29" s="394" t="str">
        <f>IFS(OR($D29="Ações Listadas na B3",$D29="Ações Americanas",$D29="Moedas",$D29="Ações Europeias",$D29="Títulos"),$AA29,
$D29="Futuros",
(SUMIFS('Alocação'!$O$3:$O$1002,'Alocação'!$C$3:$C$1002,B29,'Alocação'!$F$3:$F$1002,N$4,'Alocação'!$B$3:$B$1002,"&lt;="&amp;$C$3))*HLOOKUP(B29,'Histórico'!$A$1:$DD$990,MATCH($B$3,'Histórico'!$A:$A),FALSE),
$D29="",""
)</f>
        <v/>
      </c>
      <c r="H29" s="446" t="str">
        <f t="shared" si="8"/>
        <v/>
      </c>
      <c r="I29" s="383"/>
      <c r="J29" s="383"/>
      <c r="K29" s="383"/>
      <c r="L29" s="383"/>
      <c r="M29" s="383"/>
      <c r="N29" s="346">
        <f>SUM($N$8,$N$12,$N$16)</f>
        <v>939910.0913</v>
      </c>
      <c r="O29" s="423">
        <f>$N$29/$C$6</f>
        <v>0.009146689304</v>
      </c>
      <c r="P29" s="247"/>
      <c r="Q29" s="247"/>
      <c r="R29" s="400" t="str">
        <f t="array" ref="R29">IFERROR(IF(D29&lt;&gt;"Futuros",
(INDEX('Histórico'!$B$1:$ADT994, MATCH($B$3, 'Histórico'!$A$1:$A994, 0), MATCH(B29, 'Histórico'!$1:$1, 0)-1)/INDEX('Histórico'!$B$1:$ADT994, MATCH($C$3, 'Histórico'!$A$1:$A994, 0), MATCH(B29, 'Histórico'!$1:$1, 0)-1)-1),
""),"")</f>
        <v/>
      </c>
      <c r="S29" s="401" t="str">
        <f t="shared" si="12"/>
        <v/>
      </c>
      <c r="T29" s="402" t="str">
        <f t="shared" si="10"/>
        <v/>
      </c>
      <c r="U29" s="247"/>
      <c r="V29" s="348"/>
      <c r="W29" s="348"/>
      <c r="X29" s="348"/>
      <c r="Y29" s="348"/>
      <c r="Z29" s="424"/>
      <c r="AA29" s="425"/>
      <c r="AB29" s="307"/>
      <c r="AC29" s="307"/>
      <c r="AD29" s="307"/>
    </row>
    <row r="30" ht="15.75" customHeight="1">
      <c r="A30" s="348"/>
      <c r="B30" s="406"/>
      <c r="C30" s="4" t="str">
        <f>IF($B30 &lt;&gt; "",SUMIFS('Alocação'!$O$3:$O$1002,'Alocação'!$C$3:$C$1002,$B30,'Alocação'!$F$3:$F$1002,$N$4,'Alocação'!$B$3:$B$1002,"&lt;="&amp;$B$3), "")</f>
        <v/>
      </c>
      <c r="D30" s="4" t="str">
        <f>IFERROR(VLOOKUP($B30, 'Cadastro dos Ativos'!$A$1:$C$217, 3, FALSE), "")</f>
        <v/>
      </c>
      <c r="E30" s="408" t="str">
        <f>IFS($D30="Ações Listadas na B3", (($C30 * HLOOKUP($B30, 'Histórico'!$A$1:$FI$296, MATCH($B$3,'Histórico'!$A:$A),0)) / $B$6),
$D30="Ações Americanas",(($C30 * HLOOKUP($B30, 'Histórico'!$A$1:$FI$296, MATCH($B$3,'Histórico'!$A:$A),0)) * HLOOKUP("PTAX", 'Histórico'!$A$1:$FI$296, MATCH($B$3,'Histórico'!$A:$A),0) / $B$6),
$D30="Ações Europeias",(($C30 * HLOOKUP($B30, 'Histórico'!$A$1:$FI$296, MATCH($B$3,'Histórico'!$A:$A),0)) * HLOOKUP("EUR/BRL", 'Histórico'!$A$1:$FI$296, MATCH($B$3,'Histórico'!$A:$A),0) / $B$6),
$D30="Futuros",(SUMIFS('Alocação'!$N:$N,'Alocação'!$C:$C,$B30,'Alocação'!$F:$F,$N$4,'Alocação'!$B:$B,"&lt;="&amp;$B$3))/($B$6)+($C30*SUMPRODUCT(('Histórico T'!$A:$A=$B30)*('Histórico T'!$B:$AAW)))/($B$6),$D30="Moedas",(($C30 * HLOOKUP($B30, 'Histórico'!$A$1:$FI$296, MATCH($B$3,'Histórico'!$A:$A),0)) / $B$6),$B30="","")</f>
        <v/>
      </c>
      <c r="F30" s="408" t="str">
        <f t="shared" si="7"/>
        <v/>
      </c>
      <c r="G30" s="394" t="str">
        <f>IFS(OR($D30="Ações Listadas na B3",$D30="Ações Americanas",$D30="Moedas",$D30="Ações Europeias",$D30="Títulos"),$AA30,
$D30="Futuros",
(SUMIFS('Alocação'!$O$3:$O$1002,'Alocação'!$C$3:$C$1002,B30,'Alocação'!$F$3:$F$1002,N$4,'Alocação'!$B$3:$B$1002,"&lt;="&amp;$C$3))*HLOOKUP(B30,'Histórico'!$A$1:$DD$990,MATCH($B$3,'Histórico'!$A:$A),FALSE),
$D30="",""
)</f>
        <v/>
      </c>
      <c r="H30" s="446" t="str">
        <f t="shared" si="8"/>
        <v/>
      </c>
      <c r="I30" s="383"/>
      <c r="J30" s="383"/>
      <c r="K30" s="383"/>
      <c r="L30" s="383"/>
      <c r="M30" s="383"/>
      <c r="N30" s="348"/>
      <c r="O30" s="348"/>
      <c r="P30" s="247"/>
      <c r="Q30" s="247"/>
      <c r="R30" s="400" t="str">
        <f t="array" ref="R30">IFERROR(IF(D30&lt;&gt;"Futuros",
(INDEX('Histórico'!$B$1:$ADT995, MATCH($B$3, 'Histórico'!$A$1:$A995, 0), MATCH(B30, 'Histórico'!$1:$1, 0)-1)/INDEX('Histórico'!$B$1:$ADT995, MATCH($C$3, 'Histórico'!$A$1:$A995, 0), MATCH(B30, 'Histórico'!$1:$1, 0)-1)-1),
""),"")</f>
        <v/>
      </c>
      <c r="S30" s="401" t="str">
        <f t="shared" si="12"/>
        <v/>
      </c>
      <c r="T30" s="402" t="str">
        <f t="shared" si="10"/>
        <v/>
      </c>
      <c r="U30" s="247"/>
      <c r="V30" s="348"/>
      <c r="W30" s="348"/>
      <c r="X30" s="348"/>
      <c r="Y30" s="348"/>
      <c r="Z30" s="348"/>
      <c r="AA30" s="348"/>
      <c r="AB30" s="307"/>
      <c r="AC30" s="307"/>
      <c r="AD30" s="307"/>
    </row>
    <row r="31" ht="15.75" customHeight="1">
      <c r="A31" s="348"/>
      <c r="B31" s="406"/>
      <c r="C31" s="4" t="str">
        <f>IF($B31 &lt;&gt; "",SUMIFS('Alocação'!$O$3:$O$1002,'Alocação'!$C$3:$C$1002,$B31,'Alocação'!$F$3:$F$1002,$N$4,'Alocação'!$B$3:$B$1002,"&lt;="&amp;$B$3), "")</f>
        <v/>
      </c>
      <c r="D31" s="4" t="str">
        <f>IFERROR(VLOOKUP($B31, 'Cadastro dos Ativos'!$A$1:$C$217, 3, FALSE), "")</f>
        <v/>
      </c>
      <c r="E31" s="408" t="str">
        <f>IFS($D31="Ações Listadas na B3", (($C31 * HLOOKUP($B31, 'Histórico'!$A$1:$FI$296, MATCH($B$3,'Histórico'!$A:$A),0)) / $B$6),
$D31="Ações Americanas",(($C31 * HLOOKUP($B31, 'Histórico'!$A$1:$FI$296, MATCH($B$3,'Histórico'!$A:$A),0)) * HLOOKUP("PTAX", 'Histórico'!$A$1:$FI$296, MATCH($B$3,'Histórico'!$A:$A),0) / $B$6),
$D31="Ações Europeias",(($C31 * HLOOKUP($B31, 'Histórico'!$A$1:$FI$296, MATCH($B$3,'Histórico'!$A:$A),0)) * HLOOKUP("EUR/BRL", 'Histórico'!$A$1:$FI$296, MATCH($B$3,'Histórico'!$A:$A),0) / $B$6),
$D31="Futuros",(SUMIFS('Alocação'!$N:$N,'Alocação'!$C:$C,$B31,'Alocação'!$F:$F,$N$4,'Alocação'!$B:$B,"&lt;="&amp;$B$3))/($B$6)+($C31*SUMPRODUCT(('Histórico T'!$A:$A=$B31)*('Histórico T'!$B:$AAW)))/($B$6),$D31="Moedas",(($C31 * HLOOKUP($B31, 'Histórico'!$A$1:$FI$296, MATCH($B$3,'Histórico'!$A:$A),0)) / $B$6),$B31="","")</f>
        <v/>
      </c>
      <c r="F31" s="408" t="str">
        <f t="shared" si="7"/>
        <v/>
      </c>
      <c r="G31" s="394" t="str">
        <f>IFS(OR($D31="Ações Listadas na B3",$D31="Ações Americanas",$D31="Moedas",$D31="Ações Europeias",$D31="Títulos"),$AA31,
$D31="Futuros",
(SUMIFS('Alocação'!$O$3:$O$1002,'Alocação'!$C$3:$C$1002,B31,'Alocação'!$F$3:$F$1002,N$4,'Alocação'!$B$3:$B$1002,"&lt;="&amp;$C$3))*HLOOKUP(B31,'Histórico'!$A$1:$DD$990,MATCH($B$3,'Histórico'!$A:$A),FALSE),
$D31="",""
)</f>
        <v/>
      </c>
      <c r="H31" s="446" t="str">
        <f t="shared" si="8"/>
        <v/>
      </c>
      <c r="I31" s="383"/>
      <c r="J31" s="383"/>
      <c r="K31" s="383"/>
      <c r="L31" s="383"/>
      <c r="M31" s="383"/>
      <c r="N31" s="348"/>
      <c r="O31" s="348"/>
      <c r="P31" s="247"/>
      <c r="Q31" s="247"/>
      <c r="R31" s="400" t="str">
        <f t="array" ref="R31">IFERROR(IF(D31&lt;&gt;"Futuros",
(INDEX('Histórico'!$B$1:$ADT996, MATCH($B$3, 'Histórico'!$A$1:$A996, 0), MATCH(B31, 'Histórico'!$1:$1, 0)-1)/INDEX('Histórico'!$B$1:$ADT996, MATCH($C$3, 'Histórico'!$A$1:$A996, 0), MATCH(B31, 'Histórico'!$1:$1, 0)-1)-1),
""),"")</f>
        <v/>
      </c>
      <c r="S31" s="401" t="str">
        <f t="shared" si="12"/>
        <v/>
      </c>
      <c r="T31" s="402" t="str">
        <f t="shared" si="10"/>
        <v/>
      </c>
      <c r="U31" s="247"/>
      <c r="V31" s="348"/>
      <c r="W31" s="348"/>
      <c r="X31" s="348"/>
      <c r="Y31" s="348"/>
      <c r="Z31" s="348"/>
      <c r="AA31" s="348"/>
      <c r="AB31" s="307"/>
      <c r="AC31" s="307"/>
      <c r="AD31" s="307"/>
    </row>
    <row r="32" ht="15.75" customHeight="1">
      <c r="A32" s="348"/>
      <c r="B32" s="406"/>
      <c r="C32" s="4" t="str">
        <f>IF($B32 &lt;&gt; "",SUMIFS('Alocação'!$O$3:$O$1002,'Alocação'!$C$3:$C$1002,$B32,'Alocação'!$F$3:$F$1002,$N$4,'Alocação'!$B$3:$B$1002,"&lt;="&amp;$B$3), "")</f>
        <v/>
      </c>
      <c r="D32" s="4" t="str">
        <f>IFERROR(VLOOKUP($B32, 'Cadastro dos Ativos'!$A$1:$C$217, 3, FALSE), "")</f>
        <v/>
      </c>
      <c r="E32" s="408" t="str">
        <f>IFS($D32="Ações Listadas na B3", (($C32 * HLOOKUP($B32, 'Histórico'!$A$1:$FI$296, MATCH($B$3,'Histórico'!$A:$A),0)) / $B$6),
$D32="Ações Americanas",(($C32 * HLOOKUP($B32, 'Histórico'!$A$1:$FI$296, MATCH($B$3,'Histórico'!$A:$A),0)) * HLOOKUP("PTAX", 'Histórico'!$A$1:$FI$296, MATCH($B$3,'Histórico'!$A:$A),0) / $B$6),
$D32="Ações Europeias",(($C32 * HLOOKUP($B32, 'Histórico'!$A$1:$FI$296, MATCH($B$3,'Histórico'!$A:$A),0)) * HLOOKUP("EUR/BRL", 'Histórico'!$A$1:$FI$296, MATCH($B$3,'Histórico'!$A:$A),0) / $B$6),
$D32="Futuros",(SUMIFS('Alocação'!$N:$N,'Alocação'!$C:$C,$B32,'Alocação'!$F:$F,$N$4,'Alocação'!$B:$B,"&lt;="&amp;$B$3))/($B$6)+($C32*SUMPRODUCT(('Histórico T'!$A:$A=$B32)*('Histórico T'!$B:$AAW)))/($B$6),$D32="Moedas",(($C32 * HLOOKUP($B32, 'Histórico'!$A$1:$FI$296, MATCH($B$3,'Histórico'!$A:$A),0)) / $B$6),$B32="","")</f>
        <v/>
      </c>
      <c r="F32" s="408" t="str">
        <f t="shared" si="7"/>
        <v/>
      </c>
      <c r="G32" s="394" t="str">
        <f>IFS(OR($D32="Ações Listadas na B3",$D32="Ações Americanas",$D32="Moedas",$D32="Ações Europeias",$D32="Títulos"),$AA32,
$D32="Futuros",
(SUMIFS('Alocação'!$O$3:$O$1002,'Alocação'!$C$3:$C$1002,B32,'Alocação'!$F$3:$F$1002,N$4,'Alocação'!$B$3:$B$1002,"&lt;="&amp;$C$3))*HLOOKUP(B32,'Histórico'!$A$1:$DD$990,MATCH($B$3,'Histórico'!$A:$A),FALSE),
$D32="",""
)</f>
        <v/>
      </c>
      <c r="H32" s="446" t="str">
        <f t="shared" si="8"/>
        <v/>
      </c>
      <c r="I32" s="383"/>
      <c r="J32" s="383"/>
      <c r="K32" s="196"/>
      <c r="L32" s="383"/>
      <c r="M32" s="383"/>
      <c r="N32" s="348"/>
      <c r="O32" s="348"/>
      <c r="P32" s="247"/>
      <c r="Q32" s="247"/>
      <c r="R32" s="400" t="str">
        <f t="array" ref="R32">IFERROR(IF(D32&lt;&gt;"Futuros",
(INDEX('Histórico'!$B$1:$ADT997, MATCH($B$3, 'Histórico'!$A$1:$A997, 0), MATCH(B32, 'Histórico'!$1:$1, 0)-1)/INDEX('Histórico'!$B$1:$ADT997, MATCH($C$3, 'Histórico'!$A$1:$A997, 0), MATCH(B32, 'Histórico'!$1:$1, 0)-1)-1),
""),"")</f>
        <v/>
      </c>
      <c r="S32" s="401" t="str">
        <f t="shared" si="12"/>
        <v/>
      </c>
      <c r="T32" s="402" t="str">
        <f t="shared" si="10"/>
        <v/>
      </c>
      <c r="U32" s="247"/>
      <c r="V32" s="247"/>
      <c r="W32" s="247"/>
      <c r="X32" s="247"/>
      <c r="Y32" s="348"/>
      <c r="Z32" s="427" t="str">
        <f>IF(D32&lt;&gt;"Futuros","",HLOOKUP(B32,'Preços Futuros'!$A$1:$Z$1000,$B$3))</f>
        <v/>
      </c>
      <c r="AA32" s="311"/>
      <c r="AB32" s="307"/>
      <c r="AC32" s="307"/>
      <c r="AD32" s="307"/>
    </row>
    <row r="33" ht="15.75" customHeight="1">
      <c r="A33" s="348"/>
      <c r="B33" s="406"/>
      <c r="C33" s="4" t="str">
        <f>IF($B33 &lt;&gt; "",SUMIFS('Alocação'!$O$3:$O$1002,'Alocação'!$C$3:$C$1002,$B33,'Alocação'!$F$3:$F$1002,$N$4,'Alocação'!$B$3:$B$1002,"&lt;="&amp;$B$3), "")</f>
        <v/>
      </c>
      <c r="D33" s="4" t="str">
        <f>IFERROR(VLOOKUP($B33, 'Cadastro dos Ativos'!$A$1:$C$217, 3, FALSE), "")</f>
        <v/>
      </c>
      <c r="E33" s="408" t="str">
        <f>IFS($D33="Ações Listadas na B3", (($C33 * HLOOKUP($B33, 'Histórico'!$A$1:$FI$296, MATCH($B$3,'Histórico'!$A:$A),0)) / $B$6),
$D33="Ações Americanas",(($C33 * HLOOKUP($B33, 'Histórico'!$A$1:$FI$296, MATCH($B$3,'Histórico'!$A:$A),0)) * HLOOKUP("PTAX", 'Histórico'!$A$1:$FI$296, MATCH($B$3,'Histórico'!$A:$A),0) / $B$6),
$D33="Ações Europeias",(($C33 * HLOOKUP($B33, 'Histórico'!$A$1:$FI$296, MATCH($B$3,'Histórico'!$A:$A),0)) * HLOOKUP("EUR/BRL", 'Histórico'!$A$1:$FI$296, MATCH($B$3,'Histórico'!$A:$A),0) / $B$6),
$D33="Futuros",(SUMIFS('Alocação'!$N:$N,'Alocação'!$C:$C,$B33,'Alocação'!$F:$F,$N$4,'Alocação'!$B:$B,"&lt;="&amp;$B$3))/($B$6)+($C33*SUMPRODUCT(('Histórico T'!$A:$A=$B33)*('Histórico T'!$B:$AAW)))/($B$6),$D33="Moedas",(($C33 * HLOOKUP($B33, 'Histórico'!$A$1:$FI$296, MATCH($B$3,'Histórico'!$A:$A),0)) / $B$6),$B33="","")</f>
        <v/>
      </c>
      <c r="F33" s="408" t="str">
        <f t="shared" si="7"/>
        <v/>
      </c>
      <c r="G33" s="394" t="str">
        <f>IFS(OR($D33="Ações Listadas na B3",$D33="Ações Americanas",$D33="Moedas",$D33="Ações Europeias",$D33="Títulos"),$AA33,
$D33="Futuros",
(SUMIFS('Alocação'!$O$3:$O$1002,'Alocação'!$C$3:$C$1002,B33,'Alocação'!$F$3:$F$1002,N$4,'Alocação'!$B$3:$B$1002,"&lt;="&amp;$C$3))*HLOOKUP(B33,'Histórico'!$A$1:$DD$990,MATCH($B$3,'Histórico'!$A:$A),FALSE),
$D33="",""
)</f>
        <v/>
      </c>
      <c r="H33" s="446" t="str">
        <f t="shared" si="8"/>
        <v/>
      </c>
      <c r="I33" s="383"/>
      <c r="J33" s="383"/>
      <c r="K33" s="383"/>
      <c r="L33" s="383"/>
      <c r="M33" s="383"/>
      <c r="N33" s="348"/>
      <c r="O33" s="348"/>
      <c r="P33" s="247"/>
      <c r="Q33" s="247"/>
      <c r="R33" s="400" t="str">
        <f t="array" ref="R33">IFERROR(IF(D33&lt;&gt;"Futuros",
(INDEX('Histórico'!$B$1:$ADT998, MATCH($B$3, 'Histórico'!$A$1:$A998, 0), MATCH(B33, 'Histórico'!$1:$1, 0)-1)/INDEX('Histórico'!$B$1:$ADT998, MATCH($C$3, 'Histórico'!$A$1:$A998, 0), MATCH(B33, 'Histórico'!$1:$1, 0)-1)-1),
""),"")</f>
        <v/>
      </c>
      <c r="S33" s="401" t="str">
        <f t="shared" si="12"/>
        <v/>
      </c>
      <c r="T33" s="402" t="str">
        <f t="shared" si="10"/>
        <v/>
      </c>
      <c r="U33" s="247"/>
      <c r="V33" s="247"/>
      <c r="W33" s="247"/>
      <c r="X33" s="247"/>
      <c r="Y33" s="348"/>
      <c r="Z33" s="427" t="str">
        <f>IF(D33&lt;&gt;"Futuros","",HLOOKUP(B33,'Preços Futuros'!$A$1:$Z$1000,$B$3))</f>
        <v/>
      </c>
      <c r="AA33" s="311"/>
      <c r="AB33" s="307"/>
      <c r="AC33" s="307"/>
      <c r="AD33" s="307"/>
    </row>
    <row r="34" ht="15.75" customHeight="1">
      <c r="A34" s="348"/>
      <c r="B34" s="406"/>
      <c r="C34" s="4" t="str">
        <f>IF($B34 &lt;&gt; "",SUMIFS('Alocação'!$O$3:$O$1002,'Alocação'!$C$3:$C$1002,$B34,'Alocação'!$F$3:$F$1002,$N$4,'Alocação'!$B$3:$B$1002,"&lt;="&amp;$B$3), "")</f>
        <v/>
      </c>
      <c r="D34" s="4" t="str">
        <f>IFERROR(VLOOKUP($B34, 'Cadastro dos Ativos'!$A$1:$C$217, 3, FALSE), "")</f>
        <v/>
      </c>
      <c r="E34" s="408" t="str">
        <f>IFS($D34="Ações Listadas na B3", (($C34 * HLOOKUP($B34, 'Histórico'!$A$1:$FI$296, MATCH($B$3,'Histórico'!$A:$A),0)) / $B$6),
$D34="Ações Americanas",(($C34 * HLOOKUP($B34, 'Histórico'!$A$1:$FI$296, MATCH($B$3,'Histórico'!$A:$A),0)) * HLOOKUP("PTAX", 'Histórico'!$A$1:$FI$296, MATCH($B$3,'Histórico'!$A:$A),0) / $B$6),
$D34="Ações Europeias",(($C34 * HLOOKUP($B34, 'Histórico'!$A$1:$FI$296, MATCH($B$3,'Histórico'!$A:$A),0)) * HLOOKUP("EUR/BRL", 'Histórico'!$A$1:$FI$296, MATCH($B$3,'Histórico'!$A:$A),0) / $B$6),
$D34="Futuros",(SUMIFS('Alocação'!$N:$N,'Alocação'!$C:$C,$B34,'Alocação'!$F:$F,$N$4,'Alocação'!$B:$B,"&lt;="&amp;$B$3))/($B$6)+($C34*SUMPRODUCT(('Histórico T'!$A:$A=$B34)*('Histórico T'!$B:$AAW)))/($B$6),$D34="Moedas",(($C34 * HLOOKUP($B34, 'Histórico'!$A$1:$FI$296, MATCH($B$3,'Histórico'!$A:$A),0)) / $B$6),$B34="","")</f>
        <v/>
      </c>
      <c r="F34" s="408" t="str">
        <f t="shared" si="7"/>
        <v/>
      </c>
      <c r="G34" s="394" t="str">
        <f>IFS(OR($D34="Ações Listadas na B3",$D34="Ações Americanas",$D34="Moedas",$D34="Ações Europeias",$D34="Títulos"),$AA34,
$D34="Futuros",
(SUMIFS('Alocação'!$O$3:$O$1002,'Alocação'!$C$3:$C$1002,B34,'Alocação'!$F$3:$F$1002,N$4,'Alocação'!$B$3:$B$1002,"&lt;="&amp;$C$3))*HLOOKUP(B34,'Histórico'!$A$1:$DD$990,MATCH($B$3,'Histórico'!$A:$A),FALSE),
$D34="",""
)</f>
        <v/>
      </c>
      <c r="H34" s="446" t="str">
        <f t="shared" si="8"/>
        <v/>
      </c>
      <c r="I34" s="383"/>
      <c r="J34" s="383"/>
      <c r="K34" s="383"/>
      <c r="L34" s="383"/>
      <c r="M34" s="383"/>
      <c r="N34" s="348"/>
      <c r="O34" s="348"/>
      <c r="P34" s="247"/>
      <c r="Q34" s="247"/>
      <c r="R34" s="400" t="str">
        <f t="array" ref="R34">IFERROR(IF(D34&lt;&gt;"Futuros",
(INDEX('Histórico'!$B$1:$ADT999, MATCH($B$3, 'Histórico'!$A$1:$A999, 0), MATCH(B34, 'Histórico'!$1:$1, 0)-1)/INDEX('Histórico'!$B$1:$ADT999, MATCH($C$3, 'Histórico'!$A$1:$A999, 0), MATCH(B34, 'Histórico'!$1:$1, 0)-1)-1),
""),"")</f>
        <v/>
      </c>
      <c r="S34" s="401" t="str">
        <f t="shared" si="12"/>
        <v/>
      </c>
      <c r="T34" s="402" t="str">
        <f t="shared" si="10"/>
        <v/>
      </c>
      <c r="U34" s="247"/>
      <c r="V34" s="247"/>
      <c r="W34" s="247"/>
      <c r="X34" s="247"/>
      <c r="Y34" s="348"/>
      <c r="Z34" s="427" t="str">
        <f>IF(D34&lt;&gt;"Futuros","",HLOOKUP(B34,'Preços Futuros'!$A$1:$Z$1000,$B$3))</f>
        <v/>
      </c>
      <c r="AA34" s="311"/>
      <c r="AB34" s="307"/>
      <c r="AC34" s="307"/>
      <c r="AD34" s="307"/>
    </row>
    <row r="35" ht="15.75" customHeight="1">
      <c r="A35" s="348"/>
      <c r="B35" s="406"/>
      <c r="C35" s="4" t="str">
        <f>IF($B35 &lt;&gt; "",SUMIFS('Alocação'!$O$3:$O$1002,'Alocação'!$C$3:$C$1002,$B35,'Alocação'!$F$3:$F$1002,$N$4,'Alocação'!$B$3:$B$1002,"&lt;="&amp;$B$3), "")</f>
        <v/>
      </c>
      <c r="D35" s="4" t="str">
        <f>IFERROR(VLOOKUP($B35, 'Cadastro dos Ativos'!$A$1:$C$217, 3, FALSE), "")</f>
        <v/>
      </c>
      <c r="E35" s="408" t="str">
        <f>IFS($D35="Ações Listadas na B3", (($C35 * HLOOKUP($B35, 'Histórico'!$A$1:$FI$296, MATCH($B$3,'Histórico'!$A:$A),0)) / $B$6),
$D35="Ações Americanas",(($C35 * HLOOKUP($B35, 'Histórico'!$A$1:$FI$296, MATCH($B$3,'Histórico'!$A:$A),0)) * HLOOKUP("PTAX", 'Histórico'!$A$1:$FI$296, MATCH($B$3,'Histórico'!$A:$A),0) / $B$6),
$D35="Ações Europeias",(($C35 * HLOOKUP($B35, 'Histórico'!$A$1:$FI$296, MATCH($B$3,'Histórico'!$A:$A),0)) * HLOOKUP("EUR/BRL", 'Histórico'!$A$1:$FI$296, MATCH($B$3,'Histórico'!$A:$A),0) / $B$6),
$D35="Futuros",(SUMIFS('Alocação'!$N:$N,'Alocação'!$C:$C,$B35,'Alocação'!$F:$F,$N$4,'Alocação'!$B:$B,"&lt;="&amp;$B$3))/($B$6)+($C35*SUMPRODUCT(('Histórico T'!$A:$A=$B35)*('Histórico T'!$B:$AAW)))/($B$6),$D35="Moedas",(($C35 * HLOOKUP($B35, 'Histórico'!$A$1:$FI$296, MATCH($B$3,'Histórico'!$A:$A),0)) / $B$6),$B35="","")</f>
        <v/>
      </c>
      <c r="F35" s="408" t="str">
        <f t="shared" si="7"/>
        <v/>
      </c>
      <c r="G35" s="394" t="str">
        <f>IFS(OR($D35="Ações Listadas na B3",$D35="Ações Americanas",$D35="Moedas",$D35="Ações Europeias",$D35="Títulos"),$AA35,
$D35="Futuros",
(SUMIFS('Alocação'!$O$3:$O$1002,'Alocação'!$C$3:$C$1002,B35,'Alocação'!$F$3:$F$1002,N$4,'Alocação'!$B$3:$B$1002,"&lt;="&amp;$C$3))*HLOOKUP(B35,'Histórico'!$A$1:$DD$990,MATCH($B$3,'Histórico'!$A:$A),FALSE),
$D35="",""
)</f>
        <v/>
      </c>
      <c r="H35" s="446" t="str">
        <f t="shared" si="8"/>
        <v/>
      </c>
      <c r="I35" s="383"/>
      <c r="J35" s="383"/>
      <c r="K35" s="383"/>
      <c r="L35" s="383"/>
      <c r="M35" s="383"/>
      <c r="N35" s="348"/>
      <c r="O35" s="348"/>
      <c r="P35" s="247"/>
      <c r="Q35" s="247"/>
      <c r="R35" s="400" t="str">
        <f t="array" ref="R35">IFERROR(IF(D35&lt;&gt;"Futuros",
(INDEX('Histórico'!$B$1:$ADT1000, MATCH($B$3, 'Histórico'!$A$1:$A1000, 0), MATCH(B35, 'Histórico'!$1:$1, 0)-1)/INDEX('Histórico'!$B$1:$ADT1000, MATCH($C$3, 'Histórico'!$A$1:$A1000, 0), MATCH(B35, 'Histórico'!$1:$1, 0)-1)-1),
""),"")</f>
        <v/>
      </c>
      <c r="S35" s="401" t="str">
        <f t="shared" si="12"/>
        <v/>
      </c>
      <c r="T35" s="402" t="str">
        <f t="shared" si="10"/>
        <v/>
      </c>
      <c r="U35" s="247"/>
      <c r="V35" s="247"/>
      <c r="W35" s="247"/>
      <c r="X35" s="247"/>
      <c r="Y35" s="348"/>
      <c r="Z35" s="427" t="str">
        <f>IF(D35&lt;&gt;"Futuros","",HLOOKUP(B35,'Preços Futuros'!$A$1:$Z$1000,$B$3))</f>
        <v/>
      </c>
      <c r="AA35" s="311"/>
      <c r="AB35" s="307"/>
      <c r="AC35" s="307"/>
      <c r="AD35" s="307"/>
    </row>
    <row r="36" ht="15.75" customHeight="1">
      <c r="A36" s="348"/>
      <c r="B36" s="406"/>
      <c r="C36" s="4" t="str">
        <f>IF($B36 &lt;&gt; "",SUMIFS('Alocação'!$O$3:$O$1002,'Alocação'!$C$3:$C$1002,$B36,'Alocação'!$F$3:$F$1002,$N$4,'Alocação'!$B$3:$B$1002,"&lt;="&amp;$B$3), "")</f>
        <v/>
      </c>
      <c r="D36" s="4" t="str">
        <f>IFERROR(VLOOKUP($B36, 'Cadastro dos Ativos'!$A$1:$C$217, 3, FALSE), "")</f>
        <v/>
      </c>
      <c r="E36" s="408" t="str">
        <f>IFS($D36="Ações Listadas na B3", (($C36 * HLOOKUP($B36, 'Histórico'!$A$1:$FI$296, MATCH($B$3,'Histórico'!$A:$A),0)) / $B$6),
$D36="Ações Americanas",(($C36 * HLOOKUP($B36, 'Histórico'!$A$1:$FI$296, MATCH($B$3,'Histórico'!$A:$A),0)) * HLOOKUP("PTAX", 'Histórico'!$A$1:$FI$296, MATCH($B$3,'Histórico'!$A:$A),0) / $B$6),
$D36="Ações Europeias",(($C36 * HLOOKUP($B36, 'Histórico'!$A$1:$FI$296, MATCH($B$3,'Histórico'!$A:$A),0)) * HLOOKUP("EUR/BRL", 'Histórico'!$A$1:$FI$296, MATCH($B$3,'Histórico'!$A:$A),0) / $B$6),
$D36="Futuros",(SUMIFS('Alocação'!$N:$N,'Alocação'!$C:$C,$B36,'Alocação'!$F:$F,$N$4,'Alocação'!$B:$B,"&lt;="&amp;$B$3))/($B$6)+($C36*SUMPRODUCT(('Histórico T'!$A:$A=$B36)*('Histórico T'!$B:$AAW)))/($B$6),$D36="Moedas",(($C36 * HLOOKUP($B36, 'Histórico'!$A$1:$FI$296, MATCH($B$3,'Histórico'!$A:$A),0)) / $B$6),$B36="","")</f>
        <v/>
      </c>
      <c r="F36" s="408" t="str">
        <f t="shared" si="7"/>
        <v/>
      </c>
      <c r="G36" s="394" t="str">
        <f>IFS(OR($D36="Ações Listadas na B3",$D36="Ações Americanas",$D36="Moedas",$D36="Ações Europeias",$D36="Títulos"),$AA36,
$D36="Futuros",
(SUMIFS('Alocação'!$O$3:$O$1002,'Alocação'!$C$3:$C$1002,B36,'Alocação'!$F$3:$F$1002,N$4,'Alocação'!$B$3:$B$1002,"&lt;="&amp;$C$3))*HLOOKUP(B36,'Histórico'!$A$1:$DD$990,MATCH($B$3,'Histórico'!$A:$A),FALSE),
$D36="",""
)</f>
        <v/>
      </c>
      <c r="H36" s="446" t="str">
        <f t="shared" si="8"/>
        <v/>
      </c>
      <c r="I36" s="383"/>
      <c r="J36" s="383"/>
      <c r="K36" s="383"/>
      <c r="L36" s="383"/>
      <c r="M36" s="383"/>
      <c r="N36" s="348"/>
      <c r="O36" s="348"/>
      <c r="P36" s="247"/>
      <c r="Q36" s="247"/>
      <c r="R36" s="400" t="str">
        <f t="array" ref="R36">IFERROR(IF(D36&lt;&gt;"Futuros",
(INDEX('Histórico'!$B$1:$ADT1001, MATCH($B$3, 'Histórico'!$A$1:$A1001, 0), MATCH(B36, 'Histórico'!$1:$1, 0)-1)/INDEX('Histórico'!$B$1:$ADT1001, MATCH($C$3, 'Histórico'!$A$1:$A1001, 0), MATCH(B36, 'Histórico'!$1:$1, 0)-1)-1),
""),"")</f>
        <v/>
      </c>
      <c r="S36" s="348"/>
      <c r="T36" s="348"/>
      <c r="U36" s="348"/>
      <c r="V36" s="307"/>
      <c r="W36" s="247"/>
      <c r="X36" s="247"/>
      <c r="Y36" s="348"/>
      <c r="Z36" s="427" t="str">
        <f>IF(D36&lt;&gt;"Futuros","",HLOOKUP(B36,'Preços Futuros'!$A$1:$Z$1000,$B$3))</f>
        <v/>
      </c>
      <c r="AA36" s="311"/>
      <c r="AB36" s="307"/>
      <c r="AC36" s="307"/>
      <c r="AD36" s="307"/>
    </row>
    <row r="37" ht="15.75" customHeight="1">
      <c r="A37" s="348"/>
      <c r="B37" s="429"/>
      <c r="C37" s="430" t="str">
        <f>IF($B37 &lt;&gt; "",SUMIFS('Alocação'!$O$3:$O$1002,'Alocação'!$C$3:$C$1002,$B37,'Alocação'!$F$3:$F$1002,$N$4,'Alocação'!$B$3:$B$1002,"&lt;="&amp;$B$3), "")</f>
        <v/>
      </c>
      <c r="D37" s="430" t="str">
        <f>IFERROR(VLOOKUP($B37, 'Cadastro dos Ativos'!$A$1:$C$217, 3, FALSE), "")</f>
        <v/>
      </c>
      <c r="E37" s="431" t="str">
        <f>IFS($D37="Ações Listadas na B3", (($C37 * HLOOKUP($B37, 'Histórico'!$A$1:$FI$296, MATCH($B$3,'Histórico'!$A:$A),0)) / $B$6),
$D37="Ações Americanas",(($C37 * HLOOKUP($B37, 'Histórico'!$A$1:$FI$296, MATCH($B$3,'Histórico'!$A:$A),0)) * HLOOKUP("PTAX", 'Histórico'!$A$1:$FI$296, MATCH($B$3,'Histórico'!$A:$A),0) / $B$6),
$D37="Ações Europeias",(($C37 * HLOOKUP($B37, 'Histórico'!$A$1:$FI$296, MATCH($B$3,'Histórico'!$A:$A),0)) * HLOOKUP("EUR/BRL", 'Histórico'!$A$1:$FI$296, MATCH($B$3,'Histórico'!$A:$A),0) / $B$6),
$D37="Futuros",(SUMIFS('Alocação'!$N:$N,'Alocação'!$C:$C,$B37,'Alocação'!$F:$F,$N$4,'Alocação'!$B:$B,"&lt;="&amp;$B$3))/($B$6)+($C37*SUMPRODUCT(('Histórico T'!$A:$A=$B37)*('Histórico T'!$B:$AAW)))/($B$6),$D37="Moedas",(($C37 * HLOOKUP($B37, 'Histórico'!$A$1:$FI$296, MATCH($B$3,'Histórico'!$A:$A),0)) / $B$6),$B37="","")</f>
        <v/>
      </c>
      <c r="F37" s="431" t="str">
        <f t="shared" si="7"/>
        <v/>
      </c>
      <c r="G37" s="432" t="str">
        <f>IFS(OR($D37="Ações Listadas na B3",$D37="Ações Americanas",$D37="Moedas",$D37="Ações Europeias",$D37="Títulos"),$AA37,
$D37="Futuros",
(SUMIFS('Alocação'!$O$3:$O$1002,'Alocação'!$C$3:$C$1002,B37,'Alocação'!$F$3:$F$1002,N$4,'Alocação'!$B$3:$B$1002,"&lt;="&amp;$C$3))*HLOOKUP(B37,'Histórico'!$A$1:$DD$990,MATCH($B$3,'Histórico'!$A:$A),FALSE),
$D37="",""
)</f>
        <v/>
      </c>
      <c r="H37" s="458" t="str">
        <f t="shared" si="8"/>
        <v/>
      </c>
      <c r="I37" s="383"/>
      <c r="J37" s="383"/>
      <c r="K37" s="383"/>
      <c r="L37" s="383"/>
      <c r="M37" s="247"/>
      <c r="N37" s="247"/>
      <c r="O37" s="247"/>
      <c r="P37" s="247"/>
      <c r="Q37" s="247"/>
      <c r="R37" s="400" t="str">
        <f t="array" ref="R37">IFERROR(IF(D37&lt;&gt;"Futuros",
(INDEX('Histórico'!$B$1:$ADT1002, MATCH($B$3, 'Histórico'!$A$1:$A1002, 0), MATCH(B37, 'Histórico'!$1:$1, 0)-1)/INDEX('Histórico'!$B$1:$ADT1002, MATCH($C$3, 'Histórico'!$A$1:$A1002, 0), MATCH(B37, 'Histórico'!$1:$1, 0)-1)-1),
""),"")</f>
        <v/>
      </c>
      <c r="S37" s="348"/>
      <c r="T37" s="348"/>
      <c r="U37" s="348"/>
      <c r="V37" s="307"/>
      <c r="W37" s="247"/>
      <c r="X37" s="247"/>
      <c r="Y37" s="348"/>
      <c r="Z37" s="427" t="str">
        <f>IF(D37&lt;&gt;"Futuros","",HLOOKUP(B37,'Preços Futuros'!$A$1:$Z$1000,$B$3))</f>
        <v/>
      </c>
      <c r="AA37" s="307"/>
      <c r="AB37" s="307"/>
      <c r="AC37" s="307"/>
      <c r="AD37" s="307"/>
    </row>
    <row r="38" ht="15.75" customHeight="1">
      <c r="A38" s="306"/>
      <c r="B38" s="306"/>
      <c r="C38" s="306"/>
      <c r="D38" s="306"/>
      <c r="E38" s="306"/>
      <c r="F38" s="306"/>
      <c r="G38" s="306"/>
      <c r="H38" s="306"/>
      <c r="I38" s="383"/>
      <c r="J38" s="435"/>
      <c r="K38" s="306"/>
      <c r="L38" s="307"/>
      <c r="M38" s="307"/>
      <c r="N38" s="307"/>
      <c r="O38" s="307"/>
      <c r="P38" s="307"/>
      <c r="Q38" s="307"/>
      <c r="R38" s="307"/>
      <c r="S38" s="348"/>
      <c r="T38" s="348"/>
      <c r="U38" s="348"/>
      <c r="V38" s="307"/>
      <c r="W38" s="307"/>
      <c r="X38" s="307"/>
      <c r="Y38" s="348"/>
      <c r="Z38" s="307"/>
      <c r="AA38" s="307"/>
      <c r="AB38" s="307"/>
      <c r="AC38" s="307"/>
      <c r="AD38" s="307"/>
    </row>
    <row r="39" ht="15.75" customHeight="1">
      <c r="A39" s="306"/>
      <c r="B39" s="306"/>
      <c r="C39" s="306"/>
      <c r="D39" s="306"/>
      <c r="E39" s="306"/>
      <c r="F39" s="306"/>
      <c r="G39" s="306"/>
      <c r="H39" s="306"/>
      <c r="I39" s="307"/>
      <c r="J39" s="307"/>
      <c r="K39" s="307"/>
      <c r="L39" s="307"/>
      <c r="M39" s="307"/>
      <c r="N39" s="307"/>
      <c r="O39" s="307"/>
      <c r="P39" s="307"/>
      <c r="Q39" s="307"/>
      <c r="R39" s="307"/>
      <c r="S39" s="348"/>
      <c r="T39" s="348"/>
      <c r="U39" s="348"/>
      <c r="V39" s="307"/>
      <c r="W39" s="307"/>
      <c r="X39" s="307"/>
      <c r="Y39" s="307"/>
      <c r="Z39" s="307"/>
      <c r="AA39" s="307"/>
      <c r="AB39" s="307"/>
      <c r="AC39" s="307"/>
      <c r="AD39" s="307"/>
    </row>
    <row r="40" ht="15.75" customHeight="1">
      <c r="A40" s="306"/>
      <c r="B40" s="306"/>
      <c r="C40" s="306"/>
      <c r="D40" s="306"/>
      <c r="E40" s="306"/>
      <c r="F40" s="306"/>
      <c r="G40" s="306"/>
      <c r="H40" s="306"/>
      <c r="I40" s="307"/>
      <c r="J40" s="307"/>
      <c r="K40" s="307"/>
      <c r="L40" s="307"/>
      <c r="M40" s="307"/>
      <c r="N40" s="307"/>
      <c r="O40" s="307"/>
      <c r="P40" s="307"/>
      <c r="Q40" s="307"/>
      <c r="R40" s="307"/>
      <c r="S40" s="348"/>
      <c r="T40" s="348"/>
      <c r="U40" s="348"/>
      <c r="V40" s="307"/>
      <c r="W40" s="307"/>
      <c r="X40" s="307"/>
      <c r="Y40" s="307"/>
      <c r="Z40" s="307"/>
      <c r="AA40" s="307"/>
      <c r="AB40" s="307"/>
      <c r="AC40" s="307"/>
      <c r="AD40" s="307"/>
    </row>
    <row r="41" ht="15.75" customHeight="1">
      <c r="A41" s="306"/>
      <c r="B41" s="306"/>
      <c r="C41" s="306"/>
      <c r="D41" s="306"/>
      <c r="E41" s="306"/>
      <c r="F41" s="306"/>
      <c r="G41" s="306"/>
      <c r="H41" s="306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348"/>
      <c r="T41" s="348"/>
      <c r="U41" s="348"/>
      <c r="V41" s="307"/>
      <c r="W41" s="307"/>
      <c r="X41" s="307"/>
      <c r="Y41" s="307"/>
      <c r="Z41" s="307"/>
      <c r="AA41" s="307"/>
      <c r="AB41" s="307"/>
      <c r="AC41" s="307"/>
      <c r="AD41" s="307"/>
    </row>
    <row r="42" ht="15.75" customHeight="1">
      <c r="A42" s="306"/>
      <c r="B42" s="306"/>
      <c r="C42" s="306"/>
      <c r="D42" s="306"/>
      <c r="E42" s="306"/>
      <c r="F42" s="306"/>
      <c r="G42" s="306"/>
      <c r="H42" s="306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48"/>
      <c r="T42" s="348"/>
      <c r="U42" s="348"/>
      <c r="V42" s="307"/>
      <c r="W42" s="307"/>
      <c r="X42" s="307"/>
      <c r="Y42" s="307"/>
      <c r="Z42" s="307"/>
      <c r="AA42" s="307"/>
      <c r="AB42" s="307"/>
      <c r="AC42" s="307"/>
      <c r="AD42" s="307"/>
    </row>
    <row r="43" ht="15.75" customHeight="1">
      <c r="A43" s="306"/>
      <c r="B43" s="306"/>
      <c r="C43" s="306"/>
      <c r="D43" s="306"/>
      <c r="E43" s="306"/>
      <c r="F43" s="306"/>
      <c r="G43" s="306"/>
      <c r="H43" s="306"/>
      <c r="I43" s="306"/>
      <c r="J43" s="306"/>
      <c r="K43" s="306"/>
      <c r="L43" s="307"/>
      <c r="M43" s="307"/>
      <c r="N43" s="307"/>
      <c r="O43" s="307"/>
      <c r="P43" s="307"/>
      <c r="Q43" s="307"/>
      <c r="R43" s="307"/>
      <c r="S43" s="348"/>
      <c r="T43" s="348"/>
      <c r="U43" s="348"/>
      <c r="V43" s="307"/>
      <c r="W43" s="307"/>
      <c r="X43" s="307"/>
      <c r="Y43" s="307"/>
      <c r="Z43" s="307"/>
      <c r="AA43" s="307"/>
      <c r="AB43" s="307"/>
      <c r="AC43" s="307"/>
      <c r="AD43" s="307"/>
    </row>
    <row r="44" ht="15.75" customHeight="1">
      <c r="A44" s="306"/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7"/>
      <c r="M44" s="307"/>
      <c r="N44" s="307"/>
      <c r="O44" s="307"/>
      <c r="P44" s="307"/>
      <c r="Q44" s="307"/>
      <c r="R44" s="307"/>
      <c r="S44" s="348"/>
      <c r="T44" s="348"/>
      <c r="U44" s="348"/>
      <c r="V44" s="307"/>
      <c r="W44" s="307"/>
      <c r="X44" s="307"/>
      <c r="Y44" s="307"/>
      <c r="Z44" s="307"/>
      <c r="AA44" s="307"/>
      <c r="AB44" s="307"/>
      <c r="AC44" s="307"/>
      <c r="AD44" s="307"/>
    </row>
    <row r="45" ht="15.75" customHeight="1">
      <c r="A45" s="306"/>
      <c r="B45" s="306"/>
      <c r="C45" s="306"/>
      <c r="D45" s="306"/>
      <c r="E45" s="306"/>
      <c r="F45" s="306"/>
      <c r="G45" s="306"/>
      <c r="H45" s="306"/>
      <c r="I45" s="306"/>
      <c r="J45" s="306"/>
      <c r="K45" s="306"/>
      <c r="L45" s="307"/>
      <c r="M45" s="307"/>
      <c r="N45" s="307"/>
      <c r="O45" s="307"/>
      <c r="P45" s="307"/>
      <c r="Q45" s="307"/>
      <c r="R45" s="307"/>
      <c r="S45" s="348"/>
      <c r="T45" s="348"/>
      <c r="U45" s="348"/>
      <c r="V45" s="307"/>
      <c r="W45" s="307"/>
      <c r="X45" s="307"/>
      <c r="Y45" s="307"/>
      <c r="Z45" s="307"/>
      <c r="AA45" s="307"/>
      <c r="AB45" s="307"/>
      <c r="AC45" s="307"/>
      <c r="AD45" s="307"/>
    </row>
    <row r="46" ht="15.75" customHeight="1">
      <c r="A46" s="306"/>
      <c r="B46" s="306"/>
      <c r="C46" s="306"/>
      <c r="D46" s="306"/>
      <c r="E46" s="306"/>
      <c r="F46" s="306"/>
      <c r="G46" s="306"/>
      <c r="H46" s="306"/>
      <c r="I46" s="306"/>
      <c r="J46" s="306"/>
      <c r="K46" s="306"/>
      <c r="L46" s="307"/>
      <c r="M46" s="307"/>
      <c r="N46" s="307"/>
      <c r="O46" s="307"/>
      <c r="P46" s="307"/>
      <c r="Q46" s="307"/>
      <c r="R46" s="307"/>
      <c r="S46" s="348"/>
      <c r="T46" s="348"/>
      <c r="U46" s="348"/>
      <c r="V46" s="307"/>
      <c r="W46" s="307"/>
      <c r="X46" s="307"/>
      <c r="Y46" s="307"/>
      <c r="Z46" s="307"/>
      <c r="AA46" s="307"/>
      <c r="AB46" s="307"/>
      <c r="AC46" s="307"/>
      <c r="AD46" s="307"/>
    </row>
    <row r="47" ht="15.75" customHeight="1">
      <c r="A47" s="306"/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7"/>
      <c r="M47" s="307"/>
      <c r="N47" s="307"/>
      <c r="O47" s="307"/>
      <c r="P47" s="307"/>
      <c r="Q47" s="307"/>
      <c r="R47" s="307"/>
      <c r="S47" s="348"/>
      <c r="T47" s="348"/>
      <c r="U47" s="348"/>
      <c r="V47" s="307"/>
      <c r="W47" s="307"/>
      <c r="X47" s="307"/>
      <c r="Y47" s="307"/>
      <c r="Z47" s="307"/>
      <c r="AA47" s="307"/>
      <c r="AB47" s="307"/>
      <c r="AC47" s="307"/>
      <c r="AD47" s="307"/>
    </row>
    <row r="48" ht="15.75" customHeight="1">
      <c r="A48" s="306"/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7"/>
      <c r="M48" s="307"/>
      <c r="N48" s="307"/>
      <c r="O48" s="307"/>
      <c r="P48" s="307"/>
      <c r="Q48" s="307"/>
      <c r="R48" s="307"/>
      <c r="S48" s="348"/>
      <c r="T48" s="348"/>
      <c r="U48" s="348"/>
      <c r="V48" s="307"/>
      <c r="W48" s="307"/>
      <c r="X48" s="307"/>
      <c r="Y48" s="307"/>
      <c r="Z48" s="307"/>
      <c r="AA48" s="307"/>
      <c r="AB48" s="307"/>
      <c r="AC48" s="307"/>
      <c r="AD48" s="307"/>
    </row>
    <row r="49" ht="15.75" customHeight="1">
      <c r="A49" s="306"/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7"/>
      <c r="M49" s="307"/>
      <c r="N49" s="307"/>
      <c r="O49" s="307"/>
      <c r="P49" s="307"/>
      <c r="Q49" s="307"/>
      <c r="R49" s="307"/>
      <c r="S49" s="348"/>
      <c r="T49" s="348"/>
      <c r="U49" s="348"/>
      <c r="V49" s="307"/>
      <c r="W49" s="307"/>
      <c r="X49" s="307"/>
      <c r="Y49" s="307"/>
      <c r="Z49" s="307"/>
      <c r="AA49" s="307"/>
      <c r="AB49" s="307"/>
      <c r="AC49" s="307"/>
      <c r="AD49" s="307"/>
    </row>
    <row r="50" ht="15.75" customHeight="1">
      <c r="A50" s="306"/>
      <c r="B50" s="306"/>
      <c r="C50" s="306"/>
      <c r="D50" s="306"/>
      <c r="E50" s="306"/>
      <c r="F50" s="306"/>
      <c r="G50" s="306"/>
      <c r="H50" s="306"/>
      <c r="I50" s="306"/>
      <c r="J50" s="306"/>
      <c r="K50" s="306"/>
      <c r="L50" s="307"/>
      <c r="M50" s="307"/>
      <c r="N50" s="307"/>
      <c r="O50" s="307"/>
      <c r="P50" s="307"/>
      <c r="Q50" s="307"/>
      <c r="R50" s="307"/>
      <c r="S50" s="348"/>
      <c r="T50" s="348"/>
      <c r="U50" s="348"/>
      <c r="V50" s="307"/>
      <c r="W50" s="307"/>
      <c r="X50" s="307"/>
      <c r="Y50" s="307"/>
      <c r="Z50" s="307"/>
      <c r="AA50" s="307"/>
      <c r="AB50" s="307"/>
      <c r="AC50" s="307"/>
      <c r="AD50" s="307"/>
    </row>
    <row r="51" ht="15.75" customHeight="1">
      <c r="A51" s="306"/>
      <c r="B51" s="306"/>
      <c r="C51" s="306"/>
      <c r="D51" s="306"/>
      <c r="E51" s="306"/>
      <c r="F51" s="306"/>
      <c r="G51" s="306"/>
      <c r="H51" s="306"/>
      <c r="I51" s="306"/>
      <c r="J51" s="306"/>
      <c r="K51" s="306"/>
      <c r="L51" s="307"/>
      <c r="M51" s="307"/>
      <c r="N51" s="307"/>
      <c r="O51" s="307"/>
      <c r="P51" s="307"/>
      <c r="Q51" s="307"/>
      <c r="R51" s="307"/>
      <c r="S51" s="348"/>
      <c r="T51" s="348"/>
      <c r="U51" s="348"/>
      <c r="V51" s="307"/>
      <c r="W51" s="307"/>
      <c r="X51" s="307"/>
      <c r="Y51" s="307"/>
      <c r="Z51" s="307"/>
      <c r="AA51" s="307"/>
      <c r="AB51" s="307"/>
      <c r="AC51" s="307"/>
      <c r="AD51" s="307"/>
    </row>
    <row r="52" ht="15.75" customHeight="1">
      <c r="A52" s="306"/>
      <c r="B52" s="306"/>
      <c r="C52" s="306"/>
      <c r="D52" s="306"/>
      <c r="E52" s="306"/>
      <c r="F52" s="306"/>
      <c r="G52" s="306"/>
      <c r="H52" s="306"/>
      <c r="I52" s="306"/>
      <c r="J52" s="306"/>
      <c r="K52" s="306"/>
      <c r="L52" s="307"/>
      <c r="M52" s="307"/>
      <c r="N52" s="307"/>
      <c r="O52" s="307"/>
      <c r="P52" s="307"/>
      <c r="Q52" s="307"/>
      <c r="R52" s="307"/>
      <c r="S52" s="348"/>
      <c r="T52" s="348"/>
      <c r="U52" s="348"/>
      <c r="V52" s="307"/>
      <c r="W52" s="307"/>
      <c r="X52" s="307"/>
      <c r="Y52" s="307"/>
      <c r="Z52" s="307"/>
      <c r="AA52" s="307"/>
      <c r="AB52" s="307"/>
      <c r="AC52" s="307"/>
      <c r="AD52" s="307"/>
    </row>
    <row r="53" ht="15.75" customHeight="1">
      <c r="A53" s="306"/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7"/>
      <c r="M53" s="307"/>
      <c r="N53" s="307"/>
      <c r="O53" s="307"/>
      <c r="P53" s="307"/>
      <c r="Q53" s="307"/>
      <c r="R53" s="307"/>
      <c r="S53" s="348"/>
      <c r="T53" s="348"/>
      <c r="U53" s="348"/>
      <c r="V53" s="307"/>
      <c r="W53" s="307"/>
      <c r="X53" s="307"/>
      <c r="Y53" s="307"/>
      <c r="Z53" s="307"/>
      <c r="AA53" s="307"/>
      <c r="AB53" s="307"/>
      <c r="AC53" s="307"/>
      <c r="AD53" s="307"/>
    </row>
    <row r="54" ht="15.75" customHeight="1">
      <c r="A54" s="306"/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7"/>
      <c r="M54" s="307"/>
      <c r="N54" s="307"/>
      <c r="O54" s="307"/>
      <c r="P54" s="307"/>
      <c r="Q54" s="307"/>
      <c r="R54" s="307"/>
      <c r="S54" s="427"/>
      <c r="T54" s="436"/>
      <c r="U54" s="348"/>
      <c r="V54" s="307"/>
      <c r="W54" s="307"/>
      <c r="X54" s="307"/>
      <c r="Y54" s="307"/>
      <c r="Z54" s="307"/>
      <c r="AA54" s="307"/>
      <c r="AB54" s="307"/>
      <c r="AC54" s="307"/>
      <c r="AD54" s="307"/>
    </row>
    <row r="55" ht="15.75" customHeight="1">
      <c r="A55" s="306"/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7"/>
      <c r="M55" s="307"/>
      <c r="N55" s="307"/>
      <c r="O55" s="307"/>
      <c r="P55" s="307"/>
      <c r="Q55" s="307"/>
      <c r="R55" s="307"/>
      <c r="S55" s="437"/>
      <c r="T55" s="427"/>
      <c r="U55" s="311"/>
      <c r="V55" s="307"/>
      <c r="W55" s="307"/>
      <c r="X55" s="307"/>
      <c r="Y55" s="307"/>
      <c r="Z55" s="307"/>
      <c r="AA55" s="307"/>
      <c r="AB55" s="307"/>
      <c r="AC55" s="307"/>
      <c r="AD55" s="307"/>
    </row>
    <row r="56" ht="15.75" customHeight="1">
      <c r="A56" s="306"/>
      <c r="B56" s="306"/>
      <c r="C56" s="306"/>
      <c r="D56" s="306"/>
      <c r="E56" s="306"/>
      <c r="F56" s="306"/>
      <c r="G56" s="306"/>
      <c r="H56" s="306"/>
      <c r="I56" s="306"/>
      <c r="J56" s="306"/>
      <c r="K56" s="306"/>
      <c r="L56" s="307"/>
      <c r="M56" s="307"/>
      <c r="N56" s="307"/>
      <c r="O56" s="307"/>
      <c r="P56" s="307"/>
      <c r="Q56" s="307"/>
      <c r="R56" s="307"/>
      <c r="S56" s="437"/>
      <c r="T56" s="427"/>
      <c r="U56" s="311"/>
      <c r="V56" s="307"/>
      <c r="W56" s="307"/>
      <c r="X56" s="307"/>
      <c r="Y56" s="307"/>
      <c r="Z56" s="307"/>
      <c r="AA56" s="307"/>
      <c r="AB56" s="307"/>
      <c r="AC56" s="307"/>
      <c r="AD56" s="307"/>
    </row>
    <row r="57" ht="15.75" customHeight="1">
      <c r="A57" s="306"/>
      <c r="B57" s="306"/>
      <c r="C57" s="306"/>
      <c r="D57" s="306"/>
      <c r="E57" s="306"/>
      <c r="F57" s="306"/>
      <c r="G57" s="306"/>
      <c r="H57" s="306"/>
      <c r="I57" s="306"/>
      <c r="J57" s="306"/>
      <c r="K57" s="306"/>
      <c r="L57" s="307"/>
      <c r="M57" s="307"/>
      <c r="N57" s="307"/>
      <c r="O57" s="307"/>
      <c r="P57" s="307"/>
      <c r="Q57" s="307"/>
      <c r="R57" s="307"/>
      <c r="S57" s="437"/>
      <c r="T57" s="307"/>
      <c r="U57" s="307"/>
      <c r="V57" s="307"/>
      <c r="W57" s="307"/>
      <c r="X57" s="307"/>
      <c r="Y57" s="307"/>
      <c r="Z57" s="307"/>
      <c r="AA57" s="307"/>
      <c r="AB57" s="307"/>
      <c r="AC57" s="307"/>
      <c r="AD57" s="307"/>
    </row>
    <row r="58" ht="15.75" customHeight="1">
      <c r="A58" s="306"/>
      <c r="B58" s="306"/>
      <c r="C58" s="306"/>
      <c r="D58" s="306"/>
      <c r="E58" s="306"/>
      <c r="F58" s="306"/>
      <c r="G58" s="306"/>
      <c r="H58" s="306"/>
      <c r="I58" s="306"/>
      <c r="J58" s="306"/>
      <c r="K58" s="306"/>
      <c r="L58" s="307"/>
      <c r="M58" s="307"/>
      <c r="N58" s="307"/>
      <c r="O58" s="307"/>
      <c r="P58" s="307"/>
      <c r="Q58" s="307"/>
      <c r="R58" s="307"/>
      <c r="S58" s="437"/>
      <c r="T58" s="307"/>
      <c r="U58" s="307"/>
      <c r="V58" s="307"/>
      <c r="W58" s="307"/>
      <c r="X58" s="307"/>
      <c r="Y58" s="307"/>
      <c r="Z58" s="307"/>
      <c r="AA58" s="307"/>
      <c r="AB58" s="307"/>
      <c r="AC58" s="307"/>
      <c r="AD58" s="307"/>
    </row>
    <row r="59" ht="15.75" customHeight="1">
      <c r="A59" s="306"/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7"/>
      <c r="M59" s="307"/>
      <c r="N59" s="307"/>
      <c r="O59" s="307"/>
      <c r="P59" s="307"/>
      <c r="Q59" s="307"/>
      <c r="R59" s="307"/>
      <c r="S59" s="437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</row>
    <row r="60" ht="15.75" customHeight="1">
      <c r="A60" s="306"/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7"/>
      <c r="M60" s="307"/>
      <c r="N60" s="307"/>
      <c r="O60" s="307"/>
      <c r="P60" s="307"/>
      <c r="Q60" s="307"/>
      <c r="R60" s="307"/>
      <c r="S60" s="437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</row>
    <row r="61" ht="15.75" customHeight="1">
      <c r="A61" s="306"/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7"/>
      <c r="M61" s="307"/>
      <c r="N61" s="307"/>
      <c r="O61" s="307"/>
      <c r="P61" s="307"/>
      <c r="Q61" s="307"/>
      <c r="R61" s="307"/>
      <c r="S61" s="437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</row>
    <row r="62" ht="15.75" customHeight="1">
      <c r="A62" s="306"/>
      <c r="B62" s="306"/>
      <c r="C62" s="306"/>
      <c r="D62" s="306"/>
      <c r="E62" s="306"/>
      <c r="F62" s="306"/>
      <c r="G62" s="306"/>
      <c r="H62" s="306"/>
      <c r="I62" s="306"/>
      <c r="J62" s="306"/>
      <c r="K62" s="306"/>
      <c r="L62" s="307"/>
      <c r="M62" s="307"/>
      <c r="N62" s="307"/>
      <c r="O62" s="307"/>
      <c r="P62" s="307"/>
      <c r="Q62" s="307"/>
      <c r="R62" s="307"/>
      <c r="S62" s="437"/>
      <c r="T62" s="307"/>
      <c r="U62" s="307"/>
      <c r="V62" s="307"/>
      <c r="W62" s="307"/>
      <c r="X62" s="307"/>
      <c r="Y62" s="307"/>
      <c r="Z62" s="307"/>
      <c r="AA62" s="307"/>
      <c r="AB62" s="307"/>
      <c r="AC62" s="307"/>
      <c r="AD62" s="307"/>
    </row>
    <row r="63" ht="15.75" customHeight="1">
      <c r="A63" s="306"/>
      <c r="B63" s="306"/>
      <c r="C63" s="306"/>
      <c r="D63" s="306"/>
      <c r="E63" s="306"/>
      <c r="F63" s="306"/>
      <c r="G63" s="306"/>
      <c r="H63" s="306"/>
      <c r="I63" s="306"/>
      <c r="J63" s="306"/>
      <c r="K63" s="306"/>
      <c r="L63" s="307"/>
      <c r="M63" s="307"/>
      <c r="N63" s="307"/>
      <c r="O63" s="307"/>
      <c r="P63" s="307"/>
      <c r="Q63" s="307"/>
      <c r="R63" s="307"/>
      <c r="S63" s="437"/>
      <c r="T63" s="307"/>
      <c r="U63" s="307"/>
      <c r="V63" s="307"/>
      <c r="W63" s="307"/>
      <c r="X63" s="307"/>
      <c r="Y63" s="307"/>
      <c r="Z63" s="307"/>
      <c r="AA63" s="307"/>
      <c r="AB63" s="307"/>
      <c r="AC63" s="307"/>
      <c r="AD63" s="307"/>
    </row>
    <row r="64" ht="15.75" customHeight="1">
      <c r="A64" s="306"/>
      <c r="B64" s="306"/>
      <c r="C64" s="306"/>
      <c r="D64" s="306"/>
      <c r="E64" s="306"/>
      <c r="F64" s="306"/>
      <c r="G64" s="306"/>
      <c r="H64" s="306"/>
      <c r="I64" s="306"/>
      <c r="J64" s="306"/>
      <c r="K64" s="306"/>
      <c r="L64" s="307"/>
      <c r="M64" s="307"/>
      <c r="N64" s="307"/>
      <c r="O64" s="307"/>
      <c r="P64" s="307"/>
      <c r="Q64" s="307"/>
      <c r="R64" s="307"/>
      <c r="S64" s="307"/>
      <c r="T64" s="307"/>
      <c r="U64" s="307"/>
      <c r="V64" s="307"/>
      <c r="W64" s="307"/>
      <c r="X64" s="307"/>
      <c r="Y64" s="307"/>
      <c r="Z64" s="307"/>
      <c r="AA64" s="307"/>
      <c r="AB64" s="307"/>
      <c r="AC64" s="307"/>
      <c r="AD64" s="307"/>
    </row>
    <row r="65" ht="15.75" customHeight="1">
      <c r="A65" s="306"/>
      <c r="B65" s="306"/>
      <c r="C65" s="306"/>
      <c r="D65" s="306"/>
      <c r="E65" s="306"/>
      <c r="F65" s="306"/>
      <c r="G65" s="306"/>
      <c r="H65" s="306"/>
      <c r="I65" s="306"/>
      <c r="J65" s="306"/>
      <c r="K65" s="306"/>
      <c r="L65" s="307"/>
      <c r="M65" s="307"/>
      <c r="N65" s="307"/>
      <c r="O65" s="307"/>
      <c r="P65" s="307"/>
      <c r="Q65" s="307"/>
      <c r="R65" s="307"/>
      <c r="S65" s="307"/>
      <c r="T65" s="307"/>
      <c r="U65" s="307"/>
      <c r="V65" s="307"/>
      <c r="W65" s="307"/>
      <c r="X65" s="307"/>
      <c r="Y65" s="307"/>
      <c r="Z65" s="307"/>
      <c r="AA65" s="307"/>
      <c r="AB65" s="307"/>
      <c r="AC65" s="307"/>
      <c r="AD65" s="307"/>
    </row>
    <row r="66" ht="15.75" customHeight="1">
      <c r="A66" s="306"/>
      <c r="B66" s="306"/>
      <c r="C66" s="306"/>
      <c r="D66" s="306"/>
      <c r="E66" s="306"/>
      <c r="F66" s="306"/>
      <c r="G66" s="306"/>
      <c r="H66" s="306"/>
      <c r="I66" s="306"/>
      <c r="J66" s="306"/>
      <c r="K66" s="306"/>
      <c r="L66" s="307"/>
      <c r="M66" s="307"/>
      <c r="N66" s="307"/>
      <c r="O66" s="307"/>
      <c r="P66" s="307"/>
      <c r="Q66" s="307"/>
      <c r="R66" s="307"/>
      <c r="S66" s="307"/>
      <c r="T66" s="307"/>
      <c r="U66" s="307"/>
      <c r="V66" s="307"/>
      <c r="W66" s="307"/>
      <c r="X66" s="307"/>
      <c r="Y66" s="307"/>
      <c r="Z66" s="307"/>
      <c r="AA66" s="307"/>
      <c r="AB66" s="307"/>
      <c r="AC66" s="307"/>
      <c r="AD66" s="307"/>
    </row>
    <row r="67" ht="15.75" customHeight="1">
      <c r="A67" s="306"/>
      <c r="B67" s="306"/>
      <c r="C67" s="306"/>
      <c r="D67" s="306"/>
      <c r="E67" s="306"/>
      <c r="F67" s="306"/>
      <c r="G67" s="306"/>
      <c r="H67" s="306"/>
      <c r="I67" s="306"/>
      <c r="J67" s="306"/>
      <c r="K67" s="306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307"/>
      <c r="W67" s="307"/>
      <c r="X67" s="307"/>
      <c r="Y67" s="307"/>
      <c r="Z67" s="307"/>
      <c r="AA67" s="307"/>
      <c r="AB67" s="307"/>
      <c r="AC67" s="307"/>
      <c r="AD67" s="307"/>
    </row>
    <row r="68" ht="15.75" customHeight="1">
      <c r="A68" s="306"/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7"/>
      <c r="M68" s="307"/>
      <c r="N68" s="307"/>
      <c r="O68" s="307"/>
      <c r="P68" s="307"/>
      <c r="Q68" s="307"/>
      <c r="R68" s="307"/>
      <c r="S68" s="307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</row>
    <row r="69" ht="15.75" customHeight="1">
      <c r="A69" s="306"/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7"/>
      <c r="M69" s="307"/>
      <c r="N69" s="307"/>
      <c r="O69" s="307"/>
      <c r="P69" s="307"/>
      <c r="Q69" s="307"/>
      <c r="R69" s="307"/>
      <c r="S69" s="307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</row>
    <row r="70" ht="15.75" customHeight="1">
      <c r="A70" s="306"/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7"/>
      <c r="M70" s="307"/>
      <c r="N70" s="307"/>
      <c r="O70" s="307"/>
      <c r="P70" s="307"/>
      <c r="Q70" s="307"/>
      <c r="R70" s="307"/>
      <c r="S70" s="307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</row>
    <row r="71" ht="15.75" customHeight="1">
      <c r="A71" s="306"/>
      <c r="B71" s="306"/>
      <c r="C71" s="306"/>
      <c r="D71" s="306"/>
      <c r="E71" s="306"/>
      <c r="F71" s="306"/>
      <c r="G71" s="306"/>
      <c r="H71" s="306"/>
      <c r="I71" s="306"/>
      <c r="J71" s="306"/>
      <c r="K71" s="306"/>
      <c r="L71" s="307"/>
      <c r="M71" s="307"/>
      <c r="N71" s="307"/>
      <c r="O71" s="307"/>
      <c r="P71" s="307"/>
      <c r="Q71" s="307"/>
      <c r="R71" s="307"/>
      <c r="S71" s="307"/>
      <c r="T71" s="307"/>
      <c r="U71" s="307"/>
      <c r="V71" s="307"/>
      <c r="W71" s="307"/>
      <c r="X71" s="307"/>
      <c r="Y71" s="307"/>
      <c r="Z71" s="307"/>
      <c r="AA71" s="307"/>
      <c r="AB71" s="307"/>
      <c r="AC71" s="307"/>
      <c r="AD71" s="307"/>
    </row>
    <row r="72" ht="15.75" customHeight="1">
      <c r="A72" s="306"/>
      <c r="B72" s="306"/>
      <c r="C72" s="306"/>
      <c r="D72" s="306"/>
      <c r="E72" s="306"/>
      <c r="F72" s="306"/>
      <c r="G72" s="306"/>
      <c r="H72" s="306"/>
      <c r="I72" s="306"/>
      <c r="J72" s="306"/>
      <c r="K72" s="306"/>
      <c r="L72" s="307"/>
      <c r="M72" s="307"/>
      <c r="N72" s="307"/>
      <c r="O72" s="307"/>
      <c r="P72" s="307"/>
      <c r="Q72" s="307"/>
      <c r="R72" s="307"/>
      <c r="S72" s="307"/>
      <c r="T72" s="307"/>
      <c r="U72" s="307"/>
      <c r="V72" s="307"/>
      <c r="W72" s="307"/>
      <c r="X72" s="307"/>
      <c r="Y72" s="307"/>
      <c r="Z72" s="307"/>
      <c r="AA72" s="307"/>
      <c r="AB72" s="307"/>
      <c r="AC72" s="307"/>
      <c r="AD72" s="307"/>
    </row>
    <row r="73" ht="15.75" customHeight="1">
      <c r="A73" s="306"/>
      <c r="B73" s="306"/>
      <c r="C73" s="306"/>
      <c r="D73" s="306"/>
      <c r="E73" s="306"/>
      <c r="F73" s="306"/>
      <c r="G73" s="306"/>
      <c r="H73" s="306"/>
      <c r="I73" s="306"/>
      <c r="J73" s="306"/>
      <c r="K73" s="306"/>
      <c r="L73" s="307"/>
      <c r="M73" s="307"/>
      <c r="N73" s="307"/>
      <c r="O73" s="307"/>
      <c r="P73" s="307"/>
      <c r="Q73" s="307"/>
      <c r="R73" s="307"/>
      <c r="S73" s="307"/>
      <c r="T73" s="307"/>
      <c r="U73" s="307"/>
      <c r="V73" s="307"/>
      <c r="W73" s="307"/>
      <c r="X73" s="307"/>
      <c r="Y73" s="307"/>
      <c r="Z73" s="307"/>
      <c r="AA73" s="307"/>
      <c r="AB73" s="307"/>
      <c r="AC73" s="307"/>
      <c r="AD73" s="307"/>
    </row>
    <row r="74" ht="15.75" customHeight="1">
      <c r="A74" s="306"/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7"/>
      <c r="M74" s="307"/>
      <c r="N74" s="307"/>
      <c r="O74" s="307"/>
      <c r="P74" s="307"/>
      <c r="Q74" s="307"/>
      <c r="R74" s="307"/>
      <c r="S74" s="307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</row>
    <row r="75" ht="15.75" customHeight="1">
      <c r="A75" s="306"/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7"/>
      <c r="M75" s="307"/>
      <c r="N75" s="307"/>
      <c r="O75" s="307"/>
      <c r="P75" s="307"/>
      <c r="Q75" s="307"/>
      <c r="R75" s="307"/>
      <c r="S75" s="307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</row>
    <row r="76" ht="15.75" customHeight="1">
      <c r="A76" s="306"/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7"/>
      <c r="M76" s="307"/>
      <c r="N76" s="307"/>
      <c r="O76" s="307"/>
      <c r="P76" s="307"/>
      <c r="Q76" s="307"/>
      <c r="R76" s="307"/>
      <c r="S76" s="307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</row>
    <row r="77" ht="15.75" customHeight="1">
      <c r="A77" s="306"/>
      <c r="B77" s="306"/>
      <c r="C77" s="306"/>
      <c r="D77" s="306"/>
      <c r="E77" s="306"/>
      <c r="F77" s="306"/>
      <c r="G77" s="306"/>
      <c r="H77" s="306"/>
      <c r="I77" s="306"/>
      <c r="J77" s="306"/>
      <c r="K77" s="306"/>
      <c r="L77" s="307"/>
      <c r="M77" s="307"/>
      <c r="N77" s="307"/>
      <c r="O77" s="307"/>
      <c r="P77" s="307"/>
      <c r="Q77" s="307"/>
      <c r="R77" s="307"/>
      <c r="S77" s="307"/>
      <c r="T77" s="307"/>
      <c r="U77" s="307"/>
      <c r="V77" s="307"/>
      <c r="W77" s="307"/>
      <c r="X77" s="307"/>
      <c r="Y77" s="307"/>
      <c r="Z77" s="307"/>
      <c r="AA77" s="307"/>
      <c r="AB77" s="307"/>
      <c r="AC77" s="307"/>
      <c r="AD77" s="307"/>
    </row>
    <row r="78" ht="15.75" customHeight="1">
      <c r="A78" s="306"/>
      <c r="B78" s="306"/>
      <c r="C78" s="306"/>
      <c r="D78" s="306"/>
      <c r="E78" s="306"/>
      <c r="F78" s="306"/>
      <c r="G78" s="306"/>
      <c r="H78" s="306"/>
      <c r="I78" s="306"/>
      <c r="J78" s="306"/>
      <c r="K78" s="306"/>
      <c r="L78" s="307"/>
      <c r="M78" s="307"/>
      <c r="N78" s="307"/>
      <c r="O78" s="307"/>
      <c r="P78" s="307"/>
      <c r="Q78" s="307"/>
      <c r="R78" s="307"/>
      <c r="S78" s="307"/>
      <c r="T78" s="307"/>
      <c r="U78" s="307"/>
      <c r="V78" s="307"/>
      <c r="W78" s="307"/>
      <c r="X78" s="307"/>
      <c r="Y78" s="307"/>
      <c r="Z78" s="307"/>
      <c r="AA78" s="307"/>
      <c r="AB78" s="307"/>
      <c r="AC78" s="307"/>
      <c r="AD78" s="307"/>
    </row>
    <row r="79" ht="15.75" customHeight="1">
      <c r="A79" s="306"/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7"/>
      <c r="M79" s="307"/>
      <c r="N79" s="307"/>
      <c r="O79" s="307"/>
      <c r="P79" s="307"/>
      <c r="Q79" s="307"/>
      <c r="R79" s="307"/>
      <c r="S79" s="307"/>
      <c r="T79" s="307"/>
      <c r="U79" s="307"/>
      <c r="V79" s="307"/>
      <c r="W79" s="307"/>
      <c r="X79" s="307"/>
      <c r="Y79" s="307"/>
      <c r="Z79" s="307"/>
      <c r="AA79" s="307"/>
      <c r="AB79" s="307"/>
      <c r="AC79" s="307"/>
      <c r="AD79" s="307"/>
    </row>
    <row r="80" ht="15.75" customHeight="1">
      <c r="A80" s="306"/>
      <c r="B80" s="306"/>
      <c r="C80" s="306"/>
      <c r="D80" s="306"/>
      <c r="E80" s="306"/>
      <c r="F80" s="306"/>
      <c r="G80" s="306"/>
      <c r="H80" s="306"/>
      <c r="I80" s="306"/>
      <c r="J80" s="306"/>
      <c r="K80" s="306"/>
      <c r="L80" s="307"/>
      <c r="M80" s="307"/>
      <c r="N80" s="307"/>
      <c r="O80" s="307"/>
      <c r="P80" s="307"/>
      <c r="Q80" s="307"/>
      <c r="R80" s="307"/>
      <c r="S80" s="307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</row>
    <row r="81" ht="15.75" customHeight="1">
      <c r="A81" s="306"/>
      <c r="B81" s="306"/>
      <c r="C81" s="306"/>
      <c r="D81" s="306"/>
      <c r="E81" s="306"/>
      <c r="F81" s="306"/>
      <c r="G81" s="306"/>
      <c r="H81" s="306"/>
      <c r="I81" s="306"/>
      <c r="J81" s="306"/>
      <c r="K81" s="306"/>
      <c r="L81" s="307"/>
      <c r="M81" s="307"/>
      <c r="N81" s="307"/>
      <c r="O81" s="307"/>
      <c r="P81" s="307"/>
      <c r="Q81" s="307"/>
      <c r="R81" s="307"/>
      <c r="S81" s="307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</row>
    <row r="82" ht="15.75" customHeight="1">
      <c r="A82" s="306"/>
      <c r="B82" s="306"/>
      <c r="C82" s="306"/>
      <c r="D82" s="306"/>
      <c r="E82" s="306"/>
      <c r="F82" s="306"/>
      <c r="G82" s="306"/>
      <c r="H82" s="306"/>
      <c r="I82" s="306"/>
      <c r="J82" s="306"/>
      <c r="K82" s="306"/>
      <c r="L82" s="307"/>
      <c r="M82" s="307"/>
      <c r="N82" s="307"/>
      <c r="O82" s="307"/>
      <c r="P82" s="307"/>
      <c r="Q82" s="307"/>
      <c r="R82" s="307"/>
      <c r="S82" s="307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</row>
    <row r="83" ht="15.75" customHeight="1">
      <c r="A83" s="306"/>
      <c r="B83" s="306"/>
      <c r="C83" s="306"/>
      <c r="D83" s="306"/>
      <c r="E83" s="306"/>
      <c r="F83" s="306"/>
      <c r="G83" s="306"/>
      <c r="H83" s="306"/>
      <c r="I83" s="306"/>
      <c r="J83" s="306"/>
      <c r="K83" s="306"/>
      <c r="L83" s="307"/>
      <c r="M83" s="307"/>
      <c r="N83" s="307"/>
      <c r="O83" s="307"/>
      <c r="P83" s="307"/>
      <c r="Q83" s="307"/>
      <c r="R83" s="307"/>
      <c r="S83" s="307"/>
      <c r="T83" s="307"/>
      <c r="U83" s="307"/>
      <c r="V83" s="307"/>
      <c r="W83" s="307"/>
      <c r="X83" s="307"/>
      <c r="Y83" s="307"/>
      <c r="Z83" s="307"/>
      <c r="AA83" s="307"/>
      <c r="AB83" s="307"/>
      <c r="AC83" s="307"/>
      <c r="AD83" s="307"/>
    </row>
    <row r="84" ht="15.75" customHeight="1">
      <c r="A84" s="306"/>
      <c r="B84" s="306"/>
      <c r="C84" s="306"/>
      <c r="D84" s="306"/>
      <c r="E84" s="306"/>
      <c r="F84" s="306"/>
      <c r="G84" s="306"/>
      <c r="H84" s="306"/>
      <c r="I84" s="306"/>
      <c r="J84" s="306"/>
      <c r="K84" s="306"/>
      <c r="L84" s="307"/>
      <c r="M84" s="307"/>
      <c r="N84" s="307"/>
      <c r="O84" s="307"/>
      <c r="P84" s="307"/>
      <c r="Q84" s="307"/>
      <c r="R84" s="307"/>
      <c r="S84" s="307"/>
      <c r="T84" s="307"/>
      <c r="U84" s="307"/>
      <c r="V84" s="307"/>
      <c r="W84" s="307"/>
      <c r="X84" s="307"/>
      <c r="Y84" s="307"/>
      <c r="Z84" s="307"/>
      <c r="AA84" s="307"/>
      <c r="AB84" s="307"/>
      <c r="AC84" s="307"/>
      <c r="AD84" s="307"/>
    </row>
    <row r="85" ht="15.75" customHeight="1">
      <c r="A85" s="306"/>
      <c r="B85" s="306"/>
      <c r="C85" s="306"/>
      <c r="D85" s="306"/>
      <c r="E85" s="306"/>
      <c r="F85" s="306"/>
      <c r="G85" s="306"/>
      <c r="H85" s="306"/>
      <c r="I85" s="306"/>
      <c r="J85" s="306"/>
      <c r="K85" s="306"/>
      <c r="L85" s="307"/>
      <c r="M85" s="307"/>
      <c r="N85" s="307"/>
      <c r="O85" s="307"/>
      <c r="P85" s="307"/>
      <c r="Q85" s="307"/>
      <c r="R85" s="307"/>
      <c r="S85" s="307"/>
      <c r="T85" s="307"/>
      <c r="U85" s="307"/>
      <c r="V85" s="307"/>
      <c r="W85" s="307"/>
      <c r="X85" s="307"/>
      <c r="Y85" s="307"/>
      <c r="Z85" s="307"/>
      <c r="AA85" s="307"/>
      <c r="AB85" s="307"/>
      <c r="AC85" s="307"/>
      <c r="AD85" s="307"/>
    </row>
    <row r="86" ht="15.75" customHeight="1">
      <c r="A86" s="306"/>
      <c r="B86" s="306"/>
      <c r="C86" s="306"/>
      <c r="D86" s="306"/>
      <c r="E86" s="306"/>
      <c r="F86" s="306"/>
      <c r="G86" s="306"/>
      <c r="H86" s="306"/>
      <c r="I86" s="306"/>
      <c r="J86" s="306"/>
      <c r="K86" s="306"/>
      <c r="L86" s="307"/>
      <c r="M86" s="307"/>
      <c r="N86" s="307"/>
      <c r="O86" s="307"/>
      <c r="P86" s="307"/>
      <c r="Q86" s="307"/>
      <c r="R86" s="307"/>
      <c r="S86" s="307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</row>
    <row r="87" ht="15.75" customHeight="1">
      <c r="A87" s="306"/>
      <c r="B87" s="306"/>
      <c r="C87" s="306"/>
      <c r="D87" s="306"/>
      <c r="E87" s="306"/>
      <c r="F87" s="306"/>
      <c r="G87" s="306"/>
      <c r="H87" s="306"/>
      <c r="I87" s="306"/>
      <c r="J87" s="306"/>
      <c r="K87" s="306"/>
      <c r="L87" s="307"/>
      <c r="M87" s="307"/>
      <c r="N87" s="307"/>
      <c r="O87" s="307"/>
      <c r="P87" s="307"/>
      <c r="Q87" s="307"/>
      <c r="R87" s="307"/>
      <c r="S87" s="307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</row>
    <row r="88" ht="15.75" customHeight="1">
      <c r="A88" s="306"/>
      <c r="B88" s="306"/>
      <c r="C88" s="306"/>
      <c r="D88" s="306"/>
      <c r="E88" s="306"/>
      <c r="F88" s="306"/>
      <c r="G88" s="306"/>
      <c r="H88" s="306"/>
      <c r="I88" s="306"/>
      <c r="J88" s="306"/>
      <c r="K88" s="306"/>
      <c r="L88" s="307"/>
      <c r="M88" s="307"/>
      <c r="N88" s="307"/>
      <c r="O88" s="307"/>
      <c r="P88" s="307"/>
      <c r="Q88" s="307"/>
      <c r="R88" s="307"/>
      <c r="S88" s="307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</row>
    <row r="89" ht="15.75" customHeight="1">
      <c r="A89" s="306"/>
      <c r="B89" s="306"/>
      <c r="C89" s="306"/>
      <c r="D89" s="306"/>
      <c r="E89" s="306"/>
      <c r="F89" s="306"/>
      <c r="G89" s="306"/>
      <c r="H89" s="306"/>
      <c r="I89" s="306"/>
      <c r="J89" s="306"/>
      <c r="K89" s="306"/>
      <c r="L89" s="307"/>
      <c r="M89" s="307"/>
      <c r="N89" s="307"/>
      <c r="O89" s="307"/>
      <c r="P89" s="307"/>
      <c r="Q89" s="307"/>
      <c r="R89" s="307"/>
      <c r="S89" s="307"/>
      <c r="T89" s="307"/>
      <c r="U89" s="307"/>
      <c r="V89" s="307"/>
      <c r="W89" s="307"/>
      <c r="X89" s="307"/>
      <c r="Y89" s="307"/>
      <c r="Z89" s="307"/>
      <c r="AA89" s="307"/>
      <c r="AB89" s="307"/>
      <c r="AC89" s="307"/>
      <c r="AD89" s="307"/>
    </row>
    <row r="90" ht="15.75" customHeight="1">
      <c r="A90" s="306"/>
      <c r="B90" s="306"/>
      <c r="C90" s="306"/>
      <c r="D90" s="306"/>
      <c r="E90" s="306"/>
      <c r="F90" s="306"/>
      <c r="G90" s="306"/>
      <c r="H90" s="306"/>
      <c r="I90" s="306"/>
      <c r="J90" s="306"/>
      <c r="K90" s="306"/>
      <c r="L90" s="307"/>
      <c r="M90" s="307"/>
      <c r="N90" s="307"/>
      <c r="O90" s="307"/>
      <c r="P90" s="307"/>
      <c r="Q90" s="307"/>
      <c r="R90" s="307"/>
      <c r="S90" s="307"/>
      <c r="T90" s="307"/>
      <c r="U90" s="307"/>
      <c r="V90" s="307"/>
      <c r="W90" s="307"/>
      <c r="X90" s="307"/>
      <c r="Y90" s="307"/>
      <c r="Z90" s="307"/>
      <c r="AA90" s="307"/>
      <c r="AB90" s="307"/>
      <c r="AC90" s="307"/>
      <c r="AD90" s="307"/>
    </row>
    <row r="91" ht="15.75" customHeight="1">
      <c r="A91" s="306"/>
      <c r="B91" s="306"/>
      <c r="C91" s="306"/>
      <c r="D91" s="306"/>
      <c r="E91" s="306"/>
      <c r="F91" s="306"/>
      <c r="G91" s="306"/>
      <c r="H91" s="306"/>
      <c r="I91" s="306"/>
      <c r="J91" s="306"/>
      <c r="K91" s="306"/>
      <c r="L91" s="307"/>
      <c r="M91" s="307"/>
      <c r="N91" s="307"/>
      <c r="O91" s="307"/>
      <c r="P91" s="307"/>
      <c r="Q91" s="307"/>
      <c r="R91" s="307"/>
      <c r="S91" s="307"/>
      <c r="T91" s="307"/>
      <c r="U91" s="307"/>
      <c r="V91" s="307"/>
      <c r="W91" s="307"/>
      <c r="X91" s="307"/>
      <c r="Y91" s="307"/>
      <c r="Z91" s="307"/>
      <c r="AA91" s="307"/>
      <c r="AB91" s="307"/>
      <c r="AC91" s="307"/>
      <c r="AD91" s="307"/>
    </row>
    <row r="92" ht="15.75" customHeight="1">
      <c r="A92" s="306"/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7"/>
      <c r="M92" s="307"/>
      <c r="N92" s="307"/>
      <c r="O92" s="307"/>
      <c r="P92" s="307"/>
      <c r="Q92" s="307"/>
      <c r="R92" s="307"/>
      <c r="S92" s="307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</row>
    <row r="93" ht="15.75" customHeight="1">
      <c r="A93" s="306"/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</row>
    <row r="94" ht="15.75" customHeight="1">
      <c r="A94" s="306"/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7"/>
      <c r="M94" s="307"/>
      <c r="N94" s="307"/>
      <c r="O94" s="307"/>
      <c r="P94" s="307"/>
      <c r="Q94" s="307"/>
      <c r="R94" s="307"/>
      <c r="S94" s="307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</row>
    <row r="95" ht="15.75" customHeight="1">
      <c r="A95" s="306"/>
      <c r="B95" s="306"/>
      <c r="C95" s="306"/>
      <c r="D95" s="306"/>
      <c r="E95" s="306"/>
      <c r="F95" s="306"/>
      <c r="G95" s="306"/>
      <c r="H95" s="306"/>
      <c r="I95" s="306"/>
      <c r="J95" s="306"/>
      <c r="K95" s="306"/>
      <c r="L95" s="307"/>
      <c r="M95" s="307"/>
      <c r="N95" s="307"/>
      <c r="O95" s="307"/>
      <c r="P95" s="307"/>
      <c r="Q95" s="307"/>
      <c r="R95" s="307"/>
      <c r="S95" s="307"/>
      <c r="T95" s="307"/>
      <c r="U95" s="307"/>
      <c r="V95" s="307"/>
      <c r="W95" s="307"/>
      <c r="X95" s="307"/>
      <c r="Y95" s="307"/>
      <c r="Z95" s="307"/>
      <c r="AA95" s="307"/>
      <c r="AB95" s="307"/>
      <c r="AC95" s="307"/>
      <c r="AD95" s="307"/>
    </row>
    <row r="96" ht="15.75" customHeight="1">
      <c r="A96" s="306"/>
      <c r="B96" s="306"/>
      <c r="C96" s="306"/>
      <c r="D96" s="306"/>
      <c r="E96" s="306"/>
      <c r="F96" s="306"/>
      <c r="G96" s="306"/>
      <c r="H96" s="306"/>
      <c r="I96" s="306"/>
      <c r="J96" s="306"/>
      <c r="K96" s="306"/>
      <c r="L96" s="307"/>
      <c r="M96" s="307"/>
      <c r="N96" s="307"/>
      <c r="O96" s="307"/>
      <c r="P96" s="307"/>
      <c r="Q96" s="307"/>
      <c r="R96" s="307"/>
      <c r="S96" s="307"/>
      <c r="T96" s="307"/>
      <c r="U96" s="307"/>
      <c r="V96" s="307"/>
      <c r="W96" s="307"/>
      <c r="X96" s="307"/>
      <c r="Y96" s="307"/>
      <c r="Z96" s="307"/>
      <c r="AA96" s="307"/>
      <c r="AB96" s="307"/>
      <c r="AC96" s="307"/>
      <c r="AD96" s="307"/>
    </row>
    <row r="97" ht="15.75" customHeight="1">
      <c r="A97" s="306"/>
      <c r="B97" s="306"/>
      <c r="C97" s="306"/>
      <c r="D97" s="306"/>
      <c r="E97" s="306"/>
      <c r="F97" s="306"/>
      <c r="G97" s="306"/>
      <c r="H97" s="306"/>
      <c r="I97" s="306"/>
      <c r="J97" s="306"/>
      <c r="K97" s="306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307"/>
      <c r="W97" s="307"/>
      <c r="X97" s="307"/>
      <c r="Y97" s="307"/>
      <c r="Z97" s="307"/>
      <c r="AA97" s="307"/>
      <c r="AB97" s="307"/>
      <c r="AC97" s="307"/>
      <c r="AD97" s="307"/>
    </row>
    <row r="98" ht="15.75" customHeight="1">
      <c r="A98" s="306"/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</row>
    <row r="99" ht="15.75" customHeight="1">
      <c r="A99" s="306"/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7"/>
      <c r="M99" s="307"/>
      <c r="N99" s="307"/>
      <c r="O99" s="307"/>
      <c r="P99" s="307"/>
      <c r="Q99" s="307"/>
      <c r="R99" s="307"/>
      <c r="S99" s="307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</row>
    <row r="100" ht="15.75" customHeight="1">
      <c r="A100" s="306"/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7"/>
      <c r="M100" s="307"/>
      <c r="N100" s="307"/>
      <c r="O100" s="307"/>
      <c r="P100" s="307"/>
      <c r="Q100" s="307"/>
      <c r="R100" s="307"/>
      <c r="S100" s="307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</row>
    <row r="101" ht="15.75" customHeight="1">
      <c r="A101" s="306"/>
      <c r="B101" s="306"/>
      <c r="C101" s="306"/>
      <c r="D101" s="306"/>
      <c r="E101" s="306"/>
      <c r="F101" s="306"/>
      <c r="G101" s="306"/>
      <c r="H101" s="306"/>
      <c r="I101" s="306"/>
      <c r="J101" s="306"/>
      <c r="K101" s="306"/>
      <c r="L101" s="307"/>
      <c r="M101" s="307"/>
      <c r="N101" s="307"/>
      <c r="O101" s="307"/>
      <c r="P101" s="307"/>
      <c r="Q101" s="307"/>
      <c r="R101" s="307"/>
      <c r="S101" s="307"/>
      <c r="T101" s="307"/>
      <c r="U101" s="307"/>
      <c r="V101" s="307"/>
      <c r="W101" s="307"/>
      <c r="X101" s="307"/>
      <c r="Y101" s="307"/>
      <c r="Z101" s="307"/>
      <c r="AA101" s="307"/>
      <c r="AB101" s="307"/>
      <c r="AC101" s="307"/>
      <c r="AD101" s="307"/>
    </row>
    <row r="102" ht="15.75" customHeight="1">
      <c r="A102" s="306"/>
      <c r="B102" s="306"/>
      <c r="C102" s="306"/>
      <c r="D102" s="306"/>
      <c r="E102" s="306"/>
      <c r="F102" s="306"/>
      <c r="G102" s="306"/>
      <c r="H102" s="306"/>
      <c r="I102" s="306"/>
      <c r="J102" s="306"/>
      <c r="K102" s="306"/>
      <c r="L102" s="307"/>
      <c r="M102" s="307"/>
      <c r="N102" s="307"/>
      <c r="O102" s="307"/>
      <c r="P102" s="307"/>
      <c r="Q102" s="307"/>
      <c r="R102" s="307"/>
      <c r="S102" s="307"/>
      <c r="T102" s="307"/>
      <c r="U102" s="307"/>
      <c r="V102" s="307"/>
      <c r="W102" s="307"/>
      <c r="X102" s="307"/>
      <c r="Y102" s="307"/>
      <c r="Z102" s="307"/>
      <c r="AA102" s="307"/>
      <c r="AB102" s="307"/>
      <c r="AC102" s="307"/>
      <c r="AD102" s="307"/>
    </row>
    <row r="103" ht="15.75" customHeight="1">
      <c r="A103" s="306"/>
      <c r="B103" s="306"/>
      <c r="C103" s="306"/>
      <c r="D103" s="306"/>
      <c r="E103" s="306"/>
      <c r="F103" s="306"/>
      <c r="G103" s="306"/>
      <c r="H103" s="306"/>
      <c r="I103" s="306"/>
      <c r="J103" s="306"/>
      <c r="K103" s="306"/>
      <c r="L103" s="307"/>
      <c r="M103" s="307"/>
      <c r="N103" s="307"/>
      <c r="O103" s="307"/>
      <c r="P103" s="307"/>
      <c r="Q103" s="307"/>
      <c r="R103" s="307"/>
      <c r="S103" s="307"/>
      <c r="T103" s="307"/>
      <c r="U103" s="307"/>
      <c r="V103" s="307"/>
      <c r="W103" s="307"/>
      <c r="X103" s="307"/>
      <c r="Y103" s="307"/>
      <c r="Z103" s="307"/>
      <c r="AA103" s="307"/>
      <c r="AB103" s="307"/>
      <c r="AC103" s="307"/>
      <c r="AD103" s="307"/>
    </row>
    <row r="104" ht="15.75" customHeight="1">
      <c r="A104" s="306"/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7"/>
      <c r="M104" s="307"/>
      <c r="N104" s="307"/>
      <c r="O104" s="307"/>
      <c r="P104" s="307"/>
      <c r="Q104" s="307"/>
      <c r="R104" s="307"/>
      <c r="S104" s="307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/>
      <c r="AD104" s="307"/>
    </row>
    <row r="105" ht="15.75" customHeight="1">
      <c r="A105" s="306"/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7"/>
      <c r="M105" s="307"/>
      <c r="N105" s="307"/>
      <c r="O105" s="307"/>
      <c r="P105" s="307"/>
      <c r="Q105" s="307"/>
      <c r="R105" s="307"/>
      <c r="S105" s="307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/>
      <c r="AD105" s="307"/>
    </row>
    <row r="106" ht="15.75" customHeight="1">
      <c r="A106" s="306"/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7"/>
      <c r="M106" s="307"/>
      <c r="N106" s="307"/>
      <c r="O106" s="307"/>
      <c r="P106" s="307"/>
      <c r="Q106" s="307"/>
      <c r="R106" s="307"/>
      <c r="S106" s="307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/>
      <c r="AD106" s="307"/>
    </row>
    <row r="107" ht="15.75" customHeight="1">
      <c r="A107" s="306"/>
      <c r="B107" s="306"/>
      <c r="C107" s="306"/>
      <c r="D107" s="306"/>
      <c r="E107" s="306"/>
      <c r="F107" s="306"/>
      <c r="G107" s="306"/>
      <c r="H107" s="306"/>
      <c r="I107" s="306"/>
      <c r="J107" s="306"/>
      <c r="K107" s="306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307"/>
      <c r="Z107" s="307"/>
      <c r="AA107" s="307"/>
      <c r="AB107" s="307"/>
      <c r="AC107" s="307"/>
      <c r="AD107" s="307"/>
    </row>
    <row r="108" ht="15.75" customHeight="1">
      <c r="A108" s="306"/>
      <c r="B108" s="306"/>
      <c r="C108" s="306"/>
      <c r="D108" s="306"/>
      <c r="E108" s="306"/>
      <c r="F108" s="306"/>
      <c r="G108" s="306"/>
      <c r="H108" s="306"/>
      <c r="I108" s="306"/>
      <c r="J108" s="306"/>
      <c r="K108" s="306"/>
      <c r="L108" s="307"/>
      <c r="M108" s="307"/>
      <c r="N108" s="307"/>
      <c r="O108" s="307"/>
      <c r="P108" s="307"/>
      <c r="Q108" s="307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  <c r="AC108" s="307"/>
      <c r="AD108" s="307"/>
    </row>
    <row r="109" ht="15.75" customHeight="1">
      <c r="A109" s="306"/>
      <c r="B109" s="306"/>
      <c r="C109" s="306"/>
      <c r="D109" s="306"/>
      <c r="E109" s="306"/>
      <c r="F109" s="306"/>
      <c r="G109" s="306"/>
      <c r="H109" s="306"/>
      <c r="I109" s="306"/>
      <c r="J109" s="306"/>
      <c r="K109" s="306"/>
      <c r="L109" s="307"/>
      <c r="M109" s="307"/>
      <c r="N109" s="307"/>
      <c r="O109" s="307"/>
      <c r="P109" s="307"/>
      <c r="Q109" s="307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  <c r="AC109" s="307"/>
      <c r="AD109" s="307"/>
    </row>
    <row r="110" ht="15.75" customHeight="1">
      <c r="A110" s="306"/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7"/>
      <c r="M110" s="307"/>
      <c r="N110" s="307"/>
      <c r="O110" s="307"/>
      <c r="P110" s="307"/>
      <c r="Q110" s="307"/>
      <c r="R110" s="307"/>
      <c r="S110" s="307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</row>
    <row r="111" ht="15.75" customHeight="1">
      <c r="A111" s="306"/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7"/>
      <c r="M111" s="307"/>
      <c r="N111" s="307"/>
      <c r="O111" s="307"/>
      <c r="P111" s="307"/>
      <c r="Q111" s="307"/>
      <c r="R111" s="307"/>
      <c r="S111" s="307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</row>
    <row r="112" ht="15.75" customHeight="1">
      <c r="A112" s="306"/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7"/>
      <c r="M112" s="307"/>
      <c r="N112" s="307"/>
      <c r="O112" s="307"/>
      <c r="P112" s="307"/>
      <c r="Q112" s="307"/>
      <c r="R112" s="307"/>
      <c r="S112" s="307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</row>
    <row r="113" ht="15.75" customHeight="1">
      <c r="A113" s="306"/>
      <c r="B113" s="306"/>
      <c r="C113" s="306"/>
      <c r="D113" s="306"/>
      <c r="E113" s="306"/>
      <c r="F113" s="306"/>
      <c r="G113" s="306"/>
      <c r="H113" s="306"/>
      <c r="I113" s="306"/>
      <c r="J113" s="306"/>
      <c r="K113" s="306"/>
      <c r="L113" s="307"/>
      <c r="M113" s="307"/>
      <c r="N113" s="307"/>
      <c r="O113" s="307"/>
      <c r="P113" s="307"/>
      <c r="Q113" s="307"/>
      <c r="R113" s="307"/>
      <c r="S113" s="307"/>
      <c r="T113" s="307"/>
      <c r="U113" s="307"/>
      <c r="V113" s="307"/>
      <c r="W113" s="307"/>
      <c r="X113" s="307"/>
      <c r="Y113" s="307"/>
      <c r="Z113" s="307"/>
      <c r="AA113" s="307"/>
      <c r="AB113" s="307"/>
      <c r="AC113" s="307"/>
      <c r="AD113" s="307"/>
    </row>
    <row r="114" ht="15.75" customHeight="1">
      <c r="A114" s="306"/>
      <c r="B114" s="306"/>
      <c r="C114" s="306"/>
      <c r="D114" s="306"/>
      <c r="E114" s="306"/>
      <c r="F114" s="306"/>
      <c r="G114" s="306"/>
      <c r="H114" s="306"/>
      <c r="I114" s="306"/>
      <c r="J114" s="306"/>
      <c r="K114" s="306"/>
      <c r="L114" s="307"/>
      <c r="M114" s="307"/>
      <c r="N114" s="307"/>
      <c r="O114" s="307"/>
      <c r="P114" s="307"/>
      <c r="Q114" s="307"/>
      <c r="R114" s="307"/>
      <c r="S114" s="307"/>
      <c r="T114" s="307"/>
      <c r="U114" s="307"/>
      <c r="V114" s="307"/>
      <c r="W114" s="307"/>
      <c r="X114" s="307"/>
      <c r="Y114" s="307"/>
      <c r="Z114" s="307"/>
      <c r="AA114" s="307"/>
      <c r="AB114" s="307"/>
      <c r="AC114" s="307"/>
      <c r="AD114" s="307"/>
    </row>
    <row r="115" ht="15.75" customHeight="1">
      <c r="A115" s="306"/>
      <c r="B115" s="306"/>
      <c r="C115" s="306"/>
      <c r="D115" s="306"/>
      <c r="E115" s="306"/>
      <c r="F115" s="306"/>
      <c r="G115" s="306"/>
      <c r="H115" s="306"/>
      <c r="I115" s="306"/>
      <c r="J115" s="306"/>
      <c r="K115" s="306"/>
      <c r="L115" s="307"/>
      <c r="M115" s="307"/>
      <c r="N115" s="307"/>
      <c r="O115" s="307"/>
      <c r="P115" s="307"/>
      <c r="Q115" s="307"/>
      <c r="R115" s="307"/>
      <c r="S115" s="307"/>
      <c r="T115" s="307"/>
      <c r="U115" s="307"/>
      <c r="V115" s="307"/>
      <c r="W115" s="307"/>
      <c r="X115" s="307"/>
      <c r="Y115" s="307"/>
      <c r="Z115" s="307"/>
      <c r="AA115" s="307"/>
      <c r="AB115" s="307"/>
      <c r="AC115" s="307"/>
      <c r="AD115" s="307"/>
    </row>
    <row r="116" ht="15.75" customHeight="1">
      <c r="A116" s="306"/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307"/>
      <c r="M116" s="307"/>
      <c r="N116" s="307"/>
      <c r="O116" s="307"/>
      <c r="P116" s="307"/>
      <c r="Q116" s="307"/>
      <c r="R116" s="307"/>
      <c r="S116" s="307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</row>
    <row r="117" ht="15.75" customHeight="1">
      <c r="A117" s="306"/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7"/>
      <c r="M117" s="307"/>
      <c r="N117" s="307"/>
      <c r="O117" s="307"/>
      <c r="P117" s="307"/>
      <c r="Q117" s="307"/>
      <c r="R117" s="307"/>
      <c r="S117" s="307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</row>
    <row r="118" ht="15.75" customHeight="1">
      <c r="A118" s="306"/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7"/>
      <c r="M118" s="307"/>
      <c r="N118" s="307"/>
      <c r="O118" s="307"/>
      <c r="P118" s="307"/>
      <c r="Q118" s="307"/>
      <c r="R118" s="307"/>
      <c r="S118" s="307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</row>
    <row r="119" ht="15.75" customHeight="1">
      <c r="A119" s="306"/>
      <c r="B119" s="306"/>
      <c r="C119" s="306"/>
      <c r="D119" s="306"/>
      <c r="E119" s="306"/>
      <c r="F119" s="306"/>
      <c r="G119" s="306"/>
      <c r="H119" s="306"/>
      <c r="I119" s="306"/>
      <c r="J119" s="306"/>
      <c r="K119" s="306"/>
      <c r="L119" s="307"/>
      <c r="M119" s="307"/>
      <c r="N119" s="307"/>
      <c r="O119" s="307"/>
      <c r="P119" s="307"/>
      <c r="Q119" s="307"/>
      <c r="R119" s="307"/>
      <c r="S119" s="307"/>
      <c r="T119" s="307"/>
      <c r="U119" s="307"/>
      <c r="V119" s="307"/>
      <c r="W119" s="307"/>
      <c r="X119" s="307"/>
      <c r="Y119" s="307"/>
      <c r="Z119" s="307"/>
      <c r="AA119" s="307"/>
      <c r="AB119" s="307"/>
      <c r="AC119" s="307"/>
      <c r="AD119" s="307"/>
    </row>
    <row r="120" ht="15.75" customHeight="1">
      <c r="A120" s="306"/>
      <c r="B120" s="306"/>
      <c r="C120" s="306"/>
      <c r="D120" s="306"/>
      <c r="E120" s="306"/>
      <c r="F120" s="306"/>
      <c r="G120" s="306"/>
      <c r="H120" s="306"/>
      <c r="I120" s="306"/>
      <c r="J120" s="306"/>
      <c r="K120" s="306"/>
      <c r="L120" s="307"/>
      <c r="M120" s="307"/>
      <c r="N120" s="307"/>
      <c r="O120" s="307"/>
      <c r="P120" s="307"/>
      <c r="Q120" s="307"/>
      <c r="R120" s="307"/>
      <c r="S120" s="307"/>
      <c r="T120" s="307"/>
      <c r="U120" s="307"/>
      <c r="V120" s="307"/>
      <c r="W120" s="307"/>
      <c r="X120" s="307"/>
      <c r="Y120" s="307"/>
      <c r="Z120" s="307"/>
      <c r="AA120" s="307"/>
      <c r="AB120" s="307"/>
      <c r="AC120" s="307"/>
      <c r="AD120" s="307"/>
    </row>
    <row r="121" ht="15.75" customHeight="1">
      <c r="A121" s="306"/>
      <c r="B121" s="306"/>
      <c r="C121" s="306"/>
      <c r="D121" s="306"/>
      <c r="E121" s="306"/>
      <c r="F121" s="306"/>
      <c r="G121" s="306"/>
      <c r="H121" s="306"/>
      <c r="I121" s="306"/>
      <c r="J121" s="306"/>
      <c r="K121" s="306"/>
      <c r="L121" s="307"/>
      <c r="M121" s="307"/>
      <c r="N121" s="307"/>
      <c r="O121" s="307"/>
      <c r="P121" s="307"/>
      <c r="Q121" s="307"/>
      <c r="R121" s="307"/>
      <c r="S121" s="307"/>
      <c r="T121" s="307"/>
      <c r="U121" s="307"/>
      <c r="V121" s="307"/>
      <c r="W121" s="307"/>
      <c r="X121" s="307"/>
      <c r="Y121" s="307"/>
      <c r="Z121" s="307"/>
      <c r="AA121" s="307"/>
      <c r="AB121" s="307"/>
      <c r="AC121" s="307"/>
      <c r="AD121" s="307"/>
    </row>
    <row r="122" ht="15.75" customHeight="1">
      <c r="A122" s="306"/>
      <c r="B122" s="306"/>
      <c r="C122" s="306"/>
      <c r="D122" s="306"/>
      <c r="E122" s="306"/>
      <c r="F122" s="306"/>
      <c r="G122" s="306"/>
      <c r="H122" s="306"/>
      <c r="I122" s="306"/>
      <c r="J122" s="306"/>
      <c r="K122" s="306"/>
      <c r="L122" s="307"/>
      <c r="M122" s="307"/>
      <c r="N122" s="307"/>
      <c r="O122" s="307"/>
      <c r="P122" s="307"/>
      <c r="Q122" s="307"/>
      <c r="R122" s="307"/>
      <c r="S122" s="307"/>
      <c r="T122" s="307"/>
      <c r="U122" s="307"/>
      <c r="V122" s="307"/>
      <c r="W122" s="307"/>
      <c r="X122" s="307"/>
      <c r="Y122" s="307"/>
      <c r="Z122" s="307"/>
      <c r="AA122" s="307"/>
      <c r="AB122" s="307"/>
      <c r="AC122" s="307"/>
      <c r="AD122" s="307"/>
    </row>
    <row r="123" ht="15.75" customHeight="1">
      <c r="A123" s="306"/>
      <c r="B123" s="306"/>
      <c r="C123" s="306"/>
      <c r="D123" s="306"/>
      <c r="E123" s="306"/>
      <c r="F123" s="306"/>
      <c r="G123" s="306"/>
      <c r="H123" s="306"/>
      <c r="I123" s="306"/>
      <c r="J123" s="306"/>
      <c r="K123" s="306"/>
      <c r="L123" s="307"/>
      <c r="M123" s="307"/>
      <c r="N123" s="307"/>
      <c r="O123" s="307"/>
      <c r="P123" s="307"/>
      <c r="Q123" s="307"/>
      <c r="R123" s="307"/>
      <c r="S123" s="307"/>
      <c r="T123" s="307"/>
      <c r="U123" s="307"/>
      <c r="V123" s="307"/>
      <c r="W123" s="307"/>
      <c r="X123" s="307"/>
      <c r="Y123" s="307"/>
      <c r="Z123" s="307"/>
      <c r="AA123" s="307"/>
      <c r="AB123" s="307"/>
      <c r="AC123" s="307"/>
      <c r="AD123" s="307"/>
    </row>
    <row r="124" ht="15.75" customHeight="1">
      <c r="A124" s="306"/>
      <c r="B124" s="306"/>
      <c r="C124" s="306"/>
      <c r="D124" s="306"/>
      <c r="E124" s="306"/>
      <c r="F124" s="306"/>
      <c r="G124" s="306"/>
      <c r="H124" s="306"/>
      <c r="I124" s="306"/>
      <c r="J124" s="306"/>
      <c r="K124" s="306"/>
      <c r="L124" s="307"/>
      <c r="M124" s="307"/>
      <c r="N124" s="307"/>
      <c r="O124" s="307"/>
      <c r="P124" s="307"/>
      <c r="Q124" s="307"/>
      <c r="R124" s="307"/>
      <c r="S124" s="307"/>
      <c r="T124" s="307"/>
      <c r="U124" s="307"/>
      <c r="V124" s="307"/>
      <c r="W124" s="307"/>
      <c r="X124" s="307"/>
      <c r="Y124" s="307"/>
      <c r="Z124" s="307"/>
      <c r="AA124" s="307"/>
      <c r="AB124" s="307"/>
      <c r="AC124" s="307"/>
      <c r="AD124" s="307"/>
    </row>
    <row r="125" ht="15.75" customHeight="1">
      <c r="A125" s="306"/>
      <c r="B125" s="306"/>
      <c r="C125" s="306"/>
      <c r="D125" s="306"/>
      <c r="E125" s="306"/>
      <c r="F125" s="306"/>
      <c r="G125" s="306"/>
      <c r="H125" s="306"/>
      <c r="I125" s="306"/>
      <c r="J125" s="306"/>
      <c r="K125" s="306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W125" s="307"/>
      <c r="X125" s="307"/>
      <c r="Y125" s="307"/>
      <c r="Z125" s="307"/>
      <c r="AA125" s="307"/>
      <c r="AB125" s="307"/>
      <c r="AC125" s="307"/>
      <c r="AD125" s="307"/>
    </row>
    <row r="126" ht="15.75" customHeight="1">
      <c r="A126" s="306"/>
      <c r="B126" s="306"/>
      <c r="C126" s="306"/>
      <c r="D126" s="306"/>
      <c r="E126" s="306"/>
      <c r="F126" s="306"/>
      <c r="G126" s="306"/>
      <c r="H126" s="306"/>
      <c r="I126" s="306"/>
      <c r="J126" s="306"/>
      <c r="K126" s="306"/>
      <c r="L126" s="307"/>
      <c r="M126" s="307"/>
      <c r="N126" s="307"/>
      <c r="O126" s="307"/>
      <c r="P126" s="307"/>
      <c r="Q126" s="307"/>
      <c r="R126" s="307"/>
      <c r="S126" s="307"/>
      <c r="T126" s="307"/>
      <c r="U126" s="307"/>
      <c r="V126" s="307"/>
      <c r="W126" s="307"/>
      <c r="X126" s="307"/>
      <c r="Y126" s="307"/>
      <c r="Z126" s="307"/>
      <c r="AA126" s="307"/>
      <c r="AB126" s="307"/>
      <c r="AC126" s="307"/>
      <c r="AD126" s="307"/>
    </row>
    <row r="127" ht="15.75" customHeight="1">
      <c r="A127" s="306"/>
      <c r="B127" s="306"/>
      <c r="C127" s="306"/>
      <c r="D127" s="306"/>
      <c r="E127" s="306"/>
      <c r="F127" s="306"/>
      <c r="G127" s="306"/>
      <c r="H127" s="306"/>
      <c r="I127" s="306"/>
      <c r="J127" s="306"/>
      <c r="K127" s="306"/>
      <c r="L127" s="307"/>
      <c r="M127" s="307"/>
      <c r="N127" s="307"/>
      <c r="O127" s="307"/>
      <c r="P127" s="307"/>
      <c r="Q127" s="307"/>
      <c r="R127" s="307"/>
      <c r="S127" s="307"/>
      <c r="T127" s="307"/>
      <c r="U127" s="307"/>
      <c r="V127" s="307"/>
      <c r="W127" s="307"/>
      <c r="X127" s="307"/>
      <c r="Y127" s="307"/>
      <c r="Z127" s="307"/>
      <c r="AA127" s="307"/>
      <c r="AB127" s="307"/>
      <c r="AC127" s="307"/>
      <c r="AD127" s="307"/>
    </row>
    <row r="128" ht="15.75" customHeight="1">
      <c r="A128" s="306"/>
      <c r="B128" s="306"/>
      <c r="C128" s="306"/>
      <c r="D128" s="306"/>
      <c r="E128" s="306"/>
      <c r="F128" s="306"/>
      <c r="G128" s="306"/>
      <c r="H128" s="306"/>
      <c r="I128" s="306"/>
      <c r="J128" s="306"/>
      <c r="K128" s="306"/>
      <c r="L128" s="307"/>
      <c r="M128" s="307"/>
      <c r="N128" s="307"/>
      <c r="O128" s="307"/>
      <c r="P128" s="307"/>
      <c r="Q128" s="307"/>
      <c r="R128" s="307"/>
      <c r="S128" s="307"/>
      <c r="T128" s="307"/>
      <c r="U128" s="307"/>
      <c r="V128" s="307"/>
      <c r="W128" s="307"/>
      <c r="X128" s="307"/>
      <c r="Y128" s="307"/>
      <c r="Z128" s="307"/>
      <c r="AA128" s="307"/>
      <c r="AB128" s="307"/>
      <c r="AC128" s="307"/>
      <c r="AD128" s="307"/>
    </row>
    <row r="129" ht="15.75" customHeight="1">
      <c r="A129" s="306"/>
      <c r="B129" s="306"/>
      <c r="C129" s="306"/>
      <c r="D129" s="306"/>
      <c r="E129" s="306"/>
      <c r="F129" s="306"/>
      <c r="G129" s="306"/>
      <c r="H129" s="306"/>
      <c r="I129" s="306"/>
      <c r="J129" s="306"/>
      <c r="K129" s="306"/>
      <c r="L129" s="307"/>
      <c r="M129" s="307"/>
      <c r="N129" s="307"/>
      <c r="O129" s="307"/>
      <c r="P129" s="307"/>
      <c r="Q129" s="307"/>
      <c r="R129" s="307"/>
      <c r="S129" s="307"/>
      <c r="T129" s="307"/>
      <c r="U129" s="307"/>
      <c r="V129" s="307"/>
      <c r="W129" s="307"/>
      <c r="X129" s="307"/>
      <c r="Y129" s="307"/>
      <c r="Z129" s="307"/>
      <c r="AA129" s="307"/>
      <c r="AB129" s="307"/>
      <c r="AC129" s="307"/>
      <c r="AD129" s="307"/>
    </row>
    <row r="130" ht="15.75" customHeight="1">
      <c r="A130" s="306"/>
      <c r="B130" s="306"/>
      <c r="C130" s="306"/>
      <c r="D130" s="306"/>
      <c r="E130" s="306"/>
      <c r="F130" s="306"/>
      <c r="G130" s="306"/>
      <c r="H130" s="306"/>
      <c r="I130" s="306"/>
      <c r="J130" s="306"/>
      <c r="K130" s="306"/>
      <c r="L130" s="307"/>
      <c r="M130" s="307"/>
      <c r="N130" s="307"/>
      <c r="O130" s="307"/>
      <c r="P130" s="307"/>
      <c r="Q130" s="307"/>
      <c r="R130" s="307"/>
      <c r="S130" s="307"/>
      <c r="T130" s="307"/>
      <c r="U130" s="307"/>
      <c r="V130" s="307"/>
      <c r="W130" s="307"/>
      <c r="X130" s="307"/>
      <c r="Y130" s="307"/>
      <c r="Z130" s="307"/>
      <c r="AA130" s="307"/>
      <c r="AB130" s="307"/>
      <c r="AC130" s="307"/>
      <c r="AD130" s="307"/>
    </row>
    <row r="131" ht="15.75" customHeight="1">
      <c r="A131" s="306"/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7"/>
      <c r="M131" s="307"/>
      <c r="N131" s="307"/>
      <c r="O131" s="307"/>
      <c r="P131" s="307"/>
      <c r="Q131" s="307"/>
      <c r="R131" s="307"/>
      <c r="S131" s="307"/>
      <c r="T131" s="307"/>
      <c r="U131" s="307"/>
      <c r="V131" s="307"/>
      <c r="W131" s="307"/>
      <c r="X131" s="307"/>
      <c r="Y131" s="307"/>
      <c r="Z131" s="307"/>
      <c r="AA131" s="307"/>
      <c r="AB131" s="307"/>
      <c r="AC131" s="307"/>
      <c r="AD131" s="307"/>
    </row>
    <row r="132" ht="15.75" customHeight="1">
      <c r="A132" s="306"/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7"/>
      <c r="M132" s="307"/>
      <c r="N132" s="307"/>
      <c r="O132" s="307"/>
      <c r="P132" s="307"/>
      <c r="Q132" s="307"/>
      <c r="R132" s="307"/>
      <c r="S132" s="307"/>
      <c r="T132" s="307"/>
      <c r="U132" s="307"/>
      <c r="V132" s="307"/>
      <c r="W132" s="307"/>
      <c r="X132" s="307"/>
      <c r="Y132" s="307"/>
      <c r="Z132" s="307"/>
      <c r="AA132" s="307"/>
      <c r="AB132" s="307"/>
      <c r="AC132" s="307"/>
      <c r="AD132" s="307"/>
    </row>
    <row r="133" ht="15.75" customHeight="1">
      <c r="A133" s="306"/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7"/>
      <c r="M133" s="307"/>
      <c r="N133" s="307"/>
      <c r="O133" s="307"/>
      <c r="P133" s="307"/>
      <c r="Q133" s="307"/>
      <c r="R133" s="307"/>
      <c r="S133" s="307"/>
      <c r="T133" s="307"/>
      <c r="U133" s="307"/>
      <c r="V133" s="307"/>
      <c r="W133" s="307"/>
      <c r="X133" s="307"/>
      <c r="Y133" s="307"/>
      <c r="Z133" s="307"/>
      <c r="AA133" s="307"/>
      <c r="AB133" s="307"/>
      <c r="AC133" s="307"/>
      <c r="AD133" s="307"/>
    </row>
    <row r="134" ht="15.75" customHeight="1">
      <c r="A134" s="306"/>
      <c r="B134" s="306"/>
      <c r="C134" s="306"/>
      <c r="D134" s="306"/>
      <c r="E134" s="306"/>
      <c r="F134" s="306"/>
      <c r="G134" s="306"/>
      <c r="H134" s="306"/>
      <c r="I134" s="306"/>
      <c r="J134" s="306"/>
      <c r="K134" s="306"/>
      <c r="L134" s="307"/>
      <c r="M134" s="307"/>
      <c r="N134" s="307"/>
      <c r="O134" s="307"/>
      <c r="P134" s="307"/>
      <c r="Q134" s="307"/>
      <c r="R134" s="307"/>
      <c r="S134" s="307"/>
      <c r="T134" s="307"/>
      <c r="U134" s="307"/>
      <c r="V134" s="307"/>
      <c r="W134" s="307"/>
      <c r="X134" s="307"/>
      <c r="Y134" s="307"/>
      <c r="Z134" s="307"/>
      <c r="AA134" s="307"/>
      <c r="AB134" s="307"/>
      <c r="AC134" s="307"/>
      <c r="AD134" s="307"/>
    </row>
    <row r="135" ht="15.75" customHeight="1">
      <c r="A135" s="306"/>
      <c r="B135" s="306"/>
      <c r="C135" s="306"/>
      <c r="D135" s="306"/>
      <c r="E135" s="306"/>
      <c r="F135" s="306"/>
      <c r="G135" s="306"/>
      <c r="H135" s="306"/>
      <c r="I135" s="306"/>
      <c r="J135" s="306"/>
      <c r="K135" s="306"/>
      <c r="L135" s="307"/>
      <c r="M135" s="307"/>
      <c r="N135" s="307"/>
      <c r="O135" s="307"/>
      <c r="P135" s="307"/>
      <c r="Q135" s="307"/>
      <c r="R135" s="307"/>
      <c r="S135" s="307"/>
      <c r="T135" s="307"/>
      <c r="U135" s="307"/>
      <c r="V135" s="307"/>
      <c r="W135" s="307"/>
      <c r="X135" s="307"/>
      <c r="Y135" s="307"/>
      <c r="Z135" s="307"/>
      <c r="AA135" s="307"/>
      <c r="AB135" s="307"/>
      <c r="AC135" s="307"/>
      <c r="AD135" s="307"/>
    </row>
    <row r="136" ht="15.75" customHeight="1">
      <c r="A136" s="306"/>
      <c r="B136" s="306"/>
      <c r="C136" s="306"/>
      <c r="D136" s="306"/>
      <c r="E136" s="306"/>
      <c r="F136" s="306"/>
      <c r="G136" s="306"/>
      <c r="H136" s="306"/>
      <c r="I136" s="306"/>
      <c r="J136" s="306"/>
      <c r="K136" s="306"/>
      <c r="L136" s="307"/>
      <c r="M136" s="307"/>
      <c r="N136" s="307"/>
      <c r="O136" s="307"/>
      <c r="P136" s="307"/>
      <c r="Q136" s="307"/>
      <c r="R136" s="307"/>
      <c r="S136" s="307"/>
      <c r="T136" s="307"/>
      <c r="U136" s="307"/>
      <c r="V136" s="307"/>
      <c r="W136" s="307"/>
      <c r="X136" s="307"/>
      <c r="Y136" s="307"/>
      <c r="Z136" s="307"/>
      <c r="AA136" s="307"/>
      <c r="AB136" s="307"/>
      <c r="AC136" s="307"/>
      <c r="AD136" s="307"/>
    </row>
    <row r="137" ht="15.75" customHeight="1">
      <c r="A137" s="306"/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</row>
    <row r="138" ht="15.75" customHeight="1">
      <c r="A138" s="306"/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7"/>
      <c r="M138" s="307"/>
      <c r="N138" s="307"/>
      <c r="O138" s="307"/>
      <c r="P138" s="307"/>
      <c r="Q138" s="307"/>
      <c r="R138" s="307"/>
      <c r="S138" s="307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</row>
    <row r="139" ht="15.75" customHeight="1">
      <c r="A139" s="306"/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7"/>
      <c r="M139" s="307"/>
      <c r="N139" s="307"/>
      <c r="O139" s="307"/>
      <c r="P139" s="307"/>
      <c r="Q139" s="307"/>
      <c r="R139" s="307"/>
      <c r="S139" s="307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</row>
    <row r="140" ht="15.75" customHeight="1">
      <c r="A140" s="306"/>
      <c r="B140" s="306"/>
      <c r="C140" s="306"/>
      <c r="D140" s="306"/>
      <c r="E140" s="306"/>
      <c r="F140" s="306"/>
      <c r="G140" s="306"/>
      <c r="H140" s="306"/>
      <c r="I140" s="306"/>
      <c r="J140" s="306"/>
      <c r="K140" s="306"/>
      <c r="L140" s="307"/>
      <c r="M140" s="307"/>
      <c r="N140" s="307"/>
      <c r="O140" s="307"/>
      <c r="P140" s="307"/>
      <c r="Q140" s="307"/>
      <c r="R140" s="307"/>
      <c r="S140" s="307"/>
      <c r="T140" s="307"/>
      <c r="U140" s="307"/>
      <c r="V140" s="307"/>
      <c r="W140" s="307"/>
      <c r="X140" s="307"/>
      <c r="Y140" s="307"/>
      <c r="Z140" s="307"/>
      <c r="AA140" s="307"/>
      <c r="AB140" s="307"/>
      <c r="AC140" s="307"/>
      <c r="AD140" s="307"/>
    </row>
    <row r="141" ht="15.75" customHeight="1">
      <c r="A141" s="306"/>
      <c r="B141" s="306"/>
      <c r="C141" s="306"/>
      <c r="D141" s="306"/>
      <c r="E141" s="306"/>
      <c r="F141" s="306"/>
      <c r="G141" s="306"/>
      <c r="H141" s="306"/>
      <c r="I141" s="306"/>
      <c r="J141" s="306"/>
      <c r="K141" s="306"/>
      <c r="L141" s="307"/>
      <c r="M141" s="307"/>
      <c r="N141" s="307"/>
      <c r="O141" s="307"/>
      <c r="P141" s="307"/>
      <c r="Q141" s="307"/>
      <c r="R141" s="307"/>
      <c r="S141" s="307"/>
      <c r="T141" s="307"/>
      <c r="U141" s="307"/>
      <c r="V141" s="307"/>
      <c r="W141" s="307"/>
      <c r="X141" s="307"/>
      <c r="Y141" s="307"/>
      <c r="Z141" s="307"/>
      <c r="AA141" s="307"/>
      <c r="AB141" s="307"/>
      <c r="AC141" s="307"/>
      <c r="AD141" s="307"/>
    </row>
    <row r="142" ht="15.75" customHeight="1">
      <c r="A142" s="306"/>
      <c r="B142" s="306"/>
      <c r="C142" s="306"/>
      <c r="D142" s="306"/>
      <c r="E142" s="306"/>
      <c r="F142" s="306"/>
      <c r="G142" s="306"/>
      <c r="H142" s="306"/>
      <c r="I142" s="306"/>
      <c r="J142" s="306"/>
      <c r="K142" s="306"/>
      <c r="L142" s="307"/>
      <c r="M142" s="307"/>
      <c r="N142" s="307"/>
      <c r="O142" s="307"/>
      <c r="P142" s="307"/>
      <c r="Q142" s="307"/>
      <c r="R142" s="307"/>
      <c r="S142" s="307"/>
      <c r="T142" s="307"/>
      <c r="U142" s="307"/>
      <c r="V142" s="307"/>
      <c r="W142" s="307"/>
      <c r="X142" s="307"/>
      <c r="Y142" s="307"/>
      <c r="Z142" s="307"/>
      <c r="AA142" s="307"/>
      <c r="AB142" s="307"/>
      <c r="AC142" s="307"/>
      <c r="AD142" s="307"/>
    </row>
    <row r="143" ht="15.75" customHeight="1">
      <c r="A143" s="306"/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7"/>
      <c r="M143" s="307"/>
      <c r="N143" s="307"/>
      <c r="O143" s="307"/>
      <c r="P143" s="307"/>
      <c r="Q143" s="307"/>
      <c r="R143" s="307"/>
      <c r="S143" s="307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</row>
    <row r="144" ht="15.75" customHeight="1">
      <c r="A144" s="306"/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7"/>
      <c r="M144" s="307"/>
      <c r="N144" s="307"/>
      <c r="O144" s="307"/>
      <c r="P144" s="307"/>
      <c r="Q144" s="307"/>
      <c r="R144" s="307"/>
      <c r="S144" s="307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</row>
    <row r="145" ht="15.75" customHeight="1">
      <c r="A145" s="306"/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7"/>
      <c r="M145" s="307"/>
      <c r="N145" s="307"/>
      <c r="O145" s="307"/>
      <c r="P145" s="307"/>
      <c r="Q145" s="307"/>
      <c r="R145" s="307"/>
      <c r="S145" s="307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</row>
    <row r="146" ht="15.75" customHeight="1">
      <c r="A146" s="306"/>
      <c r="B146" s="306"/>
      <c r="C146" s="306"/>
      <c r="D146" s="306"/>
      <c r="E146" s="306"/>
      <c r="F146" s="306"/>
      <c r="G146" s="306"/>
      <c r="H146" s="306"/>
      <c r="I146" s="306"/>
      <c r="J146" s="306"/>
      <c r="K146" s="306"/>
      <c r="L146" s="307"/>
      <c r="M146" s="307"/>
      <c r="N146" s="307"/>
      <c r="O146" s="307"/>
      <c r="P146" s="307"/>
      <c r="Q146" s="307"/>
      <c r="R146" s="307"/>
      <c r="S146" s="307"/>
      <c r="T146" s="307"/>
      <c r="U146" s="307"/>
      <c r="V146" s="307"/>
      <c r="W146" s="307"/>
      <c r="X146" s="307"/>
      <c r="Y146" s="307"/>
      <c r="Z146" s="307"/>
      <c r="AA146" s="307"/>
      <c r="AB146" s="307"/>
      <c r="AC146" s="307"/>
      <c r="AD146" s="307"/>
    </row>
    <row r="147" ht="15.75" customHeight="1">
      <c r="A147" s="306"/>
      <c r="B147" s="306"/>
      <c r="C147" s="306"/>
      <c r="D147" s="306"/>
      <c r="E147" s="306"/>
      <c r="F147" s="306"/>
      <c r="G147" s="306"/>
      <c r="H147" s="306"/>
      <c r="I147" s="306"/>
      <c r="J147" s="306"/>
      <c r="K147" s="306"/>
      <c r="L147" s="307"/>
      <c r="M147" s="307"/>
      <c r="N147" s="307"/>
      <c r="O147" s="307"/>
      <c r="P147" s="307"/>
      <c r="Q147" s="307"/>
      <c r="R147" s="307"/>
      <c r="S147" s="307"/>
      <c r="T147" s="307"/>
      <c r="U147" s="307"/>
      <c r="V147" s="307"/>
      <c r="W147" s="307"/>
      <c r="X147" s="307"/>
      <c r="Y147" s="307"/>
      <c r="Z147" s="307"/>
      <c r="AA147" s="307"/>
      <c r="AB147" s="307"/>
      <c r="AC147" s="307"/>
      <c r="AD147" s="307"/>
    </row>
    <row r="148" ht="15.75" customHeight="1">
      <c r="A148" s="306"/>
      <c r="B148" s="306"/>
      <c r="C148" s="306"/>
      <c r="D148" s="306"/>
      <c r="E148" s="306"/>
      <c r="F148" s="306"/>
      <c r="G148" s="306"/>
      <c r="H148" s="306"/>
      <c r="I148" s="306"/>
      <c r="J148" s="306"/>
      <c r="K148" s="306"/>
      <c r="L148" s="307"/>
      <c r="M148" s="307"/>
      <c r="N148" s="307"/>
      <c r="O148" s="307"/>
      <c r="P148" s="307"/>
      <c r="Q148" s="307"/>
      <c r="R148" s="307"/>
      <c r="S148" s="307"/>
      <c r="T148" s="307"/>
      <c r="U148" s="307"/>
      <c r="V148" s="307"/>
      <c r="W148" s="307"/>
      <c r="X148" s="307"/>
      <c r="Y148" s="307"/>
      <c r="Z148" s="307"/>
      <c r="AA148" s="307"/>
      <c r="AB148" s="307"/>
      <c r="AC148" s="307"/>
      <c r="AD148" s="307"/>
    </row>
    <row r="149" ht="15.75" customHeight="1">
      <c r="A149" s="306"/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7"/>
      <c r="M149" s="307"/>
      <c r="N149" s="307"/>
      <c r="O149" s="307"/>
      <c r="P149" s="307"/>
      <c r="Q149" s="307"/>
      <c r="R149" s="307"/>
      <c r="S149" s="307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</row>
    <row r="150" ht="15.75" customHeight="1">
      <c r="A150" s="306"/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7"/>
      <c r="M150" s="307"/>
      <c r="N150" s="307"/>
      <c r="O150" s="307"/>
      <c r="P150" s="307"/>
      <c r="Q150" s="307"/>
      <c r="R150" s="307"/>
      <c r="S150" s="307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</row>
    <row r="151" ht="15.75" customHeight="1">
      <c r="A151" s="306"/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7"/>
      <c r="M151" s="307"/>
      <c r="N151" s="307"/>
      <c r="O151" s="307"/>
      <c r="P151" s="307"/>
      <c r="Q151" s="307"/>
      <c r="R151" s="307"/>
      <c r="S151" s="307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</row>
    <row r="152" ht="15.75" customHeight="1">
      <c r="A152" s="306"/>
      <c r="B152" s="306"/>
      <c r="C152" s="306"/>
      <c r="D152" s="306"/>
      <c r="E152" s="306"/>
      <c r="F152" s="306"/>
      <c r="G152" s="306"/>
      <c r="H152" s="306"/>
      <c r="I152" s="306"/>
      <c r="J152" s="306"/>
      <c r="K152" s="306"/>
      <c r="L152" s="307"/>
      <c r="M152" s="307"/>
      <c r="N152" s="307"/>
      <c r="O152" s="307"/>
      <c r="P152" s="307"/>
      <c r="Q152" s="307"/>
      <c r="R152" s="307"/>
      <c r="S152" s="307"/>
      <c r="T152" s="307"/>
      <c r="U152" s="307"/>
      <c r="V152" s="307"/>
      <c r="W152" s="307"/>
      <c r="X152" s="307"/>
      <c r="Y152" s="307"/>
      <c r="Z152" s="307"/>
      <c r="AA152" s="307"/>
      <c r="AB152" s="307"/>
      <c r="AC152" s="307"/>
      <c r="AD152" s="307"/>
    </row>
    <row r="153" ht="15.75" customHeight="1">
      <c r="A153" s="306"/>
      <c r="B153" s="306"/>
      <c r="C153" s="306"/>
      <c r="D153" s="306"/>
      <c r="E153" s="306"/>
      <c r="F153" s="306"/>
      <c r="G153" s="306"/>
      <c r="H153" s="306"/>
      <c r="I153" s="306"/>
      <c r="J153" s="306"/>
      <c r="K153" s="306"/>
      <c r="L153" s="307"/>
      <c r="M153" s="307"/>
      <c r="N153" s="307"/>
      <c r="O153" s="307"/>
      <c r="P153" s="307"/>
      <c r="Q153" s="307"/>
      <c r="R153" s="307"/>
      <c r="S153" s="307"/>
      <c r="T153" s="307"/>
      <c r="U153" s="307"/>
      <c r="V153" s="307"/>
      <c r="W153" s="307"/>
      <c r="X153" s="307"/>
      <c r="Y153" s="307"/>
      <c r="Z153" s="307"/>
      <c r="AA153" s="307"/>
      <c r="AB153" s="307"/>
      <c r="AC153" s="307"/>
      <c r="AD153" s="307"/>
    </row>
    <row r="154" ht="15.75" customHeight="1">
      <c r="A154" s="306"/>
      <c r="B154" s="306"/>
      <c r="C154" s="306"/>
      <c r="D154" s="306"/>
      <c r="E154" s="306"/>
      <c r="F154" s="306"/>
      <c r="G154" s="306"/>
      <c r="H154" s="306"/>
      <c r="I154" s="306"/>
      <c r="J154" s="306"/>
      <c r="K154" s="306"/>
      <c r="L154" s="307"/>
      <c r="M154" s="307"/>
      <c r="N154" s="307"/>
      <c r="O154" s="307"/>
      <c r="P154" s="307"/>
      <c r="Q154" s="307"/>
      <c r="R154" s="307"/>
      <c r="S154" s="307"/>
      <c r="T154" s="307"/>
      <c r="U154" s="307"/>
      <c r="V154" s="307"/>
      <c r="W154" s="307"/>
      <c r="X154" s="307"/>
      <c r="Y154" s="307"/>
      <c r="Z154" s="307"/>
      <c r="AA154" s="307"/>
      <c r="AB154" s="307"/>
      <c r="AC154" s="307"/>
      <c r="AD154" s="307"/>
    </row>
    <row r="155" ht="15.75" customHeight="1">
      <c r="A155" s="306"/>
      <c r="B155" s="306"/>
      <c r="C155" s="306"/>
      <c r="D155" s="306"/>
      <c r="E155" s="306"/>
      <c r="F155" s="306"/>
      <c r="G155" s="306"/>
      <c r="H155" s="306"/>
      <c r="I155" s="306"/>
      <c r="J155" s="306"/>
      <c r="K155" s="306"/>
      <c r="L155" s="307"/>
      <c r="M155" s="307"/>
      <c r="N155" s="307"/>
      <c r="O155" s="307"/>
      <c r="P155" s="307"/>
      <c r="Q155" s="307"/>
      <c r="R155" s="307"/>
      <c r="S155" s="307"/>
      <c r="T155" s="307"/>
      <c r="U155" s="307"/>
      <c r="V155" s="307"/>
      <c r="W155" s="307"/>
      <c r="X155" s="307"/>
      <c r="Y155" s="307"/>
      <c r="Z155" s="307"/>
      <c r="AA155" s="307"/>
      <c r="AB155" s="307"/>
      <c r="AC155" s="307"/>
      <c r="AD155" s="307"/>
    </row>
    <row r="156" ht="15.75" customHeight="1">
      <c r="A156" s="306"/>
      <c r="B156" s="306"/>
      <c r="C156" s="306"/>
      <c r="D156" s="306"/>
      <c r="E156" s="306"/>
      <c r="F156" s="306"/>
      <c r="G156" s="306"/>
      <c r="H156" s="306"/>
      <c r="I156" s="306"/>
      <c r="J156" s="306"/>
      <c r="K156" s="306"/>
      <c r="L156" s="307"/>
      <c r="M156" s="307"/>
      <c r="N156" s="307"/>
      <c r="O156" s="307"/>
      <c r="P156" s="307"/>
      <c r="Q156" s="307"/>
      <c r="R156" s="307"/>
      <c r="S156" s="307"/>
      <c r="T156" s="307"/>
      <c r="U156" s="307"/>
      <c r="V156" s="307"/>
      <c r="W156" s="307"/>
      <c r="X156" s="307"/>
      <c r="Y156" s="307"/>
      <c r="Z156" s="307"/>
      <c r="AA156" s="307"/>
      <c r="AB156" s="307"/>
      <c r="AC156" s="307"/>
      <c r="AD156" s="307"/>
    </row>
    <row r="157" ht="15.75" customHeight="1">
      <c r="A157" s="306"/>
      <c r="B157" s="306"/>
      <c r="C157" s="306"/>
      <c r="D157" s="306"/>
      <c r="E157" s="306"/>
      <c r="F157" s="306"/>
      <c r="G157" s="306"/>
      <c r="H157" s="306"/>
      <c r="I157" s="306"/>
      <c r="J157" s="306"/>
      <c r="K157" s="306"/>
      <c r="L157" s="307"/>
      <c r="M157" s="307"/>
      <c r="N157" s="307"/>
      <c r="O157" s="307"/>
      <c r="P157" s="307"/>
      <c r="Q157" s="307"/>
      <c r="R157" s="307"/>
      <c r="S157" s="307"/>
      <c r="T157" s="307"/>
      <c r="U157" s="307"/>
      <c r="V157" s="307"/>
      <c r="W157" s="307"/>
      <c r="X157" s="307"/>
      <c r="Y157" s="307"/>
      <c r="Z157" s="307"/>
      <c r="AA157" s="307"/>
      <c r="AB157" s="307"/>
      <c r="AC157" s="307"/>
      <c r="AD157" s="307"/>
    </row>
    <row r="158" ht="15.75" customHeight="1">
      <c r="A158" s="306"/>
      <c r="B158" s="306"/>
      <c r="C158" s="306"/>
      <c r="D158" s="306"/>
      <c r="E158" s="306"/>
      <c r="F158" s="306"/>
      <c r="G158" s="306"/>
      <c r="H158" s="306"/>
      <c r="I158" s="306"/>
      <c r="J158" s="306"/>
      <c r="K158" s="306"/>
      <c r="L158" s="307"/>
      <c r="M158" s="307"/>
      <c r="N158" s="307"/>
      <c r="O158" s="307"/>
      <c r="P158" s="307"/>
      <c r="Q158" s="307"/>
      <c r="R158" s="307"/>
      <c r="S158" s="307"/>
      <c r="T158" s="307"/>
      <c r="U158" s="307"/>
      <c r="V158" s="307"/>
      <c r="W158" s="307"/>
      <c r="X158" s="307"/>
      <c r="Y158" s="307"/>
      <c r="Z158" s="307"/>
      <c r="AA158" s="307"/>
      <c r="AB158" s="307"/>
      <c r="AC158" s="307"/>
      <c r="AD158" s="307"/>
    </row>
    <row r="159" ht="15.75" customHeight="1">
      <c r="A159" s="306"/>
      <c r="B159" s="306"/>
      <c r="C159" s="306"/>
      <c r="D159" s="306"/>
      <c r="E159" s="306"/>
      <c r="F159" s="306"/>
      <c r="G159" s="306"/>
      <c r="H159" s="306"/>
      <c r="I159" s="306"/>
      <c r="J159" s="306"/>
      <c r="K159" s="306"/>
      <c r="L159" s="307"/>
      <c r="M159" s="307"/>
      <c r="N159" s="307"/>
      <c r="O159" s="307"/>
      <c r="P159" s="307"/>
      <c r="Q159" s="307"/>
      <c r="R159" s="307"/>
      <c r="S159" s="307"/>
      <c r="T159" s="307"/>
      <c r="U159" s="307"/>
      <c r="V159" s="307"/>
      <c r="W159" s="307"/>
      <c r="X159" s="307"/>
      <c r="Y159" s="307"/>
      <c r="Z159" s="307"/>
      <c r="AA159" s="307"/>
      <c r="AB159" s="307"/>
      <c r="AC159" s="307"/>
      <c r="AD159" s="307"/>
    </row>
    <row r="160" ht="15.75" customHeight="1">
      <c r="A160" s="306"/>
      <c r="B160" s="306"/>
      <c r="C160" s="306"/>
      <c r="D160" s="306"/>
      <c r="E160" s="306"/>
      <c r="F160" s="306"/>
      <c r="G160" s="306"/>
      <c r="H160" s="306"/>
      <c r="I160" s="306"/>
      <c r="J160" s="306"/>
      <c r="K160" s="306"/>
      <c r="L160" s="307"/>
      <c r="M160" s="307"/>
      <c r="N160" s="307"/>
      <c r="O160" s="307"/>
      <c r="P160" s="307"/>
      <c r="Q160" s="307"/>
      <c r="R160" s="307"/>
      <c r="S160" s="307"/>
      <c r="T160" s="307"/>
      <c r="U160" s="307"/>
      <c r="V160" s="307"/>
      <c r="W160" s="307"/>
      <c r="X160" s="307"/>
      <c r="Y160" s="307"/>
      <c r="Z160" s="307"/>
      <c r="AA160" s="307"/>
      <c r="AB160" s="307"/>
      <c r="AC160" s="307"/>
      <c r="AD160" s="307"/>
    </row>
    <row r="161" ht="15.75" customHeight="1">
      <c r="A161" s="306"/>
      <c r="B161" s="306"/>
      <c r="C161" s="306"/>
      <c r="D161" s="306"/>
      <c r="E161" s="306"/>
      <c r="F161" s="306"/>
      <c r="G161" s="306"/>
      <c r="H161" s="306"/>
      <c r="I161" s="306"/>
      <c r="J161" s="306"/>
      <c r="K161" s="306"/>
      <c r="L161" s="307"/>
      <c r="M161" s="307"/>
      <c r="N161" s="307"/>
      <c r="O161" s="307"/>
      <c r="P161" s="307"/>
      <c r="Q161" s="307"/>
      <c r="R161" s="307"/>
      <c r="S161" s="307"/>
      <c r="T161" s="307"/>
      <c r="U161" s="307"/>
      <c r="V161" s="307"/>
      <c r="W161" s="307"/>
      <c r="X161" s="307"/>
      <c r="Y161" s="307"/>
      <c r="Z161" s="307"/>
      <c r="AA161" s="307"/>
      <c r="AB161" s="307"/>
      <c r="AC161" s="307"/>
      <c r="AD161" s="307"/>
    </row>
    <row r="162" ht="15.75" customHeight="1">
      <c r="A162" s="306"/>
      <c r="B162" s="306"/>
      <c r="C162" s="306"/>
      <c r="D162" s="306"/>
      <c r="E162" s="306"/>
      <c r="F162" s="306"/>
      <c r="G162" s="306"/>
      <c r="H162" s="306"/>
      <c r="I162" s="306"/>
      <c r="J162" s="306"/>
      <c r="K162" s="306"/>
      <c r="L162" s="307"/>
      <c r="M162" s="307"/>
      <c r="N162" s="307"/>
      <c r="O162" s="307"/>
      <c r="P162" s="307"/>
      <c r="Q162" s="307"/>
      <c r="R162" s="307"/>
      <c r="S162" s="307"/>
      <c r="T162" s="307"/>
      <c r="U162" s="307"/>
      <c r="V162" s="307"/>
      <c r="W162" s="307"/>
      <c r="X162" s="307"/>
      <c r="Y162" s="307"/>
      <c r="Z162" s="307"/>
      <c r="AA162" s="307"/>
      <c r="AB162" s="307"/>
      <c r="AC162" s="307"/>
      <c r="AD162" s="307"/>
    </row>
    <row r="163" ht="15.75" customHeight="1">
      <c r="A163" s="306"/>
      <c r="B163" s="306"/>
      <c r="C163" s="306"/>
      <c r="D163" s="306"/>
      <c r="E163" s="306"/>
      <c r="F163" s="306"/>
      <c r="G163" s="306"/>
      <c r="H163" s="306"/>
      <c r="I163" s="306"/>
      <c r="J163" s="306"/>
      <c r="K163" s="306"/>
      <c r="L163" s="307"/>
      <c r="M163" s="307"/>
      <c r="N163" s="307"/>
      <c r="O163" s="307"/>
      <c r="P163" s="307"/>
      <c r="Q163" s="307"/>
      <c r="R163" s="307"/>
      <c r="S163" s="307"/>
      <c r="T163" s="307"/>
      <c r="U163" s="307"/>
      <c r="V163" s="307"/>
      <c r="W163" s="307"/>
      <c r="X163" s="307"/>
      <c r="Y163" s="307"/>
      <c r="Z163" s="307"/>
      <c r="AA163" s="307"/>
      <c r="AB163" s="307"/>
      <c r="AC163" s="307"/>
      <c r="AD163" s="307"/>
    </row>
    <row r="164" ht="15.75" customHeight="1">
      <c r="A164" s="306"/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7"/>
      <c r="M164" s="307"/>
      <c r="N164" s="307"/>
      <c r="O164" s="307"/>
      <c r="P164" s="307"/>
      <c r="Q164" s="307"/>
      <c r="R164" s="307"/>
      <c r="S164" s="307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</row>
    <row r="165" ht="15.75" customHeight="1">
      <c r="A165" s="306"/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7"/>
      <c r="M165" s="307"/>
      <c r="N165" s="307"/>
      <c r="O165" s="307"/>
      <c r="P165" s="307"/>
      <c r="Q165" s="307"/>
      <c r="R165" s="307"/>
      <c r="S165" s="307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</row>
    <row r="166" ht="15.75" customHeight="1">
      <c r="A166" s="306"/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7"/>
      <c r="M166" s="307"/>
      <c r="N166" s="307"/>
      <c r="O166" s="307"/>
      <c r="P166" s="307"/>
      <c r="Q166" s="307"/>
      <c r="R166" s="307"/>
      <c r="S166" s="307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</row>
    <row r="167" ht="15.75" customHeight="1">
      <c r="A167" s="306"/>
      <c r="B167" s="306"/>
      <c r="C167" s="306"/>
      <c r="D167" s="306"/>
      <c r="E167" s="306"/>
      <c r="F167" s="306"/>
      <c r="G167" s="306"/>
      <c r="H167" s="306"/>
      <c r="I167" s="306"/>
      <c r="J167" s="306"/>
      <c r="K167" s="306"/>
      <c r="L167" s="307"/>
      <c r="M167" s="307"/>
      <c r="N167" s="307"/>
      <c r="O167" s="307"/>
      <c r="P167" s="307"/>
      <c r="Q167" s="307"/>
      <c r="R167" s="307"/>
      <c r="S167" s="307"/>
      <c r="T167" s="307"/>
      <c r="U167" s="307"/>
      <c r="V167" s="307"/>
      <c r="W167" s="307"/>
      <c r="X167" s="307"/>
      <c r="Y167" s="307"/>
      <c r="Z167" s="307"/>
      <c r="AA167" s="307"/>
      <c r="AB167" s="307"/>
      <c r="AC167" s="307"/>
      <c r="AD167" s="307"/>
    </row>
    <row r="168" ht="15.75" customHeight="1">
      <c r="A168" s="306"/>
      <c r="B168" s="306"/>
      <c r="C168" s="306"/>
      <c r="D168" s="306"/>
      <c r="E168" s="306"/>
      <c r="F168" s="306"/>
      <c r="G168" s="306"/>
      <c r="H168" s="306"/>
      <c r="I168" s="306"/>
      <c r="J168" s="306"/>
      <c r="K168" s="306"/>
      <c r="L168" s="307"/>
      <c r="M168" s="307"/>
      <c r="N168" s="307"/>
      <c r="O168" s="307"/>
      <c r="P168" s="307"/>
      <c r="Q168" s="307"/>
      <c r="R168" s="307"/>
      <c r="S168" s="307"/>
      <c r="T168" s="307"/>
      <c r="U168" s="307"/>
      <c r="V168" s="307"/>
      <c r="W168" s="307"/>
      <c r="X168" s="307"/>
      <c r="Y168" s="307"/>
      <c r="Z168" s="307"/>
      <c r="AA168" s="307"/>
      <c r="AB168" s="307"/>
      <c r="AC168" s="307"/>
      <c r="AD168" s="307"/>
    </row>
    <row r="169" ht="15.75" customHeight="1">
      <c r="A169" s="306"/>
      <c r="B169" s="306"/>
      <c r="C169" s="306"/>
      <c r="D169" s="306"/>
      <c r="E169" s="306"/>
      <c r="F169" s="306"/>
      <c r="G169" s="306"/>
      <c r="H169" s="306"/>
      <c r="I169" s="306"/>
      <c r="J169" s="306"/>
      <c r="K169" s="306"/>
      <c r="L169" s="307"/>
      <c r="M169" s="307"/>
      <c r="N169" s="307"/>
      <c r="O169" s="307"/>
      <c r="P169" s="307"/>
      <c r="Q169" s="307"/>
      <c r="R169" s="307"/>
      <c r="S169" s="307"/>
      <c r="T169" s="307"/>
      <c r="U169" s="307"/>
      <c r="V169" s="307"/>
      <c r="W169" s="307"/>
      <c r="X169" s="307"/>
      <c r="Y169" s="307"/>
      <c r="Z169" s="307"/>
      <c r="AA169" s="307"/>
      <c r="AB169" s="307"/>
      <c r="AC169" s="307"/>
      <c r="AD169" s="307"/>
    </row>
    <row r="170" ht="15.75" customHeight="1">
      <c r="A170" s="306"/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7"/>
      <c r="M170" s="307"/>
      <c r="N170" s="307"/>
      <c r="O170" s="307"/>
      <c r="P170" s="307"/>
      <c r="Q170" s="307"/>
      <c r="R170" s="307"/>
      <c r="S170" s="307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</row>
    <row r="171" ht="15.75" customHeight="1">
      <c r="A171" s="306"/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7"/>
      <c r="M171" s="307"/>
      <c r="N171" s="307"/>
      <c r="O171" s="307"/>
      <c r="P171" s="307"/>
      <c r="Q171" s="307"/>
      <c r="R171" s="307"/>
      <c r="S171" s="307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</row>
    <row r="172" ht="15.75" customHeight="1">
      <c r="A172" s="306"/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7"/>
      <c r="M172" s="307"/>
      <c r="N172" s="307"/>
      <c r="O172" s="307"/>
      <c r="P172" s="307"/>
      <c r="Q172" s="307"/>
      <c r="R172" s="307"/>
      <c r="S172" s="307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</row>
    <row r="173" ht="15.75" customHeight="1">
      <c r="A173" s="306"/>
      <c r="B173" s="306"/>
      <c r="C173" s="306"/>
      <c r="D173" s="306"/>
      <c r="E173" s="306"/>
      <c r="F173" s="306"/>
      <c r="G173" s="306"/>
      <c r="H173" s="306"/>
      <c r="I173" s="306"/>
      <c r="J173" s="306"/>
      <c r="K173" s="306"/>
      <c r="L173" s="307"/>
      <c r="M173" s="307"/>
      <c r="N173" s="307"/>
      <c r="O173" s="307"/>
      <c r="P173" s="307"/>
      <c r="Q173" s="307"/>
      <c r="R173" s="307"/>
      <c r="S173" s="307"/>
      <c r="T173" s="307"/>
      <c r="U173" s="307"/>
      <c r="V173" s="307"/>
      <c r="W173" s="307"/>
      <c r="X173" s="307"/>
      <c r="Y173" s="307"/>
      <c r="Z173" s="307"/>
      <c r="AA173" s="307"/>
      <c r="AB173" s="307"/>
      <c r="AC173" s="307"/>
      <c r="AD173" s="307"/>
    </row>
    <row r="174" ht="15.75" customHeight="1">
      <c r="A174" s="306"/>
      <c r="B174" s="306"/>
      <c r="C174" s="306"/>
      <c r="D174" s="306"/>
      <c r="E174" s="306"/>
      <c r="F174" s="306"/>
      <c r="G174" s="306"/>
      <c r="H174" s="306"/>
      <c r="I174" s="306"/>
      <c r="J174" s="306"/>
      <c r="K174" s="306"/>
      <c r="L174" s="307"/>
      <c r="M174" s="307"/>
      <c r="N174" s="307"/>
      <c r="O174" s="307"/>
      <c r="P174" s="307"/>
      <c r="Q174" s="307"/>
      <c r="R174" s="307"/>
      <c r="S174" s="307"/>
      <c r="T174" s="307"/>
      <c r="U174" s="307"/>
      <c r="V174" s="307"/>
      <c r="W174" s="307"/>
      <c r="X174" s="307"/>
      <c r="Y174" s="307"/>
      <c r="Z174" s="307"/>
      <c r="AA174" s="307"/>
      <c r="AB174" s="307"/>
      <c r="AC174" s="307"/>
      <c r="AD174" s="307"/>
    </row>
    <row r="175" ht="15.75" customHeight="1">
      <c r="A175" s="306"/>
      <c r="B175" s="306"/>
      <c r="C175" s="306"/>
      <c r="D175" s="306"/>
      <c r="E175" s="306"/>
      <c r="F175" s="306"/>
      <c r="G175" s="306"/>
      <c r="H175" s="306"/>
      <c r="I175" s="306"/>
      <c r="J175" s="306"/>
      <c r="K175" s="306"/>
      <c r="L175" s="307"/>
      <c r="M175" s="307"/>
      <c r="N175" s="307"/>
      <c r="O175" s="307"/>
      <c r="P175" s="307"/>
      <c r="Q175" s="307"/>
      <c r="R175" s="307"/>
      <c r="S175" s="307"/>
      <c r="T175" s="307"/>
      <c r="U175" s="307"/>
      <c r="V175" s="307"/>
      <c r="W175" s="307"/>
      <c r="X175" s="307"/>
      <c r="Y175" s="307"/>
      <c r="Z175" s="307"/>
      <c r="AA175" s="307"/>
      <c r="AB175" s="307"/>
      <c r="AC175" s="307"/>
      <c r="AD175" s="307"/>
    </row>
    <row r="176" ht="15.75" customHeight="1">
      <c r="A176" s="306"/>
      <c r="B176" s="306"/>
      <c r="C176" s="306"/>
      <c r="D176" s="306"/>
      <c r="E176" s="306"/>
      <c r="F176" s="306"/>
      <c r="G176" s="306"/>
      <c r="H176" s="306"/>
      <c r="I176" s="306"/>
      <c r="J176" s="306"/>
      <c r="K176" s="306"/>
      <c r="L176" s="307"/>
      <c r="M176" s="307"/>
      <c r="N176" s="307"/>
      <c r="O176" s="307"/>
      <c r="P176" s="307"/>
      <c r="Q176" s="307"/>
      <c r="R176" s="307"/>
      <c r="S176" s="307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</row>
    <row r="177" ht="15.75" customHeight="1">
      <c r="A177" s="306"/>
      <c r="B177" s="306"/>
      <c r="C177" s="306"/>
      <c r="D177" s="306"/>
      <c r="E177" s="306"/>
      <c r="F177" s="306"/>
      <c r="G177" s="306"/>
      <c r="H177" s="306"/>
      <c r="I177" s="306"/>
      <c r="J177" s="306"/>
      <c r="K177" s="306"/>
      <c r="L177" s="307"/>
      <c r="M177" s="307"/>
      <c r="N177" s="307"/>
      <c r="O177" s="307"/>
      <c r="P177" s="307"/>
      <c r="Q177" s="307"/>
      <c r="R177" s="307"/>
      <c r="S177" s="307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</row>
    <row r="178" ht="15.75" customHeight="1">
      <c r="A178" s="306"/>
      <c r="B178" s="306"/>
      <c r="C178" s="306"/>
      <c r="D178" s="306"/>
      <c r="E178" s="306"/>
      <c r="F178" s="306"/>
      <c r="G178" s="306"/>
      <c r="H178" s="306"/>
      <c r="I178" s="306"/>
      <c r="J178" s="306"/>
      <c r="K178" s="306"/>
      <c r="L178" s="307"/>
      <c r="M178" s="307"/>
      <c r="N178" s="307"/>
      <c r="O178" s="307"/>
      <c r="P178" s="307"/>
      <c r="Q178" s="307"/>
      <c r="R178" s="307"/>
      <c r="S178" s="307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</row>
    <row r="179" ht="15.75" customHeight="1">
      <c r="A179" s="306"/>
      <c r="B179" s="306"/>
      <c r="C179" s="306"/>
      <c r="D179" s="306"/>
      <c r="E179" s="306"/>
      <c r="F179" s="306"/>
      <c r="G179" s="306"/>
      <c r="H179" s="306"/>
      <c r="I179" s="306"/>
      <c r="J179" s="306"/>
      <c r="K179" s="306"/>
      <c r="L179" s="307"/>
      <c r="M179" s="307"/>
      <c r="N179" s="307"/>
      <c r="O179" s="307"/>
      <c r="P179" s="307"/>
      <c r="Q179" s="307"/>
      <c r="R179" s="307"/>
      <c r="S179" s="307"/>
      <c r="T179" s="307"/>
      <c r="U179" s="307"/>
      <c r="V179" s="307"/>
      <c r="W179" s="307"/>
      <c r="X179" s="307"/>
      <c r="Y179" s="307"/>
      <c r="Z179" s="307"/>
      <c r="AA179" s="307"/>
      <c r="AB179" s="307"/>
      <c r="AC179" s="307"/>
      <c r="AD179" s="307"/>
    </row>
    <row r="180" ht="15.75" customHeight="1">
      <c r="A180" s="306"/>
      <c r="B180" s="306"/>
      <c r="C180" s="306"/>
      <c r="D180" s="306"/>
      <c r="E180" s="306"/>
      <c r="F180" s="306"/>
      <c r="G180" s="306"/>
      <c r="H180" s="306"/>
      <c r="I180" s="306"/>
      <c r="J180" s="306"/>
      <c r="K180" s="306"/>
      <c r="L180" s="307"/>
      <c r="M180" s="307"/>
      <c r="N180" s="307"/>
      <c r="O180" s="307"/>
      <c r="P180" s="307"/>
      <c r="Q180" s="307"/>
      <c r="R180" s="307"/>
      <c r="S180" s="307"/>
      <c r="T180" s="307"/>
      <c r="U180" s="307"/>
      <c r="V180" s="307"/>
      <c r="W180" s="307"/>
      <c r="X180" s="307"/>
      <c r="Y180" s="307"/>
      <c r="Z180" s="307"/>
      <c r="AA180" s="307"/>
      <c r="AB180" s="307"/>
      <c r="AC180" s="307"/>
      <c r="AD180" s="307"/>
    </row>
    <row r="181" ht="15.75" customHeight="1">
      <c r="A181" s="306"/>
      <c r="B181" s="306"/>
      <c r="C181" s="306"/>
      <c r="D181" s="306"/>
      <c r="E181" s="306"/>
      <c r="F181" s="306"/>
      <c r="G181" s="306"/>
      <c r="H181" s="306"/>
      <c r="I181" s="306"/>
      <c r="J181" s="306"/>
      <c r="K181" s="306"/>
      <c r="L181" s="307"/>
      <c r="M181" s="307"/>
      <c r="N181" s="307"/>
      <c r="O181" s="307"/>
      <c r="P181" s="307"/>
      <c r="Q181" s="307"/>
      <c r="R181" s="307"/>
      <c r="S181" s="307"/>
      <c r="T181" s="307"/>
      <c r="U181" s="307"/>
      <c r="V181" s="307"/>
      <c r="W181" s="307"/>
      <c r="X181" s="307"/>
      <c r="Y181" s="307"/>
      <c r="Z181" s="307"/>
      <c r="AA181" s="307"/>
      <c r="AB181" s="307"/>
      <c r="AC181" s="307"/>
      <c r="AD181" s="307"/>
    </row>
    <row r="182" ht="15.75" customHeight="1">
      <c r="A182" s="306"/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7"/>
      <c r="M182" s="307"/>
      <c r="N182" s="307"/>
      <c r="O182" s="307"/>
      <c r="P182" s="307"/>
      <c r="Q182" s="307"/>
      <c r="R182" s="307"/>
      <c r="S182" s="307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</row>
    <row r="183" ht="15.75" customHeight="1">
      <c r="A183" s="306"/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7"/>
      <c r="M183" s="307"/>
      <c r="N183" s="307"/>
      <c r="O183" s="307"/>
      <c r="P183" s="307"/>
      <c r="Q183" s="307"/>
      <c r="R183" s="307"/>
      <c r="S183" s="307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</row>
    <row r="184" ht="15.75" customHeight="1">
      <c r="A184" s="306"/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7"/>
      <c r="M184" s="307"/>
      <c r="N184" s="307"/>
      <c r="O184" s="307"/>
      <c r="P184" s="307"/>
      <c r="Q184" s="307"/>
      <c r="R184" s="307"/>
      <c r="S184" s="307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</row>
    <row r="185" ht="15.75" customHeight="1">
      <c r="A185" s="306"/>
      <c r="B185" s="306"/>
      <c r="C185" s="306"/>
      <c r="D185" s="306"/>
      <c r="E185" s="306"/>
      <c r="F185" s="306"/>
      <c r="G185" s="306"/>
      <c r="H185" s="306"/>
      <c r="I185" s="306"/>
      <c r="J185" s="306"/>
      <c r="K185" s="306"/>
      <c r="L185" s="307"/>
      <c r="M185" s="307"/>
      <c r="N185" s="307"/>
      <c r="O185" s="307"/>
      <c r="P185" s="307"/>
      <c r="Q185" s="307"/>
      <c r="R185" s="307"/>
      <c r="S185" s="307"/>
      <c r="T185" s="307"/>
      <c r="U185" s="307"/>
      <c r="V185" s="307"/>
      <c r="W185" s="307"/>
      <c r="X185" s="307"/>
      <c r="Y185" s="307"/>
      <c r="Z185" s="307"/>
      <c r="AA185" s="307"/>
      <c r="AB185" s="307"/>
      <c r="AC185" s="307"/>
      <c r="AD185" s="307"/>
    </row>
    <row r="186" ht="15.75" customHeight="1">
      <c r="A186" s="306"/>
      <c r="B186" s="306"/>
      <c r="C186" s="306"/>
      <c r="D186" s="306"/>
      <c r="E186" s="306"/>
      <c r="F186" s="306"/>
      <c r="G186" s="306"/>
      <c r="H186" s="306"/>
      <c r="I186" s="306"/>
      <c r="J186" s="306"/>
      <c r="K186" s="306"/>
      <c r="L186" s="307"/>
      <c r="M186" s="307"/>
      <c r="N186" s="307"/>
      <c r="O186" s="307"/>
      <c r="P186" s="307"/>
      <c r="Q186" s="307"/>
      <c r="R186" s="307"/>
      <c r="S186" s="307"/>
      <c r="T186" s="307"/>
      <c r="U186" s="307"/>
      <c r="V186" s="307"/>
      <c r="W186" s="307"/>
      <c r="X186" s="307"/>
      <c r="Y186" s="307"/>
      <c r="Z186" s="307"/>
      <c r="AA186" s="307"/>
      <c r="AB186" s="307"/>
      <c r="AC186" s="307"/>
      <c r="AD186" s="307"/>
    </row>
    <row r="187" ht="15.75" customHeight="1">
      <c r="A187" s="306"/>
      <c r="B187" s="306"/>
      <c r="C187" s="306"/>
      <c r="D187" s="306"/>
      <c r="E187" s="306"/>
      <c r="F187" s="306"/>
      <c r="G187" s="306"/>
      <c r="H187" s="306"/>
      <c r="I187" s="306"/>
      <c r="J187" s="306"/>
      <c r="K187" s="306"/>
      <c r="L187" s="307"/>
      <c r="M187" s="307"/>
      <c r="N187" s="307"/>
      <c r="O187" s="307"/>
      <c r="P187" s="307"/>
      <c r="Q187" s="307"/>
      <c r="R187" s="307"/>
      <c r="S187" s="307"/>
      <c r="T187" s="307"/>
      <c r="U187" s="307"/>
      <c r="V187" s="307"/>
      <c r="W187" s="307"/>
      <c r="X187" s="307"/>
      <c r="Y187" s="307"/>
      <c r="Z187" s="307"/>
      <c r="AA187" s="307"/>
      <c r="AB187" s="307"/>
      <c r="AC187" s="307"/>
      <c r="AD187" s="307"/>
    </row>
    <row r="188" ht="15.75" customHeight="1">
      <c r="A188" s="306"/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7"/>
      <c r="M188" s="307"/>
      <c r="N188" s="307"/>
      <c r="O188" s="307"/>
      <c r="P188" s="307"/>
      <c r="Q188" s="307"/>
      <c r="R188" s="307"/>
      <c r="S188" s="307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</row>
    <row r="189" ht="15.75" customHeight="1">
      <c r="A189" s="306"/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7"/>
      <c r="M189" s="307"/>
      <c r="N189" s="307"/>
      <c r="O189" s="307"/>
      <c r="P189" s="307"/>
      <c r="Q189" s="307"/>
      <c r="R189" s="307"/>
      <c r="S189" s="307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</row>
    <row r="190" ht="15.75" customHeight="1">
      <c r="A190" s="306"/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7"/>
      <c r="M190" s="307"/>
      <c r="N190" s="307"/>
      <c r="O190" s="307"/>
      <c r="P190" s="307"/>
      <c r="Q190" s="307"/>
      <c r="R190" s="307"/>
      <c r="S190" s="307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</row>
    <row r="191" ht="15.75" customHeight="1">
      <c r="A191" s="306"/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7"/>
      <c r="M191" s="307"/>
      <c r="N191" s="307"/>
      <c r="O191" s="307"/>
      <c r="P191" s="307"/>
      <c r="Q191" s="307"/>
      <c r="R191" s="307"/>
      <c r="S191" s="307"/>
      <c r="T191" s="307"/>
      <c r="U191" s="307"/>
      <c r="V191" s="307"/>
      <c r="W191" s="307"/>
      <c r="X191" s="307"/>
      <c r="Y191" s="307"/>
      <c r="Z191" s="307"/>
      <c r="AA191" s="307"/>
      <c r="AB191" s="307"/>
      <c r="AC191" s="307"/>
      <c r="AD191" s="307"/>
    </row>
    <row r="192" ht="15.75" customHeight="1">
      <c r="A192" s="306"/>
      <c r="B192" s="306"/>
      <c r="C192" s="306"/>
      <c r="D192" s="306"/>
      <c r="E192" s="306"/>
      <c r="F192" s="306"/>
      <c r="G192" s="306"/>
      <c r="H192" s="306"/>
      <c r="I192" s="306"/>
      <c r="J192" s="306"/>
      <c r="K192" s="306"/>
      <c r="L192" s="307"/>
      <c r="M192" s="307"/>
      <c r="N192" s="307"/>
      <c r="O192" s="307"/>
      <c r="P192" s="307"/>
      <c r="Q192" s="307"/>
      <c r="R192" s="307"/>
      <c r="S192" s="307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</row>
    <row r="193" ht="15.75" customHeight="1">
      <c r="A193" s="306"/>
      <c r="B193" s="306"/>
      <c r="C193" s="306"/>
      <c r="D193" s="306"/>
      <c r="E193" s="306"/>
      <c r="F193" s="306"/>
      <c r="G193" s="306"/>
      <c r="H193" s="306"/>
      <c r="I193" s="306"/>
      <c r="J193" s="306"/>
      <c r="K193" s="306"/>
      <c r="L193" s="307"/>
      <c r="M193" s="307"/>
      <c r="N193" s="307"/>
      <c r="O193" s="307"/>
      <c r="P193" s="307"/>
      <c r="Q193" s="307"/>
      <c r="R193" s="307"/>
      <c r="S193" s="307"/>
      <c r="T193" s="307"/>
      <c r="U193" s="307"/>
      <c r="V193" s="307"/>
      <c r="W193" s="307"/>
      <c r="X193" s="307"/>
      <c r="Y193" s="307"/>
      <c r="Z193" s="307"/>
      <c r="AA193" s="307"/>
      <c r="AB193" s="307"/>
      <c r="AC193" s="307"/>
      <c r="AD193" s="307"/>
    </row>
    <row r="194" ht="15.75" customHeight="1">
      <c r="A194" s="306"/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7"/>
      <c r="M194" s="307"/>
      <c r="N194" s="307"/>
      <c r="O194" s="307"/>
      <c r="P194" s="307"/>
      <c r="Q194" s="307"/>
      <c r="R194" s="307"/>
      <c r="S194" s="307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</row>
    <row r="195" ht="15.75" customHeight="1">
      <c r="A195" s="306"/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7"/>
      <c r="M195" s="307"/>
      <c r="N195" s="307"/>
      <c r="O195" s="307"/>
      <c r="P195" s="307"/>
      <c r="Q195" s="307"/>
      <c r="R195" s="307"/>
      <c r="S195" s="307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</row>
    <row r="196" ht="15.75" customHeight="1">
      <c r="A196" s="306"/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7"/>
      <c r="M196" s="307"/>
      <c r="N196" s="307"/>
      <c r="O196" s="307"/>
      <c r="P196" s="307"/>
      <c r="Q196" s="307"/>
      <c r="R196" s="307"/>
      <c r="S196" s="307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</row>
    <row r="197" ht="15.75" customHeight="1">
      <c r="A197" s="306"/>
      <c r="B197" s="306"/>
      <c r="C197" s="306"/>
      <c r="D197" s="306"/>
      <c r="E197" s="306"/>
      <c r="F197" s="306"/>
      <c r="G197" s="306"/>
      <c r="H197" s="306"/>
      <c r="I197" s="306"/>
      <c r="J197" s="306"/>
      <c r="K197" s="306"/>
      <c r="L197" s="307"/>
      <c r="M197" s="307"/>
      <c r="N197" s="307"/>
      <c r="O197" s="307"/>
      <c r="P197" s="307"/>
      <c r="Q197" s="307"/>
      <c r="R197" s="307"/>
      <c r="S197" s="307"/>
      <c r="T197" s="307"/>
      <c r="U197" s="307"/>
      <c r="V197" s="307"/>
      <c r="W197" s="307"/>
      <c r="X197" s="307"/>
      <c r="Y197" s="307"/>
      <c r="Z197" s="307"/>
      <c r="AA197" s="307"/>
      <c r="AB197" s="307"/>
      <c r="AC197" s="307"/>
      <c r="AD197" s="307"/>
    </row>
    <row r="198" ht="15.75" customHeight="1">
      <c r="A198" s="306"/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7"/>
      <c r="M198" s="307"/>
      <c r="N198" s="307"/>
      <c r="O198" s="307"/>
      <c r="P198" s="307"/>
      <c r="Q198" s="307"/>
      <c r="R198" s="307"/>
      <c r="S198" s="307"/>
      <c r="T198" s="307"/>
      <c r="U198" s="307"/>
      <c r="V198" s="307"/>
      <c r="W198" s="307"/>
      <c r="X198" s="307"/>
      <c r="Y198" s="307"/>
      <c r="Z198" s="307"/>
      <c r="AA198" s="307"/>
      <c r="AB198" s="307"/>
      <c r="AC198" s="307"/>
      <c r="AD198" s="307"/>
    </row>
    <row r="199" ht="15.75" customHeight="1">
      <c r="A199" s="306"/>
      <c r="B199" s="306"/>
      <c r="C199" s="306"/>
      <c r="D199" s="306"/>
      <c r="E199" s="306"/>
      <c r="F199" s="306"/>
      <c r="G199" s="306"/>
      <c r="H199" s="306"/>
      <c r="I199" s="306"/>
      <c r="J199" s="306"/>
      <c r="K199" s="306"/>
      <c r="L199" s="307"/>
      <c r="M199" s="307"/>
      <c r="N199" s="307"/>
      <c r="O199" s="307"/>
      <c r="P199" s="307"/>
      <c r="Q199" s="307"/>
      <c r="R199" s="307"/>
      <c r="S199" s="307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</row>
    <row r="200" ht="15.75" customHeight="1">
      <c r="A200" s="306"/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7"/>
      <c r="M200" s="307"/>
      <c r="N200" s="307"/>
      <c r="O200" s="307"/>
      <c r="P200" s="307"/>
      <c r="Q200" s="307"/>
      <c r="R200" s="307"/>
      <c r="S200" s="307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</row>
    <row r="201" ht="15.75" customHeight="1">
      <c r="A201" s="306"/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7"/>
      <c r="M201" s="307"/>
      <c r="N201" s="307"/>
      <c r="O201" s="307"/>
      <c r="P201" s="307"/>
      <c r="Q201" s="307"/>
      <c r="R201" s="307"/>
      <c r="S201" s="307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</row>
    <row r="202" ht="15.75" customHeight="1">
      <c r="A202" s="306"/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7"/>
      <c r="M202" s="307"/>
      <c r="N202" s="307"/>
      <c r="O202" s="307"/>
      <c r="P202" s="307"/>
      <c r="Q202" s="307"/>
      <c r="R202" s="307"/>
      <c r="S202" s="307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</row>
    <row r="203" ht="15.75" customHeight="1">
      <c r="A203" s="306"/>
      <c r="B203" s="306"/>
      <c r="C203" s="306"/>
      <c r="D203" s="306"/>
      <c r="E203" s="306"/>
      <c r="F203" s="306"/>
      <c r="G203" s="306"/>
      <c r="H203" s="306"/>
      <c r="I203" s="306"/>
      <c r="J203" s="306"/>
      <c r="K203" s="306"/>
      <c r="L203" s="307"/>
      <c r="M203" s="307"/>
      <c r="N203" s="307"/>
      <c r="O203" s="307"/>
      <c r="P203" s="307"/>
      <c r="Q203" s="307"/>
      <c r="R203" s="307"/>
      <c r="S203" s="307"/>
      <c r="T203" s="307"/>
      <c r="U203" s="307"/>
      <c r="V203" s="307"/>
      <c r="W203" s="307"/>
      <c r="X203" s="307"/>
      <c r="Y203" s="307"/>
      <c r="Z203" s="307"/>
      <c r="AA203" s="307"/>
      <c r="AB203" s="307"/>
      <c r="AC203" s="307"/>
      <c r="AD203" s="307"/>
    </row>
    <row r="204" ht="15.75" customHeight="1">
      <c r="A204" s="306"/>
      <c r="B204" s="306"/>
      <c r="C204" s="306"/>
      <c r="D204" s="306"/>
      <c r="E204" s="306"/>
      <c r="F204" s="306"/>
      <c r="G204" s="306"/>
      <c r="H204" s="306"/>
      <c r="I204" s="306"/>
      <c r="J204" s="306"/>
      <c r="K204" s="306"/>
      <c r="L204" s="307"/>
      <c r="M204" s="307"/>
      <c r="N204" s="307"/>
      <c r="O204" s="307"/>
      <c r="P204" s="307"/>
      <c r="Q204" s="307"/>
      <c r="R204" s="307"/>
      <c r="S204" s="307"/>
      <c r="T204" s="307"/>
      <c r="U204" s="307"/>
      <c r="V204" s="307"/>
      <c r="W204" s="307"/>
      <c r="X204" s="307"/>
      <c r="Y204" s="307"/>
      <c r="Z204" s="307"/>
      <c r="AA204" s="307"/>
      <c r="AB204" s="307"/>
      <c r="AC204" s="307"/>
      <c r="AD204" s="307"/>
    </row>
    <row r="205" ht="15.75" customHeight="1">
      <c r="A205" s="306"/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7"/>
      <c r="M205" s="307"/>
      <c r="N205" s="307"/>
      <c r="O205" s="307"/>
      <c r="P205" s="307"/>
      <c r="Q205" s="307"/>
      <c r="R205" s="307"/>
      <c r="S205" s="307"/>
      <c r="T205" s="307"/>
      <c r="U205" s="307"/>
      <c r="V205" s="307"/>
      <c r="W205" s="307"/>
      <c r="X205" s="307"/>
      <c r="Y205" s="307"/>
      <c r="Z205" s="307"/>
      <c r="AA205" s="307"/>
      <c r="AB205" s="307"/>
      <c r="AC205" s="307"/>
      <c r="AD205" s="307"/>
    </row>
    <row r="206" ht="15.75" customHeight="1">
      <c r="A206" s="306"/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7"/>
      <c r="M206" s="307"/>
      <c r="N206" s="307"/>
      <c r="O206" s="307"/>
      <c r="P206" s="307"/>
      <c r="Q206" s="307"/>
      <c r="R206" s="307"/>
      <c r="S206" s="307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</row>
    <row r="207" ht="15.75" customHeight="1">
      <c r="A207" s="306"/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7"/>
      <c r="M207" s="307"/>
      <c r="N207" s="307"/>
      <c r="O207" s="307"/>
      <c r="P207" s="307"/>
      <c r="Q207" s="307"/>
      <c r="R207" s="307"/>
      <c r="S207" s="307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</row>
    <row r="208" ht="15.75" customHeight="1">
      <c r="A208" s="306"/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7"/>
      <c r="M208" s="307"/>
      <c r="N208" s="307"/>
      <c r="O208" s="307"/>
      <c r="P208" s="307"/>
      <c r="Q208" s="307"/>
      <c r="R208" s="307"/>
      <c r="S208" s="307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</row>
    <row r="209" ht="15.75" customHeight="1">
      <c r="A209" s="306"/>
      <c r="B209" s="306"/>
      <c r="C209" s="306"/>
      <c r="D209" s="306"/>
      <c r="E209" s="306"/>
      <c r="F209" s="306"/>
      <c r="G209" s="306"/>
      <c r="H209" s="306"/>
      <c r="I209" s="306"/>
      <c r="J209" s="306"/>
      <c r="K209" s="306"/>
      <c r="L209" s="307"/>
      <c r="M209" s="307"/>
      <c r="N209" s="307"/>
      <c r="O209" s="307"/>
      <c r="P209" s="307"/>
      <c r="Q209" s="307"/>
      <c r="R209" s="307"/>
      <c r="S209" s="307"/>
      <c r="T209" s="307"/>
      <c r="U209" s="307"/>
      <c r="V209" s="307"/>
      <c r="W209" s="307"/>
      <c r="X209" s="307"/>
      <c r="Y209" s="307"/>
      <c r="Z209" s="307"/>
      <c r="AA209" s="307"/>
      <c r="AB209" s="307"/>
      <c r="AC209" s="307"/>
      <c r="AD209" s="307"/>
    </row>
    <row r="210" ht="15.75" customHeight="1">
      <c r="A210" s="306"/>
      <c r="B210" s="306"/>
      <c r="C210" s="306"/>
      <c r="D210" s="306"/>
      <c r="E210" s="306"/>
      <c r="F210" s="306"/>
      <c r="G210" s="306"/>
      <c r="H210" s="306"/>
      <c r="I210" s="306"/>
      <c r="J210" s="306"/>
      <c r="K210" s="306"/>
      <c r="L210" s="307"/>
      <c r="M210" s="307"/>
      <c r="N210" s="307"/>
      <c r="O210" s="307"/>
      <c r="P210" s="307"/>
      <c r="Q210" s="307"/>
      <c r="R210" s="307"/>
      <c r="S210" s="307"/>
      <c r="T210" s="307"/>
      <c r="U210" s="307"/>
      <c r="V210" s="307"/>
      <c r="W210" s="307"/>
      <c r="X210" s="307"/>
      <c r="Y210" s="307"/>
      <c r="Z210" s="307"/>
      <c r="AA210" s="307"/>
      <c r="AB210" s="307"/>
      <c r="AC210" s="307"/>
      <c r="AD210" s="307"/>
    </row>
    <row r="211" ht="15.75" customHeight="1">
      <c r="A211" s="306"/>
      <c r="B211" s="306"/>
      <c r="C211" s="306"/>
      <c r="D211" s="306"/>
      <c r="E211" s="306"/>
      <c r="F211" s="306"/>
      <c r="G211" s="306"/>
      <c r="H211" s="306"/>
      <c r="I211" s="306"/>
      <c r="J211" s="306"/>
      <c r="K211" s="306"/>
      <c r="L211" s="307"/>
      <c r="M211" s="307"/>
      <c r="N211" s="307"/>
      <c r="O211" s="307"/>
      <c r="P211" s="307"/>
      <c r="Q211" s="307"/>
      <c r="R211" s="307"/>
      <c r="S211" s="307"/>
      <c r="T211" s="307"/>
      <c r="U211" s="307"/>
      <c r="V211" s="307"/>
      <c r="W211" s="307"/>
      <c r="X211" s="307"/>
      <c r="Y211" s="307"/>
      <c r="Z211" s="307"/>
      <c r="AA211" s="307"/>
      <c r="AB211" s="307"/>
      <c r="AC211" s="307"/>
      <c r="AD211" s="307"/>
    </row>
    <row r="212" ht="15.75" customHeight="1">
      <c r="A212" s="306"/>
      <c r="B212" s="306"/>
      <c r="C212" s="306"/>
      <c r="D212" s="306"/>
      <c r="E212" s="306"/>
      <c r="F212" s="306"/>
      <c r="G212" s="306"/>
      <c r="H212" s="306"/>
      <c r="I212" s="306"/>
      <c r="J212" s="306"/>
      <c r="K212" s="306"/>
      <c r="L212" s="307"/>
      <c r="M212" s="307"/>
      <c r="N212" s="307"/>
      <c r="O212" s="307"/>
      <c r="P212" s="307"/>
      <c r="Q212" s="307"/>
      <c r="R212" s="307"/>
      <c r="S212" s="307"/>
      <c r="T212" s="307"/>
      <c r="U212" s="307"/>
      <c r="V212" s="307"/>
      <c r="W212" s="307"/>
      <c r="X212" s="307"/>
      <c r="Y212" s="307"/>
      <c r="Z212" s="307"/>
      <c r="AA212" s="307"/>
      <c r="AB212" s="307"/>
      <c r="AC212" s="307"/>
      <c r="AD212" s="307"/>
    </row>
    <row r="213" ht="15.75" customHeight="1">
      <c r="A213" s="306"/>
      <c r="B213" s="306"/>
      <c r="C213" s="306"/>
      <c r="D213" s="306"/>
      <c r="E213" s="306"/>
      <c r="F213" s="306"/>
      <c r="G213" s="306"/>
      <c r="H213" s="306"/>
      <c r="I213" s="306"/>
      <c r="J213" s="306"/>
      <c r="K213" s="306"/>
      <c r="L213" s="307"/>
      <c r="M213" s="307"/>
      <c r="N213" s="307"/>
      <c r="O213" s="307"/>
      <c r="P213" s="307"/>
      <c r="Q213" s="307"/>
      <c r="R213" s="307"/>
      <c r="S213" s="307"/>
      <c r="T213" s="307"/>
      <c r="U213" s="307"/>
      <c r="V213" s="307"/>
      <c r="W213" s="307"/>
      <c r="X213" s="307"/>
      <c r="Y213" s="307"/>
      <c r="Z213" s="307"/>
      <c r="AA213" s="307"/>
      <c r="AB213" s="307"/>
      <c r="AC213" s="307"/>
      <c r="AD213" s="307"/>
    </row>
    <row r="214" ht="15.75" customHeight="1">
      <c r="A214" s="306"/>
      <c r="B214" s="306"/>
      <c r="C214" s="306"/>
      <c r="D214" s="306"/>
      <c r="E214" s="306"/>
      <c r="F214" s="306"/>
      <c r="G214" s="306"/>
      <c r="H214" s="306"/>
      <c r="I214" s="306"/>
      <c r="J214" s="306"/>
      <c r="K214" s="306"/>
      <c r="L214" s="307"/>
      <c r="M214" s="307"/>
      <c r="N214" s="307"/>
      <c r="O214" s="307"/>
      <c r="P214" s="307"/>
      <c r="Q214" s="307"/>
      <c r="R214" s="307"/>
      <c r="S214" s="307"/>
      <c r="T214" s="307"/>
      <c r="U214" s="307"/>
      <c r="V214" s="307"/>
      <c r="W214" s="307"/>
      <c r="X214" s="307"/>
      <c r="Y214" s="307"/>
      <c r="Z214" s="307"/>
      <c r="AA214" s="307"/>
      <c r="AB214" s="307"/>
      <c r="AC214" s="307"/>
      <c r="AD214" s="307"/>
    </row>
    <row r="215" ht="15.75" customHeight="1">
      <c r="A215" s="306"/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7"/>
      <c r="M215" s="307"/>
      <c r="N215" s="307"/>
      <c r="O215" s="307"/>
      <c r="P215" s="307"/>
      <c r="Q215" s="307"/>
      <c r="R215" s="307"/>
      <c r="S215" s="307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</row>
    <row r="216" ht="15.75" customHeight="1">
      <c r="A216" s="306"/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7"/>
      <c r="M216" s="307"/>
      <c r="N216" s="307"/>
      <c r="O216" s="307"/>
      <c r="P216" s="307"/>
      <c r="Q216" s="307"/>
      <c r="R216" s="307"/>
      <c r="S216" s="30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</row>
    <row r="217" ht="15.75" customHeight="1">
      <c r="A217" s="306"/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7"/>
      <c r="M217" s="307"/>
      <c r="N217" s="307"/>
      <c r="O217" s="307"/>
      <c r="P217" s="307"/>
      <c r="Q217" s="307"/>
      <c r="R217" s="307"/>
      <c r="S217" s="307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</row>
    <row r="218" ht="15.75" customHeight="1">
      <c r="A218" s="306"/>
      <c r="B218" s="306"/>
      <c r="C218" s="306"/>
      <c r="D218" s="306"/>
      <c r="E218" s="306"/>
      <c r="F218" s="306"/>
      <c r="G218" s="306"/>
      <c r="H218" s="306"/>
      <c r="I218" s="306"/>
      <c r="J218" s="306"/>
      <c r="K218" s="306"/>
      <c r="L218" s="307"/>
      <c r="M218" s="307"/>
      <c r="N218" s="307"/>
      <c r="O218" s="307"/>
      <c r="P218" s="307"/>
      <c r="Q218" s="307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  <c r="AC218" s="307"/>
      <c r="AD218" s="307"/>
    </row>
    <row r="219" ht="15.75" customHeight="1">
      <c r="A219" s="306"/>
      <c r="B219" s="306"/>
      <c r="C219" s="306"/>
      <c r="D219" s="306"/>
      <c r="E219" s="306"/>
      <c r="F219" s="306"/>
      <c r="G219" s="306"/>
      <c r="H219" s="306"/>
      <c r="I219" s="306"/>
      <c r="J219" s="306"/>
      <c r="K219" s="306"/>
      <c r="L219" s="307"/>
      <c r="M219" s="307"/>
      <c r="N219" s="307"/>
      <c r="O219" s="307"/>
      <c r="P219" s="307"/>
      <c r="Q219" s="307"/>
      <c r="R219" s="307"/>
      <c r="S219" s="307"/>
      <c r="T219" s="307"/>
      <c r="U219" s="307"/>
      <c r="V219" s="307"/>
      <c r="W219" s="307"/>
      <c r="X219" s="307"/>
      <c r="Y219" s="307"/>
      <c r="Z219" s="307"/>
      <c r="AA219" s="307"/>
      <c r="AB219" s="307"/>
      <c r="AC219" s="307"/>
      <c r="AD219" s="307"/>
    </row>
    <row r="220" ht="15.75" customHeight="1">
      <c r="A220" s="306"/>
      <c r="B220" s="306"/>
      <c r="C220" s="306"/>
      <c r="D220" s="306"/>
      <c r="E220" s="306"/>
      <c r="F220" s="306"/>
      <c r="G220" s="306"/>
      <c r="H220" s="306"/>
      <c r="I220" s="306"/>
      <c r="J220" s="306"/>
      <c r="K220" s="306"/>
      <c r="L220" s="307"/>
      <c r="M220" s="307"/>
      <c r="N220" s="307"/>
      <c r="O220" s="307"/>
      <c r="P220" s="307"/>
      <c r="Q220" s="307"/>
      <c r="R220" s="307"/>
      <c r="S220" s="307"/>
      <c r="T220" s="307"/>
      <c r="U220" s="307"/>
      <c r="V220" s="307"/>
      <c r="W220" s="307"/>
      <c r="X220" s="307"/>
      <c r="Y220" s="307"/>
      <c r="Z220" s="307"/>
      <c r="AA220" s="307"/>
      <c r="AB220" s="307"/>
      <c r="AC220" s="307"/>
      <c r="AD220" s="307"/>
    </row>
    <row r="221" ht="15.75" customHeight="1">
      <c r="A221" s="306"/>
      <c r="B221" s="306"/>
      <c r="C221" s="306"/>
      <c r="D221" s="306"/>
      <c r="E221" s="306"/>
      <c r="F221" s="306"/>
      <c r="G221" s="306"/>
      <c r="H221" s="306"/>
      <c r="I221" s="307"/>
      <c r="J221" s="307"/>
      <c r="K221" s="307"/>
      <c r="L221" s="307"/>
      <c r="M221" s="307"/>
      <c r="N221" s="307"/>
      <c r="O221" s="307"/>
      <c r="P221" s="307"/>
      <c r="Q221" s="307"/>
      <c r="R221" s="307"/>
      <c r="S221" s="307"/>
      <c r="T221" s="307"/>
      <c r="U221" s="307"/>
      <c r="V221" s="307"/>
      <c r="W221" s="307"/>
      <c r="X221" s="307"/>
      <c r="Y221" s="307"/>
      <c r="Z221" s="307"/>
      <c r="AA221" s="307"/>
      <c r="AB221" s="307"/>
      <c r="AC221" s="307"/>
      <c r="AD221" s="307"/>
    </row>
    <row r="222" ht="15.75" customHeight="1">
      <c r="A222" s="306"/>
      <c r="B222" s="306"/>
      <c r="C222" s="306"/>
      <c r="D222" s="306"/>
      <c r="E222" s="306"/>
      <c r="F222" s="306"/>
      <c r="G222" s="306"/>
      <c r="H222" s="306"/>
      <c r="I222" s="307"/>
      <c r="J222" s="307"/>
      <c r="K222" s="307"/>
      <c r="L222" s="307"/>
      <c r="M222" s="307"/>
      <c r="N222" s="307"/>
      <c r="O222" s="307"/>
      <c r="P222" s="307"/>
      <c r="Q222" s="307"/>
      <c r="R222" s="307"/>
      <c r="S222" s="307"/>
      <c r="T222" s="307"/>
      <c r="U222" s="307"/>
      <c r="V222" s="307"/>
      <c r="W222" s="307"/>
      <c r="X222" s="307"/>
      <c r="Y222" s="307"/>
      <c r="Z222" s="307"/>
      <c r="AA222" s="307"/>
      <c r="AB222" s="307"/>
      <c r="AC222" s="307"/>
      <c r="AD222" s="307"/>
    </row>
    <row r="223" ht="15.75" customHeight="1">
      <c r="A223" s="306"/>
      <c r="B223" s="306"/>
      <c r="C223" s="306"/>
      <c r="D223" s="306"/>
      <c r="E223" s="306"/>
      <c r="F223" s="306"/>
      <c r="G223" s="306"/>
      <c r="H223" s="306"/>
      <c r="I223" s="307"/>
      <c r="J223" s="307"/>
      <c r="K223" s="307"/>
      <c r="L223" s="307"/>
      <c r="M223" s="307"/>
      <c r="N223" s="307"/>
      <c r="O223" s="307"/>
      <c r="P223" s="307"/>
      <c r="Q223" s="307"/>
      <c r="R223" s="307"/>
      <c r="S223" s="307"/>
      <c r="T223" s="307"/>
      <c r="U223" s="307"/>
      <c r="V223" s="307"/>
      <c r="W223" s="307"/>
      <c r="X223" s="307"/>
      <c r="Y223" s="307"/>
      <c r="Z223" s="307"/>
      <c r="AA223" s="307"/>
      <c r="AB223" s="307"/>
      <c r="AC223" s="307"/>
      <c r="AD223" s="307"/>
    </row>
    <row r="224" ht="15.75" customHeight="1">
      <c r="A224" s="306"/>
      <c r="B224" s="306"/>
      <c r="C224" s="306"/>
      <c r="D224" s="306"/>
      <c r="E224" s="306"/>
      <c r="F224" s="306"/>
      <c r="G224" s="306"/>
      <c r="H224" s="306"/>
      <c r="I224" s="307"/>
      <c r="J224" s="307"/>
      <c r="K224" s="307"/>
      <c r="L224" s="307"/>
      <c r="M224" s="307"/>
      <c r="N224" s="307"/>
      <c r="O224" s="307"/>
      <c r="P224" s="307"/>
      <c r="Q224" s="307"/>
      <c r="R224" s="307"/>
      <c r="S224" s="307"/>
      <c r="T224" s="307"/>
      <c r="U224" s="307"/>
      <c r="V224" s="307"/>
      <c r="W224" s="307"/>
      <c r="X224" s="307"/>
      <c r="Y224" s="307"/>
      <c r="Z224" s="307"/>
      <c r="AA224" s="307"/>
      <c r="AB224" s="307"/>
      <c r="AC224" s="307"/>
      <c r="AD224" s="307"/>
    </row>
    <row r="225" ht="15.75" customHeight="1">
      <c r="A225" s="306"/>
      <c r="B225" s="306"/>
      <c r="C225" s="306"/>
      <c r="D225" s="306"/>
      <c r="E225" s="306"/>
      <c r="F225" s="306"/>
      <c r="G225" s="306"/>
      <c r="H225" s="306"/>
      <c r="I225" s="307"/>
      <c r="J225" s="307"/>
      <c r="K225" s="307"/>
      <c r="L225" s="307"/>
      <c r="M225" s="307"/>
      <c r="N225" s="307"/>
      <c r="O225" s="307"/>
      <c r="P225" s="307"/>
      <c r="Q225" s="307"/>
      <c r="R225" s="307"/>
      <c r="S225" s="307"/>
      <c r="T225" s="307"/>
      <c r="U225" s="307"/>
      <c r="V225" s="307"/>
      <c r="W225" s="307"/>
      <c r="X225" s="307"/>
      <c r="Y225" s="307"/>
      <c r="Z225" s="307"/>
      <c r="AA225" s="307"/>
      <c r="AB225" s="307"/>
      <c r="AC225" s="307"/>
      <c r="AD225" s="307"/>
    </row>
    <row r="226" ht="15.75" customHeight="1">
      <c r="A226" s="306"/>
      <c r="B226" s="306"/>
      <c r="C226" s="306"/>
      <c r="D226" s="306"/>
      <c r="E226" s="306"/>
      <c r="F226" s="306"/>
      <c r="G226" s="306"/>
      <c r="H226" s="306"/>
      <c r="I226" s="307"/>
      <c r="J226" s="307"/>
      <c r="K226" s="307"/>
      <c r="L226" s="307"/>
      <c r="M226" s="307"/>
      <c r="N226" s="307"/>
      <c r="O226" s="307"/>
      <c r="P226" s="307"/>
      <c r="Q226" s="307"/>
      <c r="R226" s="307"/>
      <c r="S226" s="307"/>
      <c r="T226" s="307"/>
      <c r="U226" s="307"/>
      <c r="V226" s="307"/>
      <c r="W226" s="307"/>
      <c r="X226" s="307"/>
      <c r="Y226" s="307"/>
      <c r="Z226" s="307"/>
      <c r="AA226" s="307"/>
      <c r="AB226" s="307"/>
      <c r="AC226" s="307"/>
      <c r="AD226" s="307"/>
    </row>
    <row r="227" ht="15.75" customHeight="1">
      <c r="A227" s="306"/>
      <c r="B227" s="306"/>
      <c r="C227" s="306"/>
      <c r="D227" s="306"/>
      <c r="E227" s="306"/>
      <c r="F227" s="306"/>
      <c r="G227" s="306"/>
      <c r="H227" s="306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307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</row>
    <row r="228" ht="15.75" customHeight="1">
      <c r="A228" s="306"/>
      <c r="B228" s="306"/>
      <c r="C228" s="306"/>
      <c r="D228" s="306"/>
      <c r="E228" s="306"/>
      <c r="F228" s="306"/>
      <c r="G228" s="306"/>
      <c r="H228" s="306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307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</row>
    <row r="229" ht="15.75" customHeight="1">
      <c r="A229" s="306"/>
      <c r="B229" s="306"/>
      <c r="C229" s="306"/>
      <c r="D229" s="306"/>
      <c r="E229" s="306"/>
      <c r="F229" s="306"/>
      <c r="G229" s="306"/>
      <c r="H229" s="306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307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</row>
    <row r="230" ht="15.75" customHeight="1">
      <c r="A230" s="306"/>
      <c r="B230" s="306"/>
      <c r="C230" s="306"/>
      <c r="D230" s="306"/>
      <c r="E230" s="306"/>
      <c r="F230" s="306"/>
      <c r="G230" s="306"/>
      <c r="H230" s="306"/>
      <c r="I230" s="307"/>
      <c r="J230" s="307"/>
      <c r="K230" s="307"/>
      <c r="L230" s="307"/>
      <c r="M230" s="307"/>
      <c r="N230" s="307"/>
      <c r="O230" s="307"/>
      <c r="P230" s="307"/>
      <c r="Q230" s="307"/>
      <c r="R230" s="307"/>
      <c r="S230" s="307"/>
      <c r="T230" s="307"/>
      <c r="U230" s="307"/>
      <c r="V230" s="307"/>
      <c r="W230" s="307"/>
      <c r="X230" s="307"/>
      <c r="Y230" s="307"/>
      <c r="Z230" s="307"/>
      <c r="AA230" s="307"/>
      <c r="AB230" s="307"/>
      <c r="AC230" s="307"/>
      <c r="AD230" s="307"/>
    </row>
    <row r="231" ht="15.75" customHeight="1">
      <c r="A231" s="306"/>
      <c r="B231" s="306"/>
      <c r="C231" s="306"/>
      <c r="D231" s="306"/>
      <c r="E231" s="306"/>
      <c r="F231" s="306"/>
      <c r="G231" s="306"/>
      <c r="H231" s="306"/>
      <c r="I231" s="307"/>
      <c r="J231" s="307"/>
      <c r="K231" s="307"/>
      <c r="L231" s="307"/>
      <c r="M231" s="307"/>
      <c r="N231" s="307"/>
      <c r="O231" s="307"/>
      <c r="P231" s="307"/>
      <c r="Q231" s="307"/>
      <c r="R231" s="307"/>
      <c r="S231" s="307"/>
      <c r="T231" s="307"/>
      <c r="U231" s="307"/>
      <c r="V231" s="307"/>
      <c r="W231" s="307"/>
      <c r="X231" s="307"/>
      <c r="Y231" s="307"/>
      <c r="Z231" s="307"/>
      <c r="AA231" s="307"/>
      <c r="AB231" s="307"/>
      <c r="AC231" s="307"/>
      <c r="AD231" s="307"/>
    </row>
    <row r="232" ht="15.75" customHeight="1">
      <c r="A232" s="306"/>
      <c r="B232" s="306"/>
      <c r="C232" s="306"/>
      <c r="D232" s="306"/>
      <c r="E232" s="306"/>
      <c r="F232" s="306"/>
      <c r="G232" s="306"/>
      <c r="H232" s="306"/>
      <c r="I232" s="307"/>
      <c r="J232" s="307"/>
      <c r="K232" s="307"/>
      <c r="L232" s="307"/>
      <c r="M232" s="307"/>
      <c r="N232" s="307"/>
      <c r="O232" s="307"/>
      <c r="P232" s="307"/>
      <c r="Q232" s="307"/>
      <c r="R232" s="307"/>
      <c r="S232" s="307"/>
      <c r="T232" s="307"/>
      <c r="U232" s="307"/>
      <c r="V232" s="307"/>
      <c r="W232" s="307"/>
      <c r="X232" s="307"/>
      <c r="Y232" s="307"/>
      <c r="Z232" s="307"/>
      <c r="AA232" s="307"/>
      <c r="AB232" s="307"/>
      <c r="AC232" s="307"/>
      <c r="AD232" s="307"/>
    </row>
    <row r="233" ht="15.75" customHeight="1">
      <c r="A233" s="306"/>
      <c r="B233" s="306"/>
      <c r="C233" s="306"/>
      <c r="D233" s="306"/>
      <c r="E233" s="306"/>
      <c r="F233" s="306"/>
      <c r="G233" s="306"/>
      <c r="H233" s="306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307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</row>
    <row r="234" ht="15.75" customHeight="1">
      <c r="A234" s="306"/>
      <c r="B234" s="306"/>
      <c r="C234" s="306"/>
      <c r="D234" s="306"/>
      <c r="E234" s="306"/>
      <c r="F234" s="306"/>
      <c r="G234" s="306"/>
      <c r="H234" s="306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307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</row>
    <row r="235" ht="15.75" customHeight="1">
      <c r="A235" s="306"/>
      <c r="B235" s="306"/>
      <c r="C235" s="306"/>
      <c r="D235" s="306"/>
      <c r="E235" s="306"/>
      <c r="F235" s="306"/>
      <c r="G235" s="306"/>
      <c r="H235" s="306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307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</row>
    <row r="236" ht="15.75" customHeight="1">
      <c r="A236" s="306"/>
      <c r="B236" s="306"/>
      <c r="C236" s="306"/>
      <c r="D236" s="306"/>
      <c r="E236" s="306"/>
      <c r="F236" s="306"/>
      <c r="G236" s="306"/>
      <c r="H236" s="306"/>
      <c r="I236" s="307"/>
      <c r="J236" s="307"/>
      <c r="K236" s="307"/>
      <c r="L236" s="307"/>
      <c r="M236" s="307"/>
      <c r="N236" s="307"/>
      <c r="O236" s="307"/>
      <c r="P236" s="307"/>
      <c r="Q236" s="307"/>
      <c r="R236" s="307"/>
      <c r="S236" s="307"/>
      <c r="T236" s="307"/>
      <c r="U236" s="307"/>
      <c r="V236" s="307"/>
      <c r="W236" s="307"/>
      <c r="X236" s="307"/>
      <c r="Y236" s="307"/>
      <c r="Z236" s="307"/>
      <c r="AA236" s="307"/>
      <c r="AB236" s="307"/>
      <c r="AC236" s="307"/>
      <c r="AD236" s="307"/>
    </row>
    <row r="237" ht="15.75" customHeight="1">
      <c r="A237" s="306"/>
      <c r="B237" s="306"/>
      <c r="C237" s="306"/>
      <c r="D237" s="306"/>
      <c r="E237" s="306"/>
      <c r="F237" s="306"/>
      <c r="G237" s="306"/>
      <c r="H237" s="306"/>
      <c r="I237" s="307"/>
      <c r="J237" s="307"/>
      <c r="K237" s="307"/>
      <c r="L237" s="307"/>
      <c r="M237" s="307"/>
      <c r="N237" s="307"/>
      <c r="O237" s="307"/>
      <c r="P237" s="307"/>
      <c r="Q237" s="307"/>
      <c r="R237" s="307"/>
      <c r="S237" s="307"/>
      <c r="T237" s="307"/>
      <c r="U237" s="307"/>
      <c r="V237" s="307"/>
      <c r="W237" s="307"/>
      <c r="X237" s="307"/>
      <c r="Y237" s="307"/>
      <c r="Z237" s="307"/>
      <c r="AA237" s="307"/>
      <c r="AB237" s="307"/>
      <c r="AC237" s="307"/>
      <c r="AD237" s="307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mergeCells count="12">
    <mergeCell ref="N10:O10"/>
    <mergeCell ref="N14:O14"/>
    <mergeCell ref="W16:AA16"/>
    <mergeCell ref="N23:O23"/>
    <mergeCell ref="N27:O27"/>
    <mergeCell ref="H5:I5"/>
    <mergeCell ref="K5:L5"/>
    <mergeCell ref="H6:H7"/>
    <mergeCell ref="I6:I7"/>
    <mergeCell ref="K6:K7"/>
    <mergeCell ref="L6:L7"/>
    <mergeCell ref="N6:O6"/>
  </mergeCells>
  <conditionalFormatting sqref="O19:O20 P20">
    <cfRule type="containsText" dxfId="5" priority="1" operator="containsText" text="Verdade">
      <formula>NOT(ISERROR(SEARCH(("Verdade"),(O19))))</formula>
    </cfRule>
  </conditionalFormatting>
  <conditionalFormatting sqref="O19:O20 P20">
    <cfRule type="containsText" dxfId="6" priority="2" operator="containsText" text="Falso">
      <formula>NOT(ISERROR(SEARCH(("Falso"),(O19))))</formula>
    </cfRule>
  </conditionalFormatting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2" max="2" width="22.75"/>
    <col customWidth="1" min="3" max="9" width="15.13"/>
    <col customWidth="1" min="10" max="10" width="3.13"/>
    <col customWidth="1" min="11" max="12" width="15.13"/>
    <col customWidth="1" min="13" max="13" width="3.13"/>
    <col customWidth="1" min="14" max="17" width="15.13"/>
  </cols>
  <sheetData>
    <row r="1" ht="15.75" customHeight="1">
      <c r="A1" s="471"/>
      <c r="B1" s="472"/>
      <c r="C1" s="472"/>
      <c r="D1" s="472"/>
      <c r="E1" s="472"/>
      <c r="F1" s="472"/>
      <c r="G1" s="472"/>
      <c r="H1" s="472"/>
      <c r="I1" s="473"/>
      <c r="J1" s="473"/>
      <c r="K1" s="473"/>
      <c r="L1" s="472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</row>
    <row r="2" ht="15.75" customHeight="1">
      <c r="A2" s="474"/>
      <c r="B2" s="475" t="s">
        <v>381</v>
      </c>
      <c r="C2" s="475" t="s">
        <v>276</v>
      </c>
      <c r="D2" s="475" t="s">
        <v>277</v>
      </c>
      <c r="E2" s="475" t="s">
        <v>278</v>
      </c>
      <c r="F2" s="475" t="s">
        <v>279</v>
      </c>
      <c r="G2" s="475" t="s">
        <v>281</v>
      </c>
      <c r="H2" s="475" t="s">
        <v>382</v>
      </c>
      <c r="I2" s="476"/>
      <c r="J2" s="476"/>
      <c r="K2" s="477"/>
      <c r="L2" s="475" t="s">
        <v>383</v>
      </c>
      <c r="M2" s="473"/>
      <c r="N2" s="473"/>
      <c r="O2" s="473"/>
      <c r="P2" s="473"/>
      <c r="Q2" s="473"/>
      <c r="R2" s="473"/>
      <c r="S2" s="473"/>
      <c r="T2" s="473"/>
      <c r="U2" s="473"/>
      <c r="V2" s="478" t="s">
        <v>384</v>
      </c>
      <c r="W2" s="473"/>
      <c r="X2" s="473"/>
      <c r="Y2" s="473"/>
      <c r="Z2" s="473"/>
      <c r="AA2" s="473"/>
      <c r="AB2" s="473"/>
      <c r="AC2" s="473"/>
      <c r="AD2" s="473"/>
    </row>
    <row r="3" ht="15.75" customHeight="1">
      <c r="A3" s="474"/>
      <c r="B3" s="479">
        <f>Controle!$B$6</f>
        <v>45170</v>
      </c>
      <c r="C3" s="480">
        <f t="array" ref="C3">XLOOKUP($B$3,Controle!$B$11:$B$1000,Controle!C11:C1000)/1000000</f>
        <v>107.9779505</v>
      </c>
      <c r="D3" s="480">
        <f t="array" ref="D3">XLOOKUP($B$3,Controle!$B$11:$B$1000,Controle!$F$11:$F$1000)/1000000</f>
        <v>112.4338719</v>
      </c>
      <c r="E3" s="480">
        <f t="array" ref="E3">XLOOKUP($B$3,Controle!$B$11:$B$1000,Controle!$I$11:$I$1000)/1000000</f>
        <v>108.181063</v>
      </c>
      <c r="F3" s="480">
        <f t="array" ref="F3">XLOOKUP($B$3,Controle!$B$11:$B$1000,Controle!$L$11:$L$1000)/1000000</f>
        <v>103.6995054</v>
      </c>
      <c r="G3" s="481">
        <f t="array" ref="G3">XLOOKUP($B$3,Controle!$B$11:$B$1000,Controle!$R$11:$R$1000)</f>
        <v>105.7998301</v>
      </c>
      <c r="H3" s="481">
        <f t="array" ref="H3">XLOOKUP($B$3,Controle!$B$11:$B$1000,Controle!$T$11:$T$1000)/4000000</f>
        <v>108.0730977</v>
      </c>
      <c r="I3" s="386"/>
      <c r="J3" s="482"/>
      <c r="K3" s="483" t="s">
        <v>385</v>
      </c>
      <c r="L3" s="344">
        <f>$I$32</f>
        <v>0.003159299013</v>
      </c>
      <c r="M3" s="386"/>
      <c r="N3" s="348"/>
      <c r="O3" s="386"/>
      <c r="P3" s="386"/>
      <c r="Q3" s="386"/>
      <c r="R3" s="386"/>
      <c r="S3" s="386"/>
      <c r="T3" s="386"/>
      <c r="U3" s="386"/>
      <c r="V3" s="344">
        <f>G3/100-1</f>
        <v>0.05799830136</v>
      </c>
      <c r="W3" s="386"/>
      <c r="X3" s="386"/>
      <c r="Y3" s="386"/>
      <c r="Z3" s="386"/>
      <c r="AA3" s="386"/>
      <c r="AB3" s="386"/>
      <c r="AC3" s="386"/>
      <c r="AD3" s="386"/>
    </row>
    <row r="4" ht="15.75" customHeight="1">
      <c r="A4" s="473"/>
      <c r="B4" s="386"/>
      <c r="C4" s="386"/>
      <c r="D4" s="386"/>
      <c r="E4" s="386"/>
      <c r="F4" s="386"/>
      <c r="G4" s="386"/>
      <c r="H4" s="386"/>
      <c r="I4" s="386"/>
      <c r="J4" s="482"/>
      <c r="K4" s="483" t="s">
        <v>386</v>
      </c>
      <c r="L4" s="344">
        <f>H3/100-1</f>
        <v>0.08073097699</v>
      </c>
      <c r="M4" s="386"/>
      <c r="N4" s="386"/>
      <c r="O4" s="386"/>
      <c r="P4" s="386"/>
      <c r="Q4" s="386"/>
      <c r="R4" s="386"/>
      <c r="S4" s="386"/>
      <c r="T4" s="386"/>
      <c r="U4" s="386"/>
      <c r="V4" s="386"/>
      <c r="W4" s="386"/>
      <c r="X4" s="386"/>
      <c r="Y4" s="386"/>
      <c r="Z4" s="386"/>
      <c r="AA4" s="386"/>
      <c r="AB4" s="386"/>
      <c r="AC4" s="386"/>
      <c r="AD4" s="386"/>
    </row>
    <row r="5" ht="15.75" customHeight="1">
      <c r="A5" s="473"/>
      <c r="B5" s="386"/>
      <c r="C5" s="386"/>
      <c r="D5" s="386"/>
      <c r="E5" s="386"/>
      <c r="F5" s="386"/>
      <c r="G5" s="386"/>
      <c r="H5" s="386"/>
      <c r="I5" s="484"/>
      <c r="J5" s="386"/>
      <c r="K5" s="386"/>
      <c r="L5" s="412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  <c r="AA5" s="386"/>
      <c r="AB5" s="386"/>
      <c r="AC5" s="386"/>
      <c r="AD5" s="386"/>
    </row>
    <row r="6" ht="15.75" customHeight="1">
      <c r="A6" s="473"/>
      <c r="B6" s="412"/>
      <c r="C6" s="412"/>
      <c r="D6" s="412"/>
      <c r="E6" s="412"/>
      <c r="F6" s="412"/>
      <c r="G6" s="412"/>
      <c r="H6" s="485"/>
      <c r="I6" s="412"/>
      <c r="J6" s="386"/>
      <c r="K6" s="384"/>
      <c r="L6" s="475" t="s">
        <v>359</v>
      </c>
      <c r="M6" s="386"/>
      <c r="N6" s="386"/>
      <c r="O6" s="386"/>
      <c r="P6" s="386"/>
      <c r="Q6" s="386"/>
      <c r="R6" s="386"/>
      <c r="S6" s="386"/>
      <c r="T6" s="386"/>
      <c r="U6" s="386"/>
      <c r="V6" s="386"/>
      <c r="W6" s="386"/>
      <c r="X6" s="386"/>
      <c r="Y6" s="386"/>
      <c r="Z6" s="386"/>
      <c r="AA6" s="386"/>
      <c r="AB6" s="386"/>
      <c r="AC6" s="386"/>
      <c r="AD6" s="386"/>
    </row>
    <row r="7" ht="15.75" customHeight="1">
      <c r="A7" s="474"/>
      <c r="B7" s="414" t="s">
        <v>182</v>
      </c>
      <c r="C7" s="486" t="str">
        <f t="shared" ref="C7:E7" si="1">C2</f>
        <v>Cota Endor</v>
      </c>
      <c r="D7" s="486" t="str">
        <f t="shared" si="1"/>
        <v>Cota Polaris</v>
      </c>
      <c r="E7" s="486" t="str">
        <f t="shared" si="1"/>
        <v>Cota Vega</v>
      </c>
      <c r="F7" s="486" t="s">
        <v>279</v>
      </c>
      <c r="G7" s="486" t="s">
        <v>281</v>
      </c>
      <c r="H7" s="486" t="str">
        <f>H2</f>
        <v>Cota Sirius</v>
      </c>
      <c r="I7" s="486" t="s">
        <v>317</v>
      </c>
      <c r="J7" s="482"/>
      <c r="K7" s="483" t="s">
        <v>366</v>
      </c>
      <c r="L7" s="344">
        <f>STDEV(Controle!$W$16:$W$242)</f>
        <v>0.002201475302</v>
      </c>
      <c r="M7" s="386"/>
      <c r="N7" s="386"/>
      <c r="O7" s="386"/>
      <c r="P7" s="386"/>
      <c r="Q7" s="386"/>
      <c r="R7" s="386"/>
      <c r="S7" s="386"/>
      <c r="T7" s="386"/>
      <c r="U7" s="386"/>
      <c r="V7" s="386"/>
      <c r="W7" s="386"/>
      <c r="X7" s="386"/>
      <c r="Y7" s="386"/>
      <c r="Z7" s="386"/>
      <c r="AA7" s="386"/>
      <c r="AB7" s="386"/>
      <c r="AC7" s="386"/>
      <c r="AD7" s="386"/>
    </row>
    <row r="8" ht="15.75" customHeight="1">
      <c r="A8" s="474"/>
      <c r="B8" s="487">
        <f>WORKDAY(B9,-1,Feriados!A:A)</f>
        <v>45138</v>
      </c>
      <c r="C8" s="488">
        <f t="array" ref="C8">iferror(XLOOKUP(B8,Controle!$B$11:$B$1000,Controle!$C$11:$C$1000)/1000000,"")</f>
        <v>103.3458284</v>
      </c>
      <c r="D8" s="488">
        <f t="array" ref="D8">iferror(XLOOKUP(B8,Controle!$B$11:$B$1000,Controle!$F$11:$F$1000)/1000000,"")</f>
        <v>111.2030778</v>
      </c>
      <c r="E8" s="488">
        <f t="array" ref="E8">iferror(XLOOKUP(B8,Controle!$B$11:$B$1000,Controle!$I$11:$I$1000)/1000000,"")</f>
        <v>109.1448132</v>
      </c>
      <c r="F8" s="488">
        <f t="array" ref="F8">iferror(XLOOKUP(B8,Controle!$B$11:$B$1000,Controle!$L$11:$L$1000)/1000000,"")</f>
        <v>107.6513234</v>
      </c>
      <c r="G8" s="489">
        <f t="array" ref="G8">iferror(XLOOKUP(B8,Controle!$B$11:$B$1000,Controle!$R$11:$R$1000),"")</f>
        <v>104.5622846</v>
      </c>
      <c r="H8" s="489">
        <f t="array" ref="H8">iferror(XLOOKUP(B8,Controle!$B$11:$B$1000,Controle!$T$11:$T$1000)/4000000,"")</f>
        <v>107.8362607</v>
      </c>
      <c r="I8" s="489"/>
      <c r="J8" s="482"/>
      <c r="K8" s="483" t="s">
        <v>368</v>
      </c>
      <c r="L8" s="344">
        <f>L7*(252^0.5)</f>
        <v>0.034947337</v>
      </c>
      <c r="M8" s="386"/>
      <c r="N8" s="386"/>
      <c r="O8" s="386"/>
      <c r="P8" s="386"/>
      <c r="Q8" s="386"/>
      <c r="R8" s="386"/>
      <c r="S8" s="386"/>
      <c r="T8" s="386"/>
      <c r="U8" s="386"/>
      <c r="V8" s="386"/>
      <c r="W8" s="386"/>
      <c r="X8" s="386"/>
      <c r="Y8" s="386"/>
      <c r="Z8" s="386"/>
      <c r="AA8" s="386"/>
      <c r="AB8" s="386"/>
      <c r="AC8" s="386"/>
      <c r="AD8" s="386"/>
    </row>
    <row r="9" ht="15.75" customHeight="1">
      <c r="A9" s="474"/>
      <c r="B9" s="490">
        <f>WORKDAY(B10,-1,Feriados!A:A)</f>
        <v>45139</v>
      </c>
      <c r="C9" s="491">
        <f t="array" ref="C9">iferror(XLOOKUP(B9,Controle!$B$11:$B$1000,Controle!$C$11:$C$1000)/1000000,"")</f>
        <v>104.1443228</v>
      </c>
      <c r="D9" s="491">
        <f t="array" ref="D9">iferror(XLOOKUP(B9,Controle!$B$11:$B$1000,Controle!$F$11:$F$1000)/1000000,"")</f>
        <v>111.3035874</v>
      </c>
      <c r="E9" s="491">
        <f t="array" ref="E9">iferror(XLOOKUP(B9,Controle!$B$11:$B$1000,Controle!$I$11:$I$1000)/1000000,"")</f>
        <v>109.1401273</v>
      </c>
      <c r="F9" s="491">
        <f t="array" ref="F9">iferror(XLOOKUP(B9,Controle!$B$11:$B$1000,Controle!$L$11:$L$1000)/1000000,"")</f>
        <v>107.8639391</v>
      </c>
      <c r="G9" s="492">
        <f t="array" ref="G9">iferror(XLOOKUP(B9,Controle!$B$11:$B$1000,Controle!$R$11:$R$1000),"")</f>
        <v>104.6135588</v>
      </c>
      <c r="H9" s="492">
        <f t="array" ref="H9">iferror(XLOOKUP(B9,Controle!$B$11:$B$1000,Controle!$T$11:$T$1000)/4000000,"")</f>
        <v>108.1129941</v>
      </c>
      <c r="I9" s="493">
        <f t="shared" ref="I9:I32" si="2">iferror(H9/H8-1,"")</f>
        <v>0.002566237303</v>
      </c>
      <c r="J9" s="386"/>
      <c r="K9" s="386"/>
      <c r="L9" s="412"/>
      <c r="M9" s="386"/>
      <c r="N9" s="386"/>
      <c r="O9" s="386"/>
      <c r="P9" s="386"/>
      <c r="Q9" s="386"/>
      <c r="R9" s="386"/>
      <c r="S9" s="386"/>
      <c r="T9" s="386"/>
      <c r="U9" s="386"/>
      <c r="V9" s="386"/>
      <c r="W9" s="386"/>
      <c r="X9" s="386"/>
      <c r="Y9" s="386"/>
      <c r="Z9" s="386"/>
      <c r="AA9" s="386"/>
      <c r="AB9" s="386"/>
      <c r="AC9" s="386"/>
      <c r="AD9" s="386"/>
    </row>
    <row r="10" ht="15.75" customHeight="1">
      <c r="A10" s="474"/>
      <c r="B10" s="487">
        <f>WORKDAY(B11,-1,Feriados!A:A)</f>
        <v>45140</v>
      </c>
      <c r="C10" s="488">
        <f t="array" ref="C10">iferror(XLOOKUP(B10,Controle!$B$11:$B$1000,Controle!$C$11:$C$1000)/1000000,"")</f>
        <v>104.3572843</v>
      </c>
      <c r="D10" s="488">
        <f t="array" ref="D10">iferror(XLOOKUP(B10,Controle!$B$11:$B$1000,Controle!$F$11:$F$1000)/1000000,"")</f>
        <v>111.1917939</v>
      </c>
      <c r="E10" s="488">
        <f t="array" ref="E10">iferror(XLOOKUP(B10,Controle!$B$11:$B$1000,Controle!$I$11:$I$1000)/1000000,"")</f>
        <v>108.8395439</v>
      </c>
      <c r="F10" s="488">
        <f t="array" ref="F10">iferror(XLOOKUP(B10,Controle!$B$11:$B$1000,Controle!$L$11:$L$1000)/1000000,"")</f>
        <v>107.7684581</v>
      </c>
      <c r="G10" s="489">
        <f t="array" ref="G10">iferror(XLOOKUP(B10,Controle!$B$11:$B$1000,Controle!$R$11:$R$1000),"")</f>
        <v>104.6648581</v>
      </c>
      <c r="H10" s="489">
        <f t="array" ref="H10">iferror(XLOOKUP(B10,Controle!$B$11:$B$1000,Controle!$T$11:$T$1000)/4000000,"")</f>
        <v>108.03927</v>
      </c>
      <c r="I10" s="494">
        <f t="shared" si="2"/>
        <v>-0.0006819171277</v>
      </c>
      <c r="J10" s="386"/>
      <c r="K10" s="384"/>
      <c r="L10" s="475" t="s">
        <v>371</v>
      </c>
      <c r="M10" s="386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386"/>
      <c r="AA10" s="386"/>
      <c r="AB10" s="386"/>
      <c r="AC10" s="386"/>
      <c r="AD10" s="386"/>
    </row>
    <row r="11" ht="15.75" customHeight="1">
      <c r="A11" s="474"/>
      <c r="B11" s="490">
        <f>WORKDAY(B12,-1,Feriados!A:A)</f>
        <v>45141</v>
      </c>
      <c r="C11" s="491">
        <f t="array" ref="C11">iferror(XLOOKUP(B11,Controle!$B$11:$B$1000,Controle!$C$11:$C$1000)/1000000,"")</f>
        <v>105.3076038</v>
      </c>
      <c r="D11" s="491">
        <f t="array" ref="D11">iferror(XLOOKUP(B11,Controle!$B$11:$B$1000,Controle!$F$11:$F$1000)/1000000,"")</f>
        <v>111.1088309</v>
      </c>
      <c r="E11" s="491">
        <f t="array" ref="E11">iferror(XLOOKUP(B11,Controle!$B$11:$B$1000,Controle!$I$11:$I$1000)/1000000,"")</f>
        <v>108.8410058</v>
      </c>
      <c r="F11" s="491">
        <f t="array" ref="F11">iferror(XLOOKUP(B11,Controle!$B$11:$B$1000,Controle!$L$11:$L$1000)/1000000,"")</f>
        <v>107.185649</v>
      </c>
      <c r="G11" s="492">
        <f t="array" ref="G11">iferror(XLOOKUP(B11,Controle!$B$11:$B$1000,Controle!$R$11:$R$1000),"")</f>
        <v>104.7161826</v>
      </c>
      <c r="H11" s="492">
        <f t="array" ref="H11">iferror(XLOOKUP(B11,Controle!$B$11:$B$1000,Controle!$T$11:$T$1000)/4000000,"")</f>
        <v>108.1107724</v>
      </c>
      <c r="I11" s="493">
        <f t="shared" si="2"/>
        <v>0.000661818021</v>
      </c>
      <c r="J11" s="482"/>
      <c r="K11" s="495">
        <v>0.95</v>
      </c>
      <c r="L11" s="344">
        <f>percentile(Controle!$W$11:$W$1000,0.05)</f>
        <v>-0.002606141358</v>
      </c>
      <c r="M11" s="386"/>
      <c r="N11" s="386"/>
      <c r="O11" s="386"/>
      <c r="P11" s="386"/>
      <c r="Q11" s="386"/>
      <c r="R11" s="386"/>
      <c r="S11" s="386"/>
      <c r="T11" s="386"/>
      <c r="U11" s="386"/>
      <c r="V11" s="386"/>
      <c r="W11" s="386"/>
      <c r="X11" s="386"/>
      <c r="Y11" s="386"/>
      <c r="Z11" s="386"/>
      <c r="AA11" s="386"/>
      <c r="AB11" s="386"/>
      <c r="AC11" s="386"/>
      <c r="AD11" s="386"/>
    </row>
    <row r="12" ht="15.75" customHeight="1">
      <c r="A12" s="474"/>
      <c r="B12" s="487">
        <f>WORKDAY(B13,-1,Feriados!A:A)</f>
        <v>45142</v>
      </c>
      <c r="C12" s="488">
        <f t="array" ref="C12">iferror(XLOOKUP(B12,Controle!$B$11:$B$1000,Controle!$C$11:$C$1000)/1000000,"")</f>
        <v>105.2149133</v>
      </c>
      <c r="D12" s="488">
        <f t="array" ref="D12">iferror(XLOOKUP(B12,Controle!$B$11:$B$1000,Controle!$F$11:$F$1000)/1000000,"")</f>
        <v>111.150438</v>
      </c>
      <c r="E12" s="488">
        <f t="array" ref="E12">iferror(XLOOKUP(B12,Controle!$B$11:$B$1000,Controle!$I$11:$I$1000)/1000000,"")</f>
        <v>109.1553931</v>
      </c>
      <c r="F12" s="488">
        <f t="array" ref="F12">iferror(XLOOKUP(B12,Controle!$B$11:$B$1000,Controle!$L$11:$L$1000)/1000000,"")</f>
        <v>107.6922544</v>
      </c>
      <c r="G12" s="489">
        <f t="array" ref="G12">iferror(XLOOKUP(B12,Controle!$B$11:$B$1000,Controle!$R$11:$R$1000),"")</f>
        <v>104.7675323</v>
      </c>
      <c r="H12" s="489">
        <f t="array" ref="H12">iferror(XLOOKUP(B12,Controle!$B$11:$B$1000,Controle!$T$11:$T$1000)/4000000,"")</f>
        <v>108.3032497</v>
      </c>
      <c r="I12" s="494">
        <f t="shared" si="2"/>
        <v>0.001780371287</v>
      </c>
      <c r="J12" s="482"/>
      <c r="K12" s="495">
        <v>0.99</v>
      </c>
      <c r="L12" s="344">
        <f>percentile(Controle!$W$11:$W$1000,0.01)</f>
        <v>-0.003254851205</v>
      </c>
      <c r="M12" s="386"/>
      <c r="N12" s="386"/>
      <c r="O12" s="386"/>
      <c r="P12" s="386"/>
      <c r="Q12" s="386"/>
      <c r="R12" s="386"/>
      <c r="S12" s="386"/>
      <c r="T12" s="386"/>
      <c r="U12" s="386"/>
      <c r="V12" s="386"/>
      <c r="W12" s="386"/>
      <c r="X12" s="386"/>
      <c r="Y12" s="386"/>
      <c r="Z12" s="386"/>
      <c r="AA12" s="386"/>
      <c r="AB12" s="386"/>
      <c r="AC12" s="386"/>
      <c r="AD12" s="386"/>
    </row>
    <row r="13" ht="15.75" customHeight="1">
      <c r="A13" s="474"/>
      <c r="B13" s="490">
        <f>WORKDAY(B14,-1,Feriados!A:A)</f>
        <v>45145</v>
      </c>
      <c r="C13" s="491">
        <f t="array" ref="C13">iferror(XLOOKUP(B13,Controle!$B$11:$B$1000,Controle!$C$11:$C$1000)/1000000,"")</f>
        <v>105.6109684</v>
      </c>
      <c r="D13" s="491">
        <f t="array" ref="D13">iferror(XLOOKUP(B13,Controle!$B$11:$B$1000,Controle!$F$11:$F$1000)/1000000,"")</f>
        <v>111.3598884</v>
      </c>
      <c r="E13" s="491">
        <f t="array" ref="E13">iferror(XLOOKUP(B13,Controle!$B$11:$B$1000,Controle!$I$11:$I$1000)/1000000,"")</f>
        <v>109.1117383</v>
      </c>
      <c r="F13" s="491">
        <f t="array" ref="F13">iferror(XLOOKUP(B13,Controle!$B$11:$B$1000,Controle!$L$11:$L$1000)/1000000,"")</f>
        <v>107.3750951</v>
      </c>
      <c r="G13" s="492">
        <f t="array" ref="G13">iferror(XLOOKUP(B13,Controle!$B$11:$B$1000,Controle!$R$11:$R$1000),"")</f>
        <v>104.8189072</v>
      </c>
      <c r="H13" s="492">
        <f t="array" ref="H13">iferror(XLOOKUP(B13,Controle!$B$11:$B$1000,Controle!$T$11:$T$1000)/4000000,"")</f>
        <v>108.3644226</v>
      </c>
      <c r="I13" s="493">
        <f t="shared" si="2"/>
        <v>0.0005648294016</v>
      </c>
      <c r="J13" s="386"/>
      <c r="K13" s="386"/>
      <c r="L13" s="412"/>
      <c r="M13" s="386"/>
      <c r="N13" s="386"/>
      <c r="O13" s="386"/>
      <c r="P13" s="386"/>
      <c r="Q13" s="386"/>
      <c r="R13" s="386"/>
      <c r="S13" s="386"/>
      <c r="T13" s="386"/>
      <c r="U13" s="386"/>
      <c r="V13" s="386"/>
      <c r="W13" s="386"/>
      <c r="X13" s="386"/>
      <c r="Y13" s="386"/>
      <c r="Z13" s="386"/>
      <c r="AA13" s="386"/>
      <c r="AB13" s="386"/>
      <c r="AC13" s="386"/>
      <c r="AD13" s="386"/>
    </row>
    <row r="14" ht="15.75" customHeight="1">
      <c r="A14" s="474"/>
      <c r="B14" s="487">
        <f>WORKDAY(B15,-1,Feriados!A:A)</f>
        <v>45146</v>
      </c>
      <c r="C14" s="488">
        <f t="array" ref="C14">iferror(XLOOKUP(B14,Controle!$B$11:$B$1000,Controle!$C$11:$C$1000)/1000000,"")</f>
        <v>105.6993821</v>
      </c>
      <c r="D14" s="488">
        <f t="array" ref="D14">iferror(XLOOKUP(B14,Controle!$B$11:$B$1000,Controle!$F$11:$F$1000)/1000000,"")</f>
        <v>111.0169052</v>
      </c>
      <c r="E14" s="488">
        <f t="array" ref="E14">iferror(XLOOKUP(B14,Controle!$B$11:$B$1000,Controle!$I$11:$I$1000)/1000000,"")</f>
        <v>109.1200417</v>
      </c>
      <c r="F14" s="488">
        <f t="array" ref="F14">iferror(XLOOKUP(B14,Controle!$B$11:$B$1000,Controle!$L$11:$L$1000)/1000000,"")</f>
        <v>106.9515177</v>
      </c>
      <c r="G14" s="489">
        <f t="array" ref="G14">iferror(XLOOKUP(B14,Controle!$B$11:$B$1000,Controle!$R$11:$R$1000),"")</f>
        <v>104.8703072</v>
      </c>
      <c r="H14" s="489">
        <f t="array" ref="H14">iferror(XLOOKUP(B14,Controle!$B$11:$B$1000,Controle!$T$11:$T$1000)/4000000,"")</f>
        <v>108.1969617</v>
      </c>
      <c r="I14" s="494">
        <f t="shared" si="2"/>
        <v>-0.001545349308</v>
      </c>
      <c r="J14" s="386"/>
      <c r="K14" s="482"/>
      <c r="L14" s="475" t="s">
        <v>387</v>
      </c>
      <c r="M14" s="386"/>
      <c r="N14" s="386"/>
      <c r="O14" s="386"/>
      <c r="P14" s="386"/>
      <c r="Q14" s="386"/>
      <c r="R14" s="386"/>
      <c r="S14" s="386"/>
      <c r="T14" s="386"/>
      <c r="U14" s="386"/>
      <c r="V14" s="386"/>
      <c r="W14" s="386"/>
      <c r="X14" s="386"/>
      <c r="Y14" s="386"/>
      <c r="Z14" s="386"/>
      <c r="AA14" s="386"/>
      <c r="AB14" s="386"/>
      <c r="AC14" s="386"/>
      <c r="AD14" s="386"/>
    </row>
    <row r="15" ht="15.75" customHeight="1">
      <c r="A15" s="474"/>
      <c r="B15" s="490">
        <f>WORKDAY(B16,-1,Feriados!A:A)</f>
        <v>45147</v>
      </c>
      <c r="C15" s="491">
        <f t="array" ref="C15">iferror(XLOOKUP(B15,Controle!$B$11:$B$1000,Controle!$C$11:$C$1000)/1000000,"")</f>
        <v>105.8459469</v>
      </c>
      <c r="D15" s="491">
        <f t="array" ref="D15">iferror(XLOOKUP(B15,Controle!$B$11:$B$1000,Controle!$F$11:$F$1000)/1000000,"")</f>
        <v>111.0909629</v>
      </c>
      <c r="E15" s="491">
        <f t="array" ref="E15">iferror(XLOOKUP(B15,Controle!$B$11:$B$1000,Controle!$I$11:$I$1000)/1000000,"")</f>
        <v>108.8810811</v>
      </c>
      <c r="F15" s="491">
        <f t="array" ref="F15">iferror(XLOOKUP(B15,Controle!$B$11:$B$1000,Controle!$L$11:$L$1000)/1000000,"")</f>
        <v>105.552881</v>
      </c>
      <c r="G15" s="492">
        <f t="array" ref="G15">iferror(XLOOKUP(B15,Controle!$B$11:$B$1000,Controle!$R$11:$R$1000),"")</f>
        <v>104.9217325</v>
      </c>
      <c r="H15" s="492">
        <f t="array" ref="H15">iferror(XLOOKUP(B15,Controle!$B$11:$B$1000,Controle!$T$11:$T$1000)/4000000,"")</f>
        <v>107.842718</v>
      </c>
      <c r="I15" s="493">
        <f t="shared" si="2"/>
        <v>-0.003274063348</v>
      </c>
      <c r="J15" s="386"/>
      <c r="K15" s="482"/>
      <c r="L15" s="344">
        <f>MIN(Controle!$X$11:$X$242)</f>
        <v>-0.008289145802</v>
      </c>
      <c r="M15" s="386"/>
      <c r="N15" s="386"/>
      <c r="O15" s="386"/>
      <c r="P15" s="386"/>
      <c r="Q15" s="386"/>
      <c r="R15" s="386"/>
      <c r="S15" s="386"/>
      <c r="T15" s="386"/>
      <c r="U15" s="386"/>
      <c r="V15" s="386"/>
      <c r="W15" s="386"/>
      <c r="X15" s="386"/>
      <c r="Y15" s="386"/>
      <c r="Z15" s="386"/>
      <c r="AA15" s="386"/>
      <c r="AB15" s="386"/>
      <c r="AC15" s="386"/>
      <c r="AD15" s="386"/>
    </row>
    <row r="16" ht="15.75" customHeight="1">
      <c r="A16" s="474"/>
      <c r="B16" s="487">
        <f>WORKDAY(B17,-1,Feriados!A:A)</f>
        <v>45148</v>
      </c>
      <c r="C16" s="488">
        <f t="array" ref="C16">iferror(XLOOKUP(B16,Controle!$B$11:$B$1000,Controle!$C$11:$C$1000)/1000000,"")</f>
        <v>106.2541318</v>
      </c>
      <c r="D16" s="488">
        <f t="array" ref="D16">iferror(XLOOKUP(B16,Controle!$B$11:$B$1000,Controle!$F$11:$F$1000)/1000000,"")</f>
        <v>111.1509244</v>
      </c>
      <c r="E16" s="488">
        <f t="array" ref="E16">iferror(XLOOKUP(B16,Controle!$B$11:$B$1000,Controle!$I$11:$I$1000)/1000000,"")</f>
        <v>108.5969686</v>
      </c>
      <c r="F16" s="488">
        <f t="array" ref="F16">iferror(XLOOKUP(B16,Controle!$B$11:$B$1000,Controle!$L$11:$L$1000)/1000000,"")</f>
        <v>106.0624894</v>
      </c>
      <c r="G16" s="489">
        <f t="array" ref="G16">iferror(XLOOKUP(B16,Controle!$B$11:$B$1000,Controle!$R$11:$R$1000),"")</f>
        <v>104.9731829</v>
      </c>
      <c r="H16" s="489">
        <f t="array" ref="H16">iferror(XLOOKUP(B16,Controle!$B$11:$B$1000,Controle!$T$11:$T$1000)/4000000,"")</f>
        <v>108.0161285</v>
      </c>
      <c r="I16" s="494">
        <f t="shared" si="2"/>
        <v>0.001607995186</v>
      </c>
      <c r="J16" s="386"/>
      <c r="K16" s="386"/>
      <c r="L16" s="412"/>
      <c r="M16" s="386"/>
      <c r="N16" s="386"/>
      <c r="O16" s="386"/>
      <c r="P16" s="386"/>
      <c r="Q16" s="386"/>
      <c r="R16" s="386"/>
      <c r="S16" s="386"/>
      <c r="T16" s="386"/>
      <c r="U16" s="386"/>
      <c r="V16" s="386"/>
      <c r="W16" s="386"/>
      <c r="X16" s="386"/>
      <c r="Y16" s="386"/>
      <c r="Z16" s="386"/>
      <c r="AA16" s="386"/>
      <c r="AB16" s="386"/>
      <c r="AC16" s="386"/>
      <c r="AD16" s="386"/>
    </row>
    <row r="17" ht="15.75" customHeight="1">
      <c r="A17" s="474"/>
      <c r="B17" s="490">
        <f>WORKDAY(B18,-1,Feriados!A:A)</f>
        <v>45149</v>
      </c>
      <c r="C17" s="491">
        <f t="array" ref="C17">iferror(XLOOKUP(B17,Controle!$B$11:$B$1000,Controle!$C$11:$C$1000)/1000000,"")</f>
        <v>106.6675046</v>
      </c>
      <c r="D17" s="491">
        <f t="array" ref="D17">iferror(XLOOKUP(B17,Controle!$B$11:$B$1000,Controle!$F$11:$F$1000)/1000000,"")</f>
        <v>111.1650547</v>
      </c>
      <c r="E17" s="491">
        <f t="array" ref="E17">iferror(XLOOKUP(B17,Controle!$B$11:$B$1000,Controle!$I$11:$I$1000)/1000000,"")</f>
        <v>108.5905329</v>
      </c>
      <c r="F17" s="491">
        <f t="array" ref="F17">iferror(XLOOKUP(B17,Controle!$B$11:$B$1000,Controle!$L$11:$L$1000)/1000000,"")</f>
        <v>105.334085</v>
      </c>
      <c r="G17" s="492">
        <f t="array" ref="G17">iferror(XLOOKUP(B17,Controle!$B$11:$B$1000,Controle!$R$11:$R$1000),"")</f>
        <v>105.0246586</v>
      </c>
      <c r="H17" s="492">
        <f t="array" ref="H17">iferror(XLOOKUP(B17,Controle!$B$11:$B$1000,Controle!$T$11:$T$1000)/4000000,"")</f>
        <v>107.9392943</v>
      </c>
      <c r="I17" s="493">
        <f t="shared" si="2"/>
        <v>-0.0007113216929</v>
      </c>
      <c r="J17" s="386"/>
      <c r="K17" s="482"/>
      <c r="L17" s="475" t="s">
        <v>388</v>
      </c>
      <c r="M17" s="386"/>
      <c r="N17" s="386"/>
      <c r="O17" s="386"/>
      <c r="P17" s="386"/>
      <c r="Q17" s="386"/>
      <c r="R17" s="386"/>
      <c r="S17" s="386"/>
      <c r="T17" s="386"/>
      <c r="U17" s="386"/>
      <c r="V17" s="386"/>
      <c r="W17" s="386"/>
      <c r="X17" s="386"/>
      <c r="Y17" s="386"/>
      <c r="Z17" s="386"/>
      <c r="AA17" s="386"/>
      <c r="AB17" s="386"/>
      <c r="AC17" s="386"/>
      <c r="AD17" s="386"/>
    </row>
    <row r="18" ht="15.75" customHeight="1">
      <c r="A18" s="474"/>
      <c r="B18" s="487">
        <f>WORKDAY(B19,-1,Feriados!A:A)</f>
        <v>45152</v>
      </c>
      <c r="C18" s="488">
        <f t="array" ref="C18">iferror(XLOOKUP(B18,Controle!$B$11:$B$1000,Controle!$C$11:$C$1000)/1000000,"")</f>
        <v>107.47127</v>
      </c>
      <c r="D18" s="488">
        <f t="array" ref="D18">iferror(XLOOKUP(B18,Controle!$B$11:$B$1000,Controle!$F$11:$F$1000)/1000000,"")</f>
        <v>111.1380693</v>
      </c>
      <c r="E18" s="488">
        <f t="array" ref="E18">iferror(XLOOKUP(B18,Controle!$B$11:$B$1000,Controle!$I$11:$I$1000)/1000000,"")</f>
        <v>108.469603</v>
      </c>
      <c r="F18" s="488">
        <f t="array" ref="F18">iferror(XLOOKUP(B18,Controle!$B$11:$B$1000,Controle!$L$11:$L$1000)/1000000,"")</f>
        <v>104.3900369</v>
      </c>
      <c r="G18" s="489">
        <f t="array" ref="G18">iferror(XLOOKUP(B18,Controle!$B$11:$B$1000,Controle!$R$11:$R$1000),"")</f>
        <v>105.0761596</v>
      </c>
      <c r="H18" s="489">
        <f t="array" ref="H18">iferror(XLOOKUP(B18,Controle!$B$11:$B$1000,Controle!$T$11:$T$1000)/4000000,"")</f>
        <v>107.8672448</v>
      </c>
      <c r="I18" s="494">
        <f t="shared" si="2"/>
        <v>-0.0006675001576</v>
      </c>
      <c r="J18" s="386"/>
      <c r="K18" s="482"/>
      <c r="L18" s="496">
        <f>(L4-V3)/L7</f>
        <v>10.32610977</v>
      </c>
      <c r="M18" s="386"/>
      <c r="N18" s="386"/>
      <c r="O18" s="386"/>
      <c r="P18" s="386"/>
      <c r="Q18" s="386"/>
      <c r="R18" s="386"/>
      <c r="S18" s="497"/>
      <c r="T18" s="498"/>
      <c r="U18" s="386"/>
      <c r="V18" s="386"/>
      <c r="W18" s="386"/>
      <c r="X18" s="386"/>
      <c r="Y18" s="386"/>
      <c r="Z18" s="499"/>
      <c r="AA18" s="386"/>
      <c r="AB18" s="386"/>
      <c r="AC18" s="386"/>
      <c r="AD18" s="386"/>
    </row>
    <row r="19" ht="15.75" customHeight="1">
      <c r="A19" s="474"/>
      <c r="B19" s="490">
        <f>WORKDAY(B20,-1,Feriados!A:A)</f>
        <v>45153</v>
      </c>
      <c r="C19" s="491">
        <f t="array" ref="C19">iferror(XLOOKUP(B19,Controle!$B$11:$B$1000,Controle!$C$11:$C$1000)/1000000,"")</f>
        <v>107.9136445</v>
      </c>
      <c r="D19" s="491">
        <f t="array" ref="D19">iferror(XLOOKUP(B19,Controle!$B$11:$B$1000,Controle!$F$11:$F$1000)/1000000,"")</f>
        <v>111.137074</v>
      </c>
      <c r="E19" s="491">
        <f t="array" ref="E19">iferror(XLOOKUP(B19,Controle!$B$11:$B$1000,Controle!$I$11:$I$1000)/1000000,"")</f>
        <v>108.4644508</v>
      </c>
      <c r="F19" s="491">
        <f t="array" ref="F19">iferror(XLOOKUP(B19,Controle!$B$11:$B$1000,Controle!$L$11:$L$1000)/1000000,"")</f>
        <v>104.1025611</v>
      </c>
      <c r="G19" s="492">
        <f t="array" ref="G19">iferror(XLOOKUP(B19,Controle!$B$11:$B$1000,Controle!$R$11:$R$1000),"")</f>
        <v>105.1276858</v>
      </c>
      <c r="H19" s="492">
        <f t="array" ref="H19">iferror(XLOOKUP(B19,Controle!$B$11:$B$1000,Controle!$T$11:$T$1000)/4000000,"")</f>
        <v>107.9044326</v>
      </c>
      <c r="I19" s="493">
        <f t="shared" si="2"/>
        <v>0.0003447548487</v>
      </c>
      <c r="J19" s="386"/>
      <c r="K19" s="386"/>
      <c r="L19" s="386"/>
      <c r="M19" s="386"/>
      <c r="N19" s="386"/>
      <c r="O19" s="386"/>
      <c r="P19" s="386"/>
      <c r="Q19" s="386"/>
      <c r="R19" s="386"/>
      <c r="S19" s="497"/>
      <c r="T19" s="498"/>
      <c r="U19" s="386"/>
      <c r="V19" s="386"/>
      <c r="W19" s="386"/>
      <c r="X19" s="386"/>
      <c r="Y19" s="386"/>
      <c r="Z19" s="499"/>
      <c r="AA19" s="386"/>
      <c r="AB19" s="386"/>
      <c r="AC19" s="386"/>
      <c r="AD19" s="386"/>
    </row>
    <row r="20" ht="15.75" customHeight="1">
      <c r="A20" s="474"/>
      <c r="B20" s="487">
        <f>WORKDAY(B21,-1,Feriados!A:A)</f>
        <v>45154</v>
      </c>
      <c r="C20" s="488">
        <f t="array" ref="C20">iferror(XLOOKUP(B20,Controle!$B$11:$B$1000,Controle!$C$11:$C$1000)/1000000,"")</f>
        <v>107.8930702</v>
      </c>
      <c r="D20" s="488">
        <f t="array" ref="D20">iferror(XLOOKUP(B20,Controle!$B$11:$B$1000,Controle!$F$11:$F$1000)/1000000,"")</f>
        <v>111.1622206</v>
      </c>
      <c r="E20" s="488">
        <f t="array" ref="E20">iferror(XLOOKUP(B20,Controle!$B$11:$B$1000,Controle!$I$11:$I$1000)/1000000,"")</f>
        <v>108.527674</v>
      </c>
      <c r="F20" s="488">
        <f t="array" ref="F20">iferror(XLOOKUP(B20,Controle!$B$11:$B$1000,Controle!$L$11:$L$1000)/1000000,"")</f>
        <v>103.4795156</v>
      </c>
      <c r="G20" s="489">
        <f t="array" ref="G20">iferror(XLOOKUP(B20,Controle!$B$11:$B$1000,Controle!$R$11:$R$1000),"")</f>
        <v>105.1792372</v>
      </c>
      <c r="H20" s="489">
        <f t="array" ref="H20">iferror(XLOOKUP(B20,Controle!$B$11:$B$1000,Controle!$T$11:$T$1000)/4000000,"")</f>
        <v>107.7656201</v>
      </c>
      <c r="I20" s="494">
        <f t="shared" si="2"/>
        <v>-0.001286439273</v>
      </c>
      <c r="J20" s="386"/>
      <c r="K20" s="386"/>
      <c r="L20" s="386"/>
      <c r="M20" s="386"/>
      <c r="N20" s="386"/>
      <c r="O20" s="386"/>
      <c r="P20" s="386"/>
      <c r="Q20" s="386"/>
      <c r="R20" s="386"/>
      <c r="S20" s="497"/>
      <c r="T20" s="498"/>
      <c r="U20" s="386"/>
      <c r="V20" s="386"/>
      <c r="W20" s="386"/>
      <c r="X20" s="386"/>
      <c r="Y20" s="386"/>
      <c r="Z20" s="499"/>
      <c r="AA20" s="386"/>
      <c r="AB20" s="386"/>
      <c r="AC20" s="386"/>
      <c r="AD20" s="386"/>
    </row>
    <row r="21" ht="15.75" customHeight="1">
      <c r="A21" s="474"/>
      <c r="B21" s="490">
        <f>WORKDAY(B22,-1,Feriados!A:A)</f>
        <v>45155</v>
      </c>
      <c r="C21" s="491">
        <f t="array" ref="C21">iferror(XLOOKUP(B21,Controle!$B$11:$B$1000,Controle!$C$11:$C$1000)/1000000,"")</f>
        <v>108.0742414</v>
      </c>
      <c r="D21" s="491">
        <f t="array" ref="D21">iferror(XLOOKUP(B21,Controle!$B$11:$B$1000,Controle!$F$11:$F$1000)/1000000,"")</f>
        <v>111.1556188</v>
      </c>
      <c r="E21" s="491">
        <f t="array" ref="E21">iferror(XLOOKUP(B21,Controle!$B$11:$B$1000,Controle!$I$11:$I$1000)/1000000,"")</f>
        <v>108.4618692</v>
      </c>
      <c r="F21" s="491">
        <f t="array" ref="F21">iferror(XLOOKUP(B21,Controle!$B$11:$B$1000,Controle!$L$11:$L$1000)/1000000,"")</f>
        <v>103.2635717</v>
      </c>
      <c r="G21" s="492">
        <f t="array" ref="G21">iferror(XLOOKUP(B21,Controle!$B$11:$B$1000,Controle!$R$11:$R$1000),"")</f>
        <v>105.230814</v>
      </c>
      <c r="H21" s="492">
        <f t="array" ref="H21">iferror(XLOOKUP(B21,Controle!$B$11:$B$1000,Controle!$T$11:$T$1000)/4000000,"")</f>
        <v>107.7388253</v>
      </c>
      <c r="I21" s="493">
        <f t="shared" si="2"/>
        <v>-0.0002486396998</v>
      </c>
      <c r="J21" s="386"/>
      <c r="K21" s="386"/>
      <c r="L21" s="386"/>
      <c r="M21" s="386"/>
      <c r="N21" s="386"/>
      <c r="O21" s="386"/>
      <c r="P21" s="386"/>
      <c r="Q21" s="386"/>
      <c r="R21" s="386"/>
      <c r="S21" s="497"/>
      <c r="T21" s="498"/>
      <c r="U21" s="386"/>
      <c r="V21" s="386"/>
      <c r="W21" s="386"/>
      <c r="X21" s="386"/>
      <c r="Y21" s="386"/>
      <c r="Z21" s="499"/>
      <c r="AA21" s="386"/>
      <c r="AB21" s="386"/>
      <c r="AC21" s="386"/>
      <c r="AD21" s="386"/>
    </row>
    <row r="22" ht="15.75" customHeight="1">
      <c r="A22" s="474"/>
      <c r="B22" s="487">
        <f>WORKDAY(B23,-1,Feriados!A:A)</f>
        <v>45156</v>
      </c>
      <c r="C22" s="488">
        <f t="array" ref="C22">iferror(XLOOKUP(B22,Controle!$B$11:$B$1000,Controle!$C$11:$C$1000)/1000000,"")</f>
        <v>107.84402</v>
      </c>
      <c r="D22" s="488">
        <f t="array" ref="D22">iferror(XLOOKUP(B22,Controle!$B$11:$B$1000,Controle!$F$11:$F$1000)/1000000,"")</f>
        <v>111.220201</v>
      </c>
      <c r="E22" s="488">
        <f t="array" ref="E22">iferror(XLOOKUP(B22,Controle!$B$11:$B$1000,Controle!$I$11:$I$1000)/1000000,"")</f>
        <v>108.4283659</v>
      </c>
      <c r="F22" s="488">
        <f t="array" ref="F22">iferror(XLOOKUP(B22,Controle!$B$11:$B$1000,Controle!$L$11:$L$1000)/1000000,"")</f>
        <v>103.5390042</v>
      </c>
      <c r="G22" s="489">
        <f t="array" ref="G22">iferror(XLOOKUP(B22,Controle!$B$11:$B$1000,Controle!$R$11:$R$1000),"")</f>
        <v>105.282416</v>
      </c>
      <c r="H22" s="489">
        <f t="array" ref="H22">iferror(XLOOKUP(B22,Controle!$B$11:$B$1000,Controle!$T$11:$T$1000)/4000000,"")</f>
        <v>107.7578978</v>
      </c>
      <c r="I22" s="494">
        <f t="shared" si="2"/>
        <v>0.0001770255723</v>
      </c>
      <c r="J22" s="386"/>
      <c r="K22" s="386"/>
      <c r="L22" s="386"/>
      <c r="M22" s="386"/>
      <c r="N22" s="386"/>
      <c r="O22" s="386"/>
      <c r="P22" s="386"/>
      <c r="Q22" s="386"/>
      <c r="R22" s="386"/>
      <c r="S22" s="497"/>
      <c r="T22" s="498"/>
      <c r="U22" s="386"/>
      <c r="V22" s="386"/>
      <c r="W22" s="386"/>
      <c r="X22" s="386"/>
      <c r="Y22" s="386"/>
      <c r="Z22" s="499"/>
      <c r="AA22" s="386"/>
      <c r="AB22" s="386"/>
      <c r="AC22" s="386"/>
      <c r="AD22" s="386"/>
    </row>
    <row r="23" ht="15.75" customHeight="1">
      <c r="A23" s="474"/>
      <c r="B23" s="490">
        <f>WORKDAY(B24,-1,Feriados!A:A)</f>
        <v>45159</v>
      </c>
      <c r="C23" s="491">
        <f t="array" ref="C23">iferror(XLOOKUP(B23,Controle!$B$11:$B$1000,Controle!$C$11:$C$1000)/1000000,"")</f>
        <v>108.0687024</v>
      </c>
      <c r="D23" s="491">
        <f t="array" ref="D23">iferror(XLOOKUP(B23,Controle!$B$11:$B$1000,Controle!$F$11:$F$1000)/1000000,"")</f>
        <v>111.2457187</v>
      </c>
      <c r="E23" s="491">
        <f t="array" ref="E23">iferror(XLOOKUP(B23,Controle!$B$11:$B$1000,Controle!$I$11:$I$1000)/1000000,"")</f>
        <v>108.2629124</v>
      </c>
      <c r="F23" s="491">
        <f t="array" ref="F23">iferror(XLOOKUP(B23,Controle!$B$11:$B$1000,Controle!$L$11:$L$1000)/1000000,"")</f>
        <v>103.8597361</v>
      </c>
      <c r="G23" s="492">
        <f t="array" ref="G23">iferror(XLOOKUP(B23,Controle!$B$11:$B$1000,Controle!$R$11:$R$1000),"")</f>
        <v>105.3340434</v>
      </c>
      <c r="H23" s="492">
        <f t="array" ref="H23">iferror(XLOOKUP(B23,Controle!$B$11:$B$1000,Controle!$T$11:$T$1000)/4000000,"")</f>
        <v>107.8592674</v>
      </c>
      <c r="I23" s="493">
        <f t="shared" si="2"/>
        <v>0.0009407160438</v>
      </c>
      <c r="J23" s="386"/>
      <c r="K23" s="386"/>
      <c r="L23" s="386"/>
      <c r="M23" s="386"/>
      <c r="N23" s="386"/>
      <c r="O23" s="386"/>
      <c r="P23" s="386"/>
      <c r="Q23" s="386"/>
      <c r="R23" s="386"/>
      <c r="S23" s="497"/>
      <c r="T23" s="498"/>
      <c r="U23" s="386"/>
      <c r="V23" s="386"/>
      <c r="W23" s="386"/>
      <c r="X23" s="386"/>
      <c r="Y23" s="386"/>
      <c r="Z23" s="499"/>
      <c r="AA23" s="386"/>
      <c r="AB23" s="386"/>
      <c r="AC23" s="386"/>
      <c r="AD23" s="386"/>
    </row>
    <row r="24" ht="15.75" customHeight="1">
      <c r="A24" s="474"/>
      <c r="B24" s="487">
        <f>WORKDAY(B25,-1,Feriados!A:A)</f>
        <v>45160</v>
      </c>
      <c r="C24" s="488">
        <f t="array" ref="C24">iferror(XLOOKUP(B24,Controle!$B$11:$B$1000,Controle!$C$11:$C$1000)/1000000,"")</f>
        <v>107.4415758</v>
      </c>
      <c r="D24" s="488">
        <f t="array" ref="D24">iferror(XLOOKUP(B24,Controle!$B$11:$B$1000,Controle!$F$11:$F$1000)/1000000,"")</f>
        <v>111.3405871</v>
      </c>
      <c r="E24" s="488">
        <f t="array" ref="E24">iferror(XLOOKUP(B24,Controle!$B$11:$B$1000,Controle!$I$11:$I$1000)/1000000,"")</f>
        <v>108.3089124</v>
      </c>
      <c r="F24" s="488">
        <f t="array" ref="F24">iferror(XLOOKUP(B24,Controle!$B$11:$B$1000,Controle!$L$11:$L$1000)/1000000,"")</f>
        <v>103.9868132</v>
      </c>
      <c r="G24" s="489">
        <f t="array" ref="G24">iferror(XLOOKUP(B24,Controle!$B$11:$B$1000,Controle!$R$11:$R$1000),"")</f>
        <v>105.385696</v>
      </c>
      <c r="H24" s="489">
        <f t="array" ref="H24">iferror(XLOOKUP(B24,Controle!$B$11:$B$1000,Controle!$T$11:$T$1000)/4000000,"")</f>
        <v>107.7694721</v>
      </c>
      <c r="I24" s="494">
        <f t="shared" si="2"/>
        <v>-0.0008325224667</v>
      </c>
      <c r="J24" s="386"/>
      <c r="K24" s="386"/>
      <c r="L24" s="386"/>
      <c r="M24" s="386"/>
      <c r="N24" s="386"/>
      <c r="O24" s="386"/>
      <c r="P24" s="386"/>
      <c r="Q24" s="386"/>
      <c r="R24" s="386"/>
      <c r="S24" s="497"/>
      <c r="T24" s="498"/>
      <c r="U24" s="386"/>
      <c r="V24" s="386"/>
      <c r="W24" s="386"/>
      <c r="X24" s="386"/>
      <c r="Y24" s="386"/>
      <c r="Z24" s="499"/>
      <c r="AA24" s="386"/>
      <c r="AB24" s="386"/>
      <c r="AC24" s="386"/>
      <c r="AD24" s="386"/>
    </row>
    <row r="25" ht="15.75" customHeight="1">
      <c r="A25" s="474"/>
      <c r="B25" s="490">
        <f>WORKDAY(B26,-1,Feriados!A:A)</f>
        <v>45161</v>
      </c>
      <c r="C25" s="491">
        <f t="array" ref="C25">iferror(XLOOKUP(B25,Controle!$B$11:$B$1000,Controle!$C$11:$C$1000)/1000000,"")</f>
        <v>106.5148279</v>
      </c>
      <c r="D25" s="491">
        <f t="array" ref="D25">iferror(XLOOKUP(B25,Controle!$B$11:$B$1000,Controle!$F$11:$F$1000)/1000000,"")</f>
        <v>111.4726629</v>
      </c>
      <c r="E25" s="491">
        <f t="array" ref="E25">iferror(XLOOKUP(B25,Controle!$B$11:$B$1000,Controle!$I$11:$I$1000)/1000000,"")</f>
        <v>108.171593</v>
      </c>
      <c r="F25" s="491">
        <f t="array" ref="F25">iferror(XLOOKUP(B25,Controle!$B$11:$B$1000,Controle!$L$11:$L$1000)/1000000,"")</f>
        <v>104.3238475</v>
      </c>
      <c r="G25" s="492">
        <f t="array" ref="G25">iferror(XLOOKUP(B25,Controle!$B$11:$B$1000,Controle!$R$11:$R$1000),"")</f>
        <v>105.437374</v>
      </c>
      <c r="H25" s="492">
        <f t="array" ref="H25">iferror(XLOOKUP(B25,Controle!$B$11:$B$1000,Controle!$T$11:$T$1000)/4000000,"")</f>
        <v>107.6207328</v>
      </c>
      <c r="I25" s="493">
        <f t="shared" si="2"/>
        <v>-0.00138016151</v>
      </c>
      <c r="J25" s="386"/>
      <c r="K25" s="386"/>
      <c r="L25" s="386"/>
      <c r="M25" s="386"/>
      <c r="N25" s="386"/>
      <c r="O25" s="386"/>
      <c r="P25" s="386"/>
      <c r="Q25" s="386"/>
      <c r="R25" s="386"/>
      <c r="S25" s="497"/>
      <c r="T25" s="498"/>
      <c r="U25" s="386"/>
      <c r="V25" s="386"/>
      <c r="W25" s="386"/>
      <c r="X25" s="386"/>
      <c r="Y25" s="386"/>
      <c r="Z25" s="499"/>
      <c r="AA25" s="386"/>
      <c r="AB25" s="386"/>
      <c r="AC25" s="386"/>
      <c r="AD25" s="386"/>
    </row>
    <row r="26" ht="15.75" customHeight="1">
      <c r="A26" s="474"/>
      <c r="B26" s="487">
        <f>WORKDAY(B27,-1,Feriados!A:A)</f>
        <v>45162</v>
      </c>
      <c r="C26" s="488">
        <f t="array" ref="C26">iferror(XLOOKUP(B26,Controle!$B$11:$B$1000,Controle!$C$11:$C$1000)/1000000,"")</f>
        <v>106.7748439</v>
      </c>
      <c r="D26" s="488">
        <f t="array" ref="D26">iferror(XLOOKUP(B26,Controle!$B$11:$B$1000,Controle!$F$11:$F$1000)/1000000,"")</f>
        <v>111.4099894</v>
      </c>
      <c r="E26" s="488">
        <f t="array" ref="E26">iferror(XLOOKUP(B26,Controle!$B$11:$B$1000,Controle!$I$11:$I$1000)/1000000,"")</f>
        <v>107.7243547</v>
      </c>
      <c r="F26" s="488">
        <f t="array" ref="F26">iferror(XLOOKUP(B26,Controle!$B$11:$B$1000,Controle!$L$11:$L$1000)/1000000,"")</f>
        <v>104.2177273</v>
      </c>
      <c r="G26" s="489">
        <f t="array" ref="G26">iferror(XLOOKUP(B26,Controle!$B$11:$B$1000,Controle!$R$11:$R$1000),"")</f>
        <v>105.4890773</v>
      </c>
      <c r="H26" s="489">
        <f t="array" ref="H26">iferror(XLOOKUP(B26,Controle!$B$11:$B$1000,Controle!$T$11:$T$1000)/4000000,"")</f>
        <v>107.5317288</v>
      </c>
      <c r="I26" s="494">
        <f t="shared" si="2"/>
        <v>-0.0008270156544</v>
      </c>
      <c r="J26" s="386"/>
      <c r="K26" s="386"/>
      <c r="L26" s="386"/>
      <c r="M26" s="386"/>
      <c r="N26" s="386"/>
      <c r="O26" s="386"/>
      <c r="P26" s="386"/>
      <c r="Q26" s="386"/>
      <c r="R26" s="386"/>
      <c r="S26" s="497"/>
      <c r="T26" s="498"/>
      <c r="U26" s="386"/>
      <c r="V26" s="386"/>
      <c r="W26" s="386"/>
      <c r="X26" s="386"/>
      <c r="Y26" s="386"/>
      <c r="Z26" s="499"/>
      <c r="AA26" s="386"/>
      <c r="AB26" s="386"/>
      <c r="AC26" s="386"/>
      <c r="AD26" s="386"/>
    </row>
    <row r="27" ht="15.75" customHeight="1">
      <c r="A27" s="474"/>
      <c r="B27" s="490">
        <f>WORKDAY(B28,-1,Feriados!A:A)</f>
        <v>45163</v>
      </c>
      <c r="C27" s="491">
        <f t="array" ref="C27">iferror(XLOOKUP(B27,Controle!$B$11:$B$1000,Controle!$C$11:$C$1000)/1000000,"")</f>
        <v>106.8047137</v>
      </c>
      <c r="D27" s="491">
        <f t="array" ref="D27">iferror(XLOOKUP(B27,Controle!$B$11:$B$1000,Controle!$F$11:$F$1000)/1000000,"")</f>
        <v>111.4100887</v>
      </c>
      <c r="E27" s="491">
        <f t="array" ref="E27">iferror(XLOOKUP(B27,Controle!$B$11:$B$1000,Controle!$I$11:$I$1000)/1000000,"")</f>
        <v>107.9545021</v>
      </c>
      <c r="F27" s="491">
        <f t="array" ref="F27">iferror(XLOOKUP(B27,Controle!$B$11:$B$1000,Controle!$L$11:$L$1000)/1000000,"")</f>
        <v>103.7341282</v>
      </c>
      <c r="G27" s="492">
        <f t="array" ref="G27">iferror(XLOOKUP(B27,Controle!$B$11:$B$1000,Controle!$R$11:$R$1000),"")</f>
        <v>105.540806</v>
      </c>
      <c r="H27" s="492">
        <f t="array" ref="H27">iferror(XLOOKUP(B27,Controle!$B$11:$B$1000,Controle!$T$11:$T$1000)/4000000,"")</f>
        <v>107.4758582</v>
      </c>
      <c r="I27" s="493">
        <f t="shared" si="2"/>
        <v>-0.0005195736397</v>
      </c>
      <c r="J27" s="386"/>
      <c r="K27" s="386"/>
      <c r="L27" s="386"/>
      <c r="M27" s="386"/>
      <c r="N27" s="386"/>
      <c r="O27" s="386"/>
      <c r="P27" s="386"/>
      <c r="Q27" s="386"/>
      <c r="R27" s="386"/>
      <c r="S27" s="497"/>
      <c r="T27" s="498"/>
      <c r="U27" s="386"/>
      <c r="V27" s="386"/>
      <c r="W27" s="386"/>
      <c r="X27" s="386"/>
      <c r="Y27" s="386"/>
      <c r="Z27" s="499"/>
      <c r="AA27" s="386"/>
      <c r="AB27" s="386"/>
      <c r="AC27" s="386"/>
      <c r="AD27" s="386"/>
    </row>
    <row r="28" ht="15.75" customHeight="1">
      <c r="A28" s="474"/>
      <c r="B28" s="487">
        <f>WORKDAY(B29,-1,Feriados!A:A)</f>
        <v>45166</v>
      </c>
      <c r="C28" s="488">
        <f t="array" ref="C28">iferror(XLOOKUP(B28,Controle!$B$11:$B$1000,Controle!$C$11:$C$1000)/1000000,"")</f>
        <v>106.8923294</v>
      </c>
      <c r="D28" s="488">
        <f t="array" ref="D28">iferror(XLOOKUP(B28,Controle!$B$11:$B$1000,Controle!$F$11:$F$1000)/1000000,"")</f>
        <v>111.6574401</v>
      </c>
      <c r="E28" s="488">
        <f t="array" ref="E28">iferror(XLOOKUP(B28,Controle!$B$11:$B$1000,Controle!$I$11:$I$1000)/1000000,"")</f>
        <v>108.5320924</v>
      </c>
      <c r="F28" s="488">
        <f t="array" ref="F28">iferror(XLOOKUP(B28,Controle!$B$11:$B$1000,Controle!$L$11:$L$1000)/1000000,"")</f>
        <v>103.6560718</v>
      </c>
      <c r="G28" s="489">
        <f t="array" ref="G28">iferror(XLOOKUP(B28,Controle!$B$11:$B$1000,Controle!$R$11:$R$1000),"")</f>
        <v>105.59256</v>
      </c>
      <c r="H28" s="489">
        <f t="array" ref="H28">iferror(XLOOKUP(B28,Controle!$B$11:$B$1000,Controle!$T$11:$T$1000)/4000000,"")</f>
        <v>107.6844834</v>
      </c>
      <c r="I28" s="494">
        <f t="shared" si="2"/>
        <v>0.001941136275</v>
      </c>
      <c r="J28" s="386"/>
      <c r="K28" s="386"/>
      <c r="L28" s="386"/>
      <c r="M28" s="386"/>
      <c r="N28" s="386"/>
      <c r="O28" s="386"/>
      <c r="P28" s="386"/>
      <c r="Q28" s="386"/>
      <c r="R28" s="386"/>
      <c r="S28" s="497"/>
      <c r="T28" s="498"/>
      <c r="U28" s="386"/>
      <c r="V28" s="386"/>
      <c r="W28" s="386"/>
      <c r="X28" s="386"/>
      <c r="Y28" s="386"/>
      <c r="Z28" s="499"/>
      <c r="AA28" s="386"/>
      <c r="AB28" s="386"/>
      <c r="AC28" s="386"/>
      <c r="AD28" s="386"/>
    </row>
    <row r="29" ht="15.75" customHeight="1">
      <c r="A29" s="474"/>
      <c r="B29" s="490">
        <f>WORKDAY(B30,-1,Feriados!A:A)</f>
        <v>45167</v>
      </c>
      <c r="C29" s="491">
        <f t="array" ref="C29">iferror(XLOOKUP(B29,Controle!$B$11:$B$1000,Controle!$C$11:$C$1000)/1000000,"")</f>
        <v>107.0930649</v>
      </c>
      <c r="D29" s="491">
        <f t="array" ref="D29">iferror(XLOOKUP(B29,Controle!$B$11:$B$1000,Controle!$F$11:$F$1000)/1000000,"")</f>
        <v>112.0549903</v>
      </c>
      <c r="E29" s="491">
        <f t="array" ref="E29">iferror(XLOOKUP(B29,Controle!$B$11:$B$1000,Controle!$I$11:$I$1000)/1000000,"")</f>
        <v>107.7413604</v>
      </c>
      <c r="F29" s="491">
        <f t="array" ref="F29">iferror(XLOOKUP(B29,Controle!$B$11:$B$1000,Controle!$L$11:$L$1000)/1000000,"")</f>
        <v>103.6599854</v>
      </c>
      <c r="G29" s="492">
        <f t="array" ref="G29">iferror(XLOOKUP(B29,Controle!$B$11:$B$1000,Controle!$R$11:$R$1000),"")</f>
        <v>105.6443395</v>
      </c>
      <c r="H29" s="492">
        <f t="array" ref="H29">iferror(XLOOKUP(B29,Controle!$B$11:$B$1000,Controle!$T$11:$T$1000)/4000000,"")</f>
        <v>107.6373502</v>
      </c>
      <c r="I29" s="493">
        <f t="shared" si="2"/>
        <v>-0.0004376972306</v>
      </c>
      <c r="J29" s="386"/>
      <c r="K29" s="386"/>
      <c r="L29" s="386"/>
      <c r="M29" s="386"/>
      <c r="N29" s="386"/>
      <c r="O29" s="386"/>
      <c r="P29" s="386"/>
      <c r="Q29" s="386"/>
      <c r="R29" s="386"/>
      <c r="S29" s="497"/>
      <c r="T29" s="498"/>
      <c r="U29" s="386"/>
      <c r="V29" s="386"/>
      <c r="W29" s="386"/>
      <c r="X29" s="386"/>
      <c r="Y29" s="386"/>
      <c r="Z29" s="499"/>
      <c r="AA29" s="386"/>
      <c r="AB29" s="386"/>
      <c r="AC29" s="386"/>
      <c r="AD29" s="386"/>
    </row>
    <row r="30" ht="15.75" customHeight="1">
      <c r="A30" s="474"/>
      <c r="B30" s="487">
        <f>WORKDAY(B31,-1,Feriados!A:A)</f>
        <v>45168</v>
      </c>
      <c r="C30" s="488">
        <f t="array" ref="C30">IFERROR(XLOOKUP(B30,Controle!$B$11:$B$1000,Controle!$C$11:$C$1000)/1037046.3919,"")</f>
        <v>103.4353235</v>
      </c>
      <c r="D30" s="488">
        <f t="array" ref="D30">IFERROR(XLOOKUP(B30,Controle!$B$11:$B$1000,Controle!$F$11:$F$1000)/1106982.2566,"")</f>
        <v>101.3300396</v>
      </c>
      <c r="E30" s="488">
        <f t="array" ref="E30">IFERROR(XLOOKUP(B30,Controle!$B$11:$B$1000,Controle!$I$11:$I$1000)/1087629.7515,"")</f>
        <v>98.77267351</v>
      </c>
      <c r="F30" s="488">
        <f t="array" ref="F30">iferror(XLOOKUP(B30,Controle!$B$11:$B$1000,Controle!$L$11:$L$1000)/1000000,"")</f>
        <v>102.998813</v>
      </c>
      <c r="G30" s="489">
        <f t="array" ref="G30">iferror(XLOOKUP(B30,Controle!$B$11:$B$1000,Controle!$R$11:$R$1000),"")</f>
        <v>105.6961443</v>
      </c>
      <c r="H30" s="489">
        <f t="array" ref="H30">iferror(XLOOKUP(B30,Controle!$B$11:$B$1000,Controle!$T$11:$T$1000)/4000000,"")</f>
        <v>107.4661741</v>
      </c>
      <c r="I30" s="494">
        <f t="shared" si="2"/>
        <v>-0.001590304708</v>
      </c>
      <c r="J30" s="386"/>
      <c r="K30" s="386"/>
      <c r="L30" s="386"/>
      <c r="M30" s="386"/>
      <c r="N30" s="386"/>
      <c r="O30" s="386"/>
      <c r="P30" s="386"/>
      <c r="Q30" s="386"/>
      <c r="R30" s="386"/>
      <c r="S30" s="497"/>
      <c r="T30" s="498"/>
      <c r="U30" s="386"/>
      <c r="V30" s="386"/>
      <c r="W30" s="386"/>
      <c r="X30" s="386"/>
      <c r="Y30" s="386"/>
      <c r="Z30" s="499"/>
      <c r="AA30" s="386"/>
      <c r="AB30" s="386"/>
      <c r="AC30" s="386"/>
      <c r="AD30" s="386"/>
    </row>
    <row r="31" ht="15.75" customHeight="1">
      <c r="A31" s="474"/>
      <c r="B31" s="490">
        <f>WORKDAY(B32,-1,Feriados!A:A)</f>
        <v>45169</v>
      </c>
      <c r="C31" s="491">
        <f t="array" ref="C31">IFERROR(XLOOKUP(B31,Controle!$B$11:$B$1000,Controle!$C$11:$C$1000)/1037046.3919,"")</f>
        <v>104.2138133</v>
      </c>
      <c r="D31" s="491">
        <f t="array" ref="D31">IFERROR(XLOOKUP(B31,Controle!$B$11:$B$1000,Controle!$F$11:$F$1000)/1106982.2566,"")</f>
        <v>101.5982248</v>
      </c>
      <c r="E31" s="491">
        <f t="array" ref="E31">IFERROR(XLOOKUP(B31,Controle!$B$11:$B$1000,Controle!$I$11:$I$1000)/1087629.7515,"")</f>
        <v>98.95772378</v>
      </c>
      <c r="F31" s="491">
        <f t="array" ref="F31">iferror(XLOOKUP(B31,Controle!$B$11:$B$1000,Controle!$L$11:$L$1000)/1000000,"")</f>
        <v>102.7595953</v>
      </c>
      <c r="G31" s="492">
        <f t="array" ref="G31">iferror(XLOOKUP(B31,Controle!$B$11:$B$1000,Controle!$R$11:$R$1000),"")</f>
        <v>105.7479745</v>
      </c>
      <c r="H31" s="492">
        <f t="array" ref="H31">iferror(XLOOKUP(B31,Controle!$B$11:$B$1000,Controle!$T$11:$T$1000)/4000000,"")</f>
        <v>107.7327378</v>
      </c>
      <c r="I31" s="493">
        <f t="shared" si="2"/>
        <v>0.00248044289</v>
      </c>
      <c r="J31" s="386"/>
      <c r="K31" s="386"/>
      <c r="L31" s="386"/>
      <c r="M31" s="386"/>
      <c r="N31" s="386"/>
      <c r="O31" s="386"/>
      <c r="P31" s="386"/>
      <c r="Q31" s="386"/>
      <c r="R31" s="386"/>
      <c r="S31" s="497"/>
      <c r="T31" s="498"/>
      <c r="U31" s="386"/>
      <c r="V31" s="386"/>
      <c r="W31" s="386"/>
      <c r="X31" s="386"/>
      <c r="Y31" s="386"/>
      <c r="Z31" s="499"/>
      <c r="AA31" s="386"/>
      <c r="AB31" s="386"/>
      <c r="AC31" s="386"/>
      <c r="AD31" s="386"/>
    </row>
    <row r="32" ht="15.75" customHeight="1">
      <c r="A32" s="474"/>
      <c r="B32" s="487">
        <f>WORKDAY($B$3,0,Feriados!A:A)</f>
        <v>45170</v>
      </c>
      <c r="C32" s="488">
        <f t="array" ref="C32">IFERROR(XLOOKUP(B32,Controle!$B$11:$B$1000,Controle!$C$11:$C$1000)/1037046.3919,"")</f>
        <v>104.1206559</v>
      </c>
      <c r="D32" s="488">
        <f t="array" ref="D32">IFERROR(XLOOKUP(B32,Controle!$B$11:$B$1000,Controle!$F$11:$F$1000)/1106982.2566,"")</f>
        <v>101.5679079</v>
      </c>
      <c r="E32" s="488">
        <f t="array" ref="E32">IFERROR(XLOOKUP(B32,Controle!$B$11:$B$1000,Controle!$I$11:$I$1000)/1087629.7515,"")</f>
        <v>99.46497222</v>
      </c>
      <c r="F32" s="488">
        <f t="array" ref="F32">iferror(XLOOKUP(B32,Controle!$B$11:$B$1000,Controle!$L$11:$L$1000)/1000000,"")</f>
        <v>103.6995054</v>
      </c>
      <c r="G32" s="489">
        <f t="array" ref="G32">iferror(XLOOKUP(B32,Controle!$B$11:$B$1000,Controle!$R$11:$R$1000),"")</f>
        <v>105.7998301</v>
      </c>
      <c r="H32" s="489">
        <f t="array" ref="H32">iferror(XLOOKUP(B32,Controle!$B$11:$B$1000,Controle!$T$11:$T$1000)/4000000,"")</f>
        <v>108.0730977</v>
      </c>
      <c r="I32" s="494">
        <f t="shared" si="2"/>
        <v>0.003159299013</v>
      </c>
      <c r="J32" s="386"/>
      <c r="K32" s="386"/>
      <c r="L32" s="386"/>
      <c r="M32" s="386"/>
      <c r="N32" s="386"/>
      <c r="O32" s="386"/>
      <c r="P32" s="386"/>
      <c r="Q32" s="386"/>
      <c r="R32" s="386"/>
      <c r="S32" s="497"/>
      <c r="T32" s="498"/>
      <c r="U32" s="386"/>
      <c r="V32" s="386"/>
      <c r="W32" s="386"/>
      <c r="X32" s="386"/>
      <c r="Y32" s="386"/>
      <c r="Z32" s="499"/>
      <c r="AA32" s="386"/>
      <c r="AB32" s="386"/>
      <c r="AC32" s="386"/>
      <c r="AD32" s="386"/>
    </row>
    <row r="33" ht="15.75" customHeight="1">
      <c r="A33" s="473"/>
      <c r="B33" s="386"/>
      <c r="C33" s="386"/>
      <c r="D33" s="386"/>
      <c r="E33" s="386"/>
      <c r="F33" s="386"/>
      <c r="G33" s="386"/>
      <c r="H33" s="386"/>
      <c r="I33" s="497"/>
      <c r="J33" s="386"/>
      <c r="K33" s="386"/>
      <c r="L33" s="386"/>
      <c r="M33" s="386"/>
      <c r="N33" s="386"/>
      <c r="O33" s="386"/>
      <c r="P33" s="386"/>
      <c r="Q33" s="386"/>
      <c r="R33" s="386"/>
      <c r="S33" s="497"/>
      <c r="T33" s="498"/>
      <c r="U33" s="386"/>
      <c r="V33" s="386"/>
      <c r="W33" s="386"/>
      <c r="X33" s="386"/>
      <c r="Y33" s="386"/>
      <c r="Z33" s="499"/>
      <c r="AA33" s="386"/>
      <c r="AB33" s="386"/>
      <c r="AC33" s="386"/>
      <c r="AD33" s="386"/>
    </row>
    <row r="34" ht="15.75" customHeight="1">
      <c r="A34" s="473"/>
      <c r="B34" s="475" t="s">
        <v>389</v>
      </c>
      <c r="C34" s="500">
        <f t="array" ref="C34">((C$3- (xlookup(WORKDAY($B$3,-5,Feriados!$A:$A),Controle!$B$10:$B$1000,Controle!$F$10:$F$1000)/1000000))/xlookup(WORKDAY($B$3,-5,Feriados!$A:$A),$B$8:$B$1000,$H$8:$H$1000))</f>
        <v>-0.03193403859</v>
      </c>
      <c r="D34" s="500">
        <f t="array" ref="D34">((D$3- (xlookup(WORKDAY($B$3,-5,Feriados!$A:$A),Controle!$B$10:$B$1000,Controle!$F$10:$F$1000)/1000000))/xlookup(WORKDAY($B$3,-5,Feriados!$A:$A),$B$8:$B$1000,$H$8:$H$1000))</f>
        <v>0.009525703532</v>
      </c>
      <c r="E34" s="500">
        <f t="array" ref="E34">((E$3- (xlookup(WORKDAY($B$3,-5,Feriados!$A:$A),Controle!$B$10:$B$1000,Controle!$F$10:$F$1000)/1000000))/xlookup(WORKDAY($B$3,-5,Feriados!$A:$A),$B$8:$B$1000,$H$8:$H$1000))</f>
        <v>-0.03004419547</v>
      </c>
      <c r="F34" s="500">
        <f t="array" ref="F34">((F$3- (xlookup(WORKDAY($B$3,-5,Feriados!$A:$A),Controle!$B$10:$B$1000,Controle!$F$10:$F$1000)/1000000))/xlookup(WORKDAY($B$3,-5,Feriados!$A:$A),$B$8:$B$1000,$H$8:$H$1000))</f>
        <v>-0.07174246791</v>
      </c>
      <c r="G34" s="2"/>
      <c r="H34" s="501"/>
      <c r="I34" s="484"/>
      <c r="J34" s="386"/>
      <c r="K34" s="386"/>
      <c r="L34" s="386"/>
      <c r="M34" s="386"/>
      <c r="N34" s="386"/>
      <c r="O34" s="386"/>
      <c r="P34" s="386"/>
      <c r="Q34" s="386"/>
      <c r="R34" s="386"/>
      <c r="S34" s="497"/>
      <c r="T34" s="498"/>
      <c r="U34" s="386"/>
      <c r="V34" s="386"/>
      <c r="W34" s="386"/>
      <c r="X34" s="386"/>
      <c r="Y34" s="386"/>
      <c r="Z34" s="499"/>
      <c r="AA34" s="386"/>
      <c r="AB34" s="386"/>
      <c r="AC34" s="386"/>
      <c r="AD34" s="386"/>
    </row>
    <row r="35" ht="15.75" customHeight="1">
      <c r="A35" s="473"/>
      <c r="B35" s="502" t="s">
        <v>390</v>
      </c>
      <c r="C35" s="500">
        <f t="shared" ref="C35:F35" si="3">(C$3 - 100)/400</f>
        <v>0.01994487627</v>
      </c>
      <c r="D35" s="500">
        <f t="shared" si="3"/>
        <v>0.03108467967</v>
      </c>
      <c r="E35" s="500">
        <f t="shared" si="3"/>
        <v>0.02045265754</v>
      </c>
      <c r="F35" s="500">
        <f t="shared" si="3"/>
        <v>0.009248763508</v>
      </c>
      <c r="G35" s="386"/>
      <c r="H35" s="2"/>
      <c r="I35" s="484"/>
      <c r="J35" s="386"/>
      <c r="K35" s="386"/>
      <c r="L35" s="386"/>
      <c r="M35" s="386"/>
      <c r="N35" s="386"/>
      <c r="O35" s="386"/>
      <c r="P35" s="386"/>
      <c r="Q35" s="386"/>
      <c r="R35" s="386"/>
      <c r="S35" s="497"/>
      <c r="T35" s="498"/>
      <c r="U35" s="386"/>
      <c r="V35" s="386"/>
      <c r="W35" s="386"/>
      <c r="X35" s="386"/>
      <c r="Y35" s="386"/>
      <c r="Z35" s="499"/>
      <c r="AA35" s="386"/>
      <c r="AB35" s="386"/>
      <c r="AC35" s="386"/>
      <c r="AD35" s="386"/>
    </row>
    <row r="36" ht="15.75" customHeight="1">
      <c r="A36" s="473"/>
      <c r="B36" s="501"/>
      <c r="C36" s="2"/>
      <c r="D36" s="2"/>
      <c r="E36" s="2"/>
      <c r="F36" s="2"/>
      <c r="G36" s="2"/>
      <c r="H36" s="501"/>
      <c r="I36" s="484"/>
      <c r="J36" s="386"/>
      <c r="K36" s="386"/>
      <c r="L36" s="386"/>
      <c r="M36" s="386"/>
      <c r="N36" s="386"/>
      <c r="O36" s="386"/>
      <c r="P36" s="386"/>
      <c r="Q36" s="386"/>
      <c r="R36" s="386"/>
      <c r="S36" s="497"/>
      <c r="T36" s="498"/>
      <c r="U36" s="386"/>
      <c r="V36" s="386"/>
      <c r="W36" s="386"/>
      <c r="X36" s="386"/>
      <c r="Y36" s="386"/>
      <c r="Z36" s="499"/>
      <c r="AA36" s="386"/>
      <c r="AB36" s="386"/>
      <c r="AC36" s="386"/>
      <c r="AD36" s="386"/>
    </row>
    <row r="37" ht="15.75" customHeight="1">
      <c r="A37" s="473"/>
      <c r="B37" s="501"/>
      <c r="C37" s="501"/>
      <c r="D37" s="503"/>
      <c r="E37" s="501"/>
      <c r="F37" s="501"/>
      <c r="G37" s="2"/>
      <c r="H37" s="501"/>
      <c r="I37" s="484"/>
      <c r="J37" s="386"/>
      <c r="K37" s="386"/>
      <c r="L37" s="386"/>
      <c r="M37" s="386"/>
      <c r="N37" s="386"/>
      <c r="O37" s="386"/>
      <c r="P37" s="386"/>
      <c r="Q37" s="386"/>
      <c r="R37" s="386"/>
      <c r="S37" s="497"/>
      <c r="T37" s="498"/>
      <c r="U37" s="386"/>
      <c r="V37" s="386"/>
      <c r="W37" s="386"/>
      <c r="X37" s="386"/>
      <c r="Y37" s="386"/>
      <c r="Z37" s="499"/>
      <c r="AA37" s="386"/>
      <c r="AB37" s="386"/>
      <c r="AC37" s="386"/>
      <c r="AD37" s="386"/>
    </row>
    <row r="38" ht="15.75" customHeight="1">
      <c r="A38" s="473"/>
      <c r="B38" s="501"/>
      <c r="C38" s="484"/>
      <c r="D38" s="484"/>
      <c r="E38" s="484"/>
      <c r="F38" s="484"/>
      <c r="G38" s="2"/>
      <c r="H38" s="504"/>
      <c r="I38" s="484"/>
      <c r="J38" s="386"/>
      <c r="K38" s="386"/>
      <c r="L38" s="386"/>
      <c r="M38" s="386"/>
      <c r="N38" s="386"/>
      <c r="O38" s="386"/>
      <c r="P38" s="386"/>
      <c r="Q38" s="386"/>
      <c r="R38" s="386"/>
      <c r="S38" s="386"/>
      <c r="T38" s="386"/>
      <c r="U38" s="386"/>
      <c r="V38" s="386"/>
      <c r="W38" s="386"/>
      <c r="X38" s="386"/>
      <c r="Y38" s="386"/>
      <c r="Z38" s="386"/>
      <c r="AA38" s="386"/>
      <c r="AB38" s="386"/>
      <c r="AC38" s="386"/>
      <c r="AD38" s="386"/>
    </row>
    <row r="39" ht="15.75" customHeight="1">
      <c r="A39" s="473"/>
      <c r="B39" s="501"/>
      <c r="C39" s="504"/>
      <c r="D39" s="501"/>
      <c r="E39" s="501"/>
      <c r="F39" s="499"/>
      <c r="G39" s="505"/>
      <c r="H39" s="504"/>
      <c r="I39" s="484"/>
      <c r="J39" s="386"/>
      <c r="K39" s="386"/>
      <c r="L39" s="386"/>
      <c r="M39" s="386"/>
      <c r="N39" s="386"/>
      <c r="O39" s="386"/>
      <c r="P39" s="386"/>
      <c r="Q39" s="386"/>
      <c r="R39" s="386"/>
      <c r="S39" s="386"/>
      <c r="T39" s="386"/>
      <c r="U39" s="386"/>
      <c r="V39" s="386"/>
      <c r="W39" s="386"/>
      <c r="X39" s="386"/>
      <c r="Y39" s="386"/>
      <c r="Z39" s="386"/>
      <c r="AA39" s="386"/>
      <c r="AB39" s="386"/>
      <c r="AC39" s="386"/>
      <c r="AD39" s="386"/>
    </row>
    <row r="40" ht="15.75" customHeight="1">
      <c r="A40" s="473"/>
      <c r="B40" s="501"/>
      <c r="C40" s="504"/>
      <c r="D40" s="501"/>
      <c r="E40" s="501"/>
      <c r="F40" s="501"/>
      <c r="G40" s="497"/>
      <c r="H40" s="504"/>
      <c r="I40" s="484"/>
      <c r="J40" s="386"/>
      <c r="K40" s="386"/>
      <c r="L40" s="386"/>
      <c r="M40" s="386"/>
      <c r="N40" s="386"/>
      <c r="O40" s="386"/>
      <c r="P40" s="386"/>
      <c r="Q40" s="386"/>
      <c r="R40" s="386"/>
      <c r="S40" s="386"/>
      <c r="T40" s="386"/>
      <c r="U40" s="386"/>
      <c r="V40" s="386"/>
      <c r="W40" s="386"/>
      <c r="X40" s="386"/>
      <c r="Y40" s="386"/>
      <c r="Z40" s="386"/>
      <c r="AA40" s="386"/>
      <c r="AB40" s="386"/>
      <c r="AC40" s="386"/>
      <c r="AD40" s="386"/>
    </row>
    <row r="41" ht="15.75" customHeight="1">
      <c r="A41" s="473"/>
      <c r="B41" s="501"/>
      <c r="C41" s="504"/>
      <c r="D41" s="501"/>
      <c r="E41" s="501"/>
      <c r="F41" s="501"/>
      <c r="G41" s="505"/>
      <c r="H41" s="504"/>
      <c r="I41" s="484"/>
      <c r="J41" s="386"/>
      <c r="K41" s="386"/>
      <c r="L41" s="386"/>
      <c r="M41" s="386"/>
      <c r="N41" s="386"/>
      <c r="O41" s="386"/>
      <c r="P41" s="386"/>
      <c r="Q41" s="386"/>
      <c r="R41" s="386"/>
      <c r="S41" s="386"/>
      <c r="T41" s="386"/>
      <c r="U41" s="386"/>
      <c r="V41" s="386"/>
      <c r="W41" s="386"/>
      <c r="X41" s="386"/>
      <c r="Y41" s="386"/>
      <c r="Z41" s="386"/>
      <c r="AA41" s="386"/>
      <c r="AB41" s="386"/>
      <c r="AC41" s="386"/>
      <c r="AD41" s="386"/>
    </row>
    <row r="42" ht="15.75" customHeight="1">
      <c r="A42" s="473"/>
      <c r="B42" s="386"/>
      <c r="C42" s="386"/>
      <c r="D42" s="386"/>
      <c r="E42" s="386"/>
      <c r="F42" s="386"/>
      <c r="G42" s="386"/>
      <c r="H42" s="386"/>
      <c r="I42" s="484"/>
      <c r="J42" s="386"/>
      <c r="K42" s="386"/>
      <c r="L42" s="386"/>
      <c r="M42" s="386"/>
      <c r="N42" s="386"/>
      <c r="O42" s="386"/>
      <c r="P42" s="386"/>
      <c r="Q42" s="386"/>
      <c r="R42" s="386"/>
      <c r="S42" s="386"/>
      <c r="T42" s="386"/>
      <c r="U42" s="386"/>
      <c r="V42" s="386"/>
      <c r="W42" s="386"/>
      <c r="X42" s="386"/>
      <c r="Y42" s="386"/>
      <c r="Z42" s="386"/>
      <c r="AA42" s="386"/>
      <c r="AB42" s="386"/>
      <c r="AC42" s="386"/>
      <c r="AD42" s="386"/>
    </row>
    <row r="43" ht="15.75" customHeight="1">
      <c r="A43" s="473"/>
      <c r="B43" s="386"/>
      <c r="C43" s="386"/>
      <c r="D43" s="386"/>
      <c r="E43" s="386"/>
      <c r="F43" s="386"/>
      <c r="G43" s="386"/>
      <c r="H43" s="386"/>
      <c r="I43" s="484"/>
      <c r="J43" s="386"/>
      <c r="K43" s="386"/>
      <c r="L43" s="386"/>
      <c r="M43" s="501"/>
      <c r="N43" s="386"/>
      <c r="O43" s="386"/>
      <c r="P43" s="386"/>
      <c r="Q43" s="386"/>
      <c r="R43" s="386"/>
      <c r="S43" s="386"/>
      <c r="T43" s="386"/>
      <c r="U43" s="386"/>
      <c r="V43" s="386"/>
      <c r="W43" s="386"/>
      <c r="X43" s="386"/>
      <c r="Y43" s="386"/>
      <c r="Z43" s="386"/>
      <c r="AA43" s="386"/>
      <c r="AB43" s="386"/>
      <c r="AC43" s="386"/>
      <c r="AD43" s="386"/>
    </row>
    <row r="44" ht="15.75" customHeight="1">
      <c r="A44" s="473"/>
      <c r="B44" s="386"/>
      <c r="C44" s="386"/>
      <c r="D44" s="386"/>
      <c r="E44" s="386"/>
      <c r="F44" s="386"/>
      <c r="G44" s="386"/>
      <c r="H44" s="386"/>
      <c r="I44" s="484"/>
      <c r="J44" s="386"/>
      <c r="K44" s="386"/>
      <c r="L44" s="386"/>
      <c r="M44" s="386"/>
      <c r="N44" s="386"/>
      <c r="O44" s="386"/>
      <c r="P44" s="386"/>
      <c r="Q44" s="386"/>
      <c r="R44" s="386"/>
      <c r="S44" s="386"/>
      <c r="T44" s="386"/>
      <c r="U44" s="386"/>
      <c r="V44" s="386"/>
      <c r="W44" s="386"/>
      <c r="X44" s="386"/>
      <c r="Y44" s="386"/>
      <c r="Z44" s="386"/>
      <c r="AA44" s="386"/>
      <c r="AB44" s="386"/>
      <c r="AC44" s="386"/>
      <c r="AD44" s="386"/>
    </row>
    <row r="45" ht="15.75" customHeight="1">
      <c r="A45" s="473"/>
      <c r="B45" s="386"/>
      <c r="C45" s="386"/>
      <c r="D45" s="386"/>
      <c r="E45" s="386"/>
      <c r="F45" s="386"/>
      <c r="G45" s="386"/>
      <c r="H45" s="386"/>
      <c r="I45" s="484"/>
      <c r="J45" s="386"/>
      <c r="K45" s="386"/>
      <c r="L45" s="386"/>
      <c r="M45" s="386"/>
      <c r="N45" s="386"/>
      <c r="O45" s="386"/>
      <c r="P45" s="386"/>
      <c r="Q45" s="386"/>
      <c r="R45" s="386"/>
      <c r="S45" s="386"/>
      <c r="T45" s="386"/>
      <c r="U45" s="386"/>
      <c r="V45" s="386"/>
      <c r="W45" s="386"/>
      <c r="X45" s="386"/>
      <c r="Y45" s="386"/>
      <c r="Z45" s="386"/>
      <c r="AA45" s="386"/>
      <c r="AB45" s="386"/>
      <c r="AC45" s="386"/>
      <c r="AD45" s="386"/>
    </row>
    <row r="46" ht="15.75" customHeight="1">
      <c r="A46" s="473"/>
      <c r="B46" s="386"/>
      <c r="C46" s="386"/>
      <c r="D46" s="386"/>
      <c r="E46" s="386"/>
      <c r="F46" s="386"/>
      <c r="G46" s="386"/>
      <c r="H46" s="386"/>
      <c r="I46" s="484"/>
      <c r="J46" s="386"/>
      <c r="K46" s="386"/>
      <c r="L46" s="386"/>
      <c r="M46" s="386"/>
      <c r="N46" s="386"/>
      <c r="O46" s="386"/>
      <c r="P46" s="386"/>
      <c r="Q46" s="386"/>
      <c r="R46" s="386"/>
      <c r="S46" s="386"/>
      <c r="T46" s="386"/>
      <c r="U46" s="386"/>
      <c r="V46" s="386"/>
      <c r="W46" s="386"/>
      <c r="X46" s="386"/>
      <c r="Y46" s="386"/>
      <c r="Z46" s="386"/>
      <c r="AA46" s="386"/>
      <c r="AB46" s="386"/>
      <c r="AC46" s="386"/>
      <c r="AD46" s="386"/>
    </row>
    <row r="47" ht="15.75" customHeight="1">
      <c r="A47" s="473"/>
      <c r="B47" s="386"/>
      <c r="C47" s="386"/>
      <c r="D47" s="386"/>
      <c r="E47" s="386"/>
      <c r="F47" s="386"/>
      <c r="G47" s="386"/>
      <c r="H47" s="386"/>
      <c r="I47" s="484"/>
      <c r="J47" s="386"/>
      <c r="K47" s="386"/>
      <c r="L47" s="386"/>
      <c r="M47" s="386"/>
      <c r="N47" s="386"/>
      <c r="O47" s="386"/>
      <c r="P47" s="386"/>
      <c r="Q47" s="386"/>
      <c r="R47" s="386"/>
      <c r="S47" s="386"/>
      <c r="T47" s="386"/>
      <c r="U47" s="386"/>
      <c r="V47" s="386"/>
      <c r="W47" s="386"/>
      <c r="X47" s="386"/>
      <c r="Y47" s="386"/>
      <c r="Z47" s="386"/>
      <c r="AA47" s="386"/>
      <c r="AB47" s="386"/>
      <c r="AC47" s="386"/>
      <c r="AD47" s="386"/>
    </row>
    <row r="48" ht="15.75" customHeight="1">
      <c r="A48" s="473"/>
      <c r="B48" s="501"/>
      <c r="C48" s="504"/>
      <c r="D48" s="501"/>
      <c r="E48" s="501"/>
      <c r="F48" s="501"/>
      <c r="G48" s="505"/>
      <c r="H48" s="504"/>
      <c r="I48" s="484"/>
      <c r="J48" s="386"/>
      <c r="K48" s="386"/>
      <c r="L48" s="386"/>
      <c r="M48" s="386"/>
      <c r="N48" s="386"/>
      <c r="O48" s="386"/>
      <c r="P48" s="386"/>
      <c r="Q48" s="386"/>
      <c r="R48" s="386"/>
      <c r="S48" s="386"/>
      <c r="T48" s="386"/>
      <c r="U48" s="386"/>
      <c r="V48" s="386"/>
      <c r="W48" s="386"/>
      <c r="X48" s="386"/>
      <c r="Y48" s="386"/>
      <c r="Z48" s="386"/>
      <c r="AA48" s="386"/>
      <c r="AB48" s="386"/>
      <c r="AC48" s="386"/>
      <c r="AD48" s="386"/>
    </row>
    <row r="49" ht="15.75" customHeight="1">
      <c r="A49" s="473"/>
      <c r="B49" s="501"/>
      <c r="C49" s="504"/>
      <c r="D49" s="501"/>
      <c r="E49" s="501"/>
      <c r="F49" s="501"/>
      <c r="G49" s="505"/>
      <c r="H49" s="504"/>
      <c r="I49" s="484"/>
      <c r="J49" s="386"/>
      <c r="K49" s="386"/>
      <c r="L49" s="386"/>
      <c r="M49" s="386"/>
      <c r="N49" s="386"/>
      <c r="O49" s="386"/>
      <c r="P49" s="386"/>
      <c r="Q49" s="386"/>
      <c r="R49" s="386"/>
      <c r="S49" s="386"/>
      <c r="T49" s="386"/>
      <c r="U49" s="386"/>
      <c r="V49" s="386"/>
      <c r="W49" s="386"/>
      <c r="X49" s="386"/>
      <c r="Y49" s="386"/>
      <c r="Z49" s="386"/>
      <c r="AA49" s="386"/>
      <c r="AB49" s="386"/>
      <c r="AC49" s="386"/>
      <c r="AD49" s="386"/>
    </row>
    <row r="50" ht="15.75" customHeight="1">
      <c r="A50" s="473"/>
      <c r="B50" s="501"/>
      <c r="C50" s="504"/>
      <c r="D50" s="501"/>
      <c r="E50" s="501"/>
      <c r="F50" s="501"/>
      <c r="G50" s="505"/>
      <c r="H50" s="504"/>
      <c r="I50" s="484"/>
      <c r="J50" s="386"/>
      <c r="K50" s="386"/>
      <c r="L50" s="386"/>
      <c r="M50" s="386"/>
      <c r="N50" s="386"/>
      <c r="O50" s="386"/>
      <c r="P50" s="386"/>
      <c r="Q50" s="386"/>
      <c r="R50" s="386"/>
      <c r="S50" s="386"/>
      <c r="T50" s="386"/>
      <c r="U50" s="386"/>
      <c r="V50" s="386"/>
      <c r="W50" s="386"/>
      <c r="X50" s="386"/>
      <c r="Y50" s="386"/>
      <c r="Z50" s="386"/>
      <c r="AA50" s="386"/>
      <c r="AB50" s="386"/>
      <c r="AC50" s="386"/>
      <c r="AD50" s="386"/>
    </row>
    <row r="51" ht="15.75" customHeight="1">
      <c r="A51" s="473"/>
      <c r="B51" s="501"/>
      <c r="C51" s="504"/>
      <c r="D51" s="501"/>
      <c r="E51" s="501"/>
      <c r="F51" s="501"/>
      <c r="G51" s="505"/>
      <c r="H51" s="504"/>
      <c r="I51" s="484"/>
      <c r="J51" s="386"/>
      <c r="K51" s="386"/>
      <c r="L51" s="386"/>
      <c r="M51" s="386"/>
      <c r="N51" s="386"/>
      <c r="O51" s="386"/>
      <c r="P51" s="386"/>
      <c r="Q51" s="386"/>
      <c r="R51" s="386"/>
      <c r="S51" s="386"/>
      <c r="T51" s="386"/>
      <c r="U51" s="386"/>
      <c r="V51" s="386"/>
      <c r="W51" s="386"/>
      <c r="X51" s="386"/>
      <c r="Y51" s="386"/>
      <c r="Z51" s="386"/>
      <c r="AA51" s="386"/>
      <c r="AB51" s="386"/>
      <c r="AC51" s="386"/>
      <c r="AD51" s="386"/>
    </row>
    <row r="52" ht="15.75" customHeight="1">
      <c r="A52" s="473"/>
      <c r="B52" s="501"/>
      <c r="C52" s="504"/>
      <c r="D52" s="501"/>
      <c r="E52" s="501"/>
      <c r="F52" s="501"/>
      <c r="G52" s="505"/>
      <c r="H52" s="504"/>
      <c r="I52" s="484"/>
      <c r="J52" s="386"/>
      <c r="K52" s="386"/>
      <c r="L52" s="386"/>
      <c r="M52" s="386"/>
      <c r="N52" s="386"/>
      <c r="O52" s="386"/>
      <c r="P52" s="386"/>
      <c r="Q52" s="386"/>
      <c r="R52" s="386"/>
      <c r="S52" s="386"/>
      <c r="T52" s="386"/>
      <c r="U52" s="386"/>
      <c r="V52" s="386"/>
      <c r="W52" s="386"/>
      <c r="X52" s="386"/>
      <c r="Y52" s="386"/>
      <c r="Z52" s="386"/>
      <c r="AA52" s="386"/>
      <c r="AB52" s="386"/>
      <c r="AC52" s="386"/>
      <c r="AD52" s="386"/>
    </row>
    <row r="53" ht="15.75" customHeight="1">
      <c r="A53" s="473"/>
      <c r="B53" s="501"/>
      <c r="C53" s="504"/>
      <c r="D53" s="501"/>
      <c r="E53" s="501"/>
      <c r="F53" s="501"/>
      <c r="G53" s="505"/>
      <c r="H53" s="504"/>
      <c r="I53" s="484"/>
      <c r="J53" s="386"/>
      <c r="K53" s="386"/>
      <c r="L53" s="386"/>
      <c r="M53" s="386"/>
      <c r="N53" s="386"/>
      <c r="O53" s="386"/>
      <c r="P53" s="386"/>
      <c r="Q53" s="386"/>
      <c r="R53" s="386"/>
      <c r="S53" s="386"/>
      <c r="T53" s="386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</row>
    <row r="54" ht="15.75" customHeight="1">
      <c r="A54" s="473"/>
      <c r="B54" s="501"/>
      <c r="C54" s="504"/>
      <c r="D54" s="501"/>
      <c r="E54" s="501"/>
      <c r="F54" s="501"/>
      <c r="G54" s="505"/>
      <c r="H54" s="504"/>
      <c r="I54" s="484"/>
      <c r="J54" s="386"/>
      <c r="K54" s="386"/>
      <c r="L54" s="386"/>
      <c r="M54" s="386"/>
      <c r="N54" s="386"/>
      <c r="O54" s="386"/>
      <c r="P54" s="386"/>
      <c r="Q54" s="386"/>
      <c r="R54" s="386"/>
      <c r="S54" s="386"/>
      <c r="T54" s="386"/>
      <c r="U54" s="386"/>
      <c r="V54" s="386"/>
      <c r="W54" s="386"/>
      <c r="X54" s="386"/>
      <c r="Y54" s="386"/>
      <c r="Z54" s="386"/>
      <c r="AA54" s="386"/>
      <c r="AB54" s="386"/>
      <c r="AC54" s="386"/>
      <c r="AD54" s="386"/>
    </row>
    <row r="55" ht="15.75" customHeight="1">
      <c r="A55" s="473"/>
      <c r="B55" s="501"/>
      <c r="C55" s="504"/>
      <c r="D55" s="501"/>
      <c r="E55" s="501"/>
      <c r="F55" s="501"/>
      <c r="G55" s="505"/>
      <c r="H55" s="504"/>
      <c r="I55" s="484"/>
      <c r="J55" s="386"/>
      <c r="K55" s="386"/>
      <c r="L55" s="386"/>
      <c r="M55" s="386"/>
      <c r="N55" s="386"/>
      <c r="O55" s="386"/>
      <c r="P55" s="386"/>
      <c r="Q55" s="386"/>
      <c r="R55" s="386"/>
      <c r="S55" s="386"/>
      <c r="T55" s="386"/>
      <c r="U55" s="386"/>
      <c r="V55" s="386"/>
      <c r="W55" s="386"/>
      <c r="X55" s="386"/>
      <c r="Y55" s="386"/>
      <c r="Z55" s="386"/>
      <c r="AA55" s="386"/>
      <c r="AB55" s="386"/>
      <c r="AC55" s="386"/>
      <c r="AD55" s="386"/>
    </row>
    <row r="56" ht="15.75" customHeight="1">
      <c r="A56" s="473"/>
      <c r="B56" s="501"/>
      <c r="C56" s="504"/>
      <c r="D56" s="501"/>
      <c r="E56" s="501"/>
      <c r="F56" s="501"/>
      <c r="G56" s="505"/>
      <c r="H56" s="504"/>
      <c r="I56" s="484"/>
      <c r="J56" s="386"/>
      <c r="K56" s="386"/>
      <c r="L56" s="386"/>
      <c r="M56" s="386"/>
      <c r="N56" s="386"/>
      <c r="O56" s="386"/>
      <c r="P56" s="386"/>
      <c r="Q56" s="386"/>
      <c r="R56" s="386"/>
      <c r="S56" s="386"/>
      <c r="T56" s="386"/>
      <c r="U56" s="386"/>
      <c r="V56" s="386"/>
      <c r="W56" s="386"/>
      <c r="X56" s="386"/>
      <c r="Y56" s="386"/>
      <c r="Z56" s="386"/>
      <c r="AA56" s="386"/>
      <c r="AB56" s="386"/>
      <c r="AC56" s="386"/>
      <c r="AD56" s="386"/>
    </row>
    <row r="57" ht="15.75" customHeight="1">
      <c r="A57" s="473"/>
      <c r="B57" s="501"/>
      <c r="C57" s="504"/>
      <c r="D57" s="501"/>
      <c r="E57" s="501"/>
      <c r="F57" s="501"/>
      <c r="G57" s="505"/>
      <c r="H57" s="504"/>
      <c r="I57" s="484"/>
      <c r="J57" s="386"/>
      <c r="K57" s="386"/>
      <c r="L57" s="386"/>
      <c r="M57" s="386"/>
      <c r="N57" s="386"/>
      <c r="O57" s="386"/>
      <c r="P57" s="386"/>
      <c r="Q57" s="386"/>
      <c r="R57" s="386"/>
      <c r="S57" s="386"/>
      <c r="T57" s="386"/>
      <c r="U57" s="386"/>
      <c r="V57" s="386"/>
      <c r="W57" s="386"/>
      <c r="X57" s="386"/>
      <c r="Y57" s="386"/>
      <c r="Z57" s="386"/>
      <c r="AA57" s="386"/>
      <c r="AB57" s="386"/>
      <c r="AC57" s="386"/>
      <c r="AD57" s="386"/>
    </row>
    <row r="58" ht="15.75" customHeight="1">
      <c r="A58" s="473"/>
      <c r="B58" s="501"/>
      <c r="C58" s="504"/>
      <c r="D58" s="501"/>
      <c r="E58" s="501"/>
      <c r="F58" s="501"/>
      <c r="G58" s="505"/>
      <c r="H58" s="504"/>
      <c r="I58" s="484"/>
      <c r="J58" s="386"/>
      <c r="K58" s="386"/>
      <c r="L58" s="386"/>
      <c r="M58" s="386"/>
      <c r="N58" s="386"/>
      <c r="O58" s="386"/>
      <c r="P58" s="386"/>
      <c r="Q58" s="386"/>
      <c r="R58" s="386"/>
      <c r="S58" s="386"/>
      <c r="T58" s="386"/>
      <c r="U58" s="386"/>
      <c r="V58" s="386"/>
      <c r="W58" s="386"/>
      <c r="X58" s="386"/>
      <c r="Y58" s="386"/>
      <c r="Z58" s="386"/>
      <c r="AA58" s="386"/>
      <c r="AB58" s="386"/>
      <c r="AC58" s="386"/>
      <c r="AD58" s="386"/>
    </row>
    <row r="59" ht="15.75" customHeight="1">
      <c r="A59" s="473"/>
      <c r="B59" s="501"/>
      <c r="C59" s="504"/>
      <c r="D59" s="501"/>
      <c r="E59" s="501"/>
      <c r="F59" s="501"/>
      <c r="G59" s="505"/>
      <c r="H59" s="504"/>
      <c r="I59" s="484"/>
      <c r="J59" s="386"/>
      <c r="K59" s="386"/>
      <c r="L59" s="386"/>
      <c r="M59" s="386"/>
      <c r="N59" s="386"/>
      <c r="O59" s="386"/>
      <c r="P59" s="386"/>
      <c r="Q59" s="386"/>
      <c r="R59" s="386"/>
      <c r="S59" s="386"/>
      <c r="T59" s="386"/>
      <c r="U59" s="386"/>
      <c r="V59" s="386"/>
      <c r="W59" s="386"/>
      <c r="X59" s="386"/>
      <c r="Y59" s="386"/>
      <c r="Z59" s="386"/>
      <c r="AA59" s="386"/>
      <c r="AB59" s="386"/>
      <c r="AC59" s="386"/>
      <c r="AD59" s="386"/>
    </row>
    <row r="60" ht="15.75" customHeight="1">
      <c r="A60" s="473"/>
      <c r="B60" s="501"/>
      <c r="C60" s="504"/>
      <c r="D60" s="501"/>
      <c r="E60" s="501"/>
      <c r="F60" s="501"/>
      <c r="G60" s="505"/>
      <c r="H60" s="504"/>
      <c r="I60" s="484"/>
      <c r="J60" s="386"/>
      <c r="K60" s="386"/>
      <c r="L60" s="386"/>
      <c r="M60" s="386"/>
      <c r="N60" s="386"/>
      <c r="O60" s="386"/>
      <c r="P60" s="386"/>
      <c r="Q60" s="386"/>
      <c r="R60" s="386"/>
      <c r="S60" s="386"/>
      <c r="T60" s="386"/>
      <c r="U60" s="386"/>
      <c r="V60" s="386"/>
      <c r="W60" s="386"/>
      <c r="X60" s="386"/>
      <c r="Y60" s="386"/>
      <c r="Z60" s="386"/>
      <c r="AA60" s="386"/>
      <c r="AB60" s="386"/>
      <c r="AC60" s="386"/>
      <c r="AD60" s="386"/>
    </row>
    <row r="61" ht="15.75" customHeight="1">
      <c r="A61" s="473"/>
      <c r="B61" s="501"/>
      <c r="C61" s="504"/>
      <c r="D61" s="501"/>
      <c r="E61" s="501"/>
      <c r="F61" s="501"/>
      <c r="G61" s="505"/>
      <c r="H61" s="504"/>
      <c r="I61" s="484"/>
      <c r="J61" s="386"/>
      <c r="K61" s="386"/>
      <c r="L61" s="386"/>
      <c r="M61" s="386"/>
      <c r="N61" s="386"/>
      <c r="O61" s="386"/>
      <c r="P61" s="386"/>
      <c r="Q61" s="386"/>
      <c r="R61" s="386"/>
      <c r="S61" s="386"/>
      <c r="T61" s="386"/>
      <c r="U61" s="386"/>
      <c r="V61" s="386"/>
      <c r="W61" s="386"/>
      <c r="X61" s="386"/>
      <c r="Y61" s="386"/>
      <c r="Z61" s="386"/>
      <c r="AA61" s="386"/>
      <c r="AB61" s="386"/>
      <c r="AC61" s="386"/>
      <c r="AD61" s="386"/>
    </row>
    <row r="62" ht="15.75" customHeight="1">
      <c r="A62" s="473"/>
      <c r="B62" s="501"/>
      <c r="C62" s="504"/>
      <c r="D62" s="501"/>
      <c r="E62" s="501"/>
      <c r="F62" s="501"/>
      <c r="G62" s="505"/>
      <c r="H62" s="504"/>
      <c r="I62" s="484"/>
      <c r="J62" s="386"/>
      <c r="K62" s="386"/>
      <c r="L62" s="386"/>
      <c r="M62" s="386"/>
      <c r="N62" s="386"/>
      <c r="O62" s="386"/>
      <c r="P62" s="386"/>
      <c r="Q62" s="386"/>
      <c r="R62" s="386"/>
      <c r="S62" s="386"/>
      <c r="T62" s="386"/>
      <c r="U62" s="386"/>
      <c r="V62" s="386"/>
      <c r="W62" s="386"/>
      <c r="X62" s="386"/>
      <c r="Y62" s="386"/>
      <c r="Z62" s="386"/>
      <c r="AA62" s="386"/>
      <c r="AB62" s="386"/>
      <c r="AC62" s="386"/>
      <c r="AD62" s="386"/>
    </row>
    <row r="63" ht="15.75" customHeight="1">
      <c r="A63" s="473"/>
      <c r="B63" s="501"/>
      <c r="C63" s="504"/>
      <c r="D63" s="501"/>
      <c r="E63" s="501"/>
      <c r="F63" s="501"/>
      <c r="G63" s="505"/>
      <c r="H63" s="501"/>
      <c r="I63" s="484"/>
      <c r="J63" s="386"/>
      <c r="K63" s="386"/>
      <c r="L63" s="386"/>
      <c r="M63" s="386"/>
      <c r="N63" s="386"/>
      <c r="O63" s="386"/>
      <c r="P63" s="386"/>
      <c r="Q63" s="386"/>
      <c r="R63" s="386"/>
      <c r="S63" s="386"/>
      <c r="T63" s="386"/>
      <c r="U63" s="386"/>
      <c r="V63" s="386"/>
      <c r="W63" s="386"/>
      <c r="X63" s="386"/>
      <c r="Y63" s="386"/>
      <c r="Z63" s="386"/>
      <c r="AA63" s="386"/>
      <c r="AB63" s="386"/>
      <c r="AC63" s="386"/>
      <c r="AD63" s="386"/>
    </row>
    <row r="64" ht="15.75" customHeight="1">
      <c r="A64" s="473"/>
      <c r="B64" s="501"/>
      <c r="C64" s="504"/>
      <c r="D64" s="501"/>
      <c r="E64" s="501"/>
      <c r="F64" s="501"/>
      <c r="G64" s="505"/>
      <c r="H64" s="501"/>
      <c r="I64" s="484"/>
      <c r="J64" s="386"/>
      <c r="K64" s="386"/>
      <c r="L64" s="386"/>
      <c r="M64" s="386"/>
      <c r="N64" s="386"/>
      <c r="O64" s="386"/>
      <c r="P64" s="386"/>
      <c r="Q64" s="386"/>
      <c r="R64" s="386"/>
      <c r="S64" s="386"/>
      <c r="T64" s="386"/>
      <c r="U64" s="386"/>
      <c r="V64" s="386"/>
      <c r="W64" s="386"/>
      <c r="X64" s="386"/>
      <c r="Y64" s="386"/>
      <c r="Z64" s="386"/>
      <c r="AA64" s="386"/>
      <c r="AB64" s="386"/>
      <c r="AC64" s="386"/>
      <c r="AD64" s="386"/>
    </row>
    <row r="65" ht="15.75" customHeight="1">
      <c r="A65" s="473"/>
      <c r="B65" s="501"/>
      <c r="C65" s="504"/>
      <c r="D65" s="501"/>
      <c r="E65" s="501"/>
      <c r="F65" s="501"/>
      <c r="G65" s="505"/>
      <c r="H65" s="501"/>
      <c r="I65" s="484"/>
      <c r="J65" s="386"/>
      <c r="K65" s="386"/>
      <c r="L65" s="386"/>
      <c r="M65" s="386"/>
      <c r="N65" s="386"/>
      <c r="O65" s="386"/>
      <c r="P65" s="386"/>
      <c r="Q65" s="386"/>
      <c r="R65" s="386"/>
      <c r="S65" s="386"/>
      <c r="T65" s="386"/>
      <c r="U65" s="386"/>
      <c r="V65" s="386"/>
      <c r="W65" s="386"/>
      <c r="X65" s="386"/>
      <c r="Y65" s="386"/>
      <c r="Z65" s="386"/>
      <c r="AA65" s="386"/>
      <c r="AB65" s="386"/>
      <c r="AC65" s="386"/>
      <c r="AD65" s="386"/>
    </row>
    <row r="66" ht="15.75" customHeight="1">
      <c r="A66" s="473"/>
      <c r="B66" s="501"/>
      <c r="C66" s="501"/>
      <c r="D66" s="501"/>
      <c r="E66" s="501"/>
      <c r="F66" s="501"/>
      <c r="G66" s="505"/>
      <c r="H66" s="501"/>
      <c r="I66" s="484"/>
      <c r="J66" s="386"/>
      <c r="K66" s="386"/>
      <c r="L66" s="386"/>
      <c r="M66" s="386"/>
      <c r="N66" s="386"/>
      <c r="O66" s="386"/>
      <c r="P66" s="386"/>
      <c r="Q66" s="386"/>
      <c r="R66" s="386"/>
      <c r="S66" s="386"/>
      <c r="T66" s="386"/>
      <c r="U66" s="386"/>
      <c r="V66" s="386"/>
      <c r="W66" s="386"/>
      <c r="X66" s="386"/>
      <c r="Y66" s="386"/>
      <c r="Z66" s="386"/>
      <c r="AA66" s="386"/>
      <c r="AB66" s="386"/>
      <c r="AC66" s="386"/>
      <c r="AD66" s="386"/>
    </row>
    <row r="67" ht="15.75" customHeight="1">
      <c r="A67" s="473"/>
      <c r="B67" s="501"/>
      <c r="C67" s="501"/>
      <c r="D67" s="501"/>
      <c r="E67" s="501"/>
      <c r="F67" s="501"/>
      <c r="G67" s="505"/>
      <c r="H67" s="501"/>
      <c r="I67" s="484"/>
      <c r="J67" s="386"/>
      <c r="K67" s="386"/>
      <c r="L67" s="386"/>
      <c r="M67" s="386"/>
      <c r="N67" s="386"/>
      <c r="O67" s="386"/>
      <c r="P67" s="386"/>
      <c r="Q67" s="386"/>
      <c r="R67" s="386"/>
      <c r="S67" s="386"/>
      <c r="T67" s="386"/>
      <c r="U67" s="386"/>
      <c r="V67" s="386"/>
      <c r="W67" s="386"/>
      <c r="X67" s="386"/>
      <c r="Y67" s="386"/>
      <c r="Z67" s="386"/>
      <c r="AA67" s="386"/>
      <c r="AB67" s="386"/>
      <c r="AC67" s="386"/>
      <c r="AD67" s="386"/>
    </row>
    <row r="68" ht="15.75" customHeight="1">
      <c r="A68" s="473"/>
      <c r="B68" s="501"/>
      <c r="C68" s="501"/>
      <c r="D68" s="501"/>
      <c r="E68" s="501"/>
      <c r="F68" s="501"/>
      <c r="G68" s="505"/>
      <c r="H68" s="501"/>
      <c r="I68" s="484"/>
      <c r="J68" s="386"/>
      <c r="K68" s="386"/>
      <c r="L68" s="386"/>
      <c r="M68" s="386"/>
      <c r="N68" s="386"/>
      <c r="O68" s="386"/>
      <c r="P68" s="386"/>
      <c r="Q68" s="386"/>
      <c r="R68" s="386"/>
      <c r="S68" s="386"/>
      <c r="T68" s="386"/>
      <c r="U68" s="386"/>
      <c r="V68" s="386"/>
      <c r="W68" s="386"/>
      <c r="X68" s="386"/>
      <c r="Y68" s="386"/>
      <c r="Z68" s="386"/>
      <c r="AA68" s="386"/>
      <c r="AB68" s="386"/>
      <c r="AC68" s="386"/>
      <c r="AD68" s="386"/>
    </row>
    <row r="69" ht="15.75" customHeight="1">
      <c r="A69" s="473"/>
      <c r="B69" s="501"/>
      <c r="C69" s="501"/>
      <c r="D69" s="501"/>
      <c r="E69" s="501"/>
      <c r="F69" s="501"/>
      <c r="G69" s="505"/>
      <c r="H69" s="501"/>
      <c r="I69" s="484"/>
      <c r="J69" s="386"/>
      <c r="K69" s="386"/>
      <c r="L69" s="386"/>
      <c r="M69" s="386"/>
      <c r="N69" s="386"/>
      <c r="O69" s="386"/>
      <c r="P69" s="386"/>
      <c r="Q69" s="386"/>
      <c r="R69" s="386"/>
      <c r="S69" s="386"/>
      <c r="T69" s="386"/>
      <c r="U69" s="386"/>
      <c r="V69" s="386"/>
      <c r="W69" s="386"/>
      <c r="X69" s="386"/>
      <c r="Y69" s="386"/>
      <c r="Z69" s="386"/>
      <c r="AA69" s="386"/>
      <c r="AB69" s="386"/>
      <c r="AC69" s="386"/>
      <c r="AD69" s="386"/>
    </row>
    <row r="70" ht="15.75" customHeight="1">
      <c r="A70" s="473"/>
      <c r="B70" s="501"/>
      <c r="C70" s="501"/>
      <c r="D70" s="501"/>
      <c r="E70" s="501"/>
      <c r="F70" s="501"/>
      <c r="G70" s="505"/>
      <c r="H70" s="501"/>
      <c r="I70" s="484"/>
      <c r="J70" s="386"/>
      <c r="K70" s="386"/>
      <c r="L70" s="386"/>
      <c r="M70" s="386"/>
      <c r="N70" s="386"/>
      <c r="O70" s="386"/>
      <c r="P70" s="386"/>
      <c r="Q70" s="386"/>
      <c r="R70" s="386"/>
      <c r="S70" s="386"/>
      <c r="T70" s="386"/>
      <c r="U70" s="386"/>
      <c r="V70" s="386"/>
      <c r="W70" s="386"/>
      <c r="X70" s="386"/>
      <c r="Y70" s="386"/>
      <c r="Z70" s="386"/>
      <c r="AA70" s="386"/>
      <c r="AB70" s="386"/>
      <c r="AC70" s="386"/>
      <c r="AD70" s="386"/>
    </row>
    <row r="71" ht="15.75" customHeight="1">
      <c r="A71" s="473"/>
      <c r="B71" s="501"/>
      <c r="C71" s="501"/>
      <c r="D71" s="501"/>
      <c r="E71" s="501"/>
      <c r="F71" s="501"/>
      <c r="G71" s="505"/>
      <c r="H71" s="501"/>
      <c r="I71" s="484"/>
      <c r="J71" s="386"/>
      <c r="K71" s="386"/>
      <c r="L71" s="386"/>
      <c r="M71" s="386"/>
      <c r="N71" s="386"/>
      <c r="O71" s="386"/>
      <c r="P71" s="386"/>
      <c r="Q71" s="386"/>
      <c r="R71" s="386"/>
      <c r="S71" s="386"/>
      <c r="T71" s="386"/>
      <c r="U71" s="386"/>
      <c r="V71" s="386"/>
      <c r="W71" s="386"/>
      <c r="X71" s="386"/>
      <c r="Y71" s="386"/>
      <c r="Z71" s="386"/>
      <c r="AA71" s="386"/>
      <c r="AB71" s="386"/>
      <c r="AC71" s="386"/>
      <c r="AD71" s="386"/>
    </row>
    <row r="72" ht="15.75" customHeight="1">
      <c r="A72" s="473"/>
      <c r="B72" s="501"/>
      <c r="C72" s="501"/>
      <c r="D72" s="501"/>
      <c r="E72" s="501"/>
      <c r="F72" s="501"/>
      <c r="G72" s="505"/>
      <c r="H72" s="501"/>
      <c r="I72" s="484"/>
      <c r="J72" s="386"/>
      <c r="K72" s="386"/>
      <c r="L72" s="386"/>
      <c r="M72" s="386"/>
      <c r="N72" s="386"/>
      <c r="O72" s="386"/>
      <c r="P72" s="386"/>
      <c r="Q72" s="386"/>
      <c r="R72" s="386"/>
      <c r="S72" s="386"/>
      <c r="T72" s="386"/>
      <c r="U72" s="386"/>
      <c r="V72" s="386"/>
      <c r="W72" s="386"/>
      <c r="X72" s="386"/>
      <c r="Y72" s="386"/>
      <c r="Z72" s="386"/>
      <c r="AA72" s="386"/>
      <c r="AB72" s="386"/>
      <c r="AC72" s="386"/>
      <c r="AD72" s="386"/>
    </row>
    <row r="73" ht="15.75" customHeight="1">
      <c r="A73" s="473"/>
      <c r="B73" s="501"/>
      <c r="C73" s="501"/>
      <c r="D73" s="501"/>
      <c r="E73" s="501"/>
      <c r="F73" s="501"/>
      <c r="G73" s="505"/>
      <c r="H73" s="501"/>
      <c r="I73" s="484"/>
      <c r="J73" s="386"/>
      <c r="K73" s="386"/>
      <c r="L73" s="386"/>
      <c r="M73" s="386"/>
      <c r="N73" s="386"/>
      <c r="O73" s="386"/>
      <c r="P73" s="386"/>
      <c r="Q73" s="386"/>
      <c r="R73" s="386"/>
      <c r="S73" s="386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</row>
    <row r="74" ht="15.75" customHeight="1">
      <c r="A74" s="473"/>
      <c r="B74" s="501"/>
      <c r="C74" s="501"/>
      <c r="D74" s="501"/>
      <c r="E74" s="501"/>
      <c r="F74" s="501"/>
      <c r="G74" s="505"/>
      <c r="H74" s="501"/>
      <c r="I74" s="484"/>
      <c r="J74" s="386"/>
      <c r="K74" s="386"/>
      <c r="L74" s="386"/>
      <c r="M74" s="386"/>
      <c r="N74" s="386"/>
      <c r="O74" s="386"/>
      <c r="P74" s="386"/>
      <c r="Q74" s="386"/>
      <c r="R74" s="386"/>
      <c r="S74" s="386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</row>
    <row r="75" ht="15.75" customHeight="1">
      <c r="A75" s="473"/>
      <c r="B75" s="501"/>
      <c r="C75" s="501"/>
      <c r="D75" s="501"/>
      <c r="E75" s="501"/>
      <c r="F75" s="501"/>
      <c r="G75" s="505"/>
      <c r="H75" s="501"/>
      <c r="I75" s="484"/>
      <c r="J75" s="386"/>
      <c r="K75" s="386"/>
      <c r="L75" s="386"/>
      <c r="M75" s="386"/>
      <c r="N75" s="386"/>
      <c r="O75" s="386"/>
      <c r="P75" s="386"/>
      <c r="Q75" s="386"/>
      <c r="R75" s="386"/>
      <c r="S75" s="386"/>
      <c r="T75" s="386"/>
      <c r="U75" s="386"/>
      <c r="V75" s="386"/>
      <c r="W75" s="386"/>
      <c r="X75" s="386"/>
      <c r="Y75" s="386"/>
      <c r="Z75" s="386"/>
      <c r="AA75" s="386"/>
      <c r="AB75" s="386"/>
      <c r="AC75" s="386"/>
      <c r="AD75" s="386"/>
    </row>
    <row r="76" ht="15.75" customHeight="1">
      <c r="A76" s="473"/>
      <c r="B76" s="501"/>
      <c r="C76" s="501"/>
      <c r="D76" s="501"/>
      <c r="E76" s="501"/>
      <c r="F76" s="501"/>
      <c r="G76" s="505"/>
      <c r="H76" s="501"/>
      <c r="I76" s="484"/>
      <c r="J76" s="386"/>
      <c r="K76" s="386"/>
      <c r="L76" s="386"/>
      <c r="M76" s="386"/>
      <c r="N76" s="386"/>
      <c r="O76" s="386"/>
      <c r="P76" s="386"/>
      <c r="Q76" s="386"/>
      <c r="R76" s="386"/>
      <c r="S76" s="386"/>
      <c r="T76" s="386"/>
      <c r="U76" s="386"/>
      <c r="V76" s="386"/>
      <c r="W76" s="386"/>
      <c r="X76" s="386"/>
      <c r="Y76" s="386"/>
      <c r="Z76" s="386"/>
      <c r="AA76" s="386"/>
      <c r="AB76" s="386"/>
      <c r="AC76" s="386"/>
      <c r="AD76" s="386"/>
    </row>
    <row r="77" ht="15.75" customHeight="1">
      <c r="A77" s="473"/>
      <c r="B77" s="501"/>
      <c r="C77" s="501"/>
      <c r="D77" s="501"/>
      <c r="E77" s="501"/>
      <c r="F77" s="501"/>
      <c r="G77" s="505"/>
      <c r="H77" s="501"/>
      <c r="I77" s="484"/>
      <c r="J77" s="386"/>
      <c r="K77" s="386"/>
      <c r="L77" s="386"/>
      <c r="M77" s="386"/>
      <c r="N77" s="386"/>
      <c r="O77" s="386"/>
      <c r="P77" s="386"/>
      <c r="Q77" s="386"/>
      <c r="R77" s="386"/>
      <c r="S77" s="386"/>
      <c r="T77" s="386"/>
      <c r="U77" s="386"/>
      <c r="V77" s="386"/>
      <c r="W77" s="386"/>
      <c r="X77" s="386"/>
      <c r="Y77" s="386"/>
      <c r="Z77" s="386"/>
      <c r="AA77" s="386"/>
      <c r="AB77" s="386"/>
      <c r="AC77" s="386"/>
      <c r="AD77" s="386"/>
    </row>
    <row r="78" ht="15.75" customHeight="1">
      <c r="A78" s="473"/>
      <c r="B78" s="501"/>
      <c r="C78" s="501"/>
      <c r="D78" s="501"/>
      <c r="E78" s="501"/>
      <c r="F78" s="501"/>
      <c r="G78" s="505"/>
      <c r="H78" s="501"/>
      <c r="I78" s="484"/>
      <c r="J78" s="386"/>
      <c r="K78" s="386"/>
      <c r="L78" s="386"/>
      <c r="M78" s="386"/>
      <c r="N78" s="386"/>
      <c r="O78" s="386"/>
      <c r="P78" s="386"/>
      <c r="Q78" s="386"/>
      <c r="R78" s="386"/>
      <c r="S78" s="386"/>
      <c r="T78" s="386"/>
      <c r="U78" s="386"/>
      <c r="V78" s="386"/>
      <c r="W78" s="386"/>
      <c r="X78" s="386"/>
      <c r="Y78" s="386"/>
      <c r="Z78" s="386"/>
      <c r="AA78" s="386"/>
      <c r="AB78" s="386"/>
      <c r="AC78" s="386"/>
      <c r="AD78" s="386"/>
    </row>
    <row r="79" ht="15.75" customHeight="1">
      <c r="A79" s="473"/>
      <c r="B79" s="501"/>
      <c r="C79" s="501"/>
      <c r="D79" s="501"/>
      <c r="E79" s="501"/>
      <c r="F79" s="501"/>
      <c r="G79" s="505"/>
      <c r="H79" s="501"/>
      <c r="I79" s="484"/>
      <c r="J79" s="386"/>
      <c r="K79" s="386"/>
      <c r="L79" s="386"/>
      <c r="M79" s="386"/>
      <c r="N79" s="386"/>
      <c r="O79" s="386"/>
      <c r="P79" s="386"/>
      <c r="Q79" s="386"/>
      <c r="R79" s="386"/>
      <c r="S79" s="386"/>
      <c r="T79" s="386"/>
      <c r="U79" s="386"/>
      <c r="V79" s="386"/>
      <c r="W79" s="386"/>
      <c r="X79" s="386"/>
      <c r="Y79" s="386"/>
      <c r="Z79" s="386"/>
      <c r="AA79" s="386"/>
      <c r="AB79" s="386"/>
      <c r="AC79" s="386"/>
      <c r="AD79" s="386"/>
    </row>
    <row r="80" ht="15.75" customHeight="1">
      <c r="A80" s="473"/>
      <c r="B80" s="501"/>
      <c r="C80" s="501"/>
      <c r="D80" s="501"/>
      <c r="E80" s="501"/>
      <c r="F80" s="501"/>
      <c r="G80" s="505"/>
      <c r="H80" s="501"/>
      <c r="I80" s="484"/>
      <c r="J80" s="386"/>
      <c r="K80" s="386"/>
      <c r="L80" s="386"/>
      <c r="M80" s="386"/>
      <c r="N80" s="386"/>
      <c r="O80" s="386"/>
      <c r="P80" s="386"/>
      <c r="Q80" s="386"/>
      <c r="R80" s="386"/>
      <c r="S80" s="386"/>
      <c r="T80" s="386"/>
      <c r="U80" s="386"/>
      <c r="V80" s="386"/>
      <c r="W80" s="386"/>
      <c r="X80" s="386"/>
      <c r="Y80" s="386"/>
      <c r="Z80" s="386"/>
      <c r="AA80" s="386"/>
      <c r="AB80" s="386"/>
      <c r="AC80" s="386"/>
      <c r="AD80" s="386"/>
    </row>
    <row r="81" ht="15.75" customHeight="1">
      <c r="A81" s="473"/>
      <c r="B81" s="501"/>
      <c r="C81" s="501"/>
      <c r="D81" s="501"/>
      <c r="E81" s="501"/>
      <c r="F81" s="501"/>
      <c r="G81" s="505"/>
      <c r="H81" s="501"/>
      <c r="I81" s="484"/>
      <c r="J81" s="386"/>
      <c r="K81" s="386"/>
      <c r="L81" s="386"/>
      <c r="M81" s="386"/>
      <c r="N81" s="386"/>
      <c r="O81" s="386"/>
      <c r="P81" s="386"/>
      <c r="Q81" s="386"/>
      <c r="R81" s="386"/>
      <c r="S81" s="386"/>
      <c r="T81" s="386"/>
      <c r="U81" s="386"/>
      <c r="V81" s="386"/>
      <c r="W81" s="386"/>
      <c r="X81" s="386"/>
      <c r="Y81" s="386"/>
      <c r="Z81" s="386"/>
      <c r="AA81" s="386"/>
      <c r="AB81" s="386"/>
      <c r="AC81" s="386"/>
      <c r="AD81" s="386"/>
    </row>
    <row r="82" ht="15.75" customHeight="1">
      <c r="A82" s="473"/>
      <c r="B82" s="501"/>
      <c r="C82" s="501"/>
      <c r="D82" s="501"/>
      <c r="E82" s="501"/>
      <c r="F82" s="501"/>
      <c r="G82" s="505"/>
      <c r="H82" s="501"/>
      <c r="I82" s="484"/>
      <c r="J82" s="386"/>
      <c r="K82" s="386"/>
      <c r="L82" s="386"/>
      <c r="M82" s="386"/>
      <c r="N82" s="386"/>
      <c r="O82" s="386"/>
      <c r="P82" s="386"/>
      <c r="Q82" s="386"/>
      <c r="R82" s="386"/>
      <c r="S82" s="386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</row>
    <row r="83" ht="15.75" customHeight="1">
      <c r="A83" s="473"/>
      <c r="B83" s="501"/>
      <c r="C83" s="501"/>
      <c r="D83" s="501"/>
      <c r="E83" s="501"/>
      <c r="F83" s="501"/>
      <c r="G83" s="505"/>
      <c r="H83" s="501"/>
      <c r="I83" s="484"/>
      <c r="J83" s="386"/>
      <c r="K83" s="386"/>
      <c r="L83" s="386"/>
      <c r="M83" s="386"/>
      <c r="N83" s="386"/>
      <c r="O83" s="386"/>
      <c r="P83" s="386"/>
      <c r="Q83" s="386"/>
      <c r="R83" s="386"/>
      <c r="S83" s="386"/>
      <c r="T83" s="386"/>
      <c r="U83" s="386"/>
      <c r="V83" s="386"/>
      <c r="W83" s="386"/>
      <c r="X83" s="386"/>
      <c r="Y83" s="386"/>
      <c r="Z83" s="386"/>
      <c r="AA83" s="386"/>
      <c r="AB83" s="386"/>
      <c r="AC83" s="386"/>
      <c r="AD83" s="386"/>
    </row>
    <row r="84" ht="15.75" customHeight="1">
      <c r="A84" s="473"/>
      <c r="B84" s="501"/>
      <c r="C84" s="501"/>
      <c r="D84" s="501"/>
      <c r="E84" s="501"/>
      <c r="F84" s="501"/>
      <c r="G84" s="505"/>
      <c r="H84" s="501"/>
      <c r="I84" s="484"/>
      <c r="J84" s="386"/>
      <c r="K84" s="386"/>
      <c r="L84" s="386"/>
      <c r="M84" s="386"/>
      <c r="N84" s="386"/>
      <c r="O84" s="386"/>
      <c r="P84" s="386"/>
      <c r="Q84" s="386"/>
      <c r="R84" s="386"/>
      <c r="S84" s="386"/>
      <c r="T84" s="386"/>
      <c r="U84" s="386"/>
      <c r="V84" s="386"/>
      <c r="W84" s="386"/>
      <c r="X84" s="386"/>
      <c r="Y84" s="386"/>
      <c r="Z84" s="386"/>
      <c r="AA84" s="386"/>
      <c r="AB84" s="386"/>
      <c r="AC84" s="386"/>
      <c r="AD84" s="386"/>
    </row>
    <row r="85" ht="15.75" customHeight="1">
      <c r="A85" s="473"/>
      <c r="B85" s="501"/>
      <c r="C85" s="501"/>
      <c r="D85" s="501"/>
      <c r="E85" s="501"/>
      <c r="F85" s="501"/>
      <c r="G85" s="505"/>
      <c r="H85" s="501"/>
      <c r="I85" s="484"/>
      <c r="J85" s="386"/>
      <c r="K85" s="386"/>
      <c r="L85" s="386"/>
      <c r="M85" s="386"/>
      <c r="N85" s="386"/>
      <c r="O85" s="386"/>
      <c r="P85" s="386"/>
      <c r="Q85" s="386"/>
      <c r="R85" s="386"/>
      <c r="S85" s="386"/>
      <c r="T85" s="386"/>
      <c r="U85" s="386"/>
      <c r="V85" s="386"/>
      <c r="W85" s="386"/>
      <c r="X85" s="386"/>
      <c r="Y85" s="386"/>
      <c r="Z85" s="386"/>
      <c r="AA85" s="386"/>
      <c r="AB85" s="386"/>
      <c r="AC85" s="386"/>
      <c r="AD85" s="386"/>
    </row>
    <row r="86" ht="15.75" customHeight="1">
      <c r="A86" s="473"/>
      <c r="B86" s="501"/>
      <c r="C86" s="501"/>
      <c r="D86" s="501"/>
      <c r="E86" s="501"/>
      <c r="F86" s="501"/>
      <c r="G86" s="505"/>
      <c r="H86" s="501"/>
      <c r="I86" s="484"/>
      <c r="J86" s="386"/>
      <c r="K86" s="386"/>
      <c r="L86" s="386"/>
      <c r="M86" s="386"/>
      <c r="N86" s="386"/>
      <c r="O86" s="386"/>
      <c r="P86" s="386"/>
      <c r="Q86" s="386"/>
      <c r="R86" s="386"/>
      <c r="S86" s="386"/>
      <c r="T86" s="386"/>
      <c r="U86" s="386"/>
      <c r="V86" s="386"/>
      <c r="W86" s="386"/>
      <c r="X86" s="386"/>
      <c r="Y86" s="386"/>
      <c r="Z86" s="386"/>
      <c r="AA86" s="386"/>
      <c r="AB86" s="386"/>
      <c r="AC86" s="386"/>
      <c r="AD86" s="386"/>
    </row>
    <row r="87" ht="15.75" customHeight="1">
      <c r="A87" s="473"/>
      <c r="B87" s="501"/>
      <c r="C87" s="501"/>
      <c r="D87" s="501"/>
      <c r="E87" s="501"/>
      <c r="F87" s="501"/>
      <c r="G87" s="505"/>
      <c r="H87" s="501"/>
      <c r="I87" s="484"/>
      <c r="J87" s="386"/>
      <c r="K87" s="386"/>
      <c r="L87" s="386"/>
      <c r="M87" s="386"/>
      <c r="N87" s="386"/>
      <c r="O87" s="386"/>
      <c r="P87" s="386"/>
      <c r="Q87" s="386"/>
      <c r="R87" s="386"/>
      <c r="S87" s="386"/>
      <c r="T87" s="386"/>
      <c r="U87" s="386"/>
      <c r="V87" s="386"/>
      <c r="W87" s="386"/>
      <c r="X87" s="386"/>
      <c r="Y87" s="386"/>
      <c r="Z87" s="386"/>
      <c r="AA87" s="386"/>
      <c r="AB87" s="386"/>
      <c r="AC87" s="386"/>
      <c r="AD87" s="386"/>
    </row>
    <row r="88" ht="15.75" customHeight="1">
      <c r="A88" s="473"/>
      <c r="B88" s="501"/>
      <c r="C88" s="501"/>
      <c r="D88" s="501"/>
      <c r="E88" s="501"/>
      <c r="F88" s="501"/>
      <c r="G88" s="505"/>
      <c r="H88" s="501"/>
      <c r="I88" s="484"/>
      <c r="J88" s="386"/>
      <c r="K88" s="386"/>
      <c r="L88" s="386"/>
      <c r="M88" s="386"/>
      <c r="N88" s="386"/>
      <c r="O88" s="386"/>
      <c r="P88" s="386"/>
      <c r="Q88" s="386"/>
      <c r="R88" s="386"/>
      <c r="S88" s="386"/>
      <c r="T88" s="386"/>
      <c r="U88" s="386"/>
      <c r="V88" s="386"/>
      <c r="W88" s="386"/>
      <c r="X88" s="386"/>
      <c r="Y88" s="386"/>
      <c r="Z88" s="386"/>
      <c r="AA88" s="386"/>
      <c r="AB88" s="386"/>
      <c r="AC88" s="386"/>
      <c r="AD88" s="386"/>
    </row>
    <row r="89" ht="15.75" customHeight="1">
      <c r="A89" s="473"/>
      <c r="B89" s="501"/>
      <c r="C89" s="501"/>
      <c r="D89" s="501"/>
      <c r="E89" s="501"/>
      <c r="F89" s="501"/>
      <c r="G89" s="505"/>
      <c r="H89" s="501"/>
      <c r="I89" s="484"/>
      <c r="J89" s="386"/>
      <c r="K89" s="386"/>
      <c r="L89" s="386"/>
      <c r="M89" s="386"/>
      <c r="N89" s="386"/>
      <c r="O89" s="386"/>
      <c r="P89" s="386"/>
      <c r="Q89" s="386"/>
      <c r="R89" s="386"/>
      <c r="S89" s="386"/>
      <c r="T89" s="386"/>
      <c r="U89" s="386"/>
      <c r="V89" s="386"/>
      <c r="W89" s="386"/>
      <c r="X89" s="386"/>
      <c r="Y89" s="386"/>
      <c r="Z89" s="386"/>
      <c r="AA89" s="386"/>
      <c r="AB89" s="386"/>
      <c r="AC89" s="386"/>
      <c r="AD89" s="386"/>
    </row>
    <row r="90" ht="15.75" customHeight="1">
      <c r="A90" s="473"/>
      <c r="B90" s="501"/>
      <c r="C90" s="501"/>
      <c r="D90" s="501"/>
      <c r="E90" s="501"/>
      <c r="F90" s="501"/>
      <c r="G90" s="505"/>
      <c r="H90" s="501"/>
      <c r="I90" s="484"/>
      <c r="J90" s="386"/>
      <c r="K90" s="386"/>
      <c r="L90" s="386"/>
      <c r="M90" s="386"/>
      <c r="N90" s="386"/>
      <c r="O90" s="386"/>
      <c r="P90" s="386"/>
      <c r="Q90" s="386"/>
      <c r="R90" s="386"/>
      <c r="S90" s="386"/>
      <c r="T90" s="386"/>
      <c r="U90" s="386"/>
      <c r="V90" s="386"/>
      <c r="W90" s="386"/>
      <c r="X90" s="386"/>
      <c r="Y90" s="386"/>
      <c r="Z90" s="386"/>
      <c r="AA90" s="386"/>
      <c r="AB90" s="386"/>
      <c r="AC90" s="386"/>
      <c r="AD90" s="386"/>
    </row>
    <row r="91" ht="15.75" customHeight="1">
      <c r="A91" s="473"/>
      <c r="B91" s="501"/>
      <c r="C91" s="501"/>
      <c r="D91" s="501"/>
      <c r="E91" s="501"/>
      <c r="F91" s="501"/>
      <c r="G91" s="505"/>
      <c r="H91" s="501"/>
      <c r="I91" s="484"/>
      <c r="J91" s="386"/>
      <c r="K91" s="386"/>
      <c r="L91" s="386"/>
      <c r="M91" s="386"/>
      <c r="N91" s="386"/>
      <c r="O91" s="386"/>
      <c r="P91" s="386"/>
      <c r="Q91" s="386"/>
      <c r="R91" s="386"/>
      <c r="S91" s="386"/>
      <c r="T91" s="386"/>
      <c r="U91" s="386"/>
      <c r="V91" s="386"/>
      <c r="W91" s="386"/>
      <c r="X91" s="386"/>
      <c r="Y91" s="386"/>
      <c r="Z91" s="386"/>
      <c r="AA91" s="386"/>
      <c r="AB91" s="386"/>
      <c r="AC91" s="386"/>
      <c r="AD91" s="386"/>
    </row>
    <row r="92" ht="15.75" customHeight="1">
      <c r="A92" s="473"/>
      <c r="B92" s="501"/>
      <c r="C92" s="501"/>
      <c r="D92" s="501"/>
      <c r="E92" s="501"/>
      <c r="F92" s="501"/>
      <c r="G92" s="505"/>
      <c r="H92" s="501"/>
      <c r="I92" s="484"/>
      <c r="J92" s="386"/>
      <c r="K92" s="386"/>
      <c r="L92" s="386"/>
      <c r="M92" s="386"/>
      <c r="N92" s="386"/>
      <c r="O92" s="386"/>
      <c r="P92" s="386"/>
      <c r="Q92" s="386"/>
      <c r="R92" s="386"/>
      <c r="S92" s="386"/>
      <c r="T92" s="386"/>
      <c r="U92" s="386"/>
      <c r="V92" s="386"/>
      <c r="W92" s="386"/>
      <c r="X92" s="386"/>
      <c r="Y92" s="386"/>
      <c r="Z92" s="386"/>
      <c r="AA92" s="386"/>
      <c r="AB92" s="386"/>
      <c r="AC92" s="386"/>
      <c r="AD92" s="386"/>
    </row>
    <row r="93" ht="15.75" customHeight="1">
      <c r="A93" s="473"/>
      <c r="B93" s="501"/>
      <c r="C93" s="501"/>
      <c r="D93" s="501"/>
      <c r="E93" s="501"/>
      <c r="F93" s="501"/>
      <c r="G93" s="505"/>
      <c r="H93" s="501"/>
      <c r="I93" s="484"/>
      <c r="J93" s="386"/>
      <c r="K93" s="386"/>
      <c r="L93" s="386"/>
      <c r="M93" s="386"/>
      <c r="N93" s="386"/>
      <c r="O93" s="386"/>
      <c r="P93" s="386"/>
      <c r="Q93" s="386"/>
      <c r="R93" s="386"/>
      <c r="S93" s="386"/>
      <c r="T93" s="386"/>
      <c r="U93" s="386"/>
      <c r="V93" s="386"/>
      <c r="W93" s="386"/>
      <c r="X93" s="386"/>
      <c r="Y93" s="386"/>
      <c r="Z93" s="386"/>
      <c r="AA93" s="386"/>
      <c r="AB93" s="386"/>
      <c r="AC93" s="386"/>
      <c r="AD93" s="386"/>
    </row>
    <row r="94" ht="15.75" customHeight="1">
      <c r="A94" s="473"/>
      <c r="B94" s="501"/>
      <c r="C94" s="501"/>
      <c r="D94" s="501"/>
      <c r="E94" s="501"/>
      <c r="F94" s="501"/>
      <c r="G94" s="505"/>
      <c r="H94" s="501"/>
      <c r="I94" s="484"/>
      <c r="J94" s="386"/>
      <c r="K94" s="386"/>
      <c r="L94" s="386"/>
      <c r="M94" s="386"/>
      <c r="N94" s="386"/>
      <c r="O94" s="386"/>
      <c r="P94" s="386"/>
      <c r="Q94" s="386"/>
      <c r="R94" s="386"/>
      <c r="S94" s="386"/>
      <c r="T94" s="386"/>
      <c r="U94" s="386"/>
      <c r="V94" s="386"/>
      <c r="W94" s="386"/>
      <c r="X94" s="386"/>
      <c r="Y94" s="386"/>
      <c r="Z94" s="386"/>
      <c r="AA94" s="386"/>
      <c r="AB94" s="386"/>
      <c r="AC94" s="386"/>
      <c r="AD94" s="386"/>
    </row>
    <row r="95" ht="15.75" customHeight="1">
      <c r="A95" s="473"/>
      <c r="B95" s="501"/>
      <c r="C95" s="501"/>
      <c r="D95" s="501"/>
      <c r="E95" s="501"/>
      <c r="F95" s="501"/>
      <c r="G95" s="505"/>
      <c r="H95" s="501"/>
      <c r="I95" s="484"/>
      <c r="J95" s="386"/>
      <c r="K95" s="386"/>
      <c r="L95" s="386"/>
      <c r="M95" s="386"/>
      <c r="N95" s="386"/>
      <c r="O95" s="386"/>
      <c r="P95" s="386"/>
      <c r="Q95" s="386"/>
      <c r="R95" s="386"/>
      <c r="S95" s="386"/>
      <c r="T95" s="386"/>
      <c r="U95" s="386"/>
      <c r="V95" s="386"/>
      <c r="W95" s="386"/>
      <c r="X95" s="386"/>
      <c r="Y95" s="386"/>
      <c r="Z95" s="386"/>
      <c r="AA95" s="386"/>
      <c r="AB95" s="386"/>
      <c r="AC95" s="386"/>
      <c r="AD95" s="386"/>
    </row>
    <row r="96" ht="15.75" customHeight="1">
      <c r="A96" s="473"/>
      <c r="B96" s="501"/>
      <c r="C96" s="501"/>
      <c r="D96" s="501"/>
      <c r="E96" s="501"/>
      <c r="F96" s="501"/>
      <c r="G96" s="505"/>
      <c r="H96" s="501"/>
      <c r="I96" s="484"/>
      <c r="J96" s="386"/>
      <c r="K96" s="386"/>
      <c r="L96" s="386"/>
      <c r="M96" s="386"/>
      <c r="N96" s="386"/>
      <c r="O96" s="386"/>
      <c r="P96" s="386"/>
      <c r="Q96" s="386"/>
      <c r="R96" s="386"/>
      <c r="S96" s="386"/>
      <c r="T96" s="386"/>
      <c r="U96" s="386"/>
      <c r="V96" s="386"/>
      <c r="W96" s="386"/>
      <c r="X96" s="386"/>
      <c r="Y96" s="386"/>
      <c r="Z96" s="386"/>
      <c r="AA96" s="386"/>
      <c r="AB96" s="386"/>
      <c r="AC96" s="386"/>
      <c r="AD96" s="386"/>
    </row>
    <row r="97" ht="15.75" customHeight="1">
      <c r="A97" s="473"/>
      <c r="B97" s="501"/>
      <c r="C97" s="501"/>
      <c r="D97" s="501"/>
      <c r="E97" s="501"/>
      <c r="F97" s="501"/>
      <c r="G97" s="505"/>
      <c r="H97" s="501"/>
      <c r="I97" s="484"/>
      <c r="J97" s="386"/>
      <c r="K97" s="386"/>
      <c r="L97" s="386"/>
      <c r="M97" s="386"/>
      <c r="N97" s="386"/>
      <c r="O97" s="386"/>
      <c r="P97" s="386"/>
      <c r="Q97" s="386"/>
      <c r="R97" s="386"/>
      <c r="S97" s="386"/>
      <c r="T97" s="386"/>
      <c r="U97" s="386"/>
      <c r="V97" s="386"/>
      <c r="W97" s="386"/>
      <c r="X97" s="386"/>
      <c r="Y97" s="386"/>
      <c r="Z97" s="386"/>
      <c r="AA97" s="386"/>
      <c r="AB97" s="386"/>
      <c r="AC97" s="386"/>
      <c r="AD97" s="386"/>
    </row>
    <row r="98" ht="15.75" customHeight="1">
      <c r="A98" s="473"/>
      <c r="B98" s="501"/>
      <c r="C98" s="501"/>
      <c r="D98" s="501"/>
      <c r="E98" s="501"/>
      <c r="F98" s="501"/>
      <c r="G98" s="505"/>
      <c r="H98" s="501"/>
      <c r="I98" s="484"/>
      <c r="J98" s="386"/>
      <c r="K98" s="386"/>
      <c r="L98" s="386"/>
      <c r="M98" s="386"/>
      <c r="N98" s="386"/>
      <c r="O98" s="386"/>
      <c r="P98" s="386"/>
      <c r="Q98" s="386"/>
      <c r="R98" s="386"/>
      <c r="S98" s="386"/>
      <c r="T98" s="386"/>
      <c r="U98" s="386"/>
      <c r="V98" s="386"/>
      <c r="W98" s="386"/>
      <c r="X98" s="386"/>
      <c r="Y98" s="386"/>
      <c r="Z98" s="386"/>
      <c r="AA98" s="386"/>
      <c r="AB98" s="386"/>
      <c r="AC98" s="386"/>
      <c r="AD98" s="386"/>
    </row>
    <row r="99" ht="15.75" customHeight="1">
      <c r="A99" s="473"/>
      <c r="B99" s="501"/>
      <c r="C99" s="501"/>
      <c r="D99" s="501"/>
      <c r="E99" s="501"/>
      <c r="F99" s="501"/>
      <c r="G99" s="505"/>
      <c r="H99" s="501"/>
      <c r="I99" s="484"/>
      <c r="J99" s="386"/>
      <c r="K99" s="386"/>
      <c r="L99" s="386"/>
      <c r="M99" s="386"/>
      <c r="N99" s="386"/>
      <c r="O99" s="386"/>
      <c r="P99" s="386"/>
      <c r="Q99" s="386"/>
      <c r="R99" s="386"/>
      <c r="S99" s="386"/>
      <c r="T99" s="386"/>
      <c r="U99" s="386"/>
      <c r="V99" s="386"/>
      <c r="W99" s="386"/>
      <c r="X99" s="386"/>
      <c r="Y99" s="386"/>
      <c r="Z99" s="386"/>
      <c r="AA99" s="386"/>
      <c r="AB99" s="386"/>
      <c r="AC99" s="386"/>
      <c r="AD99" s="386"/>
    </row>
    <row r="100" ht="15.75" customHeight="1">
      <c r="A100" s="473"/>
      <c r="B100" s="501"/>
      <c r="C100" s="501"/>
      <c r="D100" s="501"/>
      <c r="E100" s="501"/>
      <c r="F100" s="501"/>
      <c r="G100" s="505"/>
      <c r="H100" s="501"/>
      <c r="I100" s="484"/>
      <c r="J100" s="386"/>
      <c r="K100" s="386"/>
      <c r="L100" s="386"/>
      <c r="M100" s="386"/>
      <c r="N100" s="386"/>
      <c r="O100" s="386"/>
      <c r="P100" s="386"/>
      <c r="Q100" s="386"/>
      <c r="R100" s="386"/>
      <c r="S100" s="386"/>
      <c r="T100" s="386"/>
      <c r="U100" s="386"/>
      <c r="V100" s="386"/>
      <c r="W100" s="386"/>
      <c r="X100" s="386"/>
      <c r="Y100" s="386"/>
      <c r="Z100" s="386"/>
      <c r="AA100" s="386"/>
      <c r="AB100" s="386"/>
      <c r="AC100" s="386"/>
      <c r="AD100" s="386"/>
    </row>
    <row r="101" ht="15.75" customHeight="1">
      <c r="A101" s="473"/>
      <c r="B101" s="501"/>
      <c r="C101" s="501"/>
      <c r="D101" s="501"/>
      <c r="E101" s="501"/>
      <c r="F101" s="501"/>
      <c r="G101" s="505"/>
      <c r="H101" s="501"/>
      <c r="I101" s="484"/>
      <c r="J101" s="386"/>
      <c r="K101" s="386"/>
      <c r="L101" s="386"/>
      <c r="M101" s="386"/>
      <c r="N101" s="386"/>
      <c r="O101" s="386"/>
      <c r="P101" s="386"/>
      <c r="Q101" s="386"/>
      <c r="R101" s="386"/>
      <c r="S101" s="386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</row>
    <row r="102" ht="15.75" customHeight="1">
      <c r="A102" s="473"/>
      <c r="B102" s="501"/>
      <c r="C102" s="501"/>
      <c r="D102" s="501"/>
      <c r="E102" s="501"/>
      <c r="F102" s="501"/>
      <c r="G102" s="505"/>
      <c r="H102" s="501"/>
      <c r="I102" s="484"/>
      <c r="J102" s="386"/>
      <c r="K102" s="386"/>
      <c r="L102" s="386"/>
      <c r="M102" s="386"/>
      <c r="N102" s="386"/>
      <c r="O102" s="386"/>
      <c r="P102" s="386"/>
      <c r="Q102" s="386"/>
      <c r="R102" s="386"/>
      <c r="S102" s="386"/>
      <c r="T102" s="386"/>
      <c r="U102" s="386"/>
      <c r="V102" s="386"/>
      <c r="W102" s="386"/>
      <c r="X102" s="386"/>
      <c r="Y102" s="386"/>
      <c r="Z102" s="386"/>
      <c r="AA102" s="386"/>
      <c r="AB102" s="386"/>
      <c r="AC102" s="386"/>
      <c r="AD102" s="386"/>
    </row>
    <row r="103" ht="15.75" customHeight="1">
      <c r="A103" s="473"/>
      <c r="B103" s="501"/>
      <c r="C103" s="501"/>
      <c r="D103" s="501"/>
      <c r="E103" s="501"/>
      <c r="F103" s="501"/>
      <c r="G103" s="505"/>
      <c r="H103" s="501"/>
      <c r="I103" s="484"/>
      <c r="J103" s="386"/>
      <c r="K103" s="386"/>
      <c r="L103" s="386"/>
      <c r="M103" s="386"/>
      <c r="N103" s="386"/>
      <c r="O103" s="386"/>
      <c r="P103" s="386"/>
      <c r="Q103" s="386"/>
      <c r="R103" s="386"/>
      <c r="S103" s="386"/>
      <c r="T103" s="386"/>
      <c r="U103" s="386"/>
      <c r="V103" s="386"/>
      <c r="W103" s="386"/>
      <c r="X103" s="386"/>
      <c r="Y103" s="386"/>
      <c r="Z103" s="386"/>
      <c r="AA103" s="386"/>
      <c r="AB103" s="386"/>
      <c r="AC103" s="386"/>
      <c r="AD103" s="386"/>
    </row>
    <row r="104" ht="15.75" customHeight="1">
      <c r="A104" s="473"/>
      <c r="B104" s="501"/>
      <c r="C104" s="501"/>
      <c r="D104" s="501"/>
      <c r="E104" s="501"/>
      <c r="F104" s="501"/>
      <c r="G104" s="505"/>
      <c r="H104" s="501"/>
      <c r="I104" s="484"/>
      <c r="J104" s="386"/>
      <c r="K104" s="386"/>
      <c r="L104" s="386"/>
      <c r="M104" s="386"/>
      <c r="N104" s="386"/>
      <c r="O104" s="386"/>
      <c r="P104" s="386"/>
      <c r="Q104" s="386"/>
      <c r="R104" s="386"/>
      <c r="S104" s="386"/>
      <c r="T104" s="386"/>
      <c r="U104" s="386"/>
      <c r="V104" s="386"/>
      <c r="W104" s="386"/>
      <c r="X104" s="386"/>
      <c r="Y104" s="386"/>
      <c r="Z104" s="386"/>
      <c r="AA104" s="386"/>
      <c r="AB104" s="386"/>
      <c r="AC104" s="386"/>
      <c r="AD104" s="386"/>
    </row>
    <row r="105" ht="15.75" customHeight="1">
      <c r="A105" s="473"/>
      <c r="B105" s="501"/>
      <c r="C105" s="501"/>
      <c r="D105" s="501"/>
      <c r="E105" s="501"/>
      <c r="F105" s="501"/>
      <c r="G105" s="505"/>
      <c r="H105" s="501"/>
      <c r="I105" s="484"/>
      <c r="J105" s="386"/>
      <c r="K105" s="386"/>
      <c r="L105" s="386"/>
      <c r="M105" s="386"/>
      <c r="N105" s="386"/>
      <c r="O105" s="386"/>
      <c r="P105" s="386"/>
      <c r="Q105" s="386"/>
      <c r="R105" s="386"/>
      <c r="S105" s="386"/>
      <c r="T105" s="386"/>
      <c r="U105" s="386"/>
      <c r="V105" s="386"/>
      <c r="W105" s="386"/>
      <c r="X105" s="386"/>
      <c r="Y105" s="386"/>
      <c r="Z105" s="386"/>
      <c r="AA105" s="386"/>
      <c r="AB105" s="386"/>
      <c r="AC105" s="386"/>
      <c r="AD105" s="386"/>
    </row>
    <row r="106" ht="15.75" customHeight="1">
      <c r="A106" s="473"/>
      <c r="B106" s="501"/>
      <c r="C106" s="501"/>
      <c r="D106" s="501"/>
      <c r="E106" s="501"/>
      <c r="F106" s="501"/>
      <c r="G106" s="505"/>
      <c r="H106" s="501"/>
      <c r="I106" s="484"/>
      <c r="J106" s="386"/>
      <c r="K106" s="386"/>
      <c r="L106" s="386"/>
      <c r="M106" s="386"/>
      <c r="N106" s="386"/>
      <c r="O106" s="386"/>
      <c r="P106" s="386"/>
      <c r="Q106" s="386"/>
      <c r="R106" s="386"/>
      <c r="S106" s="386"/>
      <c r="T106" s="386"/>
      <c r="U106" s="386"/>
      <c r="V106" s="386"/>
      <c r="W106" s="386"/>
      <c r="X106" s="386"/>
      <c r="Y106" s="386"/>
      <c r="Z106" s="386"/>
      <c r="AA106" s="386"/>
      <c r="AB106" s="386"/>
      <c r="AC106" s="386"/>
      <c r="AD106" s="386"/>
    </row>
    <row r="107" ht="15.75" customHeight="1">
      <c r="A107" s="473"/>
      <c r="B107" s="501"/>
      <c r="C107" s="501"/>
      <c r="D107" s="501"/>
      <c r="E107" s="501"/>
      <c r="F107" s="501"/>
      <c r="G107" s="505"/>
      <c r="H107" s="501"/>
      <c r="I107" s="484"/>
      <c r="J107" s="386"/>
      <c r="K107" s="386"/>
      <c r="L107" s="386"/>
      <c r="M107" s="386"/>
      <c r="N107" s="386"/>
      <c r="O107" s="386"/>
      <c r="P107" s="386"/>
      <c r="Q107" s="386"/>
      <c r="R107" s="386"/>
      <c r="S107" s="386"/>
      <c r="T107" s="386"/>
      <c r="U107" s="386"/>
      <c r="V107" s="386"/>
      <c r="W107" s="386"/>
      <c r="X107" s="386"/>
      <c r="Y107" s="386"/>
      <c r="Z107" s="386"/>
      <c r="AA107" s="386"/>
      <c r="AB107" s="386"/>
      <c r="AC107" s="386"/>
      <c r="AD107" s="386"/>
    </row>
    <row r="108" ht="15.75" customHeight="1">
      <c r="A108" s="473"/>
      <c r="B108" s="501"/>
      <c r="C108" s="501"/>
      <c r="D108" s="501"/>
      <c r="E108" s="501"/>
      <c r="F108" s="501"/>
      <c r="G108" s="505"/>
      <c r="H108" s="501"/>
      <c r="I108" s="484"/>
      <c r="J108" s="386"/>
      <c r="K108" s="386"/>
      <c r="L108" s="386"/>
      <c r="M108" s="386"/>
      <c r="N108" s="386"/>
      <c r="O108" s="386"/>
      <c r="P108" s="386"/>
      <c r="Q108" s="386"/>
      <c r="R108" s="386"/>
      <c r="S108" s="386"/>
      <c r="T108" s="386"/>
      <c r="U108" s="386"/>
      <c r="V108" s="386"/>
      <c r="W108" s="386"/>
      <c r="X108" s="386"/>
      <c r="Y108" s="386"/>
      <c r="Z108" s="386"/>
      <c r="AA108" s="386"/>
      <c r="AB108" s="386"/>
      <c r="AC108" s="386"/>
      <c r="AD108" s="386"/>
    </row>
    <row r="109" ht="15.75" customHeight="1">
      <c r="A109" s="473"/>
      <c r="B109" s="501"/>
      <c r="C109" s="501"/>
      <c r="D109" s="501"/>
      <c r="E109" s="501"/>
      <c r="F109" s="501"/>
      <c r="G109" s="505"/>
      <c r="H109" s="501"/>
      <c r="I109" s="484"/>
      <c r="J109" s="386"/>
      <c r="K109" s="386"/>
      <c r="L109" s="386"/>
      <c r="M109" s="386"/>
      <c r="N109" s="386"/>
      <c r="O109" s="386"/>
      <c r="P109" s="386"/>
      <c r="Q109" s="386"/>
      <c r="R109" s="386"/>
      <c r="S109" s="386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</row>
    <row r="110" ht="15.75" customHeight="1">
      <c r="A110" s="473"/>
      <c r="B110" s="501"/>
      <c r="C110" s="501"/>
      <c r="D110" s="501"/>
      <c r="E110" s="501"/>
      <c r="F110" s="501"/>
      <c r="G110" s="505"/>
      <c r="H110" s="501"/>
      <c r="I110" s="484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386"/>
      <c r="U110" s="386"/>
      <c r="V110" s="386"/>
      <c r="W110" s="386"/>
      <c r="X110" s="386"/>
      <c r="Y110" s="386"/>
      <c r="Z110" s="386"/>
      <c r="AA110" s="386"/>
      <c r="AB110" s="386"/>
      <c r="AC110" s="386"/>
      <c r="AD110" s="386"/>
    </row>
    <row r="111" ht="15.75" customHeight="1">
      <c r="A111" s="473"/>
      <c r="B111" s="501"/>
      <c r="C111" s="501"/>
      <c r="D111" s="501"/>
      <c r="E111" s="501"/>
      <c r="F111" s="501"/>
      <c r="G111" s="505"/>
      <c r="H111" s="501"/>
      <c r="I111" s="484"/>
      <c r="J111" s="386"/>
      <c r="K111" s="386"/>
      <c r="L111" s="386"/>
      <c r="M111" s="386"/>
      <c r="N111" s="386"/>
      <c r="O111" s="386"/>
      <c r="P111" s="386"/>
      <c r="Q111" s="386"/>
      <c r="R111" s="386"/>
      <c r="S111" s="386"/>
      <c r="T111" s="386"/>
      <c r="U111" s="386"/>
      <c r="V111" s="386"/>
      <c r="W111" s="386"/>
      <c r="X111" s="386"/>
      <c r="Y111" s="386"/>
      <c r="Z111" s="386"/>
      <c r="AA111" s="386"/>
      <c r="AB111" s="386"/>
      <c r="AC111" s="386"/>
      <c r="AD111" s="386"/>
    </row>
    <row r="112" ht="15.75" customHeight="1">
      <c r="A112" s="473"/>
      <c r="B112" s="501"/>
      <c r="C112" s="501"/>
      <c r="D112" s="501"/>
      <c r="E112" s="501"/>
      <c r="F112" s="501"/>
      <c r="G112" s="505"/>
      <c r="H112" s="501"/>
      <c r="I112" s="484"/>
      <c r="J112" s="386"/>
      <c r="K112" s="386"/>
      <c r="L112" s="386"/>
      <c r="M112" s="386"/>
      <c r="N112" s="386"/>
      <c r="O112" s="386"/>
      <c r="P112" s="386"/>
      <c r="Q112" s="386"/>
      <c r="R112" s="386"/>
      <c r="S112" s="386"/>
      <c r="T112" s="386"/>
      <c r="U112" s="386"/>
      <c r="V112" s="386"/>
      <c r="W112" s="386"/>
      <c r="X112" s="386"/>
      <c r="Y112" s="386"/>
      <c r="Z112" s="386"/>
      <c r="AA112" s="386"/>
      <c r="AB112" s="386"/>
      <c r="AC112" s="386"/>
      <c r="AD112" s="386"/>
    </row>
    <row r="113" ht="15.75" customHeight="1">
      <c r="A113" s="473"/>
      <c r="B113" s="501"/>
      <c r="C113" s="501"/>
      <c r="D113" s="501"/>
      <c r="E113" s="501"/>
      <c r="F113" s="501"/>
      <c r="G113" s="505"/>
      <c r="H113" s="501"/>
      <c r="I113" s="484"/>
      <c r="J113" s="386"/>
      <c r="K113" s="386"/>
      <c r="L113" s="386"/>
      <c r="M113" s="386"/>
      <c r="N113" s="386"/>
      <c r="O113" s="386"/>
      <c r="P113" s="386"/>
      <c r="Q113" s="386"/>
      <c r="R113" s="386"/>
      <c r="S113" s="386"/>
      <c r="T113" s="386"/>
      <c r="U113" s="386"/>
      <c r="V113" s="386"/>
      <c r="W113" s="386"/>
      <c r="X113" s="386"/>
      <c r="Y113" s="386"/>
      <c r="Z113" s="386"/>
      <c r="AA113" s="386"/>
      <c r="AB113" s="386"/>
      <c r="AC113" s="386"/>
      <c r="AD113" s="386"/>
    </row>
    <row r="114" ht="15.75" customHeight="1">
      <c r="A114" s="473"/>
      <c r="B114" s="501"/>
      <c r="C114" s="501"/>
      <c r="D114" s="501"/>
      <c r="E114" s="501"/>
      <c r="F114" s="501"/>
      <c r="G114" s="505"/>
      <c r="H114" s="501"/>
      <c r="I114" s="484"/>
      <c r="J114" s="386"/>
      <c r="K114" s="386"/>
      <c r="L114" s="386"/>
      <c r="M114" s="386"/>
      <c r="N114" s="386"/>
      <c r="O114" s="386"/>
      <c r="P114" s="386"/>
      <c r="Q114" s="386"/>
      <c r="R114" s="386"/>
      <c r="S114" s="386"/>
      <c r="T114" s="386"/>
      <c r="U114" s="386"/>
      <c r="V114" s="386"/>
      <c r="W114" s="386"/>
      <c r="X114" s="386"/>
      <c r="Y114" s="386"/>
      <c r="Z114" s="386"/>
      <c r="AA114" s="386"/>
      <c r="AB114" s="386"/>
      <c r="AC114" s="386"/>
      <c r="AD114" s="386"/>
    </row>
    <row r="115" ht="15.75" customHeight="1">
      <c r="A115" s="473"/>
      <c r="B115" s="501"/>
      <c r="C115" s="501"/>
      <c r="D115" s="501"/>
      <c r="E115" s="501"/>
      <c r="F115" s="501"/>
      <c r="G115" s="505"/>
      <c r="H115" s="501"/>
      <c r="I115" s="484"/>
      <c r="J115" s="386"/>
      <c r="K115" s="386"/>
      <c r="L115" s="386"/>
      <c r="M115" s="386"/>
      <c r="N115" s="386"/>
      <c r="O115" s="386"/>
      <c r="P115" s="386"/>
      <c r="Q115" s="386"/>
      <c r="R115" s="386"/>
      <c r="S115" s="386"/>
      <c r="T115" s="386"/>
      <c r="U115" s="386"/>
      <c r="V115" s="386"/>
      <c r="W115" s="386"/>
      <c r="X115" s="386"/>
      <c r="Y115" s="386"/>
      <c r="Z115" s="386"/>
      <c r="AA115" s="386"/>
      <c r="AB115" s="386"/>
      <c r="AC115" s="386"/>
      <c r="AD115" s="386"/>
    </row>
    <row r="116" ht="15.75" customHeight="1">
      <c r="A116" s="473"/>
      <c r="B116" s="501"/>
      <c r="C116" s="501"/>
      <c r="D116" s="501"/>
      <c r="E116" s="501"/>
      <c r="F116" s="501"/>
      <c r="G116" s="505"/>
      <c r="H116" s="501"/>
      <c r="I116" s="484"/>
      <c r="J116" s="386"/>
      <c r="K116" s="386"/>
      <c r="L116" s="386"/>
      <c r="M116" s="386"/>
      <c r="N116" s="386"/>
      <c r="O116" s="386"/>
      <c r="P116" s="386"/>
      <c r="Q116" s="386"/>
      <c r="R116" s="386"/>
      <c r="S116" s="386"/>
      <c r="T116" s="386"/>
      <c r="U116" s="386"/>
      <c r="V116" s="386"/>
      <c r="W116" s="386"/>
      <c r="X116" s="386"/>
      <c r="Y116" s="386"/>
      <c r="Z116" s="386"/>
      <c r="AA116" s="386"/>
      <c r="AB116" s="386"/>
      <c r="AC116" s="386"/>
      <c r="AD116" s="386"/>
    </row>
    <row r="117" ht="15.75" customHeight="1">
      <c r="A117" s="473"/>
      <c r="B117" s="501"/>
      <c r="C117" s="501"/>
      <c r="D117" s="501"/>
      <c r="E117" s="501"/>
      <c r="F117" s="501"/>
      <c r="G117" s="505"/>
      <c r="H117" s="501"/>
      <c r="I117" s="484"/>
      <c r="J117" s="386"/>
      <c r="K117" s="386"/>
      <c r="L117" s="386"/>
      <c r="M117" s="386"/>
      <c r="N117" s="386"/>
      <c r="O117" s="386"/>
      <c r="P117" s="386"/>
      <c r="Q117" s="386"/>
      <c r="R117" s="386"/>
      <c r="S117" s="386"/>
      <c r="T117" s="386"/>
      <c r="U117" s="386"/>
      <c r="V117" s="386"/>
      <c r="W117" s="386"/>
      <c r="X117" s="386"/>
      <c r="Y117" s="386"/>
      <c r="Z117" s="386"/>
      <c r="AA117" s="386"/>
      <c r="AB117" s="386"/>
      <c r="AC117" s="386"/>
      <c r="AD117" s="386"/>
    </row>
    <row r="118" ht="15.75" customHeight="1">
      <c r="A118" s="473"/>
      <c r="B118" s="501"/>
      <c r="C118" s="501"/>
      <c r="D118" s="501"/>
      <c r="E118" s="501"/>
      <c r="F118" s="501"/>
      <c r="G118" s="505"/>
      <c r="H118" s="501"/>
      <c r="I118" s="484"/>
      <c r="J118" s="386"/>
      <c r="K118" s="386"/>
      <c r="L118" s="386"/>
      <c r="M118" s="386"/>
      <c r="N118" s="386"/>
      <c r="O118" s="386"/>
      <c r="P118" s="386"/>
      <c r="Q118" s="386"/>
      <c r="R118" s="386"/>
      <c r="S118" s="386"/>
      <c r="T118" s="386"/>
      <c r="U118" s="386"/>
      <c r="V118" s="386"/>
      <c r="W118" s="386"/>
      <c r="X118" s="386"/>
      <c r="Y118" s="386"/>
      <c r="Z118" s="386"/>
      <c r="AA118" s="386"/>
      <c r="AB118" s="386"/>
      <c r="AC118" s="386"/>
      <c r="AD118" s="386"/>
    </row>
    <row r="119" ht="15.75" customHeight="1">
      <c r="A119" s="473"/>
      <c r="B119" s="501"/>
      <c r="C119" s="501"/>
      <c r="D119" s="501"/>
      <c r="E119" s="501"/>
      <c r="F119" s="501"/>
      <c r="G119" s="505"/>
      <c r="H119" s="501"/>
      <c r="I119" s="484"/>
      <c r="J119" s="386"/>
      <c r="K119" s="386"/>
      <c r="L119" s="386"/>
      <c r="M119" s="386"/>
      <c r="N119" s="386"/>
      <c r="O119" s="386"/>
      <c r="P119" s="386"/>
      <c r="Q119" s="386"/>
      <c r="R119" s="386"/>
      <c r="S119" s="386"/>
      <c r="T119" s="386"/>
      <c r="U119" s="386"/>
      <c r="V119" s="386"/>
      <c r="W119" s="386"/>
      <c r="X119" s="386"/>
      <c r="Y119" s="386"/>
      <c r="Z119" s="386"/>
      <c r="AA119" s="386"/>
      <c r="AB119" s="386"/>
      <c r="AC119" s="386"/>
      <c r="AD119" s="386"/>
    </row>
    <row r="120" ht="15.75" customHeight="1">
      <c r="A120" s="473"/>
      <c r="B120" s="501"/>
      <c r="C120" s="501"/>
      <c r="D120" s="501"/>
      <c r="E120" s="501"/>
      <c r="F120" s="501"/>
      <c r="G120" s="505"/>
      <c r="H120" s="501"/>
      <c r="I120" s="484"/>
      <c r="J120" s="386"/>
      <c r="K120" s="386"/>
      <c r="L120" s="386"/>
      <c r="M120" s="386"/>
      <c r="N120" s="386"/>
      <c r="O120" s="386"/>
      <c r="P120" s="386"/>
      <c r="Q120" s="386"/>
      <c r="R120" s="386"/>
      <c r="S120" s="386"/>
      <c r="T120" s="386"/>
      <c r="U120" s="386"/>
      <c r="V120" s="386"/>
      <c r="W120" s="386"/>
      <c r="X120" s="386"/>
      <c r="Y120" s="386"/>
      <c r="Z120" s="386"/>
      <c r="AA120" s="386"/>
      <c r="AB120" s="386"/>
      <c r="AC120" s="386"/>
      <c r="AD120" s="386"/>
    </row>
    <row r="121" ht="15.75" customHeight="1">
      <c r="A121" s="473"/>
      <c r="B121" s="501"/>
      <c r="C121" s="501"/>
      <c r="D121" s="501"/>
      <c r="E121" s="501"/>
      <c r="F121" s="501"/>
      <c r="G121" s="505"/>
      <c r="H121" s="501"/>
      <c r="I121" s="484"/>
      <c r="J121" s="386"/>
      <c r="K121" s="386"/>
      <c r="L121" s="386"/>
      <c r="M121" s="386"/>
      <c r="N121" s="386"/>
      <c r="O121" s="386"/>
      <c r="P121" s="386"/>
      <c r="Q121" s="386"/>
      <c r="R121" s="386"/>
      <c r="S121" s="386"/>
      <c r="T121" s="386"/>
      <c r="U121" s="386"/>
      <c r="V121" s="386"/>
      <c r="W121" s="386"/>
      <c r="X121" s="386"/>
      <c r="Y121" s="386"/>
      <c r="Z121" s="386"/>
      <c r="AA121" s="386"/>
      <c r="AB121" s="386"/>
      <c r="AC121" s="386"/>
      <c r="AD121" s="386"/>
    </row>
    <row r="122" ht="15.75" customHeight="1">
      <c r="A122" s="473"/>
      <c r="B122" s="501"/>
      <c r="C122" s="501"/>
      <c r="D122" s="501"/>
      <c r="E122" s="501"/>
      <c r="F122" s="501"/>
      <c r="G122" s="505"/>
      <c r="H122" s="501"/>
      <c r="I122" s="484"/>
      <c r="J122" s="386"/>
      <c r="K122" s="386"/>
      <c r="L122" s="386"/>
      <c r="M122" s="386"/>
      <c r="N122" s="386"/>
      <c r="O122" s="386"/>
      <c r="P122" s="386"/>
      <c r="Q122" s="386"/>
      <c r="R122" s="386"/>
      <c r="S122" s="386"/>
      <c r="T122" s="386"/>
      <c r="U122" s="386"/>
      <c r="V122" s="386"/>
      <c r="W122" s="386"/>
      <c r="X122" s="386"/>
      <c r="Y122" s="386"/>
      <c r="Z122" s="386"/>
      <c r="AA122" s="386"/>
      <c r="AB122" s="386"/>
      <c r="AC122" s="386"/>
      <c r="AD122" s="386"/>
    </row>
    <row r="123" ht="15.75" customHeight="1">
      <c r="A123" s="473"/>
      <c r="B123" s="501"/>
      <c r="C123" s="501"/>
      <c r="D123" s="501"/>
      <c r="E123" s="501"/>
      <c r="F123" s="501"/>
      <c r="G123" s="505"/>
      <c r="H123" s="501"/>
      <c r="I123" s="484"/>
      <c r="J123" s="386"/>
      <c r="K123" s="386"/>
      <c r="L123" s="386"/>
      <c r="M123" s="386"/>
      <c r="N123" s="386"/>
      <c r="O123" s="386"/>
      <c r="P123" s="386"/>
      <c r="Q123" s="386"/>
      <c r="R123" s="386"/>
      <c r="S123" s="386"/>
      <c r="T123" s="386"/>
      <c r="U123" s="386"/>
      <c r="V123" s="386"/>
      <c r="W123" s="386"/>
      <c r="X123" s="386"/>
      <c r="Y123" s="386"/>
      <c r="Z123" s="386"/>
      <c r="AA123" s="386"/>
      <c r="AB123" s="386"/>
      <c r="AC123" s="386"/>
      <c r="AD123" s="386"/>
    </row>
    <row r="124" ht="15.75" customHeight="1">
      <c r="A124" s="473"/>
      <c r="B124" s="501"/>
      <c r="C124" s="501"/>
      <c r="D124" s="501"/>
      <c r="E124" s="501"/>
      <c r="F124" s="501"/>
      <c r="G124" s="505"/>
      <c r="H124" s="501"/>
      <c r="I124" s="484"/>
      <c r="J124" s="386"/>
      <c r="K124" s="386"/>
      <c r="L124" s="386"/>
      <c r="M124" s="386"/>
      <c r="N124" s="386"/>
      <c r="O124" s="386"/>
      <c r="P124" s="386"/>
      <c r="Q124" s="386"/>
      <c r="R124" s="386"/>
      <c r="S124" s="386"/>
      <c r="T124" s="386"/>
      <c r="U124" s="386"/>
      <c r="V124" s="386"/>
      <c r="W124" s="386"/>
      <c r="X124" s="386"/>
      <c r="Y124" s="386"/>
      <c r="Z124" s="386"/>
      <c r="AA124" s="386"/>
      <c r="AB124" s="386"/>
      <c r="AC124" s="386"/>
      <c r="AD124" s="386"/>
    </row>
    <row r="125" ht="15.75" customHeight="1">
      <c r="A125" s="473"/>
      <c r="B125" s="501"/>
      <c r="C125" s="501"/>
      <c r="D125" s="501"/>
      <c r="E125" s="501"/>
      <c r="F125" s="501"/>
      <c r="G125" s="505"/>
      <c r="H125" s="501"/>
      <c r="I125" s="484"/>
      <c r="J125" s="386"/>
      <c r="K125" s="386"/>
      <c r="L125" s="386"/>
      <c r="M125" s="386"/>
      <c r="N125" s="386"/>
      <c r="O125" s="386"/>
      <c r="P125" s="386"/>
      <c r="Q125" s="386"/>
      <c r="R125" s="386"/>
      <c r="S125" s="386"/>
      <c r="T125" s="386"/>
      <c r="U125" s="386"/>
      <c r="V125" s="386"/>
      <c r="W125" s="386"/>
      <c r="X125" s="386"/>
      <c r="Y125" s="386"/>
      <c r="Z125" s="386"/>
      <c r="AA125" s="386"/>
      <c r="AB125" s="386"/>
      <c r="AC125" s="386"/>
      <c r="AD125" s="386"/>
    </row>
    <row r="126" ht="15.75" customHeight="1">
      <c r="A126" s="473"/>
      <c r="B126" s="501"/>
      <c r="C126" s="501"/>
      <c r="D126" s="501"/>
      <c r="E126" s="501"/>
      <c r="F126" s="501"/>
      <c r="G126" s="505"/>
      <c r="H126" s="501"/>
      <c r="I126" s="484"/>
      <c r="J126" s="386"/>
      <c r="K126" s="386"/>
      <c r="L126" s="386"/>
      <c r="M126" s="386"/>
      <c r="N126" s="386"/>
      <c r="O126" s="386"/>
      <c r="P126" s="386"/>
      <c r="Q126" s="386"/>
      <c r="R126" s="386"/>
      <c r="S126" s="386"/>
      <c r="T126" s="386"/>
      <c r="U126" s="386"/>
      <c r="V126" s="386"/>
      <c r="W126" s="386"/>
      <c r="X126" s="386"/>
      <c r="Y126" s="386"/>
      <c r="Z126" s="386"/>
      <c r="AA126" s="386"/>
      <c r="AB126" s="386"/>
      <c r="AC126" s="386"/>
      <c r="AD126" s="386"/>
    </row>
    <row r="127" ht="15.75" customHeight="1">
      <c r="A127" s="473"/>
      <c r="B127" s="501"/>
      <c r="C127" s="501"/>
      <c r="D127" s="501"/>
      <c r="E127" s="501"/>
      <c r="F127" s="501"/>
      <c r="G127" s="505"/>
      <c r="H127" s="501"/>
      <c r="I127" s="484"/>
      <c r="J127" s="386"/>
      <c r="K127" s="386"/>
      <c r="L127" s="386"/>
      <c r="M127" s="386"/>
      <c r="N127" s="386"/>
      <c r="O127" s="386"/>
      <c r="P127" s="386"/>
      <c r="Q127" s="386"/>
      <c r="R127" s="386"/>
      <c r="S127" s="386"/>
      <c r="T127" s="386"/>
      <c r="U127" s="386"/>
      <c r="V127" s="386"/>
      <c r="W127" s="386"/>
      <c r="X127" s="386"/>
      <c r="Y127" s="386"/>
      <c r="Z127" s="386"/>
      <c r="AA127" s="386"/>
      <c r="AB127" s="386"/>
      <c r="AC127" s="386"/>
      <c r="AD127" s="386"/>
    </row>
    <row r="128" ht="15.75" customHeight="1">
      <c r="A128" s="473"/>
      <c r="B128" s="501"/>
      <c r="C128" s="501"/>
      <c r="D128" s="501"/>
      <c r="E128" s="501"/>
      <c r="F128" s="501"/>
      <c r="G128" s="505"/>
      <c r="H128" s="501"/>
      <c r="I128" s="484"/>
      <c r="J128" s="386"/>
      <c r="K128" s="386"/>
      <c r="L128" s="386"/>
      <c r="M128" s="386"/>
      <c r="N128" s="386"/>
      <c r="O128" s="386"/>
      <c r="P128" s="386"/>
      <c r="Q128" s="386"/>
      <c r="R128" s="386"/>
      <c r="S128" s="386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</row>
    <row r="129" ht="15.75" customHeight="1">
      <c r="A129" s="473"/>
      <c r="B129" s="501"/>
      <c r="C129" s="501"/>
      <c r="D129" s="501"/>
      <c r="E129" s="501"/>
      <c r="F129" s="501"/>
      <c r="G129" s="505"/>
      <c r="H129" s="501"/>
      <c r="I129" s="484"/>
      <c r="J129" s="386"/>
      <c r="K129" s="386"/>
      <c r="L129" s="386"/>
      <c r="M129" s="386"/>
      <c r="N129" s="386"/>
      <c r="O129" s="386"/>
      <c r="P129" s="386"/>
      <c r="Q129" s="386"/>
      <c r="R129" s="386"/>
      <c r="S129" s="386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</row>
    <row r="130" ht="15.75" customHeight="1">
      <c r="A130" s="473"/>
      <c r="B130" s="501"/>
      <c r="C130" s="501"/>
      <c r="D130" s="501"/>
      <c r="E130" s="501"/>
      <c r="F130" s="501"/>
      <c r="G130" s="505"/>
      <c r="H130" s="501"/>
      <c r="I130" s="484"/>
      <c r="J130" s="386"/>
      <c r="K130" s="386"/>
      <c r="L130" s="386"/>
      <c r="M130" s="386"/>
      <c r="N130" s="386"/>
      <c r="O130" s="386"/>
      <c r="P130" s="386"/>
      <c r="Q130" s="386"/>
      <c r="R130" s="386"/>
      <c r="S130" s="386"/>
      <c r="T130" s="386"/>
      <c r="U130" s="386"/>
      <c r="V130" s="386"/>
      <c r="W130" s="386"/>
      <c r="X130" s="386"/>
      <c r="Y130" s="386"/>
      <c r="Z130" s="386"/>
      <c r="AA130" s="386"/>
      <c r="AB130" s="386"/>
      <c r="AC130" s="386"/>
      <c r="AD130" s="386"/>
    </row>
    <row r="131" ht="15.75" customHeight="1">
      <c r="A131" s="473"/>
      <c r="B131" s="501"/>
      <c r="C131" s="501"/>
      <c r="D131" s="501"/>
      <c r="E131" s="501"/>
      <c r="F131" s="501"/>
      <c r="G131" s="505"/>
      <c r="H131" s="501"/>
      <c r="I131" s="484"/>
      <c r="J131" s="386"/>
      <c r="K131" s="386"/>
      <c r="L131" s="386"/>
      <c r="M131" s="386"/>
      <c r="N131" s="386"/>
      <c r="O131" s="386"/>
      <c r="P131" s="386"/>
      <c r="Q131" s="386"/>
      <c r="R131" s="386"/>
      <c r="S131" s="386"/>
      <c r="T131" s="386"/>
      <c r="U131" s="386"/>
      <c r="V131" s="386"/>
      <c r="W131" s="386"/>
      <c r="X131" s="386"/>
      <c r="Y131" s="386"/>
      <c r="Z131" s="386"/>
      <c r="AA131" s="386"/>
      <c r="AB131" s="386"/>
      <c r="AC131" s="386"/>
      <c r="AD131" s="386"/>
    </row>
    <row r="132" ht="15.75" customHeight="1">
      <c r="A132" s="473"/>
      <c r="B132" s="501"/>
      <c r="C132" s="501"/>
      <c r="D132" s="501"/>
      <c r="E132" s="501"/>
      <c r="F132" s="501"/>
      <c r="G132" s="505"/>
      <c r="H132" s="501"/>
      <c r="I132" s="484"/>
      <c r="J132" s="386"/>
      <c r="K132" s="386"/>
      <c r="L132" s="386"/>
      <c r="M132" s="386"/>
      <c r="N132" s="386"/>
      <c r="O132" s="386"/>
      <c r="P132" s="386"/>
      <c r="Q132" s="386"/>
      <c r="R132" s="386"/>
      <c r="S132" s="386"/>
      <c r="T132" s="386"/>
      <c r="U132" s="386"/>
      <c r="V132" s="386"/>
      <c r="W132" s="386"/>
      <c r="X132" s="386"/>
      <c r="Y132" s="386"/>
      <c r="Z132" s="386"/>
      <c r="AA132" s="386"/>
      <c r="AB132" s="386"/>
      <c r="AC132" s="386"/>
      <c r="AD132" s="386"/>
    </row>
    <row r="133" ht="15.75" customHeight="1">
      <c r="A133" s="473"/>
      <c r="B133" s="501"/>
      <c r="C133" s="501"/>
      <c r="D133" s="501"/>
      <c r="E133" s="501"/>
      <c r="F133" s="501"/>
      <c r="G133" s="505"/>
      <c r="H133" s="501"/>
      <c r="I133" s="484"/>
      <c r="J133" s="386"/>
      <c r="K133" s="386"/>
      <c r="L133" s="386"/>
      <c r="M133" s="386"/>
      <c r="N133" s="386"/>
      <c r="O133" s="386"/>
      <c r="P133" s="386"/>
      <c r="Q133" s="386"/>
      <c r="R133" s="386"/>
      <c r="S133" s="386"/>
      <c r="T133" s="386"/>
      <c r="U133" s="386"/>
      <c r="V133" s="386"/>
      <c r="W133" s="386"/>
      <c r="X133" s="386"/>
      <c r="Y133" s="386"/>
      <c r="Z133" s="386"/>
      <c r="AA133" s="386"/>
      <c r="AB133" s="386"/>
      <c r="AC133" s="386"/>
      <c r="AD133" s="386"/>
    </row>
    <row r="134" ht="15.75" customHeight="1">
      <c r="A134" s="473"/>
      <c r="B134" s="501"/>
      <c r="C134" s="501"/>
      <c r="D134" s="501"/>
      <c r="E134" s="501"/>
      <c r="F134" s="501"/>
      <c r="G134" s="505"/>
      <c r="H134" s="501"/>
      <c r="I134" s="484"/>
      <c r="J134" s="386"/>
      <c r="K134" s="386"/>
      <c r="L134" s="386"/>
      <c r="M134" s="386"/>
      <c r="N134" s="386"/>
      <c r="O134" s="386"/>
      <c r="P134" s="386"/>
      <c r="Q134" s="386"/>
      <c r="R134" s="386"/>
      <c r="S134" s="386"/>
      <c r="T134" s="386"/>
      <c r="U134" s="386"/>
      <c r="V134" s="386"/>
      <c r="W134" s="386"/>
      <c r="X134" s="386"/>
      <c r="Y134" s="386"/>
      <c r="Z134" s="386"/>
      <c r="AA134" s="386"/>
      <c r="AB134" s="386"/>
      <c r="AC134" s="386"/>
      <c r="AD134" s="386"/>
    </row>
    <row r="135" ht="15.75" customHeight="1">
      <c r="A135" s="473"/>
      <c r="B135" s="501"/>
      <c r="C135" s="501"/>
      <c r="D135" s="501"/>
      <c r="E135" s="501"/>
      <c r="F135" s="501"/>
      <c r="G135" s="505"/>
      <c r="H135" s="501"/>
      <c r="I135" s="484"/>
      <c r="J135" s="386"/>
      <c r="K135" s="386"/>
      <c r="L135" s="386"/>
      <c r="M135" s="386"/>
      <c r="N135" s="386"/>
      <c r="O135" s="386"/>
      <c r="P135" s="386"/>
      <c r="Q135" s="386"/>
      <c r="R135" s="386"/>
      <c r="S135" s="386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86"/>
    </row>
    <row r="136" ht="15.75" customHeight="1">
      <c r="A136" s="473"/>
      <c r="B136" s="501"/>
      <c r="C136" s="501"/>
      <c r="D136" s="501"/>
      <c r="E136" s="501"/>
      <c r="F136" s="501"/>
      <c r="G136" s="505"/>
      <c r="H136" s="501"/>
      <c r="I136" s="484"/>
      <c r="J136" s="386"/>
      <c r="K136" s="386"/>
      <c r="L136" s="386"/>
      <c r="M136" s="386"/>
      <c r="N136" s="386"/>
      <c r="O136" s="386"/>
      <c r="P136" s="386"/>
      <c r="Q136" s="386"/>
      <c r="R136" s="386"/>
      <c r="S136" s="386"/>
      <c r="T136" s="386"/>
      <c r="U136" s="386"/>
      <c r="V136" s="386"/>
      <c r="W136" s="386"/>
      <c r="X136" s="386"/>
      <c r="Y136" s="386"/>
      <c r="Z136" s="386"/>
      <c r="AA136" s="386"/>
      <c r="AB136" s="386"/>
      <c r="AC136" s="386"/>
      <c r="AD136" s="386"/>
    </row>
    <row r="137" ht="15.75" customHeight="1">
      <c r="A137" s="473"/>
      <c r="B137" s="501"/>
      <c r="C137" s="501"/>
      <c r="D137" s="501"/>
      <c r="E137" s="501"/>
      <c r="F137" s="501"/>
      <c r="G137" s="505"/>
      <c r="H137" s="501"/>
      <c r="I137" s="484"/>
      <c r="J137" s="386"/>
      <c r="K137" s="386"/>
      <c r="L137" s="386"/>
      <c r="M137" s="386"/>
      <c r="N137" s="386"/>
      <c r="O137" s="386"/>
      <c r="P137" s="386"/>
      <c r="Q137" s="386"/>
      <c r="R137" s="386"/>
      <c r="S137" s="386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</row>
    <row r="138" ht="15.75" customHeight="1">
      <c r="A138" s="473"/>
      <c r="B138" s="501"/>
      <c r="C138" s="501"/>
      <c r="D138" s="501"/>
      <c r="E138" s="501"/>
      <c r="F138" s="501"/>
      <c r="G138" s="505"/>
      <c r="H138" s="501"/>
      <c r="I138" s="484"/>
      <c r="J138" s="386"/>
      <c r="K138" s="386"/>
      <c r="L138" s="386"/>
      <c r="M138" s="386"/>
      <c r="N138" s="386"/>
      <c r="O138" s="386"/>
      <c r="P138" s="386"/>
      <c r="Q138" s="386"/>
      <c r="R138" s="386"/>
      <c r="S138" s="386"/>
      <c r="T138" s="386"/>
      <c r="U138" s="386"/>
      <c r="V138" s="386"/>
      <c r="W138" s="386"/>
      <c r="X138" s="386"/>
      <c r="Y138" s="386"/>
      <c r="Z138" s="386"/>
      <c r="AA138" s="386"/>
      <c r="AB138" s="386"/>
      <c r="AC138" s="386"/>
      <c r="AD138" s="386"/>
    </row>
    <row r="139" ht="15.75" customHeight="1">
      <c r="A139" s="473"/>
      <c r="B139" s="501"/>
      <c r="C139" s="501"/>
      <c r="D139" s="501"/>
      <c r="E139" s="501"/>
      <c r="F139" s="501"/>
      <c r="G139" s="505"/>
      <c r="H139" s="501"/>
      <c r="I139" s="484"/>
      <c r="J139" s="386"/>
      <c r="K139" s="386"/>
      <c r="L139" s="386"/>
      <c r="M139" s="386"/>
      <c r="N139" s="386"/>
      <c r="O139" s="386"/>
      <c r="P139" s="386"/>
      <c r="Q139" s="386"/>
      <c r="R139" s="386"/>
      <c r="S139" s="386"/>
      <c r="T139" s="386"/>
      <c r="U139" s="386"/>
      <c r="V139" s="386"/>
      <c r="W139" s="386"/>
      <c r="X139" s="386"/>
      <c r="Y139" s="386"/>
      <c r="Z139" s="386"/>
      <c r="AA139" s="386"/>
      <c r="AB139" s="386"/>
      <c r="AC139" s="386"/>
      <c r="AD139" s="386"/>
    </row>
    <row r="140" ht="15.75" customHeight="1">
      <c r="A140" s="473"/>
      <c r="B140" s="501"/>
      <c r="C140" s="501"/>
      <c r="D140" s="501"/>
      <c r="E140" s="501"/>
      <c r="F140" s="501"/>
      <c r="G140" s="505"/>
      <c r="H140" s="501"/>
      <c r="I140" s="484"/>
      <c r="J140" s="386"/>
      <c r="K140" s="386"/>
      <c r="L140" s="386"/>
      <c r="M140" s="386"/>
      <c r="N140" s="386"/>
      <c r="O140" s="386"/>
      <c r="P140" s="386"/>
      <c r="Q140" s="386"/>
      <c r="R140" s="386"/>
      <c r="S140" s="386"/>
      <c r="T140" s="386"/>
      <c r="U140" s="386"/>
      <c r="V140" s="386"/>
      <c r="W140" s="386"/>
      <c r="X140" s="386"/>
      <c r="Y140" s="386"/>
      <c r="Z140" s="386"/>
      <c r="AA140" s="386"/>
      <c r="AB140" s="386"/>
      <c r="AC140" s="386"/>
      <c r="AD140" s="386"/>
    </row>
    <row r="141" ht="15.75" customHeight="1">
      <c r="A141" s="473"/>
      <c r="B141" s="501"/>
      <c r="C141" s="501"/>
      <c r="D141" s="501"/>
      <c r="E141" s="501"/>
      <c r="F141" s="501"/>
      <c r="G141" s="505"/>
      <c r="H141" s="501"/>
      <c r="I141" s="484"/>
      <c r="J141" s="386"/>
      <c r="K141" s="386"/>
      <c r="L141" s="386"/>
      <c r="M141" s="386"/>
      <c r="N141" s="386"/>
      <c r="O141" s="386"/>
      <c r="P141" s="386"/>
      <c r="Q141" s="386"/>
      <c r="R141" s="386"/>
      <c r="S141" s="386"/>
      <c r="T141" s="386"/>
      <c r="U141" s="386"/>
      <c r="V141" s="386"/>
      <c r="W141" s="386"/>
      <c r="X141" s="386"/>
      <c r="Y141" s="386"/>
      <c r="Z141" s="386"/>
      <c r="AA141" s="386"/>
      <c r="AB141" s="386"/>
      <c r="AC141" s="386"/>
      <c r="AD141" s="386"/>
    </row>
    <row r="142" ht="15.75" customHeight="1">
      <c r="A142" s="473"/>
      <c r="B142" s="501"/>
      <c r="C142" s="501"/>
      <c r="D142" s="501"/>
      <c r="E142" s="501"/>
      <c r="F142" s="501"/>
      <c r="G142" s="505"/>
      <c r="H142" s="501"/>
      <c r="I142" s="484"/>
      <c r="J142" s="386"/>
      <c r="K142" s="386"/>
      <c r="L142" s="386"/>
      <c r="M142" s="386"/>
      <c r="N142" s="386"/>
      <c r="O142" s="386"/>
      <c r="P142" s="386"/>
      <c r="Q142" s="386"/>
      <c r="R142" s="386"/>
      <c r="S142" s="386"/>
      <c r="T142" s="386"/>
      <c r="U142" s="386"/>
      <c r="V142" s="386"/>
      <c r="W142" s="386"/>
      <c r="X142" s="386"/>
      <c r="Y142" s="386"/>
      <c r="Z142" s="386"/>
      <c r="AA142" s="386"/>
      <c r="AB142" s="386"/>
      <c r="AC142" s="386"/>
      <c r="AD142" s="386"/>
    </row>
    <row r="143" ht="15.75" customHeight="1">
      <c r="A143" s="473"/>
      <c r="B143" s="501"/>
      <c r="C143" s="501"/>
      <c r="D143" s="501"/>
      <c r="E143" s="501"/>
      <c r="F143" s="501"/>
      <c r="G143" s="505"/>
      <c r="H143" s="501"/>
      <c r="I143" s="484"/>
      <c r="J143" s="386"/>
      <c r="K143" s="386"/>
      <c r="L143" s="386"/>
      <c r="M143" s="386"/>
      <c r="N143" s="386"/>
      <c r="O143" s="386"/>
      <c r="P143" s="386"/>
      <c r="Q143" s="386"/>
      <c r="R143" s="386"/>
      <c r="S143" s="386"/>
      <c r="T143" s="386"/>
      <c r="U143" s="386"/>
      <c r="V143" s="386"/>
      <c r="W143" s="386"/>
      <c r="X143" s="386"/>
      <c r="Y143" s="386"/>
      <c r="Z143" s="386"/>
      <c r="AA143" s="386"/>
      <c r="AB143" s="386"/>
      <c r="AC143" s="386"/>
      <c r="AD143" s="386"/>
    </row>
    <row r="144" ht="15.75" customHeight="1">
      <c r="A144" s="473"/>
      <c r="B144" s="501"/>
      <c r="C144" s="501"/>
      <c r="D144" s="501"/>
      <c r="E144" s="501"/>
      <c r="F144" s="501"/>
      <c r="G144" s="505"/>
      <c r="H144" s="501"/>
      <c r="I144" s="484"/>
      <c r="J144" s="386"/>
      <c r="K144" s="386"/>
      <c r="L144" s="386"/>
      <c r="M144" s="386"/>
      <c r="N144" s="386"/>
      <c r="O144" s="386"/>
      <c r="P144" s="386"/>
      <c r="Q144" s="386"/>
      <c r="R144" s="386"/>
      <c r="S144" s="386"/>
      <c r="T144" s="386"/>
      <c r="U144" s="386"/>
      <c r="V144" s="386"/>
      <c r="W144" s="386"/>
      <c r="X144" s="386"/>
      <c r="Y144" s="386"/>
      <c r="Z144" s="386"/>
      <c r="AA144" s="386"/>
      <c r="AB144" s="386"/>
      <c r="AC144" s="386"/>
      <c r="AD144" s="386"/>
    </row>
    <row r="145" ht="15.75" customHeight="1">
      <c r="A145" s="473"/>
      <c r="B145" s="501"/>
      <c r="C145" s="501"/>
      <c r="D145" s="501"/>
      <c r="E145" s="501"/>
      <c r="F145" s="501"/>
      <c r="G145" s="505"/>
      <c r="H145" s="501"/>
      <c r="I145" s="484"/>
      <c r="J145" s="386"/>
      <c r="K145" s="386"/>
      <c r="L145" s="386"/>
      <c r="M145" s="386"/>
      <c r="N145" s="386"/>
      <c r="O145" s="386"/>
      <c r="P145" s="386"/>
      <c r="Q145" s="386"/>
      <c r="R145" s="386"/>
      <c r="S145" s="386"/>
      <c r="T145" s="386"/>
      <c r="U145" s="386"/>
      <c r="V145" s="386"/>
      <c r="W145" s="386"/>
      <c r="X145" s="386"/>
      <c r="Y145" s="386"/>
      <c r="Z145" s="386"/>
      <c r="AA145" s="386"/>
      <c r="AB145" s="386"/>
      <c r="AC145" s="386"/>
      <c r="AD145" s="386"/>
    </row>
    <row r="146" ht="15.75" customHeight="1">
      <c r="A146" s="473"/>
      <c r="B146" s="501"/>
      <c r="C146" s="501"/>
      <c r="D146" s="501"/>
      <c r="E146" s="501"/>
      <c r="F146" s="501"/>
      <c r="G146" s="505"/>
      <c r="H146" s="501"/>
      <c r="I146" s="484"/>
      <c r="J146" s="386"/>
      <c r="K146" s="386"/>
      <c r="L146" s="386"/>
      <c r="M146" s="386"/>
      <c r="N146" s="386"/>
      <c r="O146" s="386"/>
      <c r="P146" s="386"/>
      <c r="Q146" s="386"/>
      <c r="R146" s="386"/>
      <c r="S146" s="386"/>
      <c r="T146" s="386"/>
      <c r="U146" s="386"/>
      <c r="V146" s="386"/>
      <c r="W146" s="386"/>
      <c r="X146" s="386"/>
      <c r="Y146" s="386"/>
      <c r="Z146" s="386"/>
      <c r="AA146" s="386"/>
      <c r="AB146" s="386"/>
      <c r="AC146" s="386"/>
      <c r="AD146" s="386"/>
    </row>
    <row r="147" ht="15.75" customHeight="1">
      <c r="A147" s="473"/>
      <c r="B147" s="501"/>
      <c r="C147" s="501"/>
      <c r="D147" s="501"/>
      <c r="E147" s="501"/>
      <c r="F147" s="501"/>
      <c r="G147" s="505"/>
      <c r="H147" s="501"/>
      <c r="I147" s="484"/>
      <c r="J147" s="386"/>
      <c r="K147" s="386"/>
      <c r="L147" s="386"/>
      <c r="M147" s="386"/>
      <c r="N147" s="386"/>
      <c r="O147" s="386"/>
      <c r="P147" s="386"/>
      <c r="Q147" s="386"/>
      <c r="R147" s="386"/>
      <c r="S147" s="386"/>
      <c r="T147" s="386"/>
      <c r="U147" s="386"/>
      <c r="V147" s="386"/>
      <c r="W147" s="386"/>
      <c r="X147" s="386"/>
      <c r="Y147" s="386"/>
      <c r="Z147" s="386"/>
      <c r="AA147" s="386"/>
      <c r="AB147" s="386"/>
      <c r="AC147" s="386"/>
      <c r="AD147" s="386"/>
    </row>
    <row r="148" ht="15.75" customHeight="1">
      <c r="A148" s="473"/>
      <c r="B148" s="501"/>
      <c r="C148" s="501"/>
      <c r="D148" s="501"/>
      <c r="E148" s="501"/>
      <c r="F148" s="501"/>
      <c r="G148" s="505"/>
      <c r="H148" s="501"/>
      <c r="I148" s="484"/>
      <c r="J148" s="386"/>
      <c r="K148" s="386"/>
      <c r="L148" s="386"/>
      <c r="M148" s="386"/>
      <c r="N148" s="386"/>
      <c r="O148" s="386"/>
      <c r="P148" s="386"/>
      <c r="Q148" s="386"/>
      <c r="R148" s="386"/>
      <c r="S148" s="386"/>
      <c r="T148" s="386"/>
      <c r="U148" s="386"/>
      <c r="V148" s="386"/>
      <c r="W148" s="386"/>
      <c r="X148" s="386"/>
      <c r="Y148" s="386"/>
      <c r="Z148" s="386"/>
      <c r="AA148" s="386"/>
      <c r="AB148" s="386"/>
      <c r="AC148" s="386"/>
      <c r="AD148" s="386"/>
    </row>
    <row r="149" ht="15.75" customHeight="1">
      <c r="A149" s="473"/>
      <c r="B149" s="501"/>
      <c r="C149" s="501"/>
      <c r="D149" s="501"/>
      <c r="E149" s="501"/>
      <c r="F149" s="501"/>
      <c r="G149" s="505"/>
      <c r="H149" s="501"/>
      <c r="I149" s="484"/>
      <c r="J149" s="386"/>
      <c r="K149" s="386"/>
      <c r="L149" s="386"/>
      <c r="M149" s="386"/>
      <c r="N149" s="386"/>
      <c r="O149" s="386"/>
      <c r="P149" s="386"/>
      <c r="Q149" s="386"/>
      <c r="R149" s="386"/>
      <c r="S149" s="386"/>
      <c r="T149" s="386"/>
      <c r="U149" s="386"/>
      <c r="V149" s="386"/>
      <c r="W149" s="386"/>
      <c r="X149" s="386"/>
      <c r="Y149" s="386"/>
      <c r="Z149" s="386"/>
      <c r="AA149" s="386"/>
      <c r="AB149" s="386"/>
      <c r="AC149" s="386"/>
      <c r="AD149" s="386"/>
    </row>
    <row r="150" ht="15.75" customHeight="1">
      <c r="A150" s="473"/>
      <c r="B150" s="501"/>
      <c r="C150" s="501"/>
      <c r="D150" s="501"/>
      <c r="E150" s="501"/>
      <c r="F150" s="501"/>
      <c r="G150" s="505"/>
      <c r="H150" s="501"/>
      <c r="I150" s="484"/>
      <c r="J150" s="386"/>
      <c r="K150" s="386"/>
      <c r="L150" s="386"/>
      <c r="M150" s="386"/>
      <c r="N150" s="386"/>
      <c r="O150" s="386"/>
      <c r="P150" s="386"/>
      <c r="Q150" s="386"/>
      <c r="R150" s="386"/>
      <c r="S150" s="386"/>
      <c r="T150" s="386"/>
      <c r="U150" s="386"/>
      <c r="V150" s="386"/>
      <c r="W150" s="386"/>
      <c r="X150" s="386"/>
      <c r="Y150" s="386"/>
      <c r="Z150" s="386"/>
      <c r="AA150" s="386"/>
      <c r="AB150" s="386"/>
      <c r="AC150" s="386"/>
      <c r="AD150" s="386"/>
    </row>
    <row r="151" ht="15.75" customHeight="1">
      <c r="A151" s="473"/>
      <c r="B151" s="501"/>
      <c r="C151" s="501"/>
      <c r="D151" s="501"/>
      <c r="E151" s="501"/>
      <c r="F151" s="501"/>
      <c r="G151" s="505"/>
      <c r="H151" s="501"/>
      <c r="I151" s="484"/>
      <c r="J151" s="386"/>
      <c r="K151" s="386"/>
      <c r="L151" s="386"/>
      <c r="M151" s="386"/>
      <c r="N151" s="386"/>
      <c r="O151" s="386"/>
      <c r="P151" s="386"/>
      <c r="Q151" s="386"/>
      <c r="R151" s="386"/>
      <c r="S151" s="386"/>
      <c r="T151" s="386"/>
      <c r="U151" s="386"/>
      <c r="V151" s="386"/>
      <c r="W151" s="386"/>
      <c r="X151" s="386"/>
      <c r="Y151" s="386"/>
      <c r="Z151" s="386"/>
      <c r="AA151" s="386"/>
      <c r="AB151" s="386"/>
      <c r="AC151" s="386"/>
      <c r="AD151" s="386"/>
    </row>
    <row r="152" ht="15.75" customHeight="1">
      <c r="A152" s="473"/>
      <c r="B152" s="501"/>
      <c r="C152" s="501"/>
      <c r="D152" s="501"/>
      <c r="E152" s="501"/>
      <c r="F152" s="501"/>
      <c r="G152" s="505"/>
      <c r="H152" s="501"/>
      <c r="I152" s="484"/>
      <c r="J152" s="386"/>
      <c r="K152" s="386"/>
      <c r="L152" s="386"/>
      <c r="M152" s="386"/>
      <c r="N152" s="386"/>
      <c r="O152" s="386"/>
      <c r="P152" s="386"/>
      <c r="Q152" s="386"/>
      <c r="R152" s="386"/>
      <c r="S152" s="386"/>
      <c r="T152" s="386"/>
      <c r="U152" s="386"/>
      <c r="V152" s="386"/>
      <c r="W152" s="386"/>
      <c r="X152" s="386"/>
      <c r="Y152" s="386"/>
      <c r="Z152" s="386"/>
      <c r="AA152" s="386"/>
      <c r="AB152" s="386"/>
      <c r="AC152" s="386"/>
      <c r="AD152" s="386"/>
    </row>
    <row r="153" ht="15.75" customHeight="1">
      <c r="A153" s="473"/>
      <c r="B153" s="501"/>
      <c r="C153" s="501"/>
      <c r="D153" s="501"/>
      <c r="E153" s="501"/>
      <c r="F153" s="501"/>
      <c r="G153" s="505"/>
      <c r="H153" s="501"/>
      <c r="I153" s="484"/>
      <c r="J153" s="386"/>
      <c r="K153" s="386"/>
      <c r="L153" s="386"/>
      <c r="M153" s="386"/>
      <c r="N153" s="386"/>
      <c r="O153" s="386"/>
      <c r="P153" s="386"/>
      <c r="Q153" s="386"/>
      <c r="R153" s="386"/>
      <c r="S153" s="386"/>
      <c r="T153" s="386"/>
      <c r="U153" s="386"/>
      <c r="V153" s="386"/>
      <c r="W153" s="386"/>
      <c r="X153" s="386"/>
      <c r="Y153" s="386"/>
      <c r="Z153" s="386"/>
      <c r="AA153" s="386"/>
      <c r="AB153" s="386"/>
      <c r="AC153" s="386"/>
      <c r="AD153" s="386"/>
    </row>
    <row r="154" ht="15.75" customHeight="1">
      <c r="A154" s="473"/>
      <c r="B154" s="501"/>
      <c r="C154" s="501"/>
      <c r="D154" s="501"/>
      <c r="E154" s="501"/>
      <c r="F154" s="501"/>
      <c r="G154" s="505"/>
      <c r="H154" s="501"/>
      <c r="I154" s="484"/>
      <c r="J154" s="386"/>
      <c r="K154" s="386"/>
      <c r="L154" s="386"/>
      <c r="M154" s="386"/>
      <c r="N154" s="386"/>
      <c r="O154" s="386"/>
      <c r="P154" s="386"/>
      <c r="Q154" s="386"/>
      <c r="R154" s="386"/>
      <c r="S154" s="386"/>
      <c r="T154" s="386"/>
      <c r="U154" s="386"/>
      <c r="V154" s="386"/>
      <c r="W154" s="386"/>
      <c r="X154" s="386"/>
      <c r="Y154" s="386"/>
      <c r="Z154" s="386"/>
      <c r="AA154" s="386"/>
      <c r="AB154" s="386"/>
      <c r="AC154" s="386"/>
      <c r="AD154" s="386"/>
    </row>
    <row r="155" ht="15.75" customHeight="1">
      <c r="A155" s="473"/>
      <c r="B155" s="501"/>
      <c r="C155" s="501"/>
      <c r="D155" s="501"/>
      <c r="E155" s="501"/>
      <c r="F155" s="501"/>
      <c r="G155" s="505"/>
      <c r="H155" s="501"/>
      <c r="I155" s="484"/>
      <c r="J155" s="386"/>
      <c r="K155" s="386"/>
      <c r="L155" s="386"/>
      <c r="M155" s="386"/>
      <c r="N155" s="386"/>
      <c r="O155" s="386"/>
      <c r="P155" s="386"/>
      <c r="Q155" s="386"/>
      <c r="R155" s="386"/>
      <c r="S155" s="386"/>
      <c r="T155" s="386"/>
      <c r="U155" s="386"/>
      <c r="V155" s="386"/>
      <c r="W155" s="386"/>
      <c r="X155" s="386"/>
      <c r="Y155" s="386"/>
      <c r="Z155" s="386"/>
      <c r="AA155" s="386"/>
      <c r="AB155" s="386"/>
      <c r="AC155" s="386"/>
      <c r="AD155" s="386"/>
    </row>
    <row r="156" ht="15.75" customHeight="1">
      <c r="A156" s="473"/>
      <c r="B156" s="501"/>
      <c r="C156" s="501"/>
      <c r="D156" s="501"/>
      <c r="E156" s="501"/>
      <c r="F156" s="501"/>
      <c r="G156" s="505"/>
      <c r="H156" s="501"/>
      <c r="I156" s="484"/>
      <c r="J156" s="386"/>
      <c r="K156" s="386"/>
      <c r="L156" s="386"/>
      <c r="M156" s="386"/>
      <c r="N156" s="386"/>
      <c r="O156" s="386"/>
      <c r="P156" s="386"/>
      <c r="Q156" s="386"/>
      <c r="R156" s="386"/>
      <c r="S156" s="386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</row>
    <row r="157" ht="15.75" customHeight="1">
      <c r="A157" s="473"/>
      <c r="B157" s="501"/>
      <c r="C157" s="501"/>
      <c r="D157" s="501"/>
      <c r="E157" s="501"/>
      <c r="F157" s="501"/>
      <c r="G157" s="505"/>
      <c r="H157" s="501"/>
      <c r="I157" s="484"/>
      <c r="J157" s="386"/>
      <c r="K157" s="386"/>
      <c r="L157" s="386"/>
      <c r="M157" s="386"/>
      <c r="N157" s="386"/>
      <c r="O157" s="386"/>
      <c r="P157" s="386"/>
      <c r="Q157" s="386"/>
      <c r="R157" s="386"/>
      <c r="S157" s="386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</row>
    <row r="158" ht="15.75" customHeight="1">
      <c r="A158" s="473"/>
      <c r="B158" s="501"/>
      <c r="C158" s="501"/>
      <c r="D158" s="501"/>
      <c r="E158" s="501"/>
      <c r="F158" s="501"/>
      <c r="G158" s="505"/>
      <c r="H158" s="501"/>
      <c r="I158" s="484"/>
      <c r="J158" s="386"/>
      <c r="K158" s="386"/>
      <c r="L158" s="386"/>
      <c r="M158" s="386"/>
      <c r="N158" s="386"/>
      <c r="O158" s="386"/>
      <c r="P158" s="386"/>
      <c r="Q158" s="386"/>
      <c r="R158" s="386"/>
      <c r="S158" s="386"/>
      <c r="T158" s="386"/>
      <c r="U158" s="386"/>
      <c r="V158" s="386"/>
      <c r="W158" s="386"/>
      <c r="X158" s="386"/>
      <c r="Y158" s="386"/>
      <c r="Z158" s="386"/>
      <c r="AA158" s="386"/>
      <c r="AB158" s="386"/>
      <c r="AC158" s="386"/>
      <c r="AD158" s="386"/>
    </row>
    <row r="159" ht="15.75" customHeight="1">
      <c r="A159" s="473"/>
      <c r="B159" s="501"/>
      <c r="C159" s="501"/>
      <c r="D159" s="501"/>
      <c r="E159" s="501"/>
      <c r="F159" s="501"/>
      <c r="G159" s="505"/>
      <c r="H159" s="501"/>
      <c r="I159" s="484"/>
      <c r="J159" s="386"/>
      <c r="K159" s="386"/>
      <c r="L159" s="386"/>
      <c r="M159" s="386"/>
      <c r="N159" s="386"/>
      <c r="O159" s="386"/>
      <c r="P159" s="386"/>
      <c r="Q159" s="386"/>
      <c r="R159" s="386"/>
      <c r="S159" s="386"/>
      <c r="T159" s="386"/>
      <c r="U159" s="386"/>
      <c r="V159" s="386"/>
      <c r="W159" s="386"/>
      <c r="X159" s="386"/>
      <c r="Y159" s="386"/>
      <c r="Z159" s="386"/>
      <c r="AA159" s="386"/>
      <c r="AB159" s="386"/>
      <c r="AC159" s="386"/>
      <c r="AD159" s="386"/>
    </row>
    <row r="160" ht="15.75" customHeight="1">
      <c r="A160" s="473"/>
      <c r="B160" s="501"/>
      <c r="C160" s="501"/>
      <c r="D160" s="501"/>
      <c r="E160" s="501"/>
      <c r="F160" s="501"/>
      <c r="G160" s="505"/>
      <c r="H160" s="501"/>
      <c r="I160" s="484"/>
      <c r="J160" s="386"/>
      <c r="K160" s="386"/>
      <c r="L160" s="386"/>
      <c r="M160" s="386"/>
      <c r="N160" s="386"/>
      <c r="O160" s="386"/>
      <c r="P160" s="386"/>
      <c r="Q160" s="386"/>
      <c r="R160" s="386"/>
      <c r="S160" s="386"/>
      <c r="T160" s="386"/>
      <c r="U160" s="386"/>
      <c r="V160" s="386"/>
      <c r="W160" s="386"/>
      <c r="X160" s="386"/>
      <c r="Y160" s="386"/>
      <c r="Z160" s="386"/>
      <c r="AA160" s="386"/>
      <c r="AB160" s="386"/>
      <c r="AC160" s="386"/>
      <c r="AD160" s="386"/>
    </row>
    <row r="161" ht="15.75" customHeight="1">
      <c r="A161" s="473"/>
      <c r="B161" s="501"/>
      <c r="C161" s="501"/>
      <c r="D161" s="501"/>
      <c r="E161" s="501"/>
      <c r="F161" s="501"/>
      <c r="G161" s="505"/>
      <c r="H161" s="501"/>
      <c r="I161" s="484"/>
      <c r="J161" s="386"/>
      <c r="K161" s="386"/>
      <c r="L161" s="386"/>
      <c r="M161" s="386"/>
      <c r="N161" s="386"/>
      <c r="O161" s="386"/>
      <c r="P161" s="386"/>
      <c r="Q161" s="386"/>
      <c r="R161" s="386"/>
      <c r="S161" s="386"/>
      <c r="T161" s="386"/>
      <c r="U161" s="386"/>
      <c r="V161" s="386"/>
      <c r="W161" s="386"/>
      <c r="X161" s="386"/>
      <c r="Y161" s="386"/>
      <c r="Z161" s="386"/>
      <c r="AA161" s="386"/>
      <c r="AB161" s="386"/>
      <c r="AC161" s="386"/>
      <c r="AD161" s="386"/>
    </row>
    <row r="162" ht="15.75" customHeight="1">
      <c r="A162" s="473"/>
      <c r="B162" s="501"/>
      <c r="C162" s="501"/>
      <c r="D162" s="501"/>
      <c r="E162" s="501"/>
      <c r="F162" s="501"/>
      <c r="G162" s="505"/>
      <c r="H162" s="501"/>
      <c r="I162" s="484"/>
      <c r="J162" s="386"/>
      <c r="K162" s="386"/>
      <c r="L162" s="386"/>
      <c r="M162" s="386"/>
      <c r="N162" s="386"/>
      <c r="O162" s="386"/>
      <c r="P162" s="386"/>
      <c r="Q162" s="386"/>
      <c r="R162" s="386"/>
      <c r="S162" s="386"/>
      <c r="T162" s="386"/>
      <c r="U162" s="386"/>
      <c r="V162" s="386"/>
      <c r="W162" s="386"/>
      <c r="X162" s="386"/>
      <c r="Y162" s="386"/>
      <c r="Z162" s="386"/>
      <c r="AA162" s="386"/>
      <c r="AB162" s="386"/>
      <c r="AC162" s="386"/>
      <c r="AD162" s="386"/>
    </row>
    <row r="163" ht="15.75" customHeight="1">
      <c r="A163" s="473"/>
      <c r="B163" s="501"/>
      <c r="C163" s="501"/>
      <c r="D163" s="501"/>
      <c r="E163" s="501"/>
      <c r="F163" s="501"/>
      <c r="G163" s="505"/>
      <c r="H163" s="501"/>
      <c r="I163" s="484"/>
      <c r="J163" s="386"/>
      <c r="K163" s="386"/>
      <c r="L163" s="386"/>
      <c r="M163" s="386"/>
      <c r="N163" s="386"/>
      <c r="O163" s="386"/>
      <c r="P163" s="386"/>
      <c r="Q163" s="386"/>
      <c r="R163" s="386"/>
      <c r="S163" s="386"/>
      <c r="T163" s="386"/>
      <c r="U163" s="386"/>
      <c r="V163" s="386"/>
      <c r="W163" s="386"/>
      <c r="X163" s="386"/>
      <c r="Y163" s="386"/>
      <c r="Z163" s="386"/>
      <c r="AA163" s="386"/>
      <c r="AB163" s="386"/>
      <c r="AC163" s="386"/>
      <c r="AD163" s="386"/>
    </row>
    <row r="164" ht="15.75" customHeight="1">
      <c r="A164" s="473"/>
      <c r="B164" s="501"/>
      <c r="C164" s="501"/>
      <c r="D164" s="501"/>
      <c r="E164" s="501"/>
      <c r="F164" s="501"/>
      <c r="G164" s="505"/>
      <c r="H164" s="501"/>
      <c r="I164" s="484"/>
      <c r="J164" s="386"/>
      <c r="K164" s="386"/>
      <c r="L164" s="386"/>
      <c r="M164" s="386"/>
      <c r="N164" s="386"/>
      <c r="O164" s="386"/>
      <c r="P164" s="386"/>
      <c r="Q164" s="386"/>
      <c r="R164" s="386"/>
      <c r="S164" s="386"/>
      <c r="T164" s="386"/>
      <c r="U164" s="386"/>
      <c r="V164" s="386"/>
      <c r="W164" s="386"/>
      <c r="X164" s="386"/>
      <c r="Y164" s="386"/>
      <c r="Z164" s="386"/>
      <c r="AA164" s="386"/>
      <c r="AB164" s="386"/>
      <c r="AC164" s="386"/>
      <c r="AD164" s="386"/>
    </row>
    <row r="165" ht="15.75" customHeight="1">
      <c r="A165" s="473"/>
      <c r="B165" s="501"/>
      <c r="C165" s="501"/>
      <c r="D165" s="501"/>
      <c r="E165" s="501"/>
      <c r="F165" s="501"/>
      <c r="G165" s="505"/>
      <c r="H165" s="501"/>
      <c r="I165" s="484"/>
      <c r="J165" s="386"/>
      <c r="K165" s="386"/>
      <c r="L165" s="386"/>
      <c r="M165" s="386"/>
      <c r="N165" s="386"/>
      <c r="O165" s="386"/>
      <c r="P165" s="386"/>
      <c r="Q165" s="386"/>
      <c r="R165" s="386"/>
      <c r="S165" s="386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</row>
    <row r="166" ht="15.75" customHeight="1">
      <c r="A166" s="473"/>
      <c r="B166" s="501"/>
      <c r="C166" s="501"/>
      <c r="D166" s="501"/>
      <c r="E166" s="501"/>
      <c r="F166" s="501"/>
      <c r="G166" s="505"/>
      <c r="H166" s="501"/>
      <c r="I166" s="484"/>
      <c r="J166" s="386"/>
      <c r="K166" s="386"/>
      <c r="L166" s="386"/>
      <c r="M166" s="386"/>
      <c r="N166" s="386"/>
      <c r="O166" s="386"/>
      <c r="P166" s="386"/>
      <c r="Q166" s="386"/>
      <c r="R166" s="386"/>
      <c r="S166" s="386"/>
      <c r="T166" s="386"/>
      <c r="U166" s="386"/>
      <c r="V166" s="386"/>
      <c r="W166" s="386"/>
      <c r="X166" s="386"/>
      <c r="Y166" s="386"/>
      <c r="Z166" s="386"/>
      <c r="AA166" s="386"/>
      <c r="AB166" s="386"/>
      <c r="AC166" s="386"/>
      <c r="AD166" s="386"/>
    </row>
    <row r="167" ht="15.75" customHeight="1">
      <c r="A167" s="473"/>
      <c r="B167" s="501"/>
      <c r="C167" s="501"/>
      <c r="D167" s="501"/>
      <c r="E167" s="501"/>
      <c r="F167" s="501"/>
      <c r="G167" s="505"/>
      <c r="H167" s="501"/>
      <c r="I167" s="484"/>
      <c r="J167" s="386"/>
      <c r="K167" s="386"/>
      <c r="L167" s="386"/>
      <c r="M167" s="386"/>
      <c r="N167" s="386"/>
      <c r="O167" s="386"/>
      <c r="P167" s="386"/>
      <c r="Q167" s="386"/>
      <c r="R167" s="386"/>
      <c r="S167" s="386"/>
      <c r="T167" s="386"/>
      <c r="U167" s="386"/>
      <c r="V167" s="386"/>
      <c r="W167" s="386"/>
      <c r="X167" s="386"/>
      <c r="Y167" s="386"/>
      <c r="Z167" s="386"/>
      <c r="AA167" s="386"/>
      <c r="AB167" s="386"/>
      <c r="AC167" s="386"/>
      <c r="AD167" s="386"/>
    </row>
    <row r="168" ht="15.75" customHeight="1">
      <c r="A168" s="473"/>
      <c r="B168" s="501"/>
      <c r="C168" s="501"/>
      <c r="D168" s="501"/>
      <c r="E168" s="501"/>
      <c r="F168" s="501"/>
      <c r="G168" s="505"/>
      <c r="H168" s="501"/>
      <c r="I168" s="484"/>
      <c r="J168" s="386"/>
      <c r="K168" s="386"/>
      <c r="L168" s="386"/>
      <c r="M168" s="386"/>
      <c r="N168" s="386"/>
      <c r="O168" s="386"/>
      <c r="P168" s="386"/>
      <c r="Q168" s="386"/>
      <c r="R168" s="386"/>
      <c r="S168" s="386"/>
      <c r="T168" s="386"/>
      <c r="U168" s="386"/>
      <c r="V168" s="386"/>
      <c r="W168" s="386"/>
      <c r="X168" s="386"/>
      <c r="Y168" s="386"/>
      <c r="Z168" s="386"/>
      <c r="AA168" s="386"/>
      <c r="AB168" s="386"/>
      <c r="AC168" s="386"/>
      <c r="AD168" s="386"/>
    </row>
    <row r="169" ht="15.75" customHeight="1">
      <c r="A169" s="473"/>
      <c r="B169" s="501"/>
      <c r="C169" s="501"/>
      <c r="D169" s="501"/>
      <c r="E169" s="501"/>
      <c r="F169" s="501"/>
      <c r="G169" s="505"/>
      <c r="H169" s="501"/>
      <c r="I169" s="484"/>
      <c r="J169" s="386"/>
      <c r="K169" s="386"/>
      <c r="L169" s="386"/>
      <c r="M169" s="386"/>
      <c r="N169" s="386"/>
      <c r="O169" s="386"/>
      <c r="P169" s="386"/>
      <c r="Q169" s="386"/>
      <c r="R169" s="386"/>
      <c r="S169" s="386"/>
      <c r="T169" s="386"/>
      <c r="U169" s="386"/>
      <c r="V169" s="386"/>
      <c r="W169" s="386"/>
      <c r="X169" s="386"/>
      <c r="Y169" s="386"/>
      <c r="Z169" s="386"/>
      <c r="AA169" s="386"/>
      <c r="AB169" s="386"/>
      <c r="AC169" s="386"/>
      <c r="AD169" s="386"/>
    </row>
    <row r="170" ht="15.75" customHeight="1">
      <c r="A170" s="473"/>
      <c r="B170" s="501"/>
      <c r="C170" s="501"/>
      <c r="D170" s="501"/>
      <c r="E170" s="501"/>
      <c r="F170" s="501"/>
      <c r="G170" s="505"/>
      <c r="H170" s="501"/>
      <c r="I170" s="484"/>
      <c r="J170" s="386"/>
      <c r="K170" s="386"/>
      <c r="L170" s="386"/>
      <c r="M170" s="386"/>
      <c r="N170" s="386"/>
      <c r="O170" s="386"/>
      <c r="P170" s="386"/>
      <c r="Q170" s="386"/>
      <c r="R170" s="386"/>
      <c r="S170" s="386"/>
      <c r="T170" s="386"/>
      <c r="U170" s="386"/>
      <c r="V170" s="386"/>
      <c r="W170" s="386"/>
      <c r="X170" s="386"/>
      <c r="Y170" s="386"/>
      <c r="Z170" s="386"/>
      <c r="AA170" s="386"/>
      <c r="AB170" s="386"/>
      <c r="AC170" s="386"/>
      <c r="AD170" s="386"/>
    </row>
    <row r="171" ht="15.75" customHeight="1">
      <c r="A171" s="473"/>
      <c r="B171" s="501"/>
      <c r="C171" s="501"/>
      <c r="D171" s="501"/>
      <c r="E171" s="501"/>
      <c r="F171" s="501"/>
      <c r="G171" s="505"/>
      <c r="H171" s="501"/>
      <c r="I171" s="484"/>
      <c r="J171" s="386"/>
      <c r="K171" s="386"/>
      <c r="L171" s="386"/>
      <c r="M171" s="386"/>
      <c r="N171" s="386"/>
      <c r="O171" s="386"/>
      <c r="P171" s="386"/>
      <c r="Q171" s="386"/>
      <c r="R171" s="386"/>
      <c r="S171" s="386"/>
      <c r="T171" s="386"/>
      <c r="U171" s="386"/>
      <c r="V171" s="386"/>
      <c r="W171" s="386"/>
      <c r="X171" s="386"/>
      <c r="Y171" s="386"/>
      <c r="Z171" s="386"/>
      <c r="AA171" s="386"/>
      <c r="AB171" s="386"/>
      <c r="AC171" s="386"/>
      <c r="AD171" s="386"/>
    </row>
    <row r="172" ht="15.75" customHeight="1">
      <c r="A172" s="473"/>
      <c r="B172" s="501"/>
      <c r="C172" s="501"/>
      <c r="D172" s="501"/>
      <c r="E172" s="501"/>
      <c r="F172" s="501"/>
      <c r="G172" s="505"/>
      <c r="H172" s="501"/>
      <c r="I172" s="484"/>
      <c r="J172" s="386"/>
      <c r="K172" s="386"/>
      <c r="L172" s="386"/>
      <c r="M172" s="386"/>
      <c r="N172" s="386"/>
      <c r="O172" s="386"/>
      <c r="P172" s="386"/>
      <c r="Q172" s="386"/>
      <c r="R172" s="386"/>
      <c r="S172" s="386"/>
      <c r="T172" s="386"/>
      <c r="U172" s="386"/>
      <c r="V172" s="386"/>
      <c r="W172" s="386"/>
      <c r="X172" s="386"/>
      <c r="Y172" s="386"/>
      <c r="Z172" s="386"/>
      <c r="AA172" s="386"/>
      <c r="AB172" s="386"/>
      <c r="AC172" s="386"/>
      <c r="AD172" s="386"/>
    </row>
    <row r="173" ht="15.75" customHeight="1">
      <c r="A173" s="473"/>
      <c r="B173" s="501"/>
      <c r="C173" s="501"/>
      <c r="D173" s="501"/>
      <c r="E173" s="501"/>
      <c r="F173" s="501"/>
      <c r="G173" s="505"/>
      <c r="H173" s="501"/>
      <c r="I173" s="484"/>
      <c r="J173" s="386"/>
      <c r="K173" s="386"/>
      <c r="L173" s="386"/>
      <c r="M173" s="386"/>
      <c r="N173" s="386"/>
      <c r="O173" s="386"/>
      <c r="P173" s="386"/>
      <c r="Q173" s="386"/>
      <c r="R173" s="386"/>
      <c r="S173" s="386"/>
      <c r="T173" s="386"/>
      <c r="U173" s="386"/>
      <c r="V173" s="386"/>
      <c r="W173" s="386"/>
      <c r="X173" s="386"/>
      <c r="Y173" s="386"/>
      <c r="Z173" s="386"/>
      <c r="AA173" s="386"/>
      <c r="AB173" s="386"/>
      <c r="AC173" s="386"/>
      <c r="AD173" s="386"/>
    </row>
    <row r="174" ht="15.75" customHeight="1">
      <c r="A174" s="473"/>
      <c r="B174" s="501"/>
      <c r="C174" s="501"/>
      <c r="D174" s="501"/>
      <c r="E174" s="501"/>
      <c r="F174" s="501"/>
      <c r="G174" s="505"/>
      <c r="H174" s="501"/>
      <c r="I174" s="484"/>
      <c r="J174" s="386"/>
      <c r="K174" s="386"/>
      <c r="L174" s="386"/>
      <c r="M174" s="386"/>
      <c r="N174" s="386"/>
      <c r="O174" s="386"/>
      <c r="P174" s="386"/>
      <c r="Q174" s="386"/>
      <c r="R174" s="386"/>
      <c r="S174" s="386"/>
      <c r="T174" s="386"/>
      <c r="U174" s="386"/>
      <c r="V174" s="386"/>
      <c r="W174" s="386"/>
      <c r="X174" s="386"/>
      <c r="Y174" s="386"/>
      <c r="Z174" s="386"/>
      <c r="AA174" s="386"/>
      <c r="AB174" s="386"/>
      <c r="AC174" s="386"/>
      <c r="AD174" s="386"/>
    </row>
    <row r="175" ht="15.75" customHeight="1">
      <c r="A175" s="473"/>
      <c r="B175" s="501"/>
      <c r="C175" s="501"/>
      <c r="D175" s="501"/>
      <c r="E175" s="501"/>
      <c r="F175" s="501"/>
      <c r="G175" s="505"/>
      <c r="H175" s="501"/>
      <c r="I175" s="484"/>
      <c r="J175" s="386"/>
      <c r="K175" s="386"/>
      <c r="L175" s="386"/>
      <c r="M175" s="386"/>
      <c r="N175" s="386"/>
      <c r="O175" s="386"/>
      <c r="P175" s="386"/>
      <c r="Q175" s="386"/>
      <c r="R175" s="386"/>
      <c r="S175" s="386"/>
      <c r="T175" s="386"/>
      <c r="U175" s="386"/>
      <c r="V175" s="386"/>
      <c r="W175" s="386"/>
      <c r="X175" s="386"/>
      <c r="Y175" s="386"/>
      <c r="Z175" s="386"/>
      <c r="AA175" s="386"/>
      <c r="AB175" s="386"/>
      <c r="AC175" s="386"/>
      <c r="AD175" s="386"/>
    </row>
    <row r="176" ht="15.75" customHeight="1">
      <c r="A176" s="473"/>
      <c r="B176" s="501"/>
      <c r="C176" s="501"/>
      <c r="D176" s="501"/>
      <c r="E176" s="501"/>
      <c r="F176" s="501"/>
      <c r="G176" s="505"/>
      <c r="H176" s="501"/>
      <c r="I176" s="484"/>
      <c r="J176" s="386"/>
      <c r="K176" s="386"/>
      <c r="L176" s="386"/>
      <c r="M176" s="386"/>
      <c r="N176" s="386"/>
      <c r="O176" s="386"/>
      <c r="P176" s="386"/>
      <c r="Q176" s="386"/>
      <c r="R176" s="386"/>
      <c r="S176" s="386"/>
      <c r="T176" s="386"/>
      <c r="U176" s="386"/>
      <c r="V176" s="386"/>
      <c r="W176" s="386"/>
      <c r="X176" s="386"/>
      <c r="Y176" s="386"/>
      <c r="Z176" s="386"/>
      <c r="AA176" s="386"/>
      <c r="AB176" s="386"/>
      <c r="AC176" s="386"/>
      <c r="AD176" s="386"/>
    </row>
    <row r="177" ht="15.75" customHeight="1">
      <c r="A177" s="473"/>
      <c r="B177" s="501"/>
      <c r="C177" s="501"/>
      <c r="D177" s="501"/>
      <c r="E177" s="501"/>
      <c r="F177" s="501"/>
      <c r="G177" s="505"/>
      <c r="H177" s="501"/>
      <c r="I177" s="484"/>
      <c r="J177" s="386"/>
      <c r="K177" s="386"/>
      <c r="L177" s="386"/>
      <c r="M177" s="386"/>
      <c r="N177" s="386"/>
      <c r="O177" s="386"/>
      <c r="P177" s="386"/>
      <c r="Q177" s="386"/>
      <c r="R177" s="386"/>
      <c r="S177" s="386"/>
      <c r="T177" s="386"/>
      <c r="U177" s="386"/>
      <c r="V177" s="386"/>
      <c r="W177" s="386"/>
      <c r="X177" s="386"/>
      <c r="Y177" s="386"/>
      <c r="Z177" s="386"/>
      <c r="AA177" s="386"/>
      <c r="AB177" s="386"/>
      <c r="AC177" s="386"/>
      <c r="AD177" s="386"/>
    </row>
    <row r="178" ht="15.75" customHeight="1">
      <c r="A178" s="473"/>
      <c r="B178" s="501"/>
      <c r="C178" s="501"/>
      <c r="D178" s="501"/>
      <c r="E178" s="501"/>
      <c r="F178" s="501"/>
      <c r="G178" s="505"/>
      <c r="H178" s="501"/>
      <c r="I178" s="484"/>
      <c r="J178" s="386"/>
      <c r="K178" s="386"/>
      <c r="L178" s="386"/>
      <c r="M178" s="386"/>
      <c r="N178" s="386"/>
      <c r="O178" s="386"/>
      <c r="P178" s="386"/>
      <c r="Q178" s="386"/>
      <c r="R178" s="386"/>
      <c r="S178" s="386"/>
      <c r="T178" s="386"/>
      <c r="U178" s="386"/>
      <c r="V178" s="386"/>
      <c r="W178" s="386"/>
      <c r="X178" s="386"/>
      <c r="Y178" s="386"/>
      <c r="Z178" s="386"/>
      <c r="AA178" s="386"/>
      <c r="AB178" s="386"/>
      <c r="AC178" s="386"/>
      <c r="AD178" s="386"/>
    </row>
    <row r="179" ht="15.75" customHeight="1">
      <c r="A179" s="473"/>
      <c r="B179" s="501"/>
      <c r="C179" s="501"/>
      <c r="D179" s="501"/>
      <c r="E179" s="501"/>
      <c r="F179" s="501"/>
      <c r="G179" s="505"/>
      <c r="H179" s="501"/>
      <c r="I179" s="484"/>
      <c r="J179" s="386"/>
      <c r="K179" s="386"/>
      <c r="L179" s="386"/>
      <c r="M179" s="386"/>
      <c r="N179" s="386"/>
      <c r="O179" s="386"/>
      <c r="P179" s="386"/>
      <c r="Q179" s="386"/>
      <c r="R179" s="386"/>
      <c r="S179" s="386"/>
      <c r="T179" s="386"/>
      <c r="U179" s="386"/>
      <c r="V179" s="386"/>
      <c r="W179" s="386"/>
      <c r="X179" s="386"/>
      <c r="Y179" s="386"/>
      <c r="Z179" s="386"/>
      <c r="AA179" s="386"/>
      <c r="AB179" s="386"/>
      <c r="AC179" s="386"/>
      <c r="AD179" s="386"/>
    </row>
    <row r="180" ht="15.75" customHeight="1">
      <c r="A180" s="473"/>
      <c r="B180" s="501"/>
      <c r="C180" s="501"/>
      <c r="D180" s="501"/>
      <c r="E180" s="501"/>
      <c r="F180" s="501"/>
      <c r="G180" s="505"/>
      <c r="H180" s="501"/>
      <c r="I180" s="484"/>
      <c r="J180" s="386"/>
      <c r="K180" s="386"/>
      <c r="L180" s="386"/>
      <c r="M180" s="386"/>
      <c r="N180" s="386"/>
      <c r="O180" s="386"/>
      <c r="P180" s="386"/>
      <c r="Q180" s="386"/>
      <c r="R180" s="386"/>
      <c r="S180" s="386"/>
      <c r="T180" s="386"/>
      <c r="U180" s="386"/>
      <c r="V180" s="386"/>
      <c r="W180" s="386"/>
      <c r="X180" s="386"/>
      <c r="Y180" s="386"/>
      <c r="Z180" s="386"/>
      <c r="AA180" s="386"/>
      <c r="AB180" s="386"/>
      <c r="AC180" s="386"/>
      <c r="AD180" s="386"/>
    </row>
    <row r="181" ht="15.75" customHeight="1">
      <c r="A181" s="473"/>
      <c r="B181" s="501"/>
      <c r="C181" s="501"/>
      <c r="D181" s="501"/>
      <c r="E181" s="501"/>
      <c r="F181" s="501"/>
      <c r="G181" s="505"/>
      <c r="H181" s="501"/>
      <c r="I181" s="484"/>
      <c r="J181" s="386"/>
      <c r="K181" s="386"/>
      <c r="L181" s="386"/>
      <c r="M181" s="386"/>
      <c r="N181" s="386"/>
      <c r="O181" s="386"/>
      <c r="P181" s="386"/>
      <c r="Q181" s="386"/>
      <c r="R181" s="386"/>
      <c r="S181" s="386"/>
      <c r="T181" s="386"/>
      <c r="U181" s="386"/>
      <c r="V181" s="386"/>
      <c r="W181" s="386"/>
      <c r="X181" s="386"/>
      <c r="Y181" s="386"/>
      <c r="Z181" s="386"/>
      <c r="AA181" s="386"/>
      <c r="AB181" s="386"/>
      <c r="AC181" s="386"/>
      <c r="AD181" s="386"/>
    </row>
    <row r="182" ht="15.75" customHeight="1">
      <c r="A182" s="473"/>
      <c r="B182" s="501"/>
      <c r="C182" s="501"/>
      <c r="D182" s="501"/>
      <c r="E182" s="501"/>
      <c r="F182" s="501"/>
      <c r="G182" s="505"/>
      <c r="H182" s="501"/>
      <c r="I182" s="484"/>
      <c r="J182" s="386"/>
      <c r="K182" s="386"/>
      <c r="L182" s="386"/>
      <c r="M182" s="386"/>
      <c r="N182" s="386"/>
      <c r="O182" s="386"/>
      <c r="P182" s="386"/>
      <c r="Q182" s="386"/>
      <c r="R182" s="386"/>
      <c r="S182" s="386"/>
      <c r="T182" s="386"/>
      <c r="U182" s="386"/>
      <c r="V182" s="386"/>
      <c r="W182" s="386"/>
      <c r="X182" s="386"/>
      <c r="Y182" s="386"/>
      <c r="Z182" s="386"/>
      <c r="AA182" s="386"/>
      <c r="AB182" s="386"/>
      <c r="AC182" s="386"/>
      <c r="AD182" s="386"/>
    </row>
    <row r="183" ht="15.75" customHeight="1">
      <c r="A183" s="473"/>
      <c r="B183" s="501"/>
      <c r="C183" s="501"/>
      <c r="D183" s="501"/>
      <c r="E183" s="501"/>
      <c r="F183" s="501"/>
      <c r="G183" s="505"/>
      <c r="H183" s="501"/>
      <c r="I183" s="484"/>
      <c r="J183" s="386"/>
      <c r="K183" s="386"/>
      <c r="L183" s="386"/>
      <c r="M183" s="386"/>
      <c r="N183" s="386"/>
      <c r="O183" s="386"/>
      <c r="P183" s="386"/>
      <c r="Q183" s="386"/>
      <c r="R183" s="386"/>
      <c r="S183" s="386"/>
      <c r="T183" s="386"/>
      <c r="U183" s="386"/>
      <c r="V183" s="386"/>
      <c r="W183" s="386"/>
      <c r="X183" s="386"/>
      <c r="Y183" s="386"/>
      <c r="Z183" s="386"/>
      <c r="AA183" s="386"/>
      <c r="AB183" s="386"/>
      <c r="AC183" s="386"/>
      <c r="AD183" s="386"/>
    </row>
    <row r="184" ht="15.75" customHeight="1">
      <c r="A184" s="473"/>
      <c r="B184" s="501"/>
      <c r="C184" s="501"/>
      <c r="D184" s="501"/>
      <c r="E184" s="501"/>
      <c r="F184" s="501"/>
      <c r="G184" s="505"/>
      <c r="H184" s="501"/>
      <c r="I184" s="484"/>
      <c r="J184" s="386"/>
      <c r="K184" s="386"/>
      <c r="L184" s="386"/>
      <c r="M184" s="386"/>
      <c r="N184" s="386"/>
      <c r="O184" s="386"/>
      <c r="P184" s="386"/>
      <c r="Q184" s="386"/>
      <c r="R184" s="386"/>
      <c r="S184" s="386"/>
      <c r="T184" s="386"/>
      <c r="U184" s="386"/>
      <c r="V184" s="386"/>
      <c r="W184" s="386"/>
      <c r="X184" s="386"/>
      <c r="Y184" s="386"/>
      <c r="Z184" s="386"/>
      <c r="AA184" s="386"/>
      <c r="AB184" s="386"/>
      <c r="AC184" s="386"/>
      <c r="AD184" s="386"/>
    </row>
    <row r="185" ht="15.75" customHeight="1">
      <c r="A185" s="473"/>
      <c r="B185" s="501"/>
      <c r="C185" s="501"/>
      <c r="D185" s="501"/>
      <c r="E185" s="501"/>
      <c r="F185" s="501"/>
      <c r="G185" s="505"/>
      <c r="H185" s="501"/>
      <c r="I185" s="484"/>
      <c r="J185" s="386"/>
      <c r="K185" s="386"/>
      <c r="L185" s="386"/>
      <c r="M185" s="386"/>
      <c r="N185" s="386"/>
      <c r="O185" s="386"/>
      <c r="P185" s="386"/>
      <c r="Q185" s="386"/>
      <c r="R185" s="386"/>
      <c r="S185" s="386"/>
      <c r="T185" s="386"/>
      <c r="U185" s="386"/>
      <c r="V185" s="386"/>
      <c r="W185" s="386"/>
      <c r="X185" s="386"/>
      <c r="Y185" s="386"/>
      <c r="Z185" s="386"/>
      <c r="AA185" s="386"/>
      <c r="AB185" s="386"/>
      <c r="AC185" s="386"/>
      <c r="AD185" s="386"/>
    </row>
    <row r="186" ht="15.75" customHeight="1">
      <c r="A186" s="473"/>
      <c r="B186" s="501"/>
      <c r="C186" s="501"/>
      <c r="D186" s="501"/>
      <c r="E186" s="501"/>
      <c r="F186" s="501"/>
      <c r="G186" s="505"/>
      <c r="H186" s="501"/>
      <c r="I186" s="484"/>
      <c r="J186" s="386"/>
      <c r="K186" s="386"/>
      <c r="L186" s="386"/>
      <c r="M186" s="386"/>
      <c r="N186" s="386"/>
      <c r="O186" s="386"/>
      <c r="P186" s="386"/>
      <c r="Q186" s="386"/>
      <c r="R186" s="386"/>
      <c r="S186" s="386"/>
      <c r="T186" s="386"/>
      <c r="U186" s="386"/>
      <c r="V186" s="386"/>
      <c r="W186" s="386"/>
      <c r="X186" s="386"/>
      <c r="Y186" s="386"/>
      <c r="Z186" s="386"/>
      <c r="AA186" s="386"/>
      <c r="AB186" s="386"/>
      <c r="AC186" s="386"/>
      <c r="AD186" s="386"/>
    </row>
    <row r="187" ht="15.75" customHeight="1">
      <c r="A187" s="473"/>
      <c r="B187" s="501"/>
      <c r="C187" s="501"/>
      <c r="D187" s="501"/>
      <c r="E187" s="501"/>
      <c r="F187" s="501"/>
      <c r="G187" s="505"/>
      <c r="H187" s="501"/>
      <c r="I187" s="484"/>
      <c r="J187" s="386"/>
      <c r="K187" s="386"/>
      <c r="L187" s="386"/>
      <c r="M187" s="386"/>
      <c r="N187" s="386"/>
      <c r="O187" s="386"/>
      <c r="P187" s="386"/>
      <c r="Q187" s="386"/>
      <c r="R187" s="386"/>
      <c r="S187" s="386"/>
      <c r="T187" s="386"/>
      <c r="U187" s="386"/>
      <c r="V187" s="386"/>
      <c r="W187" s="386"/>
      <c r="X187" s="386"/>
      <c r="Y187" s="386"/>
      <c r="Z187" s="386"/>
      <c r="AA187" s="386"/>
      <c r="AB187" s="386"/>
      <c r="AC187" s="386"/>
      <c r="AD187" s="386"/>
    </row>
    <row r="188" ht="15.75" customHeight="1">
      <c r="A188" s="473"/>
      <c r="B188" s="501"/>
      <c r="C188" s="501"/>
      <c r="D188" s="501"/>
      <c r="E188" s="501"/>
      <c r="F188" s="501"/>
      <c r="G188" s="505"/>
      <c r="H188" s="501"/>
      <c r="I188" s="484"/>
      <c r="J188" s="386"/>
      <c r="K188" s="386"/>
      <c r="L188" s="386"/>
      <c r="M188" s="386"/>
      <c r="N188" s="386"/>
      <c r="O188" s="386"/>
      <c r="P188" s="386"/>
      <c r="Q188" s="386"/>
      <c r="R188" s="386"/>
      <c r="S188" s="386"/>
      <c r="T188" s="386"/>
      <c r="U188" s="386"/>
      <c r="V188" s="386"/>
      <c r="W188" s="386"/>
      <c r="X188" s="386"/>
      <c r="Y188" s="386"/>
      <c r="Z188" s="386"/>
      <c r="AA188" s="386"/>
      <c r="AB188" s="386"/>
      <c r="AC188" s="386"/>
      <c r="AD188" s="386"/>
    </row>
    <row r="189" ht="15.75" customHeight="1">
      <c r="A189" s="473"/>
      <c r="B189" s="501"/>
      <c r="C189" s="501"/>
      <c r="D189" s="501"/>
      <c r="E189" s="501"/>
      <c r="F189" s="501"/>
      <c r="G189" s="505"/>
      <c r="H189" s="501"/>
      <c r="I189" s="484"/>
      <c r="J189" s="386"/>
      <c r="K189" s="386"/>
      <c r="L189" s="386"/>
      <c r="M189" s="386"/>
      <c r="N189" s="386"/>
      <c r="O189" s="386"/>
      <c r="P189" s="386"/>
      <c r="Q189" s="386"/>
      <c r="R189" s="386"/>
      <c r="S189" s="386"/>
      <c r="T189" s="386"/>
      <c r="U189" s="386"/>
      <c r="V189" s="386"/>
      <c r="W189" s="386"/>
      <c r="X189" s="386"/>
      <c r="Y189" s="386"/>
      <c r="Z189" s="386"/>
      <c r="AA189" s="386"/>
      <c r="AB189" s="386"/>
      <c r="AC189" s="386"/>
      <c r="AD189" s="386"/>
    </row>
    <row r="190" ht="15.75" customHeight="1">
      <c r="A190" s="473"/>
      <c r="B190" s="501"/>
      <c r="C190" s="501"/>
      <c r="D190" s="501"/>
      <c r="E190" s="501"/>
      <c r="F190" s="501"/>
      <c r="G190" s="505"/>
      <c r="H190" s="501"/>
      <c r="I190" s="484"/>
      <c r="J190" s="386"/>
      <c r="K190" s="386"/>
      <c r="L190" s="386"/>
      <c r="M190" s="386"/>
      <c r="N190" s="386"/>
      <c r="O190" s="386"/>
      <c r="P190" s="386"/>
      <c r="Q190" s="386"/>
      <c r="R190" s="386"/>
      <c r="S190" s="386"/>
      <c r="T190" s="386"/>
      <c r="U190" s="386"/>
      <c r="V190" s="386"/>
      <c r="W190" s="386"/>
      <c r="X190" s="386"/>
      <c r="Y190" s="386"/>
      <c r="Z190" s="386"/>
      <c r="AA190" s="386"/>
      <c r="AB190" s="386"/>
      <c r="AC190" s="386"/>
      <c r="AD190" s="386"/>
    </row>
    <row r="191" ht="15.75" customHeight="1">
      <c r="A191" s="473"/>
      <c r="B191" s="501"/>
      <c r="C191" s="501"/>
      <c r="D191" s="501"/>
      <c r="E191" s="501"/>
      <c r="F191" s="501"/>
      <c r="G191" s="505"/>
      <c r="H191" s="501"/>
      <c r="I191" s="484"/>
      <c r="J191" s="386"/>
      <c r="K191" s="386"/>
      <c r="L191" s="386"/>
      <c r="M191" s="386"/>
      <c r="N191" s="386"/>
      <c r="O191" s="386"/>
      <c r="P191" s="386"/>
      <c r="Q191" s="386"/>
      <c r="R191" s="386"/>
      <c r="S191" s="386"/>
      <c r="T191" s="386"/>
      <c r="U191" s="386"/>
      <c r="V191" s="386"/>
      <c r="W191" s="386"/>
      <c r="X191" s="386"/>
      <c r="Y191" s="386"/>
      <c r="Z191" s="386"/>
      <c r="AA191" s="386"/>
      <c r="AB191" s="386"/>
      <c r="AC191" s="386"/>
      <c r="AD191" s="386"/>
    </row>
    <row r="192" ht="15.75" customHeight="1">
      <c r="A192" s="473"/>
      <c r="B192" s="501"/>
      <c r="C192" s="501"/>
      <c r="D192" s="501"/>
      <c r="E192" s="501"/>
      <c r="F192" s="501"/>
      <c r="G192" s="505"/>
      <c r="H192" s="501"/>
      <c r="I192" s="484"/>
      <c r="J192" s="386"/>
      <c r="K192" s="386"/>
      <c r="L192" s="386"/>
      <c r="M192" s="386"/>
      <c r="N192" s="386"/>
      <c r="O192" s="386"/>
      <c r="P192" s="386"/>
      <c r="Q192" s="386"/>
      <c r="R192" s="386"/>
      <c r="S192" s="386"/>
      <c r="T192" s="386"/>
      <c r="U192" s="386"/>
      <c r="V192" s="386"/>
      <c r="W192" s="386"/>
      <c r="X192" s="386"/>
      <c r="Y192" s="386"/>
      <c r="Z192" s="386"/>
      <c r="AA192" s="386"/>
      <c r="AB192" s="386"/>
      <c r="AC192" s="386"/>
      <c r="AD192" s="386"/>
    </row>
    <row r="193" ht="15.75" customHeight="1">
      <c r="A193" s="473"/>
      <c r="B193" s="501"/>
      <c r="C193" s="501"/>
      <c r="D193" s="501"/>
      <c r="E193" s="501"/>
      <c r="F193" s="501"/>
      <c r="G193" s="505"/>
      <c r="H193" s="501"/>
      <c r="I193" s="484"/>
      <c r="J193" s="386"/>
      <c r="K193" s="386"/>
      <c r="L193" s="386"/>
      <c r="M193" s="386"/>
      <c r="N193" s="386"/>
      <c r="O193" s="386"/>
      <c r="P193" s="386"/>
      <c r="Q193" s="386"/>
      <c r="R193" s="386"/>
      <c r="S193" s="386"/>
      <c r="T193" s="386"/>
      <c r="U193" s="386"/>
      <c r="V193" s="386"/>
      <c r="W193" s="386"/>
      <c r="X193" s="386"/>
      <c r="Y193" s="386"/>
      <c r="Z193" s="386"/>
      <c r="AA193" s="386"/>
      <c r="AB193" s="386"/>
      <c r="AC193" s="386"/>
      <c r="AD193" s="386"/>
    </row>
    <row r="194" ht="15.75" customHeight="1">
      <c r="A194" s="473"/>
      <c r="B194" s="501"/>
      <c r="C194" s="501"/>
      <c r="D194" s="501"/>
      <c r="E194" s="501"/>
      <c r="F194" s="501"/>
      <c r="G194" s="505"/>
      <c r="H194" s="501"/>
      <c r="I194" s="484"/>
      <c r="J194" s="386"/>
      <c r="K194" s="386"/>
      <c r="L194" s="386"/>
      <c r="M194" s="386"/>
      <c r="N194" s="386"/>
      <c r="O194" s="386"/>
      <c r="P194" s="386"/>
      <c r="Q194" s="386"/>
      <c r="R194" s="386"/>
      <c r="S194" s="386"/>
      <c r="T194" s="386"/>
      <c r="U194" s="386"/>
      <c r="V194" s="386"/>
      <c r="W194" s="386"/>
      <c r="X194" s="386"/>
      <c r="Y194" s="386"/>
      <c r="Z194" s="386"/>
      <c r="AA194" s="386"/>
      <c r="AB194" s="386"/>
      <c r="AC194" s="386"/>
      <c r="AD194" s="386"/>
    </row>
    <row r="195" ht="15.75" customHeight="1">
      <c r="A195" s="473"/>
      <c r="B195" s="501"/>
      <c r="C195" s="501"/>
      <c r="D195" s="501"/>
      <c r="E195" s="501"/>
      <c r="F195" s="501"/>
      <c r="G195" s="505"/>
      <c r="H195" s="501"/>
      <c r="I195" s="484"/>
      <c r="J195" s="386"/>
      <c r="K195" s="386"/>
      <c r="L195" s="386"/>
      <c r="M195" s="386"/>
      <c r="N195" s="386"/>
      <c r="O195" s="386"/>
      <c r="P195" s="386"/>
      <c r="Q195" s="386"/>
      <c r="R195" s="386"/>
      <c r="S195" s="386"/>
      <c r="T195" s="386"/>
      <c r="U195" s="386"/>
      <c r="V195" s="386"/>
      <c r="W195" s="386"/>
      <c r="X195" s="386"/>
      <c r="Y195" s="386"/>
      <c r="Z195" s="386"/>
      <c r="AA195" s="386"/>
      <c r="AB195" s="386"/>
      <c r="AC195" s="386"/>
      <c r="AD195" s="386"/>
    </row>
    <row r="196" ht="15.75" customHeight="1">
      <c r="A196" s="473"/>
      <c r="B196" s="501"/>
      <c r="C196" s="501"/>
      <c r="D196" s="501"/>
      <c r="E196" s="501"/>
      <c r="F196" s="501"/>
      <c r="G196" s="505"/>
      <c r="H196" s="501"/>
      <c r="I196" s="484"/>
      <c r="J196" s="386"/>
      <c r="K196" s="386"/>
      <c r="L196" s="386"/>
      <c r="M196" s="386"/>
      <c r="N196" s="386"/>
      <c r="O196" s="386"/>
      <c r="P196" s="386"/>
      <c r="Q196" s="386"/>
      <c r="R196" s="386"/>
      <c r="S196" s="386"/>
      <c r="T196" s="386"/>
      <c r="U196" s="386"/>
      <c r="V196" s="386"/>
      <c r="W196" s="386"/>
      <c r="X196" s="386"/>
      <c r="Y196" s="386"/>
      <c r="Z196" s="386"/>
      <c r="AA196" s="386"/>
      <c r="AB196" s="386"/>
      <c r="AC196" s="386"/>
      <c r="AD196" s="386"/>
    </row>
    <row r="197" ht="15.75" customHeight="1">
      <c r="A197" s="473"/>
      <c r="B197" s="501"/>
      <c r="C197" s="501"/>
      <c r="D197" s="501"/>
      <c r="E197" s="501"/>
      <c r="F197" s="501"/>
      <c r="G197" s="505"/>
      <c r="H197" s="501"/>
      <c r="I197" s="484"/>
      <c r="J197" s="386"/>
      <c r="K197" s="386"/>
      <c r="L197" s="386"/>
      <c r="M197" s="386"/>
      <c r="N197" s="386"/>
      <c r="O197" s="386"/>
      <c r="P197" s="386"/>
      <c r="Q197" s="386"/>
      <c r="R197" s="386"/>
      <c r="S197" s="386"/>
      <c r="T197" s="386"/>
      <c r="U197" s="386"/>
      <c r="V197" s="386"/>
      <c r="W197" s="386"/>
      <c r="X197" s="386"/>
      <c r="Y197" s="386"/>
      <c r="Z197" s="386"/>
      <c r="AA197" s="386"/>
      <c r="AB197" s="386"/>
      <c r="AC197" s="386"/>
      <c r="AD197" s="386"/>
    </row>
    <row r="198" ht="15.75" customHeight="1">
      <c r="A198" s="473"/>
      <c r="B198" s="501"/>
      <c r="C198" s="501"/>
      <c r="D198" s="501"/>
      <c r="E198" s="501"/>
      <c r="F198" s="501"/>
      <c r="G198" s="505"/>
      <c r="H198" s="501"/>
      <c r="I198" s="484"/>
      <c r="J198" s="386"/>
      <c r="K198" s="386"/>
      <c r="L198" s="386"/>
      <c r="M198" s="386"/>
      <c r="N198" s="386"/>
      <c r="O198" s="386"/>
      <c r="P198" s="386"/>
      <c r="Q198" s="386"/>
      <c r="R198" s="386"/>
      <c r="S198" s="386"/>
      <c r="T198" s="386"/>
      <c r="U198" s="386"/>
      <c r="V198" s="386"/>
      <c r="W198" s="386"/>
      <c r="X198" s="386"/>
      <c r="Y198" s="386"/>
      <c r="Z198" s="386"/>
      <c r="AA198" s="386"/>
      <c r="AB198" s="386"/>
      <c r="AC198" s="386"/>
      <c r="AD198" s="386"/>
    </row>
    <row r="199" ht="15.75" customHeight="1">
      <c r="A199" s="473"/>
      <c r="B199" s="501"/>
      <c r="C199" s="501"/>
      <c r="D199" s="501"/>
      <c r="E199" s="501"/>
      <c r="F199" s="501"/>
      <c r="G199" s="505"/>
      <c r="H199" s="501"/>
      <c r="I199" s="484"/>
      <c r="J199" s="386"/>
      <c r="K199" s="386"/>
      <c r="L199" s="386"/>
      <c r="M199" s="386"/>
      <c r="N199" s="386"/>
      <c r="O199" s="386"/>
      <c r="P199" s="386"/>
      <c r="Q199" s="386"/>
      <c r="R199" s="386"/>
      <c r="S199" s="386"/>
      <c r="T199" s="386"/>
      <c r="U199" s="386"/>
      <c r="V199" s="386"/>
      <c r="W199" s="386"/>
      <c r="X199" s="386"/>
      <c r="Y199" s="386"/>
      <c r="Z199" s="386"/>
      <c r="AA199" s="386"/>
      <c r="AB199" s="386"/>
      <c r="AC199" s="386"/>
      <c r="AD199" s="386"/>
    </row>
    <row r="200" ht="15.75" customHeight="1">
      <c r="A200" s="473"/>
      <c r="B200" s="501"/>
      <c r="C200" s="501"/>
      <c r="D200" s="501"/>
      <c r="E200" s="501"/>
      <c r="F200" s="501"/>
      <c r="G200" s="505"/>
      <c r="H200" s="501"/>
      <c r="I200" s="484"/>
      <c r="J200" s="386"/>
      <c r="K200" s="386"/>
      <c r="L200" s="386"/>
      <c r="M200" s="386"/>
      <c r="N200" s="386"/>
      <c r="O200" s="386"/>
      <c r="P200" s="386"/>
      <c r="Q200" s="386"/>
      <c r="R200" s="386"/>
      <c r="S200" s="386"/>
      <c r="T200" s="386"/>
      <c r="U200" s="386"/>
      <c r="V200" s="386"/>
      <c r="W200" s="386"/>
      <c r="X200" s="386"/>
      <c r="Y200" s="386"/>
      <c r="Z200" s="386"/>
      <c r="AA200" s="386"/>
      <c r="AB200" s="386"/>
      <c r="AC200" s="386"/>
      <c r="AD200" s="386"/>
    </row>
    <row r="201" ht="15.75" customHeight="1">
      <c r="A201" s="473"/>
      <c r="B201" s="501"/>
      <c r="C201" s="501"/>
      <c r="D201" s="501"/>
      <c r="E201" s="501"/>
      <c r="F201" s="501"/>
      <c r="G201" s="505"/>
      <c r="H201" s="501"/>
      <c r="I201" s="484"/>
      <c r="J201" s="386"/>
      <c r="K201" s="386"/>
      <c r="L201" s="386"/>
      <c r="M201" s="386"/>
      <c r="N201" s="386"/>
      <c r="O201" s="386"/>
      <c r="P201" s="386"/>
      <c r="Q201" s="386"/>
      <c r="R201" s="386"/>
      <c r="S201" s="386"/>
      <c r="T201" s="386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</row>
    <row r="202" ht="15.75" customHeight="1">
      <c r="A202" s="473"/>
      <c r="B202" s="501"/>
      <c r="C202" s="501"/>
      <c r="D202" s="501"/>
      <c r="E202" s="501"/>
      <c r="F202" s="501"/>
      <c r="G202" s="505"/>
      <c r="H202" s="501"/>
      <c r="I202" s="484"/>
      <c r="J202" s="386"/>
      <c r="K202" s="386"/>
      <c r="L202" s="386"/>
      <c r="M202" s="386"/>
      <c r="N202" s="386"/>
      <c r="O202" s="386"/>
      <c r="P202" s="386"/>
      <c r="Q202" s="386"/>
      <c r="R202" s="386"/>
      <c r="S202" s="386"/>
      <c r="T202" s="386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</row>
    <row r="203" ht="15.75" customHeight="1">
      <c r="A203" s="473"/>
      <c r="B203" s="501"/>
      <c r="C203" s="501"/>
      <c r="D203" s="501"/>
      <c r="E203" s="501"/>
      <c r="F203" s="501"/>
      <c r="G203" s="505"/>
      <c r="H203" s="501"/>
      <c r="I203" s="484"/>
      <c r="J203" s="386"/>
      <c r="K203" s="386"/>
      <c r="L203" s="386"/>
      <c r="M203" s="386"/>
      <c r="N203" s="386"/>
      <c r="O203" s="386"/>
      <c r="P203" s="386"/>
      <c r="Q203" s="386"/>
      <c r="R203" s="386"/>
      <c r="S203" s="386"/>
      <c r="T203" s="386"/>
      <c r="U203" s="386"/>
      <c r="V203" s="386"/>
      <c r="W203" s="386"/>
      <c r="X203" s="386"/>
      <c r="Y203" s="386"/>
      <c r="Z203" s="386"/>
      <c r="AA203" s="386"/>
      <c r="AB203" s="386"/>
      <c r="AC203" s="386"/>
      <c r="AD203" s="386"/>
    </row>
    <row r="204" ht="15.75" customHeight="1">
      <c r="A204" s="473"/>
      <c r="B204" s="501"/>
      <c r="C204" s="501"/>
      <c r="D204" s="501"/>
      <c r="E204" s="501"/>
      <c r="F204" s="501"/>
      <c r="G204" s="505"/>
      <c r="H204" s="501"/>
      <c r="I204" s="484"/>
      <c r="J204" s="386"/>
      <c r="K204" s="386"/>
      <c r="L204" s="386"/>
      <c r="M204" s="386"/>
      <c r="N204" s="386"/>
      <c r="O204" s="386"/>
      <c r="P204" s="386"/>
      <c r="Q204" s="386"/>
      <c r="R204" s="386"/>
      <c r="S204" s="386"/>
      <c r="T204" s="386"/>
      <c r="U204" s="386"/>
      <c r="V204" s="386"/>
      <c r="W204" s="386"/>
      <c r="X204" s="386"/>
      <c r="Y204" s="386"/>
      <c r="Z204" s="386"/>
      <c r="AA204" s="386"/>
      <c r="AB204" s="386"/>
      <c r="AC204" s="386"/>
      <c r="AD204" s="386"/>
    </row>
    <row r="205" ht="15.75" customHeight="1">
      <c r="A205" s="473"/>
      <c r="B205" s="501"/>
      <c r="C205" s="501"/>
      <c r="D205" s="501"/>
      <c r="E205" s="501"/>
      <c r="F205" s="501"/>
      <c r="G205" s="505"/>
      <c r="H205" s="501"/>
      <c r="I205" s="484"/>
      <c r="J205" s="386"/>
      <c r="K205" s="386"/>
      <c r="L205" s="386"/>
      <c r="M205" s="386"/>
      <c r="N205" s="386"/>
      <c r="O205" s="386"/>
      <c r="P205" s="386"/>
      <c r="Q205" s="386"/>
      <c r="R205" s="386"/>
      <c r="S205" s="386"/>
      <c r="T205" s="386"/>
      <c r="U205" s="386"/>
      <c r="V205" s="386"/>
      <c r="W205" s="386"/>
      <c r="X205" s="386"/>
      <c r="Y205" s="386"/>
      <c r="Z205" s="386"/>
      <c r="AA205" s="386"/>
      <c r="AB205" s="386"/>
      <c r="AC205" s="386"/>
      <c r="AD205" s="386"/>
    </row>
    <row r="206" ht="15.75" customHeight="1">
      <c r="A206" s="473"/>
      <c r="B206" s="501"/>
      <c r="C206" s="501"/>
      <c r="D206" s="501"/>
      <c r="E206" s="501"/>
      <c r="F206" s="501"/>
      <c r="G206" s="505"/>
      <c r="H206" s="501"/>
      <c r="I206" s="484"/>
      <c r="J206" s="386"/>
      <c r="K206" s="386"/>
      <c r="L206" s="386"/>
      <c r="M206" s="386"/>
      <c r="N206" s="386"/>
      <c r="O206" s="386"/>
      <c r="P206" s="386"/>
      <c r="Q206" s="386"/>
      <c r="R206" s="386"/>
      <c r="S206" s="386"/>
      <c r="T206" s="386"/>
      <c r="U206" s="386"/>
      <c r="V206" s="386"/>
      <c r="W206" s="386"/>
      <c r="X206" s="386"/>
      <c r="Y206" s="386"/>
      <c r="Z206" s="386"/>
      <c r="AA206" s="386"/>
      <c r="AB206" s="386"/>
      <c r="AC206" s="386"/>
      <c r="AD206" s="386"/>
    </row>
    <row r="207" ht="15.75" customHeight="1">
      <c r="A207" s="473"/>
      <c r="B207" s="501"/>
      <c r="C207" s="501"/>
      <c r="D207" s="501"/>
      <c r="E207" s="501"/>
      <c r="F207" s="501"/>
      <c r="G207" s="505"/>
      <c r="H207" s="501"/>
      <c r="I207" s="484"/>
      <c r="J207" s="386"/>
      <c r="K207" s="386"/>
      <c r="L207" s="386"/>
      <c r="M207" s="386"/>
      <c r="N207" s="386"/>
      <c r="O207" s="386"/>
      <c r="P207" s="386"/>
      <c r="Q207" s="386"/>
      <c r="R207" s="386"/>
      <c r="S207" s="386"/>
      <c r="T207" s="386"/>
      <c r="U207" s="386"/>
      <c r="V207" s="386"/>
      <c r="W207" s="386"/>
      <c r="X207" s="386"/>
      <c r="Y207" s="386"/>
      <c r="Z207" s="386"/>
      <c r="AA207" s="386"/>
      <c r="AB207" s="386"/>
      <c r="AC207" s="386"/>
      <c r="AD207" s="386"/>
    </row>
    <row r="208" ht="15.75" customHeight="1">
      <c r="A208" s="473"/>
      <c r="B208" s="501"/>
      <c r="C208" s="501"/>
      <c r="D208" s="501"/>
      <c r="E208" s="501"/>
      <c r="F208" s="501"/>
      <c r="G208" s="505"/>
      <c r="H208" s="501"/>
      <c r="I208" s="484"/>
      <c r="J208" s="386"/>
      <c r="K208" s="386"/>
      <c r="L208" s="386"/>
      <c r="M208" s="386"/>
      <c r="N208" s="386"/>
      <c r="O208" s="386"/>
      <c r="P208" s="386"/>
      <c r="Q208" s="386"/>
      <c r="R208" s="386"/>
      <c r="S208" s="386"/>
      <c r="T208" s="386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</row>
    <row r="209" ht="15.75" customHeight="1">
      <c r="A209" s="473"/>
      <c r="B209" s="501"/>
      <c r="C209" s="501"/>
      <c r="D209" s="501"/>
      <c r="E209" s="501"/>
      <c r="F209" s="501"/>
      <c r="G209" s="505"/>
      <c r="H209" s="501"/>
      <c r="I209" s="484"/>
      <c r="J209" s="386"/>
      <c r="K209" s="386"/>
      <c r="L209" s="386"/>
      <c r="M209" s="386"/>
      <c r="N209" s="386"/>
      <c r="O209" s="386"/>
      <c r="P209" s="386"/>
      <c r="Q209" s="386"/>
      <c r="R209" s="386"/>
      <c r="S209" s="386"/>
      <c r="T209" s="386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</row>
    <row r="210" ht="15.75" customHeight="1">
      <c r="A210" s="473"/>
      <c r="B210" s="501"/>
      <c r="C210" s="501"/>
      <c r="D210" s="501"/>
      <c r="E210" s="501"/>
      <c r="F210" s="501"/>
      <c r="G210" s="505"/>
      <c r="H210" s="501"/>
      <c r="I210" s="484"/>
      <c r="J210" s="386"/>
      <c r="K210" s="386"/>
      <c r="L210" s="386"/>
      <c r="M210" s="386"/>
      <c r="N210" s="386"/>
      <c r="O210" s="386"/>
      <c r="P210" s="386"/>
      <c r="Q210" s="386"/>
      <c r="R210" s="386"/>
      <c r="S210" s="386"/>
      <c r="T210" s="386"/>
      <c r="U210" s="386"/>
      <c r="V210" s="386"/>
      <c r="W210" s="386"/>
      <c r="X210" s="386"/>
      <c r="Y210" s="386"/>
      <c r="Z210" s="386"/>
      <c r="AA210" s="386"/>
      <c r="AB210" s="386"/>
      <c r="AC210" s="386"/>
      <c r="AD210" s="386"/>
    </row>
    <row r="211" ht="15.75" customHeight="1">
      <c r="A211" s="473"/>
      <c r="B211" s="501"/>
      <c r="C211" s="501"/>
      <c r="D211" s="501"/>
      <c r="E211" s="501"/>
      <c r="F211" s="501"/>
      <c r="G211" s="505"/>
      <c r="H211" s="501"/>
      <c r="I211" s="484"/>
      <c r="J211" s="386"/>
      <c r="K211" s="386"/>
      <c r="L211" s="386"/>
      <c r="M211" s="386"/>
      <c r="N211" s="386"/>
      <c r="O211" s="386"/>
      <c r="P211" s="386"/>
      <c r="Q211" s="386"/>
      <c r="R211" s="386"/>
      <c r="S211" s="386"/>
      <c r="T211" s="386"/>
      <c r="U211" s="386"/>
      <c r="V211" s="386"/>
      <c r="W211" s="386"/>
      <c r="X211" s="386"/>
      <c r="Y211" s="386"/>
      <c r="Z211" s="386"/>
      <c r="AA211" s="386"/>
      <c r="AB211" s="386"/>
      <c r="AC211" s="386"/>
      <c r="AD211" s="386"/>
    </row>
    <row r="212" ht="15.75" customHeight="1">
      <c r="A212" s="473"/>
      <c r="B212" s="501"/>
      <c r="C212" s="501"/>
      <c r="D212" s="501"/>
      <c r="E212" s="501"/>
      <c r="F212" s="501"/>
      <c r="G212" s="505"/>
      <c r="H212" s="501"/>
      <c r="I212" s="484"/>
      <c r="J212" s="386"/>
      <c r="K212" s="386"/>
      <c r="L212" s="386"/>
      <c r="M212" s="386"/>
      <c r="N212" s="386"/>
      <c r="O212" s="386"/>
      <c r="P212" s="386"/>
      <c r="Q212" s="386"/>
      <c r="R212" s="386"/>
      <c r="S212" s="386"/>
      <c r="T212" s="386"/>
      <c r="U212" s="386"/>
      <c r="V212" s="386"/>
      <c r="W212" s="386"/>
      <c r="X212" s="386"/>
      <c r="Y212" s="386"/>
      <c r="Z212" s="386"/>
      <c r="AA212" s="386"/>
      <c r="AB212" s="386"/>
      <c r="AC212" s="386"/>
      <c r="AD212" s="386"/>
    </row>
    <row r="213" ht="15.75" customHeight="1">
      <c r="A213" s="473"/>
      <c r="B213" s="501"/>
      <c r="C213" s="501"/>
      <c r="D213" s="501"/>
      <c r="E213" s="501"/>
      <c r="F213" s="501"/>
      <c r="G213" s="505"/>
      <c r="H213" s="501"/>
      <c r="I213" s="484"/>
      <c r="J213" s="386"/>
      <c r="K213" s="386"/>
      <c r="L213" s="386"/>
      <c r="M213" s="386"/>
      <c r="N213" s="386"/>
      <c r="O213" s="386"/>
      <c r="P213" s="386"/>
      <c r="Q213" s="386"/>
      <c r="R213" s="386"/>
      <c r="S213" s="386"/>
      <c r="T213" s="386"/>
      <c r="U213" s="386"/>
      <c r="V213" s="386"/>
      <c r="W213" s="386"/>
      <c r="X213" s="386"/>
      <c r="Y213" s="386"/>
      <c r="Z213" s="386"/>
      <c r="AA213" s="386"/>
      <c r="AB213" s="386"/>
      <c r="AC213" s="386"/>
      <c r="AD213" s="386"/>
    </row>
    <row r="214" ht="15.75" customHeight="1">
      <c r="A214" s="473"/>
      <c r="B214" s="501"/>
      <c r="C214" s="501"/>
      <c r="D214" s="501"/>
      <c r="E214" s="501"/>
      <c r="F214" s="501"/>
      <c r="G214" s="505"/>
      <c r="H214" s="501"/>
      <c r="I214" s="484"/>
      <c r="J214" s="386"/>
      <c r="K214" s="386"/>
      <c r="L214" s="386"/>
      <c r="M214" s="386"/>
      <c r="N214" s="386"/>
      <c r="O214" s="386"/>
      <c r="P214" s="386"/>
      <c r="Q214" s="386"/>
      <c r="R214" s="386"/>
      <c r="S214" s="386"/>
      <c r="T214" s="386"/>
      <c r="U214" s="386"/>
      <c r="V214" s="386"/>
      <c r="W214" s="386"/>
      <c r="X214" s="386"/>
      <c r="Y214" s="386"/>
      <c r="Z214" s="386"/>
      <c r="AA214" s="386"/>
      <c r="AB214" s="386"/>
      <c r="AC214" s="386"/>
      <c r="AD214" s="386"/>
    </row>
    <row r="215" ht="15.75" customHeight="1">
      <c r="A215" s="473"/>
      <c r="B215" s="501"/>
      <c r="C215" s="501"/>
      <c r="D215" s="501"/>
      <c r="E215" s="501"/>
      <c r="F215" s="501"/>
      <c r="G215" s="505"/>
      <c r="H215" s="501"/>
      <c r="I215" s="484"/>
      <c r="J215" s="386"/>
      <c r="K215" s="386"/>
      <c r="L215" s="386"/>
      <c r="M215" s="386"/>
      <c r="N215" s="386"/>
      <c r="O215" s="386"/>
      <c r="P215" s="386"/>
      <c r="Q215" s="386"/>
      <c r="R215" s="386"/>
      <c r="S215" s="386"/>
      <c r="T215" s="386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</row>
    <row r="216" ht="15.75" customHeight="1">
      <c r="A216" s="473"/>
      <c r="B216" s="501"/>
      <c r="C216" s="501"/>
      <c r="D216" s="501"/>
      <c r="E216" s="501"/>
      <c r="F216" s="501"/>
      <c r="G216" s="505"/>
      <c r="H216" s="501"/>
      <c r="I216" s="484"/>
      <c r="J216" s="386"/>
      <c r="K216" s="386"/>
      <c r="L216" s="386"/>
      <c r="M216" s="386"/>
      <c r="N216" s="386"/>
      <c r="O216" s="386"/>
      <c r="P216" s="386"/>
      <c r="Q216" s="386"/>
      <c r="R216" s="386"/>
      <c r="S216" s="386"/>
      <c r="T216" s="386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</row>
    <row r="217" ht="15.75" customHeight="1">
      <c r="A217" s="473"/>
      <c r="B217" s="501"/>
      <c r="C217" s="501"/>
      <c r="D217" s="501"/>
      <c r="E217" s="501"/>
      <c r="F217" s="501"/>
      <c r="G217" s="505"/>
      <c r="H217" s="501"/>
      <c r="I217" s="484"/>
      <c r="J217" s="386"/>
      <c r="K217" s="386"/>
      <c r="L217" s="386"/>
      <c r="M217" s="386"/>
      <c r="N217" s="386"/>
      <c r="O217" s="386"/>
      <c r="P217" s="386"/>
      <c r="Q217" s="386"/>
      <c r="R217" s="386"/>
      <c r="S217" s="386"/>
      <c r="T217" s="386"/>
      <c r="U217" s="386"/>
      <c r="V217" s="386"/>
      <c r="W217" s="386"/>
      <c r="X217" s="386"/>
      <c r="Y217" s="386"/>
      <c r="Z217" s="386"/>
      <c r="AA217" s="386"/>
      <c r="AB217" s="386"/>
      <c r="AC217" s="386"/>
      <c r="AD217" s="386"/>
    </row>
    <row r="218" ht="15.75" customHeight="1">
      <c r="A218" s="473"/>
      <c r="B218" s="501"/>
      <c r="C218" s="501"/>
      <c r="D218" s="501"/>
      <c r="E218" s="501"/>
      <c r="F218" s="501"/>
      <c r="G218" s="505"/>
      <c r="H218" s="501"/>
      <c r="I218" s="484"/>
      <c r="J218" s="386"/>
      <c r="K218" s="386"/>
      <c r="L218" s="386"/>
      <c r="M218" s="386"/>
      <c r="N218" s="386"/>
      <c r="O218" s="386"/>
      <c r="P218" s="386"/>
      <c r="Q218" s="386"/>
      <c r="R218" s="386"/>
      <c r="S218" s="386"/>
      <c r="T218" s="386"/>
      <c r="U218" s="386"/>
      <c r="V218" s="386"/>
      <c r="W218" s="386"/>
      <c r="X218" s="386"/>
      <c r="Y218" s="386"/>
      <c r="Z218" s="386"/>
      <c r="AA218" s="386"/>
      <c r="AB218" s="386"/>
      <c r="AC218" s="386"/>
      <c r="AD218" s="386"/>
    </row>
    <row r="219" ht="15.75" customHeight="1">
      <c r="A219" s="473"/>
      <c r="B219" s="501"/>
      <c r="C219" s="501"/>
      <c r="D219" s="501"/>
      <c r="E219" s="501"/>
      <c r="F219" s="501"/>
      <c r="G219" s="505"/>
      <c r="H219" s="501"/>
      <c r="I219" s="484"/>
      <c r="J219" s="386"/>
      <c r="K219" s="386"/>
      <c r="L219" s="386"/>
      <c r="M219" s="386"/>
      <c r="N219" s="386"/>
      <c r="O219" s="386"/>
      <c r="P219" s="386"/>
      <c r="Q219" s="386"/>
      <c r="R219" s="386"/>
      <c r="S219" s="386"/>
      <c r="T219" s="386"/>
      <c r="U219" s="386"/>
      <c r="V219" s="386"/>
      <c r="W219" s="386"/>
      <c r="X219" s="386"/>
      <c r="Y219" s="386"/>
      <c r="Z219" s="386"/>
      <c r="AA219" s="386"/>
      <c r="AB219" s="386"/>
      <c r="AC219" s="386"/>
      <c r="AD219" s="386"/>
    </row>
    <row r="220" ht="15.75" customHeight="1">
      <c r="A220" s="473"/>
      <c r="B220" s="501"/>
      <c r="C220" s="501"/>
      <c r="D220" s="501"/>
      <c r="E220" s="501"/>
      <c r="F220" s="501"/>
      <c r="G220" s="505"/>
      <c r="H220" s="501"/>
      <c r="I220" s="484"/>
      <c r="J220" s="386"/>
      <c r="K220" s="386"/>
      <c r="L220" s="386"/>
      <c r="M220" s="386"/>
      <c r="N220" s="386"/>
      <c r="O220" s="386"/>
      <c r="P220" s="386"/>
      <c r="Q220" s="386"/>
      <c r="R220" s="386"/>
      <c r="S220" s="386"/>
      <c r="T220" s="386"/>
      <c r="U220" s="386"/>
      <c r="V220" s="386"/>
      <c r="W220" s="386"/>
      <c r="X220" s="386"/>
      <c r="Y220" s="386"/>
      <c r="Z220" s="386"/>
      <c r="AA220" s="386"/>
      <c r="AB220" s="386"/>
      <c r="AC220" s="386"/>
      <c r="AD220" s="386"/>
    </row>
    <row r="221" ht="15.75" customHeight="1">
      <c r="A221" s="473"/>
      <c r="B221" s="501"/>
      <c r="C221" s="501"/>
      <c r="D221" s="501"/>
      <c r="E221" s="501"/>
      <c r="F221" s="501"/>
      <c r="G221" s="505"/>
      <c r="H221" s="501"/>
      <c r="I221" s="484"/>
      <c r="J221" s="386"/>
      <c r="K221" s="386"/>
      <c r="L221" s="386"/>
      <c r="M221" s="386"/>
      <c r="N221" s="386"/>
      <c r="O221" s="386"/>
      <c r="P221" s="386"/>
      <c r="Q221" s="386"/>
      <c r="R221" s="386"/>
      <c r="S221" s="386"/>
      <c r="T221" s="386"/>
      <c r="U221" s="386"/>
      <c r="V221" s="386"/>
      <c r="W221" s="386"/>
      <c r="X221" s="386"/>
      <c r="Y221" s="386"/>
      <c r="Z221" s="386"/>
      <c r="AA221" s="386"/>
      <c r="AB221" s="386"/>
      <c r="AC221" s="386"/>
      <c r="AD221" s="386"/>
    </row>
    <row r="222" ht="15.75" customHeight="1">
      <c r="A222" s="473"/>
      <c r="B222" s="501"/>
      <c r="C222" s="501"/>
      <c r="D222" s="501"/>
      <c r="E222" s="501"/>
      <c r="F222" s="501"/>
      <c r="G222" s="505"/>
      <c r="H222" s="501"/>
      <c r="I222" s="484"/>
      <c r="J222" s="386"/>
      <c r="K222" s="386"/>
      <c r="L222" s="386"/>
      <c r="M222" s="386"/>
      <c r="N222" s="386"/>
      <c r="O222" s="386"/>
      <c r="P222" s="386"/>
      <c r="Q222" s="386"/>
      <c r="R222" s="386"/>
      <c r="S222" s="386"/>
      <c r="T222" s="386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</row>
    <row r="223" ht="15.75" customHeight="1">
      <c r="A223" s="473"/>
      <c r="B223" s="501"/>
      <c r="C223" s="501"/>
      <c r="D223" s="501"/>
      <c r="E223" s="501"/>
      <c r="F223" s="501"/>
      <c r="G223" s="505"/>
      <c r="H223" s="501"/>
      <c r="I223" s="484"/>
      <c r="J223" s="386"/>
      <c r="K223" s="386"/>
      <c r="L223" s="386"/>
      <c r="M223" s="386"/>
      <c r="N223" s="386"/>
      <c r="O223" s="386"/>
      <c r="P223" s="386"/>
      <c r="Q223" s="386"/>
      <c r="R223" s="386"/>
      <c r="S223" s="386"/>
      <c r="T223" s="386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</row>
    <row r="224" ht="15.75" customHeight="1">
      <c r="A224" s="473"/>
      <c r="B224" s="501"/>
      <c r="C224" s="501"/>
      <c r="D224" s="501"/>
      <c r="E224" s="501"/>
      <c r="F224" s="501"/>
      <c r="G224" s="505"/>
      <c r="H224" s="501"/>
      <c r="I224" s="484"/>
      <c r="J224" s="386"/>
      <c r="K224" s="386"/>
      <c r="L224" s="386"/>
      <c r="M224" s="386"/>
      <c r="N224" s="386"/>
      <c r="O224" s="386"/>
      <c r="P224" s="386"/>
      <c r="Q224" s="386"/>
      <c r="R224" s="386"/>
      <c r="S224" s="386"/>
      <c r="T224" s="386"/>
      <c r="U224" s="386"/>
      <c r="V224" s="386"/>
      <c r="W224" s="386"/>
      <c r="X224" s="386"/>
      <c r="Y224" s="386"/>
      <c r="Z224" s="386"/>
      <c r="AA224" s="386"/>
      <c r="AB224" s="386"/>
      <c r="AC224" s="386"/>
      <c r="AD224" s="386"/>
    </row>
    <row r="225" ht="15.75" customHeight="1">
      <c r="A225" s="473"/>
      <c r="B225" s="501"/>
      <c r="C225" s="501"/>
      <c r="D225" s="501"/>
      <c r="E225" s="501"/>
      <c r="F225" s="501"/>
      <c r="G225" s="505"/>
      <c r="H225" s="501"/>
      <c r="I225" s="484"/>
      <c r="J225" s="386"/>
      <c r="K225" s="386"/>
      <c r="L225" s="386"/>
      <c r="M225" s="386"/>
      <c r="N225" s="386"/>
      <c r="O225" s="386"/>
      <c r="P225" s="386"/>
      <c r="Q225" s="386"/>
      <c r="R225" s="386"/>
      <c r="S225" s="386"/>
      <c r="T225" s="386"/>
      <c r="U225" s="386"/>
      <c r="V225" s="386"/>
      <c r="W225" s="386"/>
      <c r="X225" s="386"/>
      <c r="Y225" s="386"/>
      <c r="Z225" s="386"/>
      <c r="AA225" s="386"/>
      <c r="AB225" s="386"/>
      <c r="AC225" s="386"/>
      <c r="AD225" s="386"/>
    </row>
    <row r="226" ht="15.75" customHeight="1">
      <c r="A226" s="473"/>
      <c r="B226" s="501"/>
      <c r="C226" s="501"/>
      <c r="D226" s="501"/>
      <c r="E226" s="501"/>
      <c r="F226" s="501"/>
      <c r="G226" s="505"/>
      <c r="H226" s="501"/>
      <c r="I226" s="484"/>
      <c r="J226" s="386"/>
      <c r="K226" s="386"/>
      <c r="L226" s="386"/>
      <c r="M226" s="386"/>
      <c r="N226" s="386"/>
      <c r="O226" s="386"/>
      <c r="P226" s="386"/>
      <c r="Q226" s="386"/>
      <c r="R226" s="386"/>
      <c r="S226" s="386"/>
      <c r="T226" s="386"/>
      <c r="U226" s="386"/>
      <c r="V226" s="386"/>
      <c r="W226" s="386"/>
      <c r="X226" s="386"/>
      <c r="Y226" s="386"/>
      <c r="Z226" s="386"/>
      <c r="AA226" s="386"/>
      <c r="AB226" s="386"/>
      <c r="AC226" s="386"/>
      <c r="AD226" s="386"/>
    </row>
    <row r="227" ht="15.75" customHeight="1">
      <c r="A227" s="473"/>
      <c r="B227" s="501"/>
      <c r="C227" s="501"/>
      <c r="D227" s="501"/>
      <c r="E227" s="501"/>
      <c r="F227" s="501"/>
      <c r="G227" s="505"/>
      <c r="H227" s="501"/>
      <c r="I227" s="484"/>
      <c r="J227" s="386"/>
      <c r="K227" s="386"/>
      <c r="L227" s="386"/>
      <c r="M227" s="386"/>
      <c r="N227" s="386"/>
      <c r="O227" s="386"/>
      <c r="P227" s="386"/>
      <c r="Q227" s="386"/>
      <c r="R227" s="386"/>
      <c r="S227" s="386"/>
      <c r="T227" s="386"/>
      <c r="U227" s="386"/>
      <c r="V227" s="386"/>
      <c r="W227" s="386"/>
      <c r="X227" s="386"/>
      <c r="Y227" s="386"/>
      <c r="Z227" s="386"/>
      <c r="AA227" s="386"/>
      <c r="AB227" s="386"/>
      <c r="AC227" s="386"/>
      <c r="AD227" s="386"/>
    </row>
    <row r="228" ht="15.75" customHeight="1">
      <c r="A228" s="473"/>
      <c r="B228" s="501"/>
      <c r="C228" s="501"/>
      <c r="D228" s="501"/>
      <c r="E228" s="501"/>
      <c r="F228" s="501"/>
      <c r="G228" s="505"/>
      <c r="H228" s="501"/>
      <c r="I228" s="484"/>
      <c r="J228" s="386"/>
      <c r="K228" s="386"/>
      <c r="L228" s="386"/>
      <c r="M228" s="386"/>
      <c r="N228" s="386"/>
      <c r="O228" s="386"/>
      <c r="P228" s="386"/>
      <c r="Q228" s="386"/>
      <c r="R228" s="386"/>
      <c r="S228" s="386"/>
      <c r="T228" s="386"/>
      <c r="U228" s="386"/>
      <c r="V228" s="386"/>
      <c r="W228" s="386"/>
      <c r="X228" s="386"/>
      <c r="Y228" s="386"/>
      <c r="Z228" s="386"/>
      <c r="AA228" s="386"/>
      <c r="AB228" s="386"/>
      <c r="AC228" s="386"/>
      <c r="AD228" s="386"/>
    </row>
    <row r="229" ht="15.75" customHeight="1">
      <c r="A229" s="473"/>
      <c r="B229" s="501"/>
      <c r="C229" s="501"/>
      <c r="D229" s="501"/>
      <c r="E229" s="501"/>
      <c r="F229" s="501"/>
      <c r="G229" s="505"/>
      <c r="H229" s="501"/>
      <c r="I229" s="484"/>
      <c r="J229" s="386"/>
      <c r="K229" s="386"/>
      <c r="L229" s="386"/>
      <c r="M229" s="386"/>
      <c r="N229" s="386"/>
      <c r="O229" s="386"/>
      <c r="P229" s="386"/>
      <c r="Q229" s="386"/>
      <c r="R229" s="386"/>
      <c r="S229" s="386"/>
      <c r="T229" s="386"/>
      <c r="U229" s="386"/>
      <c r="V229" s="386"/>
      <c r="W229" s="386"/>
      <c r="X229" s="386"/>
      <c r="Y229" s="386"/>
      <c r="Z229" s="386"/>
      <c r="AA229" s="386"/>
      <c r="AB229" s="386"/>
      <c r="AC229" s="386"/>
      <c r="AD229" s="386"/>
    </row>
    <row r="230" ht="15.75" customHeight="1">
      <c r="A230" s="473"/>
      <c r="B230" s="501"/>
      <c r="C230" s="501"/>
      <c r="D230" s="501"/>
      <c r="E230" s="501"/>
      <c r="F230" s="501"/>
      <c r="G230" s="505"/>
      <c r="H230" s="501"/>
      <c r="I230" s="484"/>
      <c r="J230" s="386"/>
      <c r="K230" s="386"/>
      <c r="L230" s="386"/>
      <c r="M230" s="386"/>
      <c r="N230" s="386"/>
      <c r="O230" s="386"/>
      <c r="P230" s="386"/>
      <c r="Q230" s="386"/>
      <c r="R230" s="386"/>
      <c r="S230" s="386"/>
      <c r="T230" s="386"/>
      <c r="U230" s="386"/>
      <c r="V230" s="386"/>
      <c r="W230" s="386"/>
      <c r="X230" s="386"/>
      <c r="Y230" s="386"/>
      <c r="Z230" s="386"/>
      <c r="AA230" s="386"/>
      <c r="AB230" s="386"/>
      <c r="AC230" s="386"/>
      <c r="AD230" s="386"/>
    </row>
    <row r="231" ht="15.75" customHeight="1">
      <c r="A231" s="473"/>
      <c r="B231" s="501"/>
      <c r="C231" s="501"/>
      <c r="D231" s="501"/>
      <c r="E231" s="501"/>
      <c r="F231" s="501"/>
      <c r="G231" s="505"/>
      <c r="H231" s="501"/>
      <c r="I231" s="484"/>
      <c r="J231" s="386"/>
      <c r="K231" s="386"/>
      <c r="L231" s="386"/>
      <c r="M231" s="386"/>
      <c r="N231" s="386"/>
      <c r="O231" s="386"/>
      <c r="P231" s="386"/>
      <c r="Q231" s="386"/>
      <c r="R231" s="386"/>
      <c r="S231" s="386"/>
      <c r="T231" s="386"/>
      <c r="U231" s="386"/>
      <c r="V231" s="386"/>
      <c r="W231" s="386"/>
      <c r="X231" s="386"/>
      <c r="Y231" s="386"/>
      <c r="Z231" s="386"/>
      <c r="AA231" s="386"/>
      <c r="AB231" s="386"/>
      <c r="AC231" s="386"/>
      <c r="AD231" s="386"/>
    </row>
    <row r="232" ht="15.75" customHeight="1">
      <c r="A232" s="473"/>
      <c r="B232" s="501"/>
      <c r="C232" s="501"/>
      <c r="D232" s="501"/>
      <c r="E232" s="501"/>
      <c r="F232" s="501"/>
      <c r="G232" s="505"/>
      <c r="H232" s="501"/>
      <c r="I232" s="484"/>
      <c r="J232" s="386"/>
      <c r="K232" s="386"/>
      <c r="L232" s="386"/>
      <c r="M232" s="386"/>
      <c r="N232" s="386"/>
      <c r="O232" s="386"/>
      <c r="P232" s="386"/>
      <c r="Q232" s="386"/>
      <c r="R232" s="386"/>
      <c r="S232" s="386"/>
      <c r="T232" s="386"/>
      <c r="U232" s="386"/>
      <c r="V232" s="386"/>
      <c r="W232" s="386"/>
      <c r="X232" s="386"/>
      <c r="Y232" s="386"/>
      <c r="Z232" s="386"/>
      <c r="AA232" s="386"/>
      <c r="AB232" s="386"/>
      <c r="AC232" s="386"/>
      <c r="AD232" s="386"/>
    </row>
    <row r="233" ht="15.75" customHeight="1">
      <c r="A233" s="473"/>
      <c r="B233" s="501"/>
      <c r="C233" s="501"/>
      <c r="D233" s="501"/>
      <c r="E233" s="501"/>
      <c r="F233" s="501"/>
      <c r="G233" s="505"/>
      <c r="H233" s="501"/>
      <c r="I233" s="484"/>
      <c r="J233" s="386"/>
      <c r="K233" s="386"/>
      <c r="L233" s="386"/>
      <c r="M233" s="386"/>
      <c r="N233" s="386"/>
      <c r="O233" s="386"/>
      <c r="P233" s="386"/>
      <c r="Q233" s="386"/>
      <c r="R233" s="386"/>
      <c r="S233" s="386"/>
      <c r="T233" s="386"/>
      <c r="U233" s="386"/>
      <c r="V233" s="386"/>
      <c r="W233" s="386"/>
      <c r="X233" s="386"/>
      <c r="Y233" s="386"/>
      <c r="Z233" s="386"/>
      <c r="AA233" s="386"/>
      <c r="AB233" s="386"/>
      <c r="AC233" s="386"/>
      <c r="AD233" s="386"/>
    </row>
    <row r="234" ht="15.75" customHeight="1">
      <c r="A234" s="473"/>
      <c r="B234" s="501"/>
      <c r="C234" s="501"/>
      <c r="D234" s="501"/>
      <c r="E234" s="501"/>
      <c r="F234" s="501"/>
      <c r="G234" s="505"/>
      <c r="H234" s="501"/>
      <c r="I234" s="484"/>
      <c r="J234" s="386"/>
      <c r="K234" s="386"/>
      <c r="L234" s="386"/>
      <c r="M234" s="386"/>
      <c r="N234" s="386"/>
      <c r="O234" s="386"/>
      <c r="P234" s="386"/>
      <c r="Q234" s="386"/>
      <c r="R234" s="386"/>
      <c r="S234" s="386"/>
      <c r="T234" s="386"/>
      <c r="U234" s="386"/>
      <c r="V234" s="386"/>
      <c r="W234" s="386"/>
      <c r="X234" s="386"/>
      <c r="Y234" s="386"/>
      <c r="Z234" s="386"/>
      <c r="AA234" s="386"/>
      <c r="AB234" s="386"/>
      <c r="AC234" s="386"/>
      <c r="AD234" s="386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</row>
  </sheetData>
  <conditionalFormatting sqref="I9:I32">
    <cfRule type="colorScale" priority="1">
      <colorScale>
        <cfvo type="formula" val="-0.0002"/>
        <cfvo type="formula" val="0"/>
        <cfvo type="formula" val="0.0002"/>
        <color rgb="FFEA9999"/>
        <color rgb="FFFFFFFF"/>
        <color rgb="FFA4C2F4"/>
      </colorScale>
    </cfRule>
  </conditionalFormatting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12.25"/>
    <col customWidth="1" min="2" max="2" width="18.75"/>
    <col customWidth="1" min="3" max="3" width="17.38"/>
    <col customWidth="1" min="4" max="4" width="16.13"/>
    <col customWidth="1" min="5" max="5" width="18.63"/>
    <col customWidth="1" min="6" max="6" width="21.38"/>
    <col customWidth="1" min="7" max="7" width="14.38"/>
    <col customWidth="1" min="8" max="8" width="19.0"/>
    <col customWidth="1" min="9" max="9" width="21.88"/>
    <col customWidth="1" min="10" max="10" width="14.38"/>
    <col customWidth="1" min="11" max="11" width="18.88"/>
    <col customWidth="1" min="12" max="12" width="21.38"/>
    <col customWidth="1" min="13" max="13" width="14.38"/>
  </cols>
  <sheetData>
    <row r="1">
      <c r="A1" s="2"/>
      <c r="B1" s="2"/>
      <c r="C1" s="506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507"/>
      <c r="C2" s="508" t="s">
        <v>391</v>
      </c>
      <c r="D2" s="2"/>
      <c r="E2" s="509"/>
      <c r="F2" s="510" t="s">
        <v>234</v>
      </c>
      <c r="G2" s="2"/>
      <c r="H2" s="507"/>
      <c r="I2" s="508" t="s">
        <v>392</v>
      </c>
      <c r="J2" s="2"/>
      <c r="K2" s="169"/>
      <c r="L2" s="511"/>
      <c r="M2" s="51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513" t="s">
        <v>324</v>
      </c>
      <c r="C3" s="514">
        <v>10.0</v>
      </c>
      <c r="D3" s="2"/>
      <c r="E3" s="515" t="s">
        <v>354</v>
      </c>
      <c r="F3" s="516" t="s">
        <v>393</v>
      </c>
      <c r="G3" s="2"/>
      <c r="H3" s="517" t="s">
        <v>354</v>
      </c>
      <c r="I3" s="516" t="s">
        <v>394</v>
      </c>
      <c r="J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513" t="s">
        <v>395</v>
      </c>
      <c r="C4" s="514">
        <v>5.25</v>
      </c>
      <c r="D4" s="2"/>
      <c r="E4" s="515" t="s">
        <v>324</v>
      </c>
      <c r="F4" s="516">
        <v>-30.0</v>
      </c>
      <c r="G4" s="411"/>
      <c r="H4" s="517" t="s">
        <v>3</v>
      </c>
      <c r="I4" s="518" t="s">
        <v>396</v>
      </c>
      <c r="J4" s="184"/>
      <c r="K4" s="169"/>
      <c r="L4" s="511"/>
      <c r="M4" s="51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513" t="s">
        <v>397</v>
      </c>
      <c r="C5" s="519">
        <v>4253.0</v>
      </c>
      <c r="D5" s="2"/>
      <c r="E5" s="515" t="s">
        <v>397</v>
      </c>
      <c r="F5" s="516">
        <v>5048.19</v>
      </c>
      <c r="G5" s="2"/>
      <c r="H5" s="517" t="s">
        <v>398</v>
      </c>
      <c r="I5" s="516">
        <v>20.0</v>
      </c>
      <c r="J5" s="18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520" t="s">
        <v>399</v>
      </c>
      <c r="C6" s="521">
        <f>C5*50*C4*C3</f>
        <v>11164125</v>
      </c>
      <c r="D6" s="2"/>
      <c r="E6" s="522" t="s">
        <v>399</v>
      </c>
      <c r="F6" s="521">
        <f>IFS(F3="Padrão", F4*50*F5,F3="Mini",F4*10*F5)</f>
        <v>-7572285</v>
      </c>
      <c r="G6" s="2"/>
      <c r="H6" s="517" t="s">
        <v>400</v>
      </c>
      <c r="I6" s="523">
        <f>IF(I3="Padrão (IND)",5,1)</f>
        <v>5</v>
      </c>
      <c r="J6" s="184"/>
      <c r="K6" s="169"/>
      <c r="L6" s="511"/>
      <c r="M6" s="51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506"/>
      <c r="D7" s="2"/>
      <c r="E7" s="2"/>
      <c r="F7" s="2"/>
      <c r="G7" s="2"/>
      <c r="H7" s="517" t="s">
        <v>401</v>
      </c>
      <c r="I7" s="524">
        <v>128950.0</v>
      </c>
      <c r="J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507"/>
      <c r="C8" s="525" t="s">
        <v>243</v>
      </c>
      <c r="D8" s="526" t="s">
        <v>402</v>
      </c>
      <c r="E8" s="508"/>
      <c r="F8" s="510" t="s">
        <v>240</v>
      </c>
      <c r="G8" s="2"/>
      <c r="H8" s="527" t="s">
        <v>399</v>
      </c>
      <c r="I8" s="528">
        <f>IF(I6&gt;I5,"Qnt. Insuficiente",IF(I3="Padrão (IND)",(I5)*1*I7,I5*0.2*I7))</f>
        <v>2579000</v>
      </c>
      <c r="J8" s="2"/>
      <c r="K8" s="169"/>
      <c r="L8" s="511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513" t="s">
        <v>324</v>
      </c>
      <c r="C9" s="514">
        <v>1.0</v>
      </c>
      <c r="D9" s="176"/>
      <c r="E9" s="529" t="s">
        <v>354</v>
      </c>
      <c r="F9" s="516" t="s">
        <v>403</v>
      </c>
      <c r="G9" s="2"/>
      <c r="H9" s="2"/>
      <c r="I9" s="2"/>
      <c r="J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513" t="s">
        <v>3</v>
      </c>
      <c r="C10" s="530" t="s">
        <v>396</v>
      </c>
      <c r="D10" s="176"/>
      <c r="E10" s="529" t="s">
        <v>324</v>
      </c>
      <c r="F10" s="530">
        <v>10.0</v>
      </c>
      <c r="G10" s="2"/>
      <c r="H10" s="2"/>
      <c r="I10" s="531"/>
      <c r="J10" s="2"/>
      <c r="K10" s="532"/>
      <c r="L10" s="176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513" t="s">
        <v>397</v>
      </c>
      <c r="C11" s="519">
        <v>99709.29</v>
      </c>
      <c r="D11" s="176"/>
      <c r="E11" s="529" t="s">
        <v>397</v>
      </c>
      <c r="F11" s="514">
        <v>6238.681</v>
      </c>
      <c r="G11" s="2"/>
      <c r="H11" s="533"/>
      <c r="I11" s="534" t="s">
        <v>404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520" t="s">
        <v>399</v>
      </c>
      <c r="C12" s="521">
        <f>C11*C9</f>
        <v>99709.29</v>
      </c>
      <c r="D12" s="176"/>
      <c r="E12" s="535" t="s">
        <v>399</v>
      </c>
      <c r="F12" s="521">
        <f>IFS(F9="Padrão", F11*50*F10,F9="Mini",F11*10*F10)</f>
        <v>623868.1</v>
      </c>
      <c r="G12" s="2"/>
      <c r="H12" s="536" t="s">
        <v>3</v>
      </c>
      <c r="I12" s="523" t="s">
        <v>405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537"/>
      <c r="E13" s="2"/>
      <c r="F13" s="2"/>
      <c r="G13" s="2"/>
      <c r="H13" s="536" t="s">
        <v>324</v>
      </c>
      <c r="I13" s="516">
        <v>5.0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2"/>
      <c r="B14" s="507"/>
      <c r="C14" s="538" t="s">
        <v>254</v>
      </c>
      <c r="D14" s="2"/>
      <c r="E14" s="539"/>
      <c r="F14" s="540" t="s">
        <v>406</v>
      </c>
      <c r="G14" s="2"/>
      <c r="H14" s="536" t="s">
        <v>280</v>
      </c>
      <c r="I14" s="541" t="str">
        <f t="array" ref="I14">INDEX('Histórico'!DX:DX,MATCH(I15,'Histórico'!A:A,0))</f>
        <v>#N/A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542" t="s">
        <v>393</v>
      </c>
      <c r="B15" s="513" t="s">
        <v>324</v>
      </c>
      <c r="C15" s="514">
        <v>15.0</v>
      </c>
      <c r="D15" s="2"/>
      <c r="E15" s="536" t="s">
        <v>3</v>
      </c>
      <c r="F15" s="543" t="s">
        <v>405</v>
      </c>
      <c r="G15" s="2"/>
      <c r="H15" s="536" t="s">
        <v>182</v>
      </c>
      <c r="I15" s="544">
        <v>44449.0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542" t="s">
        <v>403</v>
      </c>
      <c r="B16" s="513" t="s">
        <v>395</v>
      </c>
      <c r="C16" s="545">
        <v>5.0941</v>
      </c>
      <c r="D16" s="2"/>
      <c r="E16" s="536" t="s">
        <v>324</v>
      </c>
      <c r="F16" s="516">
        <v>1.0</v>
      </c>
      <c r="G16" s="546"/>
      <c r="H16" s="536" t="s">
        <v>407</v>
      </c>
      <c r="I16" s="547">
        <v>28.3069</v>
      </c>
      <c r="J16" s="2"/>
      <c r="K16" s="2"/>
      <c r="L16" s="2"/>
      <c r="M16" s="548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513" t="s">
        <v>397</v>
      </c>
      <c r="C17" s="549">
        <v>133.7812</v>
      </c>
      <c r="D17" s="2"/>
      <c r="E17" s="536" t="s">
        <v>408</v>
      </c>
      <c r="F17" s="550">
        <v>93.25</v>
      </c>
      <c r="G17" s="548"/>
      <c r="H17" s="536" t="s">
        <v>399</v>
      </c>
      <c r="I17" s="551" t="str">
        <f>I16*I14*450*I13</f>
        <v>#N/A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520" t="s">
        <v>399</v>
      </c>
      <c r="C18" s="521">
        <f>C17*1000*C15*C16</f>
        <v>10222422.16</v>
      </c>
      <c r="D18" s="2"/>
      <c r="E18" s="552" t="s">
        <v>409</v>
      </c>
      <c r="F18" s="553">
        <v>93.04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532"/>
      <c r="C19" s="2"/>
      <c r="D19" s="2"/>
      <c r="E19" s="554" t="s">
        <v>399</v>
      </c>
      <c r="F19" s="555">
        <f>(F17-F18)*450*F16</f>
        <v>94.5</v>
      </c>
      <c r="G19" s="546"/>
      <c r="H19" s="533"/>
      <c r="I19" s="534" t="s">
        <v>268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556" t="s">
        <v>410</v>
      </c>
      <c r="C20" s="557" t="s">
        <v>411</v>
      </c>
      <c r="D20" s="2"/>
      <c r="E20" s="2"/>
      <c r="F20" s="2"/>
      <c r="G20" s="548"/>
      <c r="H20" s="536" t="s">
        <v>3</v>
      </c>
      <c r="I20" s="523" t="s">
        <v>405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558" t="s">
        <v>412</v>
      </c>
      <c r="C21" s="2"/>
      <c r="D21" s="2"/>
      <c r="E21" s="559"/>
      <c r="F21" s="560"/>
      <c r="G21" s="2"/>
      <c r="H21" s="536" t="s">
        <v>324</v>
      </c>
      <c r="I21" s="516">
        <v>10.0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506"/>
      <c r="D22" s="2"/>
      <c r="E22" s="2"/>
      <c r="F22" s="2"/>
      <c r="G22" s="2"/>
      <c r="H22" s="536" t="s">
        <v>413</v>
      </c>
      <c r="I22" s="561">
        <v>313.3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506"/>
      <c r="D23" s="2"/>
      <c r="E23" s="2"/>
      <c r="F23" s="2"/>
      <c r="G23" s="2"/>
      <c r="H23" s="536" t="s">
        <v>414</v>
      </c>
      <c r="I23" s="561">
        <v>315.0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506"/>
      <c r="D24" s="2"/>
      <c r="E24" s="2"/>
      <c r="F24" s="2"/>
      <c r="G24" s="2"/>
      <c r="H24" s="562" t="s">
        <v>399</v>
      </c>
      <c r="I24" s="521">
        <f>(I23-I22)*330*I21</f>
        <v>5610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506"/>
      <c r="D25" s="2"/>
      <c r="E25" s="2"/>
      <c r="F25" s="2"/>
      <c r="G25" s="2"/>
      <c r="H25" s="559"/>
      <c r="I25" s="560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506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50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50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506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506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50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506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506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506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506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506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506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506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50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50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50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50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50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50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50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50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50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50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50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50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50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50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50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50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506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506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506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506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506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506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506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506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506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506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506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506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506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506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506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506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506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506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506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506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506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506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506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506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506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506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506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506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506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506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506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506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506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506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506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506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506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506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506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506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506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506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506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506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506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506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506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506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506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506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506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506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506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506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506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506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506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506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506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506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506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506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506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506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506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506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506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506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506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506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506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506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506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506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506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506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506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506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506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506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506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506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506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506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506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506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506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506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506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506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506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506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506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506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506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506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506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506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506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506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506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506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506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506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506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506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506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506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506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506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506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506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506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506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506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506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506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506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506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506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506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506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506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506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506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506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506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506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506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506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506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506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506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506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506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506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506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506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506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506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506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506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506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506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506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506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506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506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506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506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506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506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506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506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506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506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506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506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506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506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506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506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506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506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506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506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506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</row>
  </sheetData>
  <mergeCells count="11">
    <mergeCell ref="L6:L7"/>
    <mergeCell ref="M6:M7"/>
    <mergeCell ref="K8:K9"/>
    <mergeCell ref="L8:L9"/>
    <mergeCell ref="K2:K3"/>
    <mergeCell ref="L2:L3"/>
    <mergeCell ref="M2:M3"/>
    <mergeCell ref="K4:K5"/>
    <mergeCell ref="L4:L5"/>
    <mergeCell ref="M4:M5"/>
    <mergeCell ref="K6:K7"/>
  </mergeCells>
  <conditionalFormatting sqref="F15 F18:F19 F21 I8 I12 I14 I17 I20 I25">
    <cfRule type="containsText" dxfId="7" priority="1" operator="containsText" text="Qnt. insuficiente">
      <formula>NOT(ISERROR(SEARCH(("Qnt. insuficiente"),(F15))))</formula>
    </cfRule>
  </conditionalFormatting>
  <conditionalFormatting sqref="F15 I4 I6 I12 I14 I20">
    <cfRule type="expression" dxfId="8" priority="2">
      <formula>MOD(ROW(),2)=1</formula>
    </cfRule>
  </conditionalFormatting>
  <dataValidations>
    <dataValidation type="list" allowBlank="1" showErrorMessage="1" sqref="I4">
      <formula1>"Q21,V21,Z21,G22,J22,M22,Q22"</formula1>
    </dataValidation>
    <dataValidation type="list" allowBlank="1" showErrorMessage="1" sqref="F3 F9">
      <formula1>$A$15:$A$16</formula1>
    </dataValidation>
    <dataValidation type="list" allowBlank="1" showErrorMessage="1" sqref="I3">
      <formula1>"Padrão (IND),Mini (WIN)"</formula1>
    </dataValidation>
  </dataValidations>
  <hyperlinks>
    <hyperlink r:id="rId1" ref="C20"/>
  </hyperlinks>
  <printOptions/>
  <pageMargins bottom="1.0" footer="0.0" header="0.0" left="0.75" right="0.75" top="1.0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4.38"/>
  </cols>
  <sheetData>
    <row r="1">
      <c r="A1" s="563">
        <v>38391.0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>
      <c r="A2" s="563">
        <v>38436.0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>
      <c r="A3" s="563">
        <v>38463.0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>
      <c r="A4" s="563">
        <v>38473.0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>
      <c r="A5" s="563">
        <v>38498.0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>
      <c r="A6" s="563">
        <v>38602.0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563">
        <v>38637.0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>
      <c r="A8" s="563">
        <v>38658.0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>
      <c r="A9" s="563">
        <v>38671.0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>
      <c r="A10" s="563">
        <v>38711.0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>
      <c r="A11" s="563">
        <v>38718.0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>
      <c r="A12" s="563">
        <v>38775.0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>
      <c r="A13" s="563">
        <v>38776.0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>
      <c r="A14" s="563">
        <v>38821.0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>
      <c r="A15" s="563">
        <v>38828.0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>
      <c r="A16" s="563">
        <v>38838.0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>
      <c r="A17" s="563">
        <v>38883.0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>
      <c r="A18" s="563">
        <v>38967.0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>
      <c r="A19" s="563">
        <v>39002.0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>
      <c r="A20" s="563">
        <v>39023.0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563">
        <v>39036.0</v>
      </c>
      <c r="B21" s="2"/>
      <c r="C21" s="2"/>
      <c r="D21" s="2"/>
      <c r="E21" s="2"/>
      <c r="F21" s="411"/>
      <c r="G21" s="411"/>
      <c r="I21" s="411"/>
      <c r="J21" s="411"/>
      <c r="K21" s="411"/>
      <c r="N21" s="411"/>
      <c r="O21" s="411"/>
      <c r="P21" s="411"/>
      <c r="S21" s="564"/>
    </row>
    <row r="22" ht="15.75" customHeight="1">
      <c r="A22" s="563">
        <v>39076.0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563">
        <v>39083.0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563">
        <v>39132.0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563">
        <v>39133.0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563">
        <v>39178.0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563">
        <v>39193.0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563">
        <v>39203.0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563">
        <v>39240.0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563">
        <v>39332.0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563">
        <v>39367.0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563">
        <v>39388.0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563">
        <v>39401.0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563">
        <v>39406.0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563">
        <v>39441.0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563">
        <v>39448.0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563">
        <v>39482.0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563">
        <v>39483.0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563">
        <v>39528.0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563">
        <v>39559.0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563">
        <v>39569.0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.75" customHeight="1">
      <c r="A42" s="563">
        <v>39590.0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customHeight="1">
      <c r="A43" s="563">
        <v>39698.0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customHeight="1">
      <c r="A44" s="563">
        <v>39733.0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customHeight="1">
      <c r="A45" s="563">
        <v>39754.0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customHeight="1">
      <c r="A46" s="563">
        <v>39767.0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customHeight="1">
      <c r="A47" s="563">
        <v>39807.0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15.75" customHeight="1">
      <c r="A48" s="563">
        <v>39814.0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15.75" customHeight="1">
      <c r="A49" s="563">
        <v>39867.0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ht="15.75" customHeight="1">
      <c r="A50" s="563">
        <v>39868.0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ht="15.75" customHeight="1">
      <c r="A51" s="563">
        <v>39913.0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ht="15.75" customHeight="1">
      <c r="A52" s="563">
        <v>39924.0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ht="15.75" customHeight="1">
      <c r="A53" s="563">
        <v>39934.0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ht="15.75" customHeight="1">
      <c r="A54" s="563">
        <v>39975.0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ht="15.75" customHeight="1">
      <c r="A55" s="563">
        <v>40063.0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ht="15.75" customHeight="1">
      <c r="A56" s="563">
        <v>40098.0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ht="15.75" customHeight="1">
      <c r="A57" s="563">
        <v>40119.0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ht="15.75" customHeight="1">
      <c r="A58" s="563">
        <v>40132.0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ht="15.75" customHeight="1">
      <c r="A59" s="563">
        <v>40172.0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ht="15.75" customHeight="1">
      <c r="A60" s="563">
        <v>40179.0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ht="15.75" customHeight="1">
      <c r="A61" s="563">
        <v>40224.0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ht="15.75" customHeight="1">
      <c r="A62" s="563">
        <v>40225.0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ht="15.75" customHeight="1">
      <c r="A63" s="563">
        <v>40270.0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ht="15.75" customHeight="1">
      <c r="A64" s="563">
        <v>40289.0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ht="15.75" customHeight="1">
      <c r="A65" s="563">
        <v>40299.0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ht="15.75" customHeight="1">
      <c r="A66" s="563">
        <v>40332.0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ht="15.75" customHeight="1">
      <c r="A67" s="563">
        <v>40428.0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ht="15.75" customHeight="1">
      <c r="A68" s="563">
        <v>40463.0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ht="15.75" customHeight="1">
      <c r="A69" s="563">
        <v>40484.0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ht="15.75" customHeight="1">
      <c r="A70" s="563">
        <v>40497.0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ht="15.75" customHeight="1">
      <c r="A71" s="563">
        <v>40537.0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ht="15.75" customHeight="1">
      <c r="A72" s="563">
        <v>40544.0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ht="15.75" customHeight="1">
      <c r="A73" s="563">
        <v>40609.0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ht="15.75" customHeight="1">
      <c r="A74" s="563">
        <v>40610.0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ht="15.75" customHeight="1">
      <c r="A75" s="563">
        <v>40654.0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ht="15.75" customHeight="1">
      <c r="A76" s="563">
        <v>40655.0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ht="15.75" customHeight="1">
      <c r="A77" s="563">
        <v>40664.0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ht="15.75" customHeight="1">
      <c r="A78" s="563">
        <v>40717.0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ht="15.75" customHeight="1">
      <c r="A79" s="563">
        <v>40793.0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ht="15.75" customHeight="1">
      <c r="A80" s="563">
        <v>40828.0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ht="15.75" customHeight="1">
      <c r="A81" s="563">
        <v>40849.0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ht="15.75" customHeight="1">
      <c r="A82" s="563">
        <v>40862.0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ht="15.75" customHeight="1">
      <c r="A83" s="563">
        <v>40902.0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ht="15.75" customHeight="1">
      <c r="A84" s="563">
        <v>40909.0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ht="15.75" customHeight="1">
      <c r="A85" s="563">
        <v>40959.0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ht="15.75" customHeight="1">
      <c r="A86" s="563">
        <v>40960.0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ht="15.75" customHeight="1">
      <c r="A87" s="563">
        <v>41005.0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ht="15.75" customHeight="1">
      <c r="A88" s="563">
        <v>41020.0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ht="15.75" customHeight="1">
      <c r="A89" s="563">
        <v>41030.0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ht="15.75" customHeight="1">
      <c r="A90" s="563">
        <v>41067.0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ht="15.75" customHeight="1">
      <c r="A91" s="563">
        <v>41159.0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ht="15.75" customHeight="1">
      <c r="A92" s="563">
        <v>41194.0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ht="15.75" customHeight="1">
      <c r="A93" s="563">
        <v>41215.0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ht="15.75" customHeight="1">
      <c r="A94" s="563">
        <v>41228.0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ht="15.75" customHeight="1">
      <c r="A95" s="563">
        <v>41268.0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ht="15.75" customHeight="1">
      <c r="A96" s="563">
        <v>41275.0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ht="15.75" customHeight="1">
      <c r="A97" s="563">
        <v>41316.0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ht="15.75" customHeight="1">
      <c r="A98" s="563">
        <v>41317.0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ht="15.75" customHeight="1">
      <c r="A99" s="563">
        <v>41362.0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ht="15.75" customHeight="1">
      <c r="A100" s="563">
        <v>41385.0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ht="15.75" customHeight="1">
      <c r="A101" s="563">
        <v>41395.0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ht="15.75" customHeight="1">
      <c r="A102" s="563">
        <v>41424.0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ht="15.75" customHeight="1">
      <c r="A103" s="563">
        <v>41524.0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ht="15.75" customHeight="1">
      <c r="A104" s="563">
        <v>41559.0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ht="15.75" customHeight="1">
      <c r="A105" s="563">
        <v>41580.0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ht="15.75" customHeight="1">
      <c r="A106" s="563">
        <v>41593.0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ht="15.75" customHeight="1">
      <c r="A107" s="563">
        <v>41633.0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ht="15.75" customHeight="1">
      <c r="A108" s="563">
        <v>41640.0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ht="15.75" customHeight="1">
      <c r="A109" s="563">
        <v>41701.0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ht="15.75" customHeight="1">
      <c r="A110" s="563">
        <v>41702.0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ht="15.75" customHeight="1">
      <c r="A111" s="563">
        <v>41747.0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ht="15.75" customHeight="1">
      <c r="A112" s="563">
        <v>41750.0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ht="15.75" customHeight="1">
      <c r="A113" s="563">
        <v>41760.0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ht="15.75" customHeight="1">
      <c r="A114" s="563">
        <v>41809.0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ht="15.75" customHeight="1">
      <c r="A115" s="563">
        <v>41889.0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ht="15.75" customHeight="1">
      <c r="A116" s="563">
        <v>41924.0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ht="15.75" customHeight="1">
      <c r="A117" s="563">
        <v>41945.0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ht="15.75" customHeight="1">
      <c r="A118" s="563">
        <v>41958.0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ht="15.75" customHeight="1">
      <c r="A119" s="563">
        <v>41998.0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ht="15.75" customHeight="1">
      <c r="A120" s="563">
        <v>42005.0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ht="15.75" customHeight="1">
      <c r="A121" s="563">
        <v>42051.0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ht="15.75" customHeight="1">
      <c r="A122" s="563">
        <v>42052.0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ht="15.75" customHeight="1">
      <c r="A123" s="563">
        <v>42097.0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ht="15.75" customHeight="1">
      <c r="A124" s="563">
        <v>42115.0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ht="15.75" customHeight="1">
      <c r="A125" s="563">
        <v>42125.0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ht="15.75" customHeight="1">
      <c r="A126" s="563">
        <v>42159.0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ht="15.75" customHeight="1">
      <c r="A127" s="563">
        <v>42254.0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ht="15.75" customHeight="1">
      <c r="A128" s="563">
        <v>42289.0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ht="15.75" customHeight="1">
      <c r="A129" s="563">
        <v>42310.0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ht="15.75" customHeight="1">
      <c r="A130" s="563">
        <v>42323.0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ht="15.75" customHeight="1">
      <c r="A131" s="563">
        <v>42363.0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ht="15.75" customHeight="1">
      <c r="A132" s="563">
        <v>42370.0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ht="15.75" customHeight="1">
      <c r="A133" s="563">
        <v>42408.0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ht="15.75" customHeight="1">
      <c r="A134" s="563">
        <v>42409.0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ht="15.75" customHeight="1">
      <c r="A135" s="563">
        <v>42454.0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ht="15.75" customHeight="1">
      <c r="A136" s="563">
        <v>42481.0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ht="15.75" customHeight="1">
      <c r="A137" s="563">
        <v>42491.0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ht="15.75" customHeight="1">
      <c r="A138" s="563">
        <v>42516.0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ht="15.75" customHeight="1">
      <c r="A139" s="563">
        <v>42620.0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ht="15.75" customHeight="1">
      <c r="A140" s="563">
        <v>42655.0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ht="15.75" customHeight="1">
      <c r="A141" s="563">
        <v>42676.0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ht="15.75" customHeight="1">
      <c r="A142" s="563">
        <v>42689.0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ht="15.75" customHeight="1">
      <c r="A143" s="563">
        <v>42729.0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ht="15.75" customHeight="1">
      <c r="A144" s="563">
        <v>42736.0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ht="15.75" customHeight="1">
      <c r="A145" s="563">
        <v>42793.0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ht="15.75" customHeight="1">
      <c r="A146" s="563">
        <v>42794.0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ht="15.75" customHeight="1">
      <c r="A147" s="563">
        <v>42839.0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ht="15.75" customHeight="1">
      <c r="A148" s="563">
        <v>42846.0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ht="15.75" customHeight="1">
      <c r="A149" s="563">
        <v>42856.0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ht="15.75" customHeight="1">
      <c r="A150" s="563">
        <v>42901.0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ht="15.75" customHeight="1">
      <c r="A151" s="563">
        <v>42985.0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ht="15.75" customHeight="1">
      <c r="A152" s="563">
        <v>43020.0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ht="15.75" customHeight="1">
      <c r="A153" s="563">
        <v>43041.0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ht="15.75" customHeight="1">
      <c r="A154" s="563">
        <v>43054.0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ht="15.75" customHeight="1">
      <c r="A155" s="563">
        <v>43094.0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ht="15.75" customHeight="1">
      <c r="A156" s="563">
        <v>43101.0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ht="15.75" customHeight="1">
      <c r="A157" s="563">
        <v>43143.0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ht="15.75" customHeight="1">
      <c r="A158" s="563">
        <v>43144.0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ht="15.75" customHeight="1">
      <c r="A159" s="563">
        <v>43189.0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ht="15.75" customHeight="1">
      <c r="A160" s="563">
        <v>43211.0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ht="15.75" customHeight="1">
      <c r="A161" s="563">
        <v>43221.0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ht="15.75" customHeight="1">
      <c r="A162" s="563">
        <v>43251.0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ht="15.75" customHeight="1">
      <c r="A163" s="563">
        <v>43350.0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ht="15.75" customHeight="1">
      <c r="A164" s="563">
        <v>43385.0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ht="15.75" customHeight="1">
      <c r="A165" s="563">
        <v>43406.0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ht="15.75" customHeight="1">
      <c r="A166" s="563">
        <v>43419.0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ht="15.75" customHeight="1">
      <c r="A167" s="563">
        <v>43459.0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ht="15.75" customHeight="1">
      <c r="A168" s="563">
        <v>43466.0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ht="15.75" customHeight="1">
      <c r="A169" s="563">
        <v>43528.0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ht="15.75" customHeight="1">
      <c r="A170" s="563">
        <v>43529.0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ht="15.75" customHeight="1">
      <c r="A171" s="563">
        <v>43574.0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ht="15.75" customHeight="1">
      <c r="A172" s="563">
        <v>43576.0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ht="15.75" customHeight="1">
      <c r="A173" s="563">
        <v>43586.0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ht="15.75" customHeight="1">
      <c r="A174" s="563">
        <v>43636.0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ht="15.75" customHeight="1">
      <c r="A175" s="563">
        <v>43715.0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ht="15.75" customHeight="1">
      <c r="A176" s="563">
        <v>43750.0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ht="15.75" customHeight="1">
      <c r="A177" s="563">
        <v>43771.0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ht="15.75" customHeight="1">
      <c r="A178" s="563">
        <v>43784.0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ht="15.75" customHeight="1">
      <c r="A179" s="563">
        <v>43824.0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ht="15.75" customHeight="1">
      <c r="A180" s="563">
        <v>43831.0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ht="15.75" customHeight="1">
      <c r="A181" s="563">
        <v>43885.0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ht="15.75" customHeight="1">
      <c r="A182" s="563">
        <v>43886.0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ht="15.75" customHeight="1">
      <c r="A183" s="563">
        <v>43931.0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ht="15.75" customHeight="1">
      <c r="A184" s="563">
        <v>43942.0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ht="15.75" customHeight="1">
      <c r="A185" s="563">
        <v>43952.0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ht="15.75" customHeight="1">
      <c r="A186" s="563">
        <v>43993.0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ht="15.75" customHeight="1">
      <c r="A187" s="563">
        <v>44081.0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ht="15.75" customHeight="1">
      <c r="A188" s="563">
        <v>44116.0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ht="15.75" customHeight="1">
      <c r="A189" s="563">
        <v>44137.0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ht="15.75" customHeight="1">
      <c r="A190" s="563">
        <v>44150.0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ht="15.75" customHeight="1">
      <c r="A191" s="563">
        <v>44189.0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ht="15.75" customHeight="1">
      <c r="A192" s="563">
        <v>44190.0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ht="15.75" customHeight="1">
      <c r="A193" s="563">
        <v>44196.0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ht="15.75" customHeight="1">
      <c r="A194" s="563">
        <v>44197.0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ht="15.75" customHeight="1">
      <c r="A195" s="563">
        <v>44221.0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ht="15.75" customHeight="1">
      <c r="A196" s="563">
        <v>44242.0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ht="15.75" customHeight="1">
      <c r="A197" s="563">
        <v>44243.0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ht="15.75" customHeight="1">
      <c r="A198" s="563">
        <v>44288.0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 ht="15.75" customHeight="1">
      <c r="A199" s="563">
        <v>44307.0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 ht="15.75" customHeight="1">
      <c r="A200" s="563">
        <v>44317.0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 ht="15.75" customHeight="1">
      <c r="A201" s="563">
        <v>44350.0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 ht="15.75" customHeight="1">
      <c r="A202" s="563">
        <v>44386.0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 ht="15.75" customHeight="1">
      <c r="A203" s="563">
        <v>44446.0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 ht="15.75" customHeight="1">
      <c r="A204" s="563">
        <v>44481.0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 ht="15.75" customHeight="1">
      <c r="A205" s="563">
        <v>44502.0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 ht="15.75" customHeight="1">
      <c r="A206" s="563">
        <v>44515.0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 ht="15.75" customHeight="1">
      <c r="A207" s="563">
        <v>44554.0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 ht="15.75" customHeight="1">
      <c r="A208" s="563">
        <v>44555.0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 ht="15.75" customHeight="1">
      <c r="A209" s="563">
        <v>44561.0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 ht="15.75" customHeight="1">
      <c r="A210" s="563">
        <v>44562.0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 ht="15.75" customHeight="1">
      <c r="A211" s="563">
        <v>44581.0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 ht="15.75" customHeight="1">
      <c r="A212" s="563">
        <v>44620.0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ht="15.75" customHeight="1">
      <c r="A213" s="563">
        <v>44621.0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ht="15.75" customHeight="1">
      <c r="A214" s="563">
        <v>44666.0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ht="15.75" customHeight="1">
      <c r="A215" s="563">
        <v>44672.0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ht="15.75" customHeight="1">
      <c r="A216" s="563">
        <v>44682.0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ht="15.75" customHeight="1">
      <c r="A217" s="563">
        <v>44728.0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ht="15.75" customHeight="1">
      <c r="A218" s="563">
        <v>44811.0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ht="15.75" customHeight="1">
      <c r="A219" s="563">
        <v>44846.0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ht="15.75" customHeight="1">
      <c r="A220" s="563">
        <v>44867.0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ht="15.75" customHeight="1">
      <c r="A221" s="563">
        <v>44880.0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ht="15.75" customHeight="1">
      <c r="A222" s="563">
        <v>44920.0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ht="15.75" customHeight="1">
      <c r="A223" s="563">
        <v>44927.0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ht="15.75" customHeight="1">
      <c r="A224" s="563">
        <v>44977.0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ht="15.75" customHeight="1">
      <c r="A225" s="563">
        <v>44978.0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ht="15.75" customHeight="1">
      <c r="A226" s="563">
        <v>45023.0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ht="15.75" customHeight="1">
      <c r="A227" s="563">
        <v>45037.0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ht="15.75" customHeight="1">
      <c r="A228" s="563">
        <v>45047.0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ht="15.75" customHeight="1">
      <c r="A229" s="563">
        <v>45085.0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ht="15.75" customHeight="1">
      <c r="A230" s="563">
        <v>45176.0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ht="15.75" customHeight="1">
      <c r="A231" s="563">
        <v>45211.0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ht="15.75" customHeight="1">
      <c r="A232" s="563">
        <v>45232.0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ht="15.75" customHeight="1">
      <c r="A233" s="563">
        <v>45245.0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ht="15.75" customHeight="1">
      <c r="A234" s="563">
        <v>45285.0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ht="15.75" customHeight="1">
      <c r="A235" s="563">
        <v>45292.0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ht="15.75" customHeight="1">
      <c r="A236" s="563">
        <v>45334.0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  <row r="237" ht="15.75" customHeight="1">
      <c r="A237" s="563">
        <v>45335.0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</row>
    <row r="238" ht="15.75" customHeight="1">
      <c r="A238" s="563">
        <v>45380.0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</row>
    <row r="239" ht="15.75" customHeight="1">
      <c r="A239" s="563">
        <v>45403.0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</row>
    <row r="240" ht="15.75" customHeight="1">
      <c r="A240" s="563">
        <v>45413.0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 ht="15.75" customHeight="1">
      <c r="A241" s="563">
        <v>45442.0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 ht="15.75" customHeight="1">
      <c r="A242" s="563">
        <v>45542.0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 ht="15.75" customHeight="1">
      <c r="A243" s="563">
        <v>45577.0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 ht="15.75" customHeight="1">
      <c r="A244" s="563">
        <v>45598.0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</row>
    <row r="245" ht="15.75" customHeight="1">
      <c r="A245" s="563">
        <v>45611.0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</row>
    <row r="246" ht="15.75" customHeight="1">
      <c r="A246" s="563">
        <v>45651.0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</row>
    <row r="247" ht="15.75" customHeight="1">
      <c r="A247" s="563">
        <v>45658.0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 ht="15.75" customHeight="1">
      <c r="A248" s="563">
        <v>45719.0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</row>
    <row r="249" ht="15.75" customHeight="1">
      <c r="A249" s="563">
        <v>45720.0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</row>
    <row r="250" ht="15.75" customHeight="1">
      <c r="A250" s="563">
        <v>45765.0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</row>
    <row r="251" ht="15.75" customHeight="1">
      <c r="A251" s="563">
        <v>45768.0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</row>
    <row r="252" ht="15.75" customHeight="1">
      <c r="A252" s="563">
        <v>45778.0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</row>
    <row r="253" ht="15.75" customHeight="1">
      <c r="A253" s="563">
        <v>45827.0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</row>
    <row r="254" ht="15.75" customHeight="1">
      <c r="A254" s="563">
        <v>45907.0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</row>
    <row r="255" ht="15.75" customHeight="1">
      <c r="A255" s="563">
        <v>45942.0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</row>
    <row r="256" ht="15.75" customHeight="1">
      <c r="A256" s="563">
        <v>45963.0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</row>
    <row r="257" ht="15.75" customHeight="1">
      <c r="A257" s="563">
        <v>45976.0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</row>
    <row r="258" ht="15.75" customHeight="1">
      <c r="A258" s="563">
        <v>46016.0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</row>
    <row r="259" ht="15.75" customHeight="1">
      <c r="A259" s="563">
        <v>46023.0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</row>
    <row r="260" ht="15.75" customHeight="1">
      <c r="A260" s="563">
        <v>46069.0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</row>
    <row r="261" ht="15.75" customHeight="1">
      <c r="A261" s="563">
        <v>46070.0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</row>
    <row r="262" ht="15.75" customHeight="1">
      <c r="A262" s="563">
        <v>46115.0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</row>
    <row r="263" ht="15.75" customHeight="1">
      <c r="A263" s="563">
        <v>46133.0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</row>
    <row r="264" ht="15.75" customHeight="1">
      <c r="A264" s="563">
        <v>46143.0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</row>
    <row r="265" ht="15.75" customHeight="1">
      <c r="A265" s="563">
        <v>46177.0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</row>
    <row r="266" ht="15.75" customHeight="1">
      <c r="A266" s="563">
        <v>46272.0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</row>
    <row r="267" ht="15.75" customHeight="1">
      <c r="A267" s="563">
        <v>46307.0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</row>
    <row r="268" ht="15.75" customHeight="1">
      <c r="A268" s="563">
        <v>46328.0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</row>
    <row r="269" ht="15.75" customHeight="1">
      <c r="A269" s="563">
        <v>46341.0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</row>
    <row r="270" ht="15.75" customHeight="1">
      <c r="A270" s="563">
        <v>46381.0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</row>
    <row r="271" ht="15.75" customHeight="1">
      <c r="A271" s="563">
        <v>46388.0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</row>
    <row r="272" ht="15.75" customHeight="1">
      <c r="A272" s="563">
        <v>46426.0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</row>
    <row r="273" ht="15.75" customHeight="1">
      <c r="A273" s="563">
        <v>46427.0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</row>
    <row r="274" ht="15.75" customHeight="1">
      <c r="A274" s="563">
        <v>46472.0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</row>
    <row r="275" ht="15.75" customHeight="1">
      <c r="A275" s="563">
        <v>46498.0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</row>
    <row r="276" ht="15.75" customHeight="1">
      <c r="A276" s="563">
        <v>46508.0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</row>
    <row r="277" ht="15.75" customHeight="1">
      <c r="A277" s="563">
        <v>46534.0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</row>
    <row r="278" ht="15.75" customHeight="1">
      <c r="A278" s="563">
        <v>46637.0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</row>
    <row r="279" ht="15.75" customHeight="1">
      <c r="A279" s="563">
        <v>46672.0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</row>
    <row r="280" ht="15.75" customHeight="1">
      <c r="A280" s="563">
        <v>46693.0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</row>
    <row r="281" ht="15.75" customHeight="1">
      <c r="A281" s="563">
        <v>46706.0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</row>
    <row r="282" ht="15.75" customHeight="1">
      <c r="A282" s="563">
        <v>46746.0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</row>
    <row r="283" ht="15.75" customHeight="1">
      <c r="A283" s="563">
        <v>46753.0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</row>
    <row r="284" ht="15.75" customHeight="1">
      <c r="A284" s="563">
        <v>46811.0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</row>
    <row r="285" ht="15.75" customHeight="1">
      <c r="A285" s="563">
        <v>46812.0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</row>
    <row r="286" ht="15.75" customHeight="1">
      <c r="A286" s="563">
        <v>46857.0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</row>
    <row r="287" ht="15.75" customHeight="1">
      <c r="A287" s="563">
        <v>46864.0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</row>
    <row r="288" ht="15.75" customHeight="1">
      <c r="A288" s="563">
        <v>46874.0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</row>
    <row r="289" ht="15.75" customHeight="1">
      <c r="A289" s="563">
        <v>46919.0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</row>
    <row r="290" ht="15.75" customHeight="1">
      <c r="A290" s="563">
        <v>47003.0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</row>
    <row r="291" ht="15.75" customHeight="1">
      <c r="A291" s="563">
        <v>47038.0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</row>
    <row r="292" ht="15.75" customHeight="1">
      <c r="A292" s="563">
        <v>47059.0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</row>
    <row r="293" ht="15.75" customHeight="1">
      <c r="A293" s="563">
        <v>47072.0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</row>
    <row r="294" ht="15.75" customHeight="1">
      <c r="A294" s="563">
        <v>47112.0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</row>
    <row r="295" ht="15.75" customHeight="1">
      <c r="A295" s="563">
        <v>47119.0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</row>
    <row r="296" ht="15.75" customHeight="1">
      <c r="A296" s="563">
        <v>47161.0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</row>
    <row r="297" ht="15.75" customHeight="1">
      <c r="A297" s="563">
        <v>47162.0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</row>
    <row r="298" ht="15.75" customHeight="1">
      <c r="A298" s="563">
        <v>47207.0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</row>
    <row r="299" ht="15.75" customHeight="1">
      <c r="A299" s="563">
        <v>47229.0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</row>
    <row r="300" ht="15.75" customHeight="1">
      <c r="A300" s="563">
        <v>47239.0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</row>
    <row r="301" ht="15.75" customHeight="1">
      <c r="A301" s="563">
        <v>47269.0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</row>
    <row r="302" ht="15.75" customHeight="1">
      <c r="A302" s="563">
        <v>47368.0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</row>
    <row r="303" ht="15.75" customHeight="1">
      <c r="A303" s="563">
        <v>47403.0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</row>
    <row r="304" ht="15.75" customHeight="1">
      <c r="A304" s="563">
        <v>47424.0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</row>
    <row r="305" ht="15.75" customHeight="1">
      <c r="A305" s="563">
        <v>47437.0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</row>
    <row r="306" ht="15.75" customHeight="1">
      <c r="A306" s="563">
        <v>47477.0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</row>
    <row r="507" ht="15.75" customHeight="1">
      <c r="A507" s="2"/>
      <c r="B507" s="2"/>
      <c r="C507" s="2"/>
      <c r="D507" s="2"/>
      <c r="E507" s="2"/>
      <c r="F507" s="2"/>
    </row>
    <row r="508" ht="15.75" customHeight="1">
      <c r="A508" s="2"/>
      <c r="B508" s="2"/>
      <c r="C508" s="2"/>
      <c r="D508" s="2"/>
      <c r="E508" s="2"/>
      <c r="F508" s="2"/>
    </row>
    <row r="509" ht="15.75" customHeight="1">
      <c r="A509" s="2"/>
      <c r="B509" s="2"/>
      <c r="C509" s="2"/>
      <c r="D509" s="2"/>
      <c r="E509" s="2"/>
      <c r="F509" s="2"/>
    </row>
    <row r="510" ht="15.75" customHeight="1">
      <c r="A510" s="2"/>
      <c r="B510" s="2"/>
      <c r="C510" s="2"/>
      <c r="D510" s="2"/>
      <c r="E510" s="2"/>
      <c r="F510" s="2"/>
    </row>
    <row r="511" ht="15.75" customHeight="1">
      <c r="A511" s="2"/>
      <c r="B511" s="2"/>
      <c r="C511" s="2"/>
      <c r="D511" s="2"/>
      <c r="E511" s="2"/>
      <c r="F511" s="2"/>
    </row>
    <row r="512" ht="15.75" customHeight="1">
      <c r="A512" s="2"/>
      <c r="B512" s="2"/>
      <c r="C512" s="2"/>
      <c r="D512" s="2"/>
      <c r="E512" s="2"/>
      <c r="F512" s="2"/>
    </row>
    <row r="513" ht="15.75" customHeight="1">
      <c r="A513" s="2"/>
      <c r="B513" s="2"/>
      <c r="C513" s="2"/>
      <c r="D513" s="2"/>
      <c r="E513" s="2"/>
      <c r="F513" s="2"/>
    </row>
    <row r="514" ht="15.75" customHeight="1">
      <c r="A514" s="2"/>
      <c r="B514" s="2"/>
      <c r="C514" s="2"/>
      <c r="D514" s="2"/>
      <c r="E514" s="2"/>
      <c r="F514" s="2"/>
    </row>
    <row r="515" ht="15.75" customHeight="1">
      <c r="A515" s="2"/>
      <c r="B515" s="2"/>
      <c r="C515" s="2"/>
      <c r="D515" s="2"/>
      <c r="E515" s="2"/>
      <c r="F515" s="2"/>
    </row>
    <row r="516" ht="15.75" customHeight="1">
      <c r="A516" s="2"/>
      <c r="B516" s="2"/>
      <c r="C516" s="2"/>
      <c r="D516" s="2"/>
      <c r="E516" s="2"/>
      <c r="F516" s="2"/>
    </row>
    <row r="517" ht="15.75" customHeight="1">
      <c r="A517" s="2"/>
      <c r="B517" s="2"/>
      <c r="C517" s="2"/>
      <c r="D517" s="2"/>
      <c r="E517" s="2"/>
      <c r="F517" s="2"/>
    </row>
    <row r="518" ht="15.75" customHeight="1">
      <c r="A518" s="2"/>
      <c r="B518" s="2"/>
      <c r="C518" s="2"/>
      <c r="D518" s="2"/>
      <c r="E518" s="2"/>
      <c r="F518" s="2"/>
    </row>
    <row r="519" ht="15.75" customHeight="1">
      <c r="A519" s="2"/>
      <c r="B519" s="2"/>
      <c r="C519" s="2"/>
      <c r="D519" s="2"/>
      <c r="E519" s="2"/>
      <c r="F519" s="2"/>
    </row>
    <row r="520" ht="15.75" customHeight="1">
      <c r="A520" s="2"/>
      <c r="B520" s="2"/>
      <c r="C520" s="2"/>
      <c r="D520" s="2"/>
      <c r="E520" s="2"/>
      <c r="F520" s="2"/>
    </row>
    <row r="521" ht="15.75" customHeight="1">
      <c r="A521" s="2"/>
      <c r="B521" s="2"/>
      <c r="C521" s="2"/>
      <c r="D521" s="2"/>
      <c r="E521" s="2"/>
      <c r="F521" s="2"/>
    </row>
    <row r="522" ht="15.75" customHeight="1">
      <c r="A522" s="2"/>
      <c r="B522" s="2"/>
      <c r="C522" s="2"/>
      <c r="D522" s="2"/>
      <c r="E522" s="2"/>
      <c r="F522" s="2"/>
    </row>
    <row r="523" ht="15.75" customHeight="1">
      <c r="A523" s="2"/>
      <c r="B523" s="2"/>
      <c r="C523" s="2"/>
      <c r="D523" s="2"/>
      <c r="E523" s="2"/>
      <c r="F523" s="2"/>
    </row>
    <row r="524" ht="15.75" customHeight="1">
      <c r="A524" s="2"/>
      <c r="B524" s="2"/>
      <c r="C524" s="2"/>
      <c r="D524" s="2"/>
      <c r="E524" s="2"/>
      <c r="F524" s="2"/>
    </row>
    <row r="525" ht="15.75" customHeight="1">
      <c r="A525" s="2"/>
      <c r="B525" s="2"/>
      <c r="C525" s="2"/>
      <c r="D525" s="2"/>
      <c r="E525" s="2"/>
      <c r="F525" s="2"/>
    </row>
    <row r="526" ht="15.75" customHeight="1">
      <c r="A526" s="2"/>
      <c r="B526" s="2"/>
      <c r="C526" s="2"/>
      <c r="D526" s="2"/>
      <c r="E526" s="2"/>
      <c r="F526" s="2"/>
    </row>
    <row r="527" ht="15.75" customHeight="1">
      <c r="A527" s="2"/>
      <c r="B527" s="2"/>
      <c r="C527" s="2"/>
      <c r="D527" s="2"/>
      <c r="E527" s="2"/>
      <c r="F527" s="2"/>
    </row>
    <row r="528" ht="15.75" customHeight="1">
      <c r="A528" s="2"/>
      <c r="B528" s="2"/>
      <c r="C528" s="2"/>
      <c r="D528" s="2"/>
      <c r="E528" s="2"/>
      <c r="F528" s="2"/>
    </row>
    <row r="529" ht="15.75" customHeight="1">
      <c r="A529" s="2"/>
      <c r="B529" s="2"/>
      <c r="C529" s="2"/>
      <c r="D529" s="2"/>
      <c r="E529" s="2"/>
      <c r="F529" s="2"/>
    </row>
    <row r="530" ht="15.75" customHeight="1">
      <c r="A530" s="2"/>
      <c r="B530" s="2"/>
      <c r="C530" s="2"/>
      <c r="D530" s="2"/>
      <c r="E530" s="2"/>
      <c r="F530" s="2"/>
    </row>
    <row r="531" ht="15.75" customHeight="1">
      <c r="A531" s="2"/>
      <c r="B531" s="2"/>
      <c r="C531" s="2"/>
      <c r="D531" s="2"/>
      <c r="E531" s="2"/>
      <c r="F531" s="2"/>
    </row>
    <row r="532" ht="15.75" customHeight="1">
      <c r="A532" s="2"/>
      <c r="B532" s="2"/>
      <c r="C532" s="2"/>
      <c r="D532" s="2"/>
      <c r="E532" s="2"/>
      <c r="F532" s="2"/>
    </row>
    <row r="533" ht="15.75" customHeight="1">
      <c r="A533" s="2"/>
      <c r="B533" s="2"/>
      <c r="C533" s="2"/>
      <c r="D533" s="2"/>
      <c r="E533" s="2"/>
      <c r="F533" s="2"/>
    </row>
    <row r="534" ht="15.75" customHeight="1">
      <c r="A534" s="2"/>
      <c r="B534" s="2"/>
      <c r="C534" s="2"/>
      <c r="D534" s="2"/>
      <c r="E534" s="2"/>
      <c r="F534" s="2"/>
    </row>
    <row r="535" ht="15.75" customHeight="1">
      <c r="A535" s="2"/>
      <c r="B535" s="2"/>
      <c r="C535" s="2"/>
      <c r="D535" s="2"/>
      <c r="E535" s="2"/>
      <c r="F535" s="2"/>
    </row>
    <row r="536" ht="15.75" customHeight="1">
      <c r="A536" s="2"/>
      <c r="B536" s="2"/>
      <c r="C536" s="2"/>
      <c r="D536" s="2"/>
      <c r="E536" s="2"/>
      <c r="F536" s="2"/>
    </row>
    <row r="537" ht="15.75" customHeight="1">
      <c r="A537" s="2"/>
      <c r="B537" s="2"/>
      <c r="C537" s="2"/>
      <c r="D537" s="2"/>
      <c r="E537" s="2"/>
      <c r="F537" s="2"/>
    </row>
    <row r="538" ht="15.75" customHeight="1">
      <c r="A538" s="2"/>
      <c r="B538" s="2"/>
      <c r="C538" s="2"/>
      <c r="D538" s="2"/>
      <c r="E538" s="2"/>
      <c r="F538" s="2"/>
    </row>
    <row r="539" ht="15.75" customHeight="1">
      <c r="A539" s="2"/>
      <c r="B539" s="2"/>
      <c r="C539" s="2"/>
      <c r="D539" s="2"/>
      <c r="E539" s="2"/>
      <c r="F539" s="2"/>
    </row>
    <row r="540" ht="15.75" customHeight="1">
      <c r="A540" s="2"/>
      <c r="B540" s="2"/>
      <c r="C540" s="2"/>
      <c r="D540" s="2"/>
      <c r="E540" s="2"/>
      <c r="F540" s="2"/>
    </row>
    <row r="541" ht="15.75" customHeight="1">
      <c r="A541" s="2"/>
      <c r="B541" s="2"/>
      <c r="C541" s="2"/>
      <c r="D541" s="2"/>
      <c r="E541" s="2"/>
      <c r="F541" s="2"/>
    </row>
    <row r="542" ht="15.75" customHeight="1">
      <c r="A542" s="2"/>
      <c r="B542" s="2"/>
      <c r="C542" s="2"/>
      <c r="D542" s="2"/>
      <c r="E542" s="2"/>
      <c r="F542" s="2"/>
    </row>
    <row r="543" ht="15.75" customHeight="1">
      <c r="A543" s="2"/>
      <c r="B543" s="2"/>
      <c r="C543" s="2"/>
      <c r="D543" s="2"/>
      <c r="E543" s="2"/>
      <c r="F543" s="2"/>
    </row>
    <row r="544" ht="15.75" customHeight="1">
      <c r="A544" s="2"/>
      <c r="B544" s="2"/>
      <c r="C544" s="2"/>
      <c r="D544" s="2"/>
      <c r="E544" s="2"/>
      <c r="F544" s="2"/>
    </row>
    <row r="545" ht="15.75" customHeight="1">
      <c r="A545" s="2"/>
      <c r="B545" s="2"/>
      <c r="C545" s="2"/>
      <c r="D545" s="2"/>
      <c r="E545" s="2"/>
      <c r="F545" s="2"/>
    </row>
    <row r="546" ht="15.75" customHeight="1">
      <c r="A546" s="2"/>
      <c r="B546" s="2"/>
      <c r="C546" s="2"/>
      <c r="D546" s="2"/>
      <c r="E546" s="2"/>
      <c r="F546" s="2"/>
    </row>
    <row r="547" ht="15.75" customHeight="1">
      <c r="A547" s="2"/>
      <c r="B547" s="2"/>
      <c r="C547" s="2"/>
      <c r="D547" s="2"/>
      <c r="E547" s="2"/>
      <c r="F547" s="2"/>
    </row>
    <row r="548" ht="15.75" customHeight="1">
      <c r="A548" s="2"/>
      <c r="B548" s="2"/>
      <c r="C548" s="2"/>
      <c r="D548" s="2"/>
      <c r="E548" s="2"/>
      <c r="F548" s="2"/>
    </row>
    <row r="549" ht="15.75" customHeight="1">
      <c r="A549" s="2"/>
      <c r="B549" s="2"/>
      <c r="C549" s="2"/>
      <c r="D549" s="2"/>
      <c r="E549" s="2"/>
      <c r="F549" s="2"/>
    </row>
    <row r="550" ht="15.75" customHeight="1">
      <c r="A550" s="2"/>
      <c r="B550" s="2"/>
      <c r="C550" s="2"/>
      <c r="D550" s="2"/>
      <c r="E550" s="2"/>
      <c r="F550" s="2"/>
    </row>
    <row r="551" ht="15.75" customHeight="1">
      <c r="A551" s="2"/>
      <c r="B551" s="2"/>
      <c r="C551" s="2"/>
      <c r="D551" s="2"/>
      <c r="E551" s="2"/>
      <c r="F551" s="2"/>
    </row>
    <row r="552" ht="15.75" customHeight="1">
      <c r="A552" s="2"/>
      <c r="B552" s="2"/>
      <c r="C552" s="2"/>
      <c r="D552" s="2"/>
      <c r="E552" s="2"/>
      <c r="F552" s="2"/>
    </row>
    <row r="553" ht="15.75" customHeight="1">
      <c r="A553" s="2"/>
      <c r="B553" s="2"/>
      <c r="C553" s="2"/>
      <c r="D553" s="2"/>
      <c r="E553" s="2"/>
      <c r="F553" s="2"/>
    </row>
    <row r="554" ht="15.75" customHeight="1">
      <c r="A554" s="2"/>
      <c r="B554" s="2"/>
      <c r="C554" s="2"/>
      <c r="D554" s="2"/>
      <c r="E554" s="2"/>
      <c r="F554" s="2"/>
    </row>
    <row r="555" ht="15.75" customHeight="1">
      <c r="A555" s="2"/>
      <c r="B555" s="2"/>
      <c r="C555" s="2"/>
      <c r="D555" s="2"/>
      <c r="E555" s="2"/>
      <c r="F555" s="2"/>
    </row>
    <row r="556" ht="15.75" customHeight="1">
      <c r="A556" s="2"/>
      <c r="B556" s="2"/>
      <c r="C556" s="2"/>
      <c r="D556" s="2"/>
      <c r="E556" s="2"/>
      <c r="F556" s="2"/>
    </row>
    <row r="557" ht="15.75" customHeight="1">
      <c r="A557" s="2"/>
      <c r="B557" s="2"/>
      <c r="C557" s="2"/>
      <c r="D557" s="2"/>
      <c r="E557" s="2"/>
      <c r="F557" s="2"/>
    </row>
    <row r="558" ht="15.75" customHeight="1">
      <c r="A558" s="2"/>
      <c r="B558" s="2"/>
      <c r="C558" s="2"/>
      <c r="D558" s="2"/>
      <c r="E558" s="2"/>
      <c r="F558" s="2"/>
    </row>
    <row r="559" ht="15.75" customHeight="1">
      <c r="A559" s="2"/>
      <c r="B559" s="2"/>
      <c r="C559" s="2"/>
      <c r="D559" s="2"/>
      <c r="E559" s="2"/>
      <c r="F559" s="2"/>
    </row>
    <row r="560" ht="15.75" customHeight="1">
      <c r="A560" s="2"/>
      <c r="B560" s="2"/>
      <c r="C560" s="2"/>
      <c r="D560" s="2"/>
      <c r="E560" s="2"/>
      <c r="F560" s="2"/>
    </row>
    <row r="561" ht="15.75" customHeight="1">
      <c r="A561" s="2"/>
      <c r="B561" s="2"/>
      <c r="C561" s="2"/>
      <c r="D561" s="2"/>
      <c r="E561" s="2"/>
      <c r="F561" s="2"/>
    </row>
    <row r="562" ht="15.75" customHeight="1">
      <c r="A562" s="2"/>
      <c r="B562" s="2"/>
      <c r="C562" s="2"/>
      <c r="D562" s="2"/>
      <c r="E562" s="2"/>
      <c r="F562" s="2"/>
    </row>
    <row r="563" ht="15.75" customHeight="1">
      <c r="A563" s="2"/>
      <c r="B563" s="2"/>
      <c r="C563" s="2"/>
      <c r="D563" s="2"/>
      <c r="E563" s="2"/>
      <c r="F563" s="2"/>
    </row>
    <row r="564" ht="15.75" customHeight="1">
      <c r="A564" s="2"/>
      <c r="B564" s="2"/>
      <c r="C564" s="2"/>
      <c r="D564" s="2"/>
      <c r="E564" s="2"/>
      <c r="F564" s="2"/>
    </row>
    <row r="565" ht="15.75" customHeight="1">
      <c r="A565" s="2"/>
      <c r="B565" s="2"/>
      <c r="C565" s="2"/>
      <c r="D565" s="2"/>
      <c r="E565" s="2"/>
      <c r="F565" s="2"/>
    </row>
    <row r="566" ht="15.75" customHeight="1">
      <c r="A566" s="2"/>
      <c r="B566" s="2"/>
      <c r="C566" s="2"/>
      <c r="D566" s="2"/>
      <c r="E566" s="2"/>
      <c r="F566" s="2"/>
    </row>
    <row r="567" ht="15.75" customHeight="1">
      <c r="A567" s="2"/>
      <c r="B567" s="2"/>
      <c r="C567" s="2"/>
      <c r="D567" s="2"/>
      <c r="E567" s="2"/>
      <c r="F567" s="2"/>
    </row>
    <row r="568" ht="15.75" customHeight="1">
      <c r="A568" s="2"/>
      <c r="B568" s="2"/>
      <c r="C568" s="2"/>
      <c r="D568" s="2"/>
      <c r="E568" s="2"/>
      <c r="F568" s="2"/>
    </row>
    <row r="569" ht="15.75" customHeight="1">
      <c r="A569" s="2"/>
      <c r="B569" s="2"/>
      <c r="C569" s="2"/>
      <c r="D569" s="2"/>
      <c r="E569" s="2"/>
      <c r="F569" s="2"/>
    </row>
    <row r="570" ht="15.75" customHeight="1">
      <c r="A570" s="2"/>
      <c r="B570" s="2"/>
      <c r="C570" s="2"/>
      <c r="D570" s="2"/>
      <c r="E570" s="2"/>
      <c r="F570" s="2"/>
    </row>
    <row r="571" ht="15.75" customHeight="1">
      <c r="A571" s="2"/>
      <c r="B571" s="2"/>
      <c r="C571" s="2"/>
      <c r="D571" s="2"/>
      <c r="E571" s="2"/>
      <c r="F571" s="2"/>
    </row>
    <row r="572" ht="15.75" customHeight="1">
      <c r="A572" s="2"/>
      <c r="B572" s="2"/>
      <c r="C572" s="2"/>
      <c r="D572" s="2"/>
      <c r="E572" s="2"/>
      <c r="F572" s="2"/>
    </row>
    <row r="573" ht="15.75" customHeight="1">
      <c r="A573" s="2"/>
      <c r="B573" s="2"/>
      <c r="C573" s="2"/>
      <c r="D573" s="2"/>
      <c r="E573" s="2"/>
      <c r="F573" s="2"/>
    </row>
    <row r="574" ht="15.75" customHeight="1">
      <c r="A574" s="2"/>
      <c r="B574" s="2"/>
      <c r="C574" s="2"/>
      <c r="D574" s="2"/>
      <c r="E574" s="2"/>
      <c r="F574" s="2"/>
    </row>
    <row r="575" ht="15.75" customHeight="1">
      <c r="A575" s="2"/>
      <c r="B575" s="2"/>
      <c r="C575" s="2"/>
      <c r="D575" s="2"/>
      <c r="E575" s="2"/>
      <c r="F575" s="2"/>
    </row>
    <row r="576" ht="15.75" customHeight="1">
      <c r="A576" s="2"/>
      <c r="B576" s="2"/>
      <c r="C576" s="2"/>
      <c r="D576" s="2"/>
      <c r="E576" s="2"/>
      <c r="F576" s="2"/>
    </row>
    <row r="577" ht="15.75" customHeight="1">
      <c r="A577" s="2"/>
      <c r="B577" s="2"/>
      <c r="C577" s="2"/>
      <c r="D577" s="2"/>
      <c r="E577" s="2"/>
      <c r="F577" s="2"/>
    </row>
    <row r="578" ht="15.75" customHeight="1">
      <c r="A578" s="2"/>
      <c r="B578" s="2"/>
      <c r="C578" s="2"/>
      <c r="D578" s="2"/>
      <c r="E578" s="2"/>
      <c r="F578" s="2"/>
    </row>
    <row r="579" ht="15.75" customHeight="1">
      <c r="A579" s="2"/>
      <c r="B579" s="2"/>
      <c r="C579" s="2"/>
      <c r="D579" s="2"/>
      <c r="E579" s="2"/>
      <c r="F579" s="2"/>
    </row>
    <row r="580" ht="15.75" customHeight="1">
      <c r="A580" s="2"/>
      <c r="B580" s="2"/>
      <c r="C580" s="2"/>
      <c r="D580" s="2"/>
      <c r="E580" s="2"/>
      <c r="F580" s="2"/>
    </row>
    <row r="581" ht="15.75" customHeight="1">
      <c r="A581" s="2"/>
      <c r="B581" s="2"/>
      <c r="C581" s="2"/>
      <c r="D581" s="2"/>
      <c r="E581" s="2"/>
      <c r="F581" s="2"/>
    </row>
    <row r="582" ht="15.75" customHeight="1">
      <c r="A582" s="2"/>
      <c r="B582" s="2"/>
      <c r="C582" s="2"/>
      <c r="D582" s="2"/>
      <c r="E582" s="2"/>
      <c r="F582" s="2"/>
    </row>
    <row r="583" ht="15.75" customHeight="1">
      <c r="A583" s="2"/>
      <c r="B583" s="2"/>
      <c r="C583" s="2"/>
      <c r="D583" s="2"/>
      <c r="E583" s="2"/>
      <c r="F583" s="2"/>
    </row>
    <row r="584" ht="15.75" customHeight="1">
      <c r="A584" s="2"/>
      <c r="B584" s="2"/>
      <c r="C584" s="2"/>
      <c r="D584" s="2"/>
      <c r="E584" s="2"/>
      <c r="F584" s="2"/>
    </row>
    <row r="585" ht="15.75" customHeight="1">
      <c r="A585" s="2"/>
      <c r="B585" s="2"/>
      <c r="C585" s="2"/>
      <c r="D585" s="2"/>
      <c r="E585" s="2"/>
      <c r="F585" s="2"/>
    </row>
    <row r="586" ht="15.75" customHeight="1">
      <c r="A586" s="2"/>
      <c r="B586" s="2"/>
      <c r="C586" s="2"/>
      <c r="D586" s="2"/>
      <c r="E586" s="2"/>
      <c r="F586" s="2"/>
    </row>
    <row r="587" ht="15.75" customHeight="1">
      <c r="A587" s="2"/>
      <c r="B587" s="2"/>
      <c r="C587" s="2"/>
      <c r="D587" s="2"/>
      <c r="E587" s="2"/>
      <c r="F587" s="2"/>
    </row>
    <row r="588" ht="15.75" customHeight="1">
      <c r="A588" s="2"/>
      <c r="B588" s="2"/>
      <c r="C588" s="2"/>
      <c r="D588" s="2"/>
      <c r="E588" s="2"/>
      <c r="F588" s="2"/>
    </row>
    <row r="589" ht="15.75" customHeight="1">
      <c r="A589" s="2"/>
      <c r="B589" s="2"/>
      <c r="C589" s="2"/>
      <c r="D589" s="2"/>
      <c r="E589" s="2"/>
      <c r="F589" s="2"/>
    </row>
    <row r="590" ht="15.75" customHeight="1">
      <c r="A590" s="2"/>
      <c r="B590" s="2"/>
      <c r="C590" s="2"/>
      <c r="D590" s="2"/>
      <c r="E590" s="2"/>
      <c r="F590" s="2"/>
    </row>
    <row r="591" ht="15.75" customHeight="1">
      <c r="A591" s="2"/>
      <c r="B591" s="2"/>
      <c r="C591" s="2"/>
      <c r="D591" s="2"/>
      <c r="E591" s="2"/>
      <c r="F591" s="2"/>
    </row>
    <row r="592" ht="15.75" customHeight="1">
      <c r="A592" s="2"/>
      <c r="B592" s="2"/>
      <c r="C592" s="2"/>
      <c r="D592" s="2"/>
      <c r="E592" s="2"/>
      <c r="F592" s="2"/>
    </row>
    <row r="593" ht="15.75" customHeight="1">
      <c r="A593" s="2"/>
      <c r="B593" s="2"/>
      <c r="C593" s="2"/>
      <c r="D593" s="2"/>
      <c r="E593" s="2"/>
      <c r="F593" s="2"/>
    </row>
    <row r="594" ht="15.75" customHeight="1">
      <c r="A594" s="2"/>
      <c r="B594" s="2"/>
      <c r="C594" s="2"/>
      <c r="D594" s="2"/>
      <c r="E594" s="2"/>
      <c r="F594" s="2"/>
    </row>
    <row r="595" ht="15.75" customHeight="1">
      <c r="A595" s="2"/>
      <c r="B595" s="2"/>
      <c r="C595" s="2"/>
      <c r="D595" s="2"/>
      <c r="E595" s="2"/>
      <c r="F595" s="2"/>
    </row>
    <row r="596" ht="15.75" customHeight="1">
      <c r="A596" s="2"/>
      <c r="B596" s="2"/>
      <c r="C596" s="2"/>
      <c r="D596" s="2"/>
      <c r="E596" s="2"/>
      <c r="F596" s="2"/>
    </row>
    <row r="597" ht="15.75" customHeight="1">
      <c r="A597" s="2"/>
      <c r="B597" s="2"/>
      <c r="C597" s="2"/>
      <c r="D597" s="2"/>
      <c r="E597" s="2"/>
      <c r="F597" s="2"/>
    </row>
    <row r="598" ht="15.75" customHeight="1">
      <c r="A598" s="2"/>
      <c r="B598" s="2"/>
      <c r="C598" s="2"/>
      <c r="D598" s="2"/>
      <c r="E598" s="2"/>
      <c r="F598" s="2"/>
    </row>
    <row r="599" ht="15.75" customHeight="1">
      <c r="A599" s="2"/>
      <c r="B599" s="2"/>
      <c r="C599" s="2"/>
      <c r="D599" s="2"/>
      <c r="E599" s="2"/>
      <c r="F599" s="2"/>
    </row>
    <row r="600" ht="15.75" customHeight="1">
      <c r="A600" s="2"/>
      <c r="B600" s="2"/>
      <c r="C600" s="2"/>
      <c r="D600" s="2"/>
      <c r="E600" s="2"/>
      <c r="F600" s="2"/>
    </row>
    <row r="601" ht="15.75" customHeight="1">
      <c r="A601" s="2"/>
      <c r="B601" s="2"/>
      <c r="C601" s="2"/>
      <c r="D601" s="2"/>
      <c r="E601" s="2"/>
      <c r="F601" s="2"/>
    </row>
    <row r="602" ht="15.75" customHeight="1">
      <c r="A602" s="2"/>
      <c r="B602" s="2"/>
      <c r="C602" s="2"/>
      <c r="D602" s="2"/>
      <c r="E602" s="2"/>
      <c r="F602" s="2"/>
    </row>
    <row r="603" ht="15.75" customHeight="1">
      <c r="A603" s="2"/>
      <c r="B603" s="2"/>
      <c r="C603" s="2"/>
      <c r="D603" s="2"/>
      <c r="E603" s="2"/>
      <c r="F603" s="2"/>
    </row>
    <row r="604" ht="15.75" customHeight="1">
      <c r="A604" s="2"/>
      <c r="B604" s="2"/>
      <c r="C604" s="2"/>
      <c r="D604" s="2"/>
      <c r="E604" s="2"/>
      <c r="F604" s="2"/>
    </row>
    <row r="605" ht="15.75" customHeight="1">
      <c r="A605" s="2"/>
      <c r="B605" s="2"/>
      <c r="C605" s="2"/>
      <c r="D605" s="2"/>
      <c r="E605" s="2"/>
      <c r="F605" s="2"/>
    </row>
    <row r="606" ht="15.75" customHeight="1">
      <c r="A606" s="2"/>
      <c r="B606" s="2"/>
      <c r="C606" s="2"/>
      <c r="D606" s="2"/>
      <c r="E606" s="2"/>
      <c r="F606" s="2"/>
    </row>
    <row r="607" ht="15.75" customHeight="1">
      <c r="A607" s="2"/>
      <c r="B607" s="2"/>
      <c r="C607" s="2"/>
      <c r="D607" s="2"/>
      <c r="E607" s="2"/>
      <c r="F607" s="2"/>
    </row>
    <row r="608" ht="15.75" customHeight="1">
      <c r="A608" s="2"/>
      <c r="B608" s="2"/>
      <c r="C608" s="2"/>
      <c r="D608" s="2"/>
      <c r="E608" s="2"/>
      <c r="F608" s="2"/>
    </row>
    <row r="609" ht="15.75" customHeight="1">
      <c r="A609" s="2"/>
      <c r="B609" s="2"/>
      <c r="C609" s="2"/>
      <c r="D609" s="2"/>
      <c r="E609" s="2"/>
      <c r="F609" s="2"/>
    </row>
    <row r="610" ht="15.75" customHeight="1">
      <c r="A610" s="2"/>
      <c r="B610" s="2"/>
      <c r="C610" s="2"/>
      <c r="D610" s="2"/>
      <c r="E610" s="2"/>
      <c r="F610" s="2"/>
    </row>
    <row r="611" ht="15.75" customHeight="1">
      <c r="A611" s="2"/>
      <c r="B611" s="2"/>
      <c r="C611" s="2"/>
      <c r="D611" s="2"/>
      <c r="E611" s="2"/>
      <c r="F611" s="2"/>
    </row>
    <row r="612" ht="15.75" customHeight="1">
      <c r="A612" s="2"/>
      <c r="B612" s="2"/>
      <c r="C612" s="2"/>
      <c r="D612" s="2"/>
      <c r="E612" s="2"/>
      <c r="F612" s="2"/>
    </row>
    <row r="613" ht="15.75" customHeight="1">
      <c r="A613" s="2"/>
      <c r="B613" s="2"/>
      <c r="C613" s="2"/>
      <c r="D613" s="2"/>
      <c r="E613" s="2"/>
      <c r="F613" s="2"/>
    </row>
    <row r="614" ht="15.75" customHeight="1">
      <c r="A614" s="2"/>
      <c r="B614" s="2"/>
      <c r="C614" s="2"/>
      <c r="D614" s="2"/>
      <c r="E614" s="2"/>
      <c r="F614" s="2"/>
    </row>
    <row r="615" ht="15.75" customHeight="1">
      <c r="A615" s="2"/>
      <c r="B615" s="2"/>
      <c r="C615" s="2"/>
      <c r="D615" s="2"/>
      <c r="E615" s="2"/>
      <c r="F615" s="2"/>
    </row>
    <row r="616" ht="15.75" customHeight="1">
      <c r="A616" s="2"/>
      <c r="B616" s="2"/>
      <c r="C616" s="2"/>
      <c r="D616" s="2"/>
      <c r="E616" s="2"/>
      <c r="F616" s="2"/>
    </row>
    <row r="617" ht="15.75" customHeight="1">
      <c r="A617" s="2"/>
      <c r="B617" s="2"/>
      <c r="C617" s="2"/>
      <c r="D617" s="2"/>
      <c r="E617" s="2"/>
      <c r="F617" s="2"/>
    </row>
    <row r="618" ht="15.75" customHeight="1">
      <c r="A618" s="2"/>
      <c r="B618" s="2"/>
      <c r="C618" s="2"/>
      <c r="D618" s="2"/>
      <c r="E618" s="2"/>
      <c r="F618" s="2"/>
    </row>
    <row r="619" ht="15.75" customHeight="1">
      <c r="A619" s="2"/>
      <c r="B619" s="2"/>
      <c r="C619" s="2"/>
      <c r="D619" s="2"/>
      <c r="E619" s="2"/>
      <c r="F619" s="2"/>
    </row>
    <row r="620" ht="15.75" customHeight="1">
      <c r="A620" s="2"/>
      <c r="B620" s="2"/>
      <c r="C620" s="2"/>
      <c r="D620" s="2"/>
      <c r="E620" s="2"/>
      <c r="F620" s="2"/>
    </row>
    <row r="621" ht="15.75" customHeight="1">
      <c r="A621" s="2"/>
      <c r="B621" s="2"/>
      <c r="C621" s="2"/>
      <c r="D621" s="2"/>
      <c r="E621" s="2"/>
      <c r="F621" s="2"/>
    </row>
    <row r="622" ht="15.75" customHeight="1">
      <c r="A622" s="2"/>
      <c r="B622" s="2"/>
      <c r="C622" s="2"/>
      <c r="D622" s="2"/>
      <c r="E622" s="2"/>
      <c r="F622" s="2"/>
    </row>
    <row r="623" ht="15.75" customHeight="1">
      <c r="A623" s="2"/>
      <c r="B623" s="2"/>
      <c r="C623" s="2"/>
      <c r="D623" s="2"/>
      <c r="E623" s="2"/>
      <c r="F623" s="2"/>
    </row>
    <row r="624" ht="15.75" customHeight="1">
      <c r="A624" s="2"/>
      <c r="B624" s="2"/>
      <c r="C624" s="2"/>
      <c r="D624" s="2"/>
      <c r="E624" s="2"/>
      <c r="F624" s="2"/>
    </row>
    <row r="625" ht="15.75" customHeight="1">
      <c r="A625" s="2"/>
      <c r="B625" s="2"/>
      <c r="C625" s="2"/>
      <c r="D625" s="2"/>
      <c r="E625" s="2"/>
      <c r="F625" s="2"/>
    </row>
    <row r="626" ht="15.75" customHeight="1">
      <c r="A626" s="2"/>
      <c r="B626" s="2"/>
      <c r="C626" s="2"/>
      <c r="D626" s="2"/>
      <c r="E626" s="2"/>
      <c r="F626" s="2"/>
    </row>
    <row r="627" ht="15.75" customHeight="1">
      <c r="A627" s="2"/>
      <c r="B627" s="2"/>
      <c r="C627" s="2"/>
      <c r="D627" s="2"/>
      <c r="E627" s="2"/>
      <c r="F627" s="2"/>
    </row>
    <row r="628" ht="15.75" customHeight="1">
      <c r="A628" s="2"/>
      <c r="B628" s="2"/>
      <c r="C628" s="2"/>
      <c r="D628" s="2"/>
      <c r="E628" s="2"/>
      <c r="F628" s="2"/>
    </row>
    <row r="629" ht="15.75" customHeight="1">
      <c r="A629" s="2"/>
      <c r="B629" s="2"/>
      <c r="C629" s="2"/>
      <c r="D629" s="2"/>
      <c r="E629" s="2"/>
      <c r="F629" s="2"/>
    </row>
    <row r="630" ht="15.75" customHeight="1">
      <c r="A630" s="2"/>
      <c r="B630" s="2"/>
      <c r="C630" s="2"/>
      <c r="D630" s="2"/>
      <c r="E630" s="2"/>
      <c r="F630" s="2"/>
    </row>
    <row r="631" ht="15.75" customHeight="1">
      <c r="A631" s="2"/>
      <c r="B631" s="2"/>
      <c r="C631" s="2"/>
      <c r="D631" s="2"/>
      <c r="E631" s="2"/>
      <c r="F631" s="2"/>
    </row>
    <row r="632" ht="15.75" customHeight="1">
      <c r="A632" s="2"/>
      <c r="B632" s="2"/>
      <c r="C632" s="2"/>
      <c r="D632" s="2"/>
      <c r="E632" s="2"/>
      <c r="F632" s="2"/>
    </row>
    <row r="633" ht="15.75" customHeight="1">
      <c r="A633" s="2"/>
      <c r="B633" s="2"/>
      <c r="C633" s="2"/>
      <c r="D633" s="2"/>
      <c r="E633" s="2"/>
      <c r="F633" s="2"/>
    </row>
    <row r="634" ht="15.75" customHeight="1">
      <c r="A634" s="2"/>
      <c r="B634" s="2"/>
      <c r="C634" s="2"/>
      <c r="D634" s="2"/>
      <c r="E634" s="2"/>
      <c r="F634" s="2"/>
    </row>
    <row r="635" ht="15.75" customHeight="1">
      <c r="A635" s="2"/>
      <c r="B635" s="2"/>
      <c r="C635" s="2"/>
      <c r="D635" s="2"/>
      <c r="E635" s="2"/>
      <c r="F635" s="2"/>
    </row>
    <row r="636" ht="15.75" customHeight="1">
      <c r="A636" s="2"/>
      <c r="B636" s="2"/>
      <c r="C636" s="2"/>
      <c r="D636" s="2"/>
      <c r="E636" s="2"/>
      <c r="F636" s="2"/>
    </row>
    <row r="637" ht="15.75" customHeight="1">
      <c r="A637" s="2"/>
      <c r="B637" s="2"/>
      <c r="C637" s="2"/>
      <c r="D637" s="2"/>
      <c r="E637" s="2"/>
      <c r="F637" s="2"/>
    </row>
    <row r="638" ht="15.75" customHeight="1">
      <c r="A638" s="2"/>
      <c r="B638" s="2"/>
      <c r="C638" s="2"/>
      <c r="D638" s="2"/>
      <c r="E638" s="2"/>
      <c r="F638" s="2"/>
    </row>
    <row r="639" ht="15.75" customHeight="1">
      <c r="A639" s="2"/>
      <c r="B639" s="2"/>
      <c r="C639" s="2"/>
      <c r="D639" s="2"/>
      <c r="E639" s="2"/>
      <c r="F639" s="2"/>
    </row>
    <row r="640" ht="15.75" customHeight="1">
      <c r="A640" s="2"/>
      <c r="B640" s="2"/>
      <c r="C640" s="2"/>
      <c r="D640" s="2"/>
      <c r="E640" s="2"/>
      <c r="F640" s="2"/>
    </row>
    <row r="641" ht="15.75" customHeight="1">
      <c r="A641" s="2"/>
      <c r="B641" s="2"/>
      <c r="C641" s="2"/>
      <c r="D641" s="2"/>
      <c r="E641" s="2"/>
      <c r="F641" s="2"/>
    </row>
    <row r="642" ht="15.75" customHeight="1">
      <c r="A642" s="2"/>
      <c r="B642" s="2"/>
      <c r="C642" s="2"/>
      <c r="D642" s="2"/>
      <c r="E642" s="2"/>
      <c r="F642" s="2"/>
    </row>
    <row r="643" ht="15.75" customHeight="1">
      <c r="A643" s="2"/>
      <c r="B643" s="2"/>
      <c r="C643" s="2"/>
      <c r="D643" s="2"/>
      <c r="E643" s="2"/>
      <c r="F643" s="2"/>
    </row>
    <row r="644" ht="15.75" customHeight="1">
      <c r="A644" s="2"/>
      <c r="B644" s="2"/>
      <c r="C644" s="2"/>
      <c r="D644" s="2"/>
      <c r="E644" s="2"/>
      <c r="F644" s="2"/>
    </row>
    <row r="645" ht="15.75" customHeight="1">
      <c r="A645" s="2"/>
      <c r="B645" s="2"/>
      <c r="C645" s="2"/>
      <c r="D645" s="2"/>
      <c r="E645" s="2"/>
      <c r="F645" s="2"/>
    </row>
    <row r="646" ht="15.75" customHeight="1">
      <c r="A646" s="2"/>
      <c r="B646" s="2"/>
      <c r="C646" s="2"/>
      <c r="D646" s="2"/>
      <c r="E646" s="2"/>
      <c r="F646" s="2"/>
    </row>
    <row r="647" ht="15.75" customHeight="1">
      <c r="A647" s="2"/>
      <c r="B647" s="2"/>
      <c r="C647" s="2"/>
      <c r="D647" s="2"/>
      <c r="E647" s="2"/>
      <c r="F647" s="2"/>
    </row>
    <row r="648" ht="15.75" customHeight="1">
      <c r="A648" s="2"/>
      <c r="B648" s="2"/>
      <c r="C648" s="2"/>
      <c r="D648" s="2"/>
      <c r="E648" s="2"/>
      <c r="F648" s="2"/>
    </row>
    <row r="649" ht="15.75" customHeight="1">
      <c r="A649" s="2"/>
      <c r="B649" s="2"/>
      <c r="C649" s="2"/>
      <c r="D649" s="2"/>
      <c r="E649" s="2"/>
      <c r="F649" s="2"/>
    </row>
    <row r="650" ht="15.75" customHeight="1">
      <c r="A650" s="2"/>
      <c r="B650" s="2"/>
      <c r="C650" s="2"/>
      <c r="D650" s="2"/>
      <c r="E650" s="2"/>
      <c r="F650" s="2"/>
    </row>
    <row r="651" ht="15.75" customHeight="1">
      <c r="A651" s="2"/>
      <c r="B651" s="2"/>
      <c r="C651" s="2"/>
      <c r="D651" s="2"/>
      <c r="E651" s="2"/>
      <c r="F651" s="2"/>
    </row>
    <row r="652" ht="15.75" customHeight="1">
      <c r="A652" s="2"/>
      <c r="B652" s="2"/>
      <c r="C652" s="2"/>
      <c r="D652" s="2"/>
      <c r="E652" s="2"/>
      <c r="F652" s="2"/>
    </row>
    <row r="653" ht="15.75" customHeight="1">
      <c r="A653" s="2"/>
      <c r="B653" s="2"/>
      <c r="C653" s="2"/>
      <c r="D653" s="2"/>
      <c r="E653" s="2"/>
      <c r="F653" s="2"/>
    </row>
    <row r="654" ht="15.75" customHeight="1">
      <c r="A654" s="2"/>
      <c r="B654" s="2"/>
      <c r="C654" s="2"/>
      <c r="D654" s="2"/>
      <c r="E654" s="2"/>
      <c r="F654" s="2"/>
    </row>
    <row r="655" ht="15.75" customHeight="1">
      <c r="A655" s="2"/>
      <c r="B655" s="2"/>
      <c r="C655" s="2"/>
      <c r="D655" s="2"/>
      <c r="E655" s="2"/>
      <c r="F655" s="2"/>
    </row>
    <row r="656" ht="15.75" customHeight="1">
      <c r="A656" s="2"/>
      <c r="B656" s="2"/>
      <c r="C656" s="2"/>
      <c r="D656" s="2"/>
      <c r="E656" s="2"/>
      <c r="F656" s="2"/>
    </row>
    <row r="657" ht="15.75" customHeight="1">
      <c r="A657" s="2"/>
      <c r="B657" s="2"/>
      <c r="C657" s="2"/>
      <c r="D657" s="2"/>
      <c r="E657" s="2"/>
      <c r="F657" s="2"/>
    </row>
    <row r="658" ht="15.75" customHeight="1">
      <c r="A658" s="2"/>
      <c r="B658" s="2"/>
      <c r="C658" s="2"/>
      <c r="D658" s="2"/>
      <c r="E658" s="2"/>
      <c r="F658" s="2"/>
    </row>
    <row r="659" ht="15.75" customHeight="1">
      <c r="A659" s="2"/>
      <c r="B659" s="2"/>
      <c r="C659" s="2"/>
      <c r="D659" s="2"/>
      <c r="E659" s="2"/>
      <c r="F659" s="2"/>
    </row>
    <row r="660" ht="15.75" customHeight="1">
      <c r="A660" s="2"/>
      <c r="B660" s="2"/>
      <c r="C660" s="2"/>
      <c r="D660" s="2"/>
      <c r="E660" s="2"/>
      <c r="F660" s="2"/>
    </row>
    <row r="661" ht="15.75" customHeight="1">
      <c r="A661" s="2"/>
      <c r="B661" s="2"/>
      <c r="C661" s="2"/>
      <c r="D661" s="2"/>
      <c r="E661" s="2"/>
      <c r="F661" s="2"/>
    </row>
    <row r="662" ht="15.75" customHeight="1">
      <c r="A662" s="2"/>
      <c r="B662" s="2"/>
      <c r="C662" s="2"/>
      <c r="D662" s="2"/>
      <c r="E662" s="2"/>
      <c r="F662" s="2"/>
    </row>
    <row r="663" ht="15.75" customHeight="1">
      <c r="A663" s="2"/>
      <c r="B663" s="2"/>
      <c r="C663" s="2"/>
      <c r="D663" s="2"/>
      <c r="E663" s="2"/>
      <c r="F663" s="2"/>
    </row>
    <row r="664" ht="15.75" customHeight="1">
      <c r="A664" s="2"/>
      <c r="B664" s="2"/>
      <c r="C664" s="2"/>
      <c r="D664" s="2"/>
      <c r="E664" s="2"/>
      <c r="F664" s="2"/>
    </row>
    <row r="665" ht="15.75" customHeight="1">
      <c r="A665" s="2"/>
      <c r="B665" s="2"/>
      <c r="C665" s="2"/>
      <c r="D665" s="2"/>
      <c r="E665" s="2"/>
      <c r="F665" s="2"/>
    </row>
    <row r="666" ht="15.75" customHeight="1">
      <c r="A666" s="2"/>
      <c r="B666" s="2"/>
      <c r="C666" s="2"/>
      <c r="D666" s="2"/>
      <c r="E666" s="2"/>
      <c r="F666" s="2"/>
    </row>
    <row r="667" ht="15.75" customHeight="1">
      <c r="A667" s="2"/>
      <c r="B667" s="2"/>
      <c r="C667" s="2"/>
      <c r="D667" s="2"/>
      <c r="E667" s="2"/>
      <c r="F667" s="2"/>
    </row>
    <row r="668" ht="15.75" customHeight="1">
      <c r="A668" s="2"/>
      <c r="B668" s="2"/>
      <c r="C668" s="2"/>
      <c r="D668" s="2"/>
      <c r="E668" s="2"/>
      <c r="F668" s="2"/>
    </row>
    <row r="669" ht="15.75" customHeight="1">
      <c r="A669" s="2"/>
      <c r="B669" s="2"/>
      <c r="C669" s="2"/>
      <c r="D669" s="2"/>
      <c r="E669" s="2"/>
      <c r="F669" s="2"/>
    </row>
    <row r="670" ht="15.75" customHeight="1">
      <c r="A670" s="2"/>
      <c r="B670" s="2"/>
      <c r="C670" s="2"/>
      <c r="D670" s="2"/>
      <c r="E670" s="2"/>
      <c r="F670" s="2"/>
    </row>
    <row r="671" ht="15.75" customHeight="1">
      <c r="A671" s="2"/>
      <c r="B671" s="2"/>
      <c r="C671" s="2"/>
      <c r="D671" s="2"/>
      <c r="E671" s="2"/>
      <c r="F671" s="2"/>
    </row>
    <row r="672" ht="15.75" customHeight="1">
      <c r="A672" s="2"/>
      <c r="B672" s="2"/>
      <c r="C672" s="2"/>
      <c r="D672" s="2"/>
      <c r="E672" s="2"/>
      <c r="F672" s="2"/>
    </row>
    <row r="673" ht="15.75" customHeight="1">
      <c r="A673" s="2"/>
      <c r="B673" s="2"/>
      <c r="C673" s="2"/>
      <c r="D673" s="2"/>
      <c r="E673" s="2"/>
      <c r="F673" s="2"/>
    </row>
    <row r="674" ht="15.75" customHeight="1">
      <c r="A674" s="2"/>
      <c r="B674" s="2"/>
      <c r="C674" s="2"/>
      <c r="D674" s="2"/>
      <c r="E674" s="2"/>
      <c r="F674" s="2"/>
    </row>
    <row r="675" ht="15.75" customHeight="1">
      <c r="A675" s="2"/>
      <c r="B675" s="2"/>
      <c r="C675" s="2"/>
      <c r="D675" s="2"/>
      <c r="E675" s="2"/>
      <c r="F675" s="2"/>
    </row>
    <row r="676" ht="15.75" customHeight="1">
      <c r="A676" s="2"/>
      <c r="B676" s="2"/>
      <c r="C676" s="2"/>
      <c r="D676" s="2"/>
      <c r="E676" s="2"/>
      <c r="F676" s="2"/>
    </row>
    <row r="677" ht="15.75" customHeight="1">
      <c r="A677" s="2"/>
      <c r="B677" s="2"/>
      <c r="C677" s="2"/>
      <c r="D677" s="2"/>
      <c r="E677" s="2"/>
      <c r="F677" s="2"/>
    </row>
    <row r="678" ht="15.75" customHeight="1">
      <c r="A678" s="2"/>
      <c r="B678" s="2"/>
      <c r="C678" s="2"/>
      <c r="D678" s="2"/>
      <c r="E678" s="2"/>
      <c r="F678" s="2"/>
    </row>
    <row r="679" ht="15.75" customHeight="1">
      <c r="A679" s="2"/>
      <c r="B679" s="2"/>
      <c r="C679" s="2"/>
      <c r="D679" s="2"/>
      <c r="E679" s="2"/>
      <c r="F679" s="2"/>
    </row>
    <row r="680" ht="15.75" customHeight="1">
      <c r="A680" s="2"/>
      <c r="B680" s="2"/>
      <c r="C680" s="2"/>
      <c r="D680" s="2"/>
      <c r="E680" s="2"/>
      <c r="F680" s="2"/>
    </row>
    <row r="681" ht="15.75" customHeight="1">
      <c r="A681" s="2"/>
      <c r="B681" s="2"/>
      <c r="C681" s="2"/>
      <c r="D681" s="2"/>
      <c r="E681" s="2"/>
      <c r="F681" s="2"/>
    </row>
    <row r="682" ht="15.75" customHeight="1">
      <c r="A682" s="2"/>
      <c r="B682" s="2"/>
      <c r="C682" s="2"/>
      <c r="D682" s="2"/>
      <c r="E682" s="2"/>
      <c r="F682" s="2"/>
    </row>
    <row r="683" ht="15.75" customHeight="1">
      <c r="A683" s="2"/>
      <c r="B683" s="2"/>
      <c r="C683" s="2"/>
      <c r="D683" s="2"/>
      <c r="E683" s="2"/>
      <c r="F683" s="2"/>
    </row>
    <row r="684" ht="15.75" customHeight="1">
      <c r="A684" s="2"/>
      <c r="B684" s="2"/>
      <c r="C684" s="2"/>
      <c r="D684" s="2"/>
      <c r="E684" s="2"/>
      <c r="F684" s="2"/>
    </row>
    <row r="685" ht="15.75" customHeight="1">
      <c r="A685" s="2"/>
      <c r="B685" s="2"/>
      <c r="C685" s="2"/>
      <c r="D685" s="2"/>
      <c r="E685" s="2"/>
      <c r="F685" s="2"/>
    </row>
    <row r="686" ht="15.75" customHeight="1">
      <c r="A686" s="2"/>
      <c r="B686" s="2"/>
      <c r="C686" s="2"/>
      <c r="D686" s="2"/>
      <c r="E686" s="2"/>
      <c r="F686" s="2"/>
    </row>
    <row r="687" ht="15.75" customHeight="1">
      <c r="A687" s="2"/>
      <c r="B687" s="2"/>
      <c r="C687" s="2"/>
      <c r="D687" s="2"/>
      <c r="E687" s="2"/>
      <c r="F687" s="2"/>
    </row>
    <row r="688" ht="15.75" customHeight="1">
      <c r="A688" s="2"/>
      <c r="B688" s="2"/>
      <c r="C688" s="2"/>
      <c r="D688" s="2"/>
      <c r="E688" s="2"/>
      <c r="F688" s="2"/>
    </row>
    <row r="689" ht="15.75" customHeight="1">
      <c r="A689" s="2"/>
      <c r="B689" s="2"/>
      <c r="C689" s="2"/>
      <c r="D689" s="2"/>
      <c r="E689" s="2"/>
      <c r="F689" s="2"/>
    </row>
    <row r="690" ht="15.75" customHeight="1">
      <c r="A690" s="2"/>
      <c r="B690" s="2"/>
      <c r="C690" s="2"/>
      <c r="D690" s="2"/>
      <c r="E690" s="2"/>
      <c r="F690" s="2"/>
    </row>
    <row r="691" ht="15.75" customHeight="1">
      <c r="A691" s="2"/>
      <c r="B691" s="2"/>
      <c r="C691" s="2"/>
      <c r="D691" s="2"/>
      <c r="E691" s="2"/>
      <c r="F691" s="2"/>
    </row>
    <row r="692" ht="15.75" customHeight="1">
      <c r="A692" s="2"/>
      <c r="B692" s="2"/>
      <c r="C692" s="2"/>
      <c r="D692" s="2"/>
      <c r="E692" s="2"/>
      <c r="F692" s="2"/>
    </row>
    <row r="693" ht="15.75" customHeight="1">
      <c r="A693" s="2"/>
      <c r="B693" s="2"/>
      <c r="C693" s="2"/>
      <c r="D693" s="2"/>
      <c r="E693" s="2"/>
      <c r="F693" s="2"/>
    </row>
    <row r="694" ht="15.75" customHeight="1">
      <c r="A694" s="2"/>
      <c r="B694" s="2"/>
      <c r="C694" s="2"/>
      <c r="D694" s="2"/>
      <c r="E694" s="2"/>
      <c r="F694" s="2"/>
    </row>
    <row r="695" ht="15.75" customHeight="1">
      <c r="A695" s="2"/>
      <c r="B695" s="2"/>
      <c r="C695" s="2"/>
      <c r="D695" s="2"/>
      <c r="E695" s="2"/>
      <c r="F695" s="2"/>
    </row>
    <row r="696" ht="15.75" customHeight="1">
      <c r="A696" s="2"/>
      <c r="B696" s="2"/>
      <c r="C696" s="2"/>
      <c r="D696" s="2"/>
      <c r="E696" s="2"/>
      <c r="F696" s="2"/>
    </row>
    <row r="697" ht="15.75" customHeight="1">
      <c r="A697" s="2"/>
      <c r="B697" s="2"/>
      <c r="C697" s="2"/>
      <c r="D697" s="2"/>
      <c r="E697" s="2"/>
      <c r="F697" s="2"/>
    </row>
    <row r="698" ht="15.75" customHeight="1">
      <c r="A698" s="2"/>
      <c r="B698" s="2"/>
      <c r="C698" s="2"/>
      <c r="D698" s="2"/>
      <c r="E698" s="2"/>
      <c r="F698" s="2"/>
    </row>
    <row r="699" ht="15.75" customHeight="1">
      <c r="A699" s="2"/>
      <c r="B699" s="2"/>
      <c r="C699" s="2"/>
      <c r="D699" s="2"/>
      <c r="E699" s="2"/>
      <c r="F699" s="2"/>
    </row>
    <row r="700" ht="15.75" customHeight="1">
      <c r="A700" s="2"/>
      <c r="B700" s="2"/>
      <c r="C700" s="2"/>
      <c r="D700" s="2"/>
      <c r="E700" s="2"/>
      <c r="F700" s="2"/>
    </row>
    <row r="701" ht="15.75" customHeight="1">
      <c r="A701" s="2"/>
      <c r="B701" s="2"/>
      <c r="C701" s="2"/>
      <c r="D701" s="2"/>
      <c r="E701" s="2"/>
      <c r="F701" s="2"/>
    </row>
    <row r="702" ht="15.75" customHeight="1">
      <c r="A702" s="2"/>
      <c r="B702" s="2"/>
      <c r="C702" s="2"/>
      <c r="D702" s="2"/>
      <c r="E702" s="2"/>
      <c r="F702" s="2"/>
    </row>
    <row r="703" ht="15.75" customHeight="1">
      <c r="A703" s="2"/>
      <c r="B703" s="2"/>
      <c r="C703" s="2"/>
      <c r="D703" s="2"/>
      <c r="E703" s="2"/>
      <c r="F703" s="2"/>
    </row>
    <row r="704" ht="15.75" customHeight="1">
      <c r="A704" s="2"/>
      <c r="B704" s="2"/>
      <c r="C704" s="2"/>
      <c r="D704" s="2"/>
      <c r="E704" s="2"/>
      <c r="F704" s="2"/>
    </row>
    <row r="705" ht="15.75" customHeight="1">
      <c r="A705" s="2"/>
      <c r="B705" s="2"/>
      <c r="C705" s="2"/>
      <c r="D705" s="2"/>
      <c r="E705" s="2"/>
      <c r="F705" s="2"/>
    </row>
    <row r="706" ht="15.75" customHeight="1">
      <c r="A706" s="2"/>
      <c r="B706" s="2"/>
      <c r="C706" s="2"/>
      <c r="D706" s="2"/>
      <c r="E706" s="2"/>
      <c r="F706" s="2"/>
    </row>
    <row r="707" ht="15.75" customHeight="1">
      <c r="A707" s="2"/>
      <c r="B707" s="2"/>
      <c r="C707" s="2"/>
      <c r="D707" s="2"/>
      <c r="E707" s="2"/>
      <c r="F707" s="2"/>
    </row>
    <row r="708" ht="15.75" customHeight="1">
      <c r="A708" s="2"/>
      <c r="B708" s="2"/>
      <c r="C708" s="2"/>
      <c r="D708" s="2"/>
      <c r="E708" s="2"/>
      <c r="F708" s="2"/>
    </row>
    <row r="709" ht="15.75" customHeight="1">
      <c r="A709" s="2"/>
      <c r="B709" s="2"/>
      <c r="C709" s="2"/>
      <c r="D709" s="2"/>
      <c r="E709" s="2"/>
      <c r="F709" s="2"/>
    </row>
    <row r="710" ht="15.75" customHeight="1">
      <c r="A710" s="2"/>
      <c r="B710" s="2"/>
      <c r="C710" s="2"/>
      <c r="D710" s="2"/>
      <c r="E710" s="2"/>
      <c r="F710" s="2"/>
    </row>
    <row r="711" ht="15.75" customHeight="1">
      <c r="A711" s="2"/>
      <c r="B711" s="2"/>
      <c r="C711" s="2"/>
      <c r="D711" s="2"/>
      <c r="E711" s="2"/>
      <c r="F711" s="2"/>
    </row>
    <row r="712" ht="15.75" customHeight="1">
      <c r="A712" s="2"/>
      <c r="B712" s="2"/>
      <c r="C712" s="2"/>
      <c r="D712" s="2"/>
      <c r="E712" s="2"/>
      <c r="F712" s="2"/>
    </row>
    <row r="713" ht="15.75" customHeight="1">
      <c r="A713" s="2"/>
      <c r="B713" s="2"/>
      <c r="C713" s="2"/>
      <c r="D713" s="2"/>
      <c r="E713" s="2"/>
      <c r="F713" s="2"/>
    </row>
    <row r="714" ht="15.75" customHeight="1">
      <c r="A714" s="2"/>
      <c r="B714" s="2"/>
      <c r="C714" s="2"/>
      <c r="D714" s="2"/>
      <c r="E714" s="2"/>
      <c r="F714" s="2"/>
    </row>
    <row r="715" ht="15.75" customHeight="1">
      <c r="A715" s="2"/>
      <c r="B715" s="2"/>
      <c r="C715" s="2"/>
      <c r="D715" s="2"/>
      <c r="E715" s="2"/>
      <c r="F715" s="2"/>
    </row>
    <row r="716" ht="15.75" customHeight="1">
      <c r="A716" s="2"/>
      <c r="B716" s="2"/>
      <c r="C716" s="2"/>
      <c r="D716" s="2"/>
      <c r="E716" s="2"/>
      <c r="F716" s="2"/>
    </row>
    <row r="717" ht="15.75" customHeight="1">
      <c r="A717" s="2"/>
      <c r="B717" s="2"/>
      <c r="C717" s="2"/>
      <c r="D717" s="2"/>
      <c r="E717" s="2"/>
      <c r="F717" s="2"/>
    </row>
    <row r="718" ht="15.75" customHeight="1">
      <c r="A718" s="2"/>
      <c r="B718" s="2"/>
      <c r="C718" s="2"/>
      <c r="D718" s="2"/>
      <c r="E718" s="2"/>
      <c r="F718" s="2"/>
    </row>
    <row r="719" ht="15.75" customHeight="1">
      <c r="A719" s="2"/>
      <c r="B719" s="2"/>
      <c r="C719" s="2"/>
      <c r="D719" s="2"/>
      <c r="E719" s="2"/>
      <c r="F719" s="2"/>
    </row>
    <row r="720" ht="15.75" customHeight="1">
      <c r="A720" s="2"/>
      <c r="B720" s="2"/>
      <c r="C720" s="2"/>
      <c r="D720" s="2"/>
      <c r="E720" s="2"/>
      <c r="F720" s="2"/>
    </row>
    <row r="721" ht="15.75" customHeight="1">
      <c r="A721" s="2"/>
      <c r="B721" s="2"/>
      <c r="C721" s="2"/>
      <c r="D721" s="2"/>
      <c r="E721" s="2"/>
      <c r="F721" s="2"/>
    </row>
    <row r="722" ht="15.75" customHeight="1">
      <c r="A722" s="2"/>
      <c r="B722" s="2"/>
      <c r="C722" s="2"/>
      <c r="D722" s="2"/>
      <c r="E722" s="2"/>
      <c r="F722" s="2"/>
    </row>
    <row r="723" ht="15.75" customHeight="1">
      <c r="A723" s="2"/>
      <c r="B723" s="2"/>
      <c r="C723" s="2"/>
      <c r="D723" s="2"/>
      <c r="E723" s="2"/>
      <c r="F723" s="2"/>
    </row>
    <row r="724" ht="15.75" customHeight="1">
      <c r="A724" s="2"/>
      <c r="B724" s="2"/>
      <c r="C724" s="2"/>
      <c r="D724" s="2"/>
      <c r="E724" s="2"/>
      <c r="F724" s="2"/>
    </row>
    <row r="725" ht="15.75" customHeight="1">
      <c r="A725" s="2"/>
      <c r="B725" s="2"/>
      <c r="C725" s="2"/>
      <c r="D725" s="2"/>
      <c r="E725" s="2"/>
      <c r="F725" s="2"/>
    </row>
    <row r="726" ht="15.75" customHeight="1">
      <c r="A726" s="2"/>
      <c r="B726" s="2"/>
      <c r="C726" s="2"/>
      <c r="D726" s="2"/>
      <c r="E726" s="2"/>
      <c r="F726" s="2"/>
    </row>
    <row r="727" ht="15.75" customHeight="1">
      <c r="A727" s="2"/>
      <c r="B727" s="2"/>
      <c r="C727" s="2"/>
      <c r="D727" s="2"/>
      <c r="E727" s="2"/>
      <c r="F727" s="2"/>
    </row>
    <row r="728" ht="15.75" customHeight="1">
      <c r="A728" s="2"/>
      <c r="B728" s="2"/>
      <c r="C728" s="2"/>
      <c r="D728" s="2"/>
      <c r="E728" s="2"/>
      <c r="F728" s="2"/>
    </row>
    <row r="729" ht="15.75" customHeight="1">
      <c r="A729" s="2"/>
      <c r="B729" s="2"/>
      <c r="C729" s="2"/>
      <c r="D729" s="2"/>
      <c r="E729" s="2"/>
      <c r="F729" s="2"/>
    </row>
    <row r="730" ht="15.75" customHeight="1">
      <c r="A730" s="2"/>
      <c r="B730" s="2"/>
      <c r="C730" s="2"/>
      <c r="D730" s="2"/>
      <c r="E730" s="2"/>
      <c r="F730" s="2"/>
    </row>
    <row r="731" ht="15.75" customHeight="1">
      <c r="A731" s="2"/>
      <c r="B731" s="2"/>
      <c r="C731" s="2"/>
      <c r="D731" s="2"/>
      <c r="E731" s="2"/>
      <c r="F731" s="2"/>
    </row>
    <row r="732" ht="15.75" customHeight="1">
      <c r="A732" s="2"/>
      <c r="B732" s="2"/>
      <c r="C732" s="2"/>
      <c r="D732" s="2"/>
      <c r="E732" s="2"/>
      <c r="F732" s="2"/>
    </row>
    <row r="733" ht="15.75" customHeight="1">
      <c r="A733" s="2"/>
      <c r="B733" s="2"/>
      <c r="C733" s="2"/>
      <c r="D733" s="2"/>
      <c r="E733" s="2"/>
      <c r="F733" s="2"/>
    </row>
    <row r="734" ht="15.75" customHeight="1">
      <c r="A734" s="2"/>
      <c r="B734" s="2"/>
      <c r="C734" s="2"/>
      <c r="D734" s="2"/>
      <c r="E734" s="2"/>
      <c r="F734" s="2"/>
    </row>
    <row r="735" ht="15.75" customHeight="1">
      <c r="A735" s="2"/>
      <c r="B735" s="2"/>
      <c r="C735" s="2"/>
      <c r="D735" s="2"/>
      <c r="E735" s="2"/>
      <c r="F735" s="2"/>
    </row>
    <row r="736" ht="15.75" customHeight="1">
      <c r="A736" s="2"/>
      <c r="B736" s="2"/>
      <c r="C736" s="2"/>
      <c r="D736" s="2"/>
      <c r="E736" s="2"/>
      <c r="F736" s="2"/>
    </row>
    <row r="737" ht="15.75" customHeight="1">
      <c r="A737" s="2"/>
      <c r="B737" s="2"/>
      <c r="C737" s="2"/>
      <c r="D737" s="2"/>
      <c r="E737" s="2"/>
      <c r="F737" s="2"/>
    </row>
    <row r="738" ht="15.75" customHeight="1">
      <c r="A738" s="2"/>
      <c r="B738" s="2"/>
      <c r="C738" s="2"/>
      <c r="D738" s="2"/>
      <c r="E738" s="2"/>
      <c r="F738" s="2"/>
    </row>
    <row r="739" ht="15.75" customHeight="1">
      <c r="A739" s="2"/>
      <c r="B739" s="2"/>
      <c r="C739" s="2"/>
      <c r="D739" s="2"/>
      <c r="E739" s="2"/>
      <c r="F739" s="2"/>
    </row>
    <row r="740" ht="15.75" customHeight="1">
      <c r="A740" s="2"/>
      <c r="B740" s="2"/>
      <c r="C740" s="2"/>
      <c r="D740" s="2"/>
      <c r="E740" s="2"/>
      <c r="F740" s="2"/>
    </row>
    <row r="741" ht="15.75" customHeight="1">
      <c r="A741" s="2"/>
      <c r="B741" s="2"/>
      <c r="C741" s="2"/>
      <c r="D741" s="2"/>
      <c r="E741" s="2"/>
      <c r="F741" s="2"/>
    </row>
    <row r="742" ht="15.75" customHeight="1">
      <c r="A742" s="2"/>
      <c r="B742" s="2"/>
      <c r="C742" s="2"/>
      <c r="D742" s="2"/>
      <c r="E742" s="2"/>
      <c r="F742" s="2"/>
    </row>
    <row r="743" ht="15.75" customHeight="1">
      <c r="A743" s="2"/>
      <c r="B743" s="2"/>
      <c r="C743" s="2"/>
      <c r="D743" s="2"/>
      <c r="E743" s="2"/>
      <c r="F743" s="2"/>
    </row>
    <row r="744" ht="15.75" customHeight="1">
      <c r="A744" s="2"/>
      <c r="B744" s="2"/>
      <c r="C744" s="2"/>
      <c r="D744" s="2"/>
      <c r="E744" s="2"/>
      <c r="F744" s="2"/>
    </row>
    <row r="745" ht="15.75" customHeight="1">
      <c r="A745" s="2"/>
      <c r="B745" s="2"/>
      <c r="C745" s="2"/>
      <c r="D745" s="2"/>
      <c r="E745" s="2"/>
      <c r="F745" s="2"/>
    </row>
    <row r="746" ht="15.75" customHeight="1">
      <c r="A746" s="2"/>
      <c r="B746" s="2"/>
      <c r="C746" s="2"/>
      <c r="D746" s="2"/>
      <c r="E746" s="2"/>
      <c r="F746" s="2"/>
    </row>
    <row r="747" ht="15.75" customHeight="1">
      <c r="A747" s="2"/>
      <c r="B747" s="2"/>
      <c r="C747" s="2"/>
      <c r="D747" s="2"/>
      <c r="E747" s="2"/>
      <c r="F747" s="2"/>
    </row>
    <row r="748" ht="15.75" customHeight="1">
      <c r="A748" s="2"/>
      <c r="B748" s="2"/>
      <c r="C748" s="2"/>
      <c r="D748" s="2"/>
      <c r="E748" s="2"/>
      <c r="F748" s="2"/>
    </row>
    <row r="749" ht="15.75" customHeight="1">
      <c r="A749" s="2"/>
      <c r="B749" s="2"/>
      <c r="C749" s="2"/>
      <c r="D749" s="2"/>
      <c r="E749" s="2"/>
      <c r="F749" s="2"/>
    </row>
    <row r="750" ht="15.75" customHeight="1">
      <c r="A750" s="2"/>
      <c r="B750" s="2"/>
      <c r="C750" s="2"/>
      <c r="D750" s="2"/>
      <c r="E750" s="2"/>
      <c r="F750" s="2"/>
    </row>
    <row r="751" ht="15.75" customHeight="1">
      <c r="A751" s="2"/>
      <c r="B751" s="2"/>
      <c r="C751" s="2"/>
      <c r="D751" s="2"/>
      <c r="E751" s="2"/>
      <c r="F751" s="2"/>
    </row>
    <row r="752" ht="15.75" customHeight="1">
      <c r="A752" s="2"/>
      <c r="B752" s="2"/>
      <c r="C752" s="2"/>
      <c r="D752" s="2"/>
      <c r="E752" s="2"/>
      <c r="F752" s="2"/>
    </row>
    <row r="753" ht="15.75" customHeight="1">
      <c r="A753" s="2"/>
      <c r="B753" s="2"/>
      <c r="C753" s="2"/>
      <c r="D753" s="2"/>
      <c r="E753" s="2"/>
      <c r="F753" s="2"/>
    </row>
    <row r="754" ht="15.75" customHeight="1">
      <c r="A754" s="2"/>
      <c r="B754" s="2"/>
      <c r="C754" s="2"/>
      <c r="D754" s="2"/>
      <c r="E754" s="2"/>
      <c r="F754" s="2"/>
    </row>
    <row r="755" ht="15.75" customHeight="1">
      <c r="A755" s="2"/>
      <c r="B755" s="2"/>
      <c r="C755" s="2"/>
      <c r="D755" s="2"/>
      <c r="E755" s="2"/>
      <c r="F755" s="2"/>
    </row>
    <row r="756" ht="15.75" customHeight="1">
      <c r="A756" s="2"/>
      <c r="B756" s="2"/>
      <c r="C756" s="2"/>
      <c r="D756" s="2"/>
      <c r="E756" s="2"/>
      <c r="F756" s="2"/>
    </row>
    <row r="757" ht="15.75" customHeight="1">
      <c r="A757" s="2"/>
      <c r="B757" s="2"/>
      <c r="C757" s="2"/>
      <c r="D757" s="2"/>
      <c r="E757" s="2"/>
      <c r="F757" s="2"/>
    </row>
    <row r="758" ht="15.75" customHeight="1">
      <c r="A758" s="2"/>
      <c r="B758" s="2"/>
      <c r="C758" s="2"/>
      <c r="D758" s="2"/>
      <c r="E758" s="2"/>
      <c r="F758" s="2"/>
    </row>
    <row r="759" ht="15.75" customHeight="1">
      <c r="A759" s="2"/>
      <c r="B759" s="2"/>
      <c r="C759" s="2"/>
      <c r="D759" s="2"/>
      <c r="E759" s="2"/>
      <c r="F759" s="2"/>
    </row>
    <row r="760" ht="15.75" customHeight="1">
      <c r="A760" s="2"/>
      <c r="B760" s="2"/>
      <c r="C760" s="2"/>
      <c r="D760" s="2"/>
      <c r="E760" s="2"/>
      <c r="F760" s="2"/>
    </row>
    <row r="761" ht="15.75" customHeight="1">
      <c r="A761" s="2"/>
      <c r="B761" s="2"/>
      <c r="C761" s="2"/>
      <c r="D761" s="2"/>
      <c r="E761" s="2"/>
      <c r="F761" s="2"/>
    </row>
    <row r="762" ht="15.75" customHeight="1">
      <c r="A762" s="2"/>
      <c r="B762" s="2"/>
      <c r="C762" s="2"/>
      <c r="D762" s="2"/>
      <c r="E762" s="2"/>
      <c r="F762" s="2"/>
    </row>
    <row r="763" ht="15.75" customHeight="1">
      <c r="A763" s="2"/>
      <c r="B763" s="2"/>
      <c r="C763" s="2"/>
      <c r="D763" s="2"/>
      <c r="E763" s="2"/>
      <c r="F763" s="2"/>
    </row>
    <row r="764" ht="15.75" customHeight="1">
      <c r="A764" s="2"/>
      <c r="B764" s="2"/>
      <c r="C764" s="2"/>
      <c r="D764" s="2"/>
      <c r="E764" s="2"/>
      <c r="F764" s="2"/>
    </row>
    <row r="765" ht="15.75" customHeight="1">
      <c r="A765" s="2"/>
      <c r="B765" s="2"/>
      <c r="C765" s="2"/>
      <c r="D765" s="2"/>
      <c r="E765" s="2"/>
      <c r="F765" s="2"/>
    </row>
    <row r="766" ht="15.75" customHeight="1">
      <c r="A766" s="2"/>
      <c r="B766" s="2"/>
      <c r="C766" s="2"/>
      <c r="D766" s="2"/>
      <c r="E766" s="2"/>
      <c r="F766" s="2"/>
    </row>
    <row r="767" ht="15.75" customHeight="1">
      <c r="A767" s="2"/>
      <c r="B767" s="2"/>
      <c r="C767" s="2"/>
      <c r="D767" s="2"/>
      <c r="E767" s="2"/>
      <c r="F767" s="2"/>
    </row>
    <row r="768" ht="15.75" customHeight="1">
      <c r="A768" s="2"/>
      <c r="B768" s="2"/>
      <c r="C768" s="2"/>
      <c r="D768" s="2"/>
      <c r="E768" s="2"/>
      <c r="F768" s="2"/>
    </row>
    <row r="769" ht="15.75" customHeight="1">
      <c r="A769" s="2"/>
      <c r="B769" s="2"/>
      <c r="C769" s="2"/>
      <c r="D769" s="2"/>
      <c r="E769" s="2"/>
      <c r="F769" s="2"/>
    </row>
    <row r="770" ht="15.75" customHeight="1">
      <c r="A770" s="2"/>
      <c r="B770" s="2"/>
      <c r="C770" s="2"/>
      <c r="D770" s="2"/>
      <c r="E770" s="2"/>
      <c r="F770" s="2"/>
    </row>
    <row r="771" ht="15.75" customHeight="1">
      <c r="A771" s="2"/>
      <c r="B771" s="2"/>
      <c r="C771" s="2"/>
      <c r="D771" s="2"/>
      <c r="E771" s="2"/>
      <c r="F771" s="2"/>
    </row>
    <row r="772" ht="15.75" customHeight="1">
      <c r="A772" s="2"/>
      <c r="B772" s="2"/>
      <c r="C772" s="2"/>
      <c r="D772" s="2"/>
      <c r="E772" s="2"/>
      <c r="F772" s="2"/>
    </row>
    <row r="773" ht="15.75" customHeight="1">
      <c r="A773" s="2"/>
      <c r="B773" s="2"/>
      <c r="C773" s="2"/>
      <c r="D773" s="2"/>
      <c r="E773" s="2"/>
      <c r="F773" s="2"/>
    </row>
    <row r="774" ht="15.75" customHeight="1">
      <c r="A774" s="2"/>
      <c r="B774" s="2"/>
      <c r="C774" s="2"/>
      <c r="D774" s="2"/>
      <c r="E774" s="2"/>
      <c r="F774" s="2"/>
    </row>
    <row r="775" ht="15.75" customHeight="1">
      <c r="A775" s="2"/>
      <c r="B775" s="2"/>
      <c r="C775" s="2"/>
      <c r="D775" s="2"/>
      <c r="E775" s="2"/>
      <c r="F775" s="2"/>
    </row>
    <row r="776" ht="15.75" customHeight="1">
      <c r="A776" s="2"/>
      <c r="B776" s="2"/>
      <c r="C776" s="2"/>
      <c r="D776" s="2"/>
      <c r="E776" s="2"/>
      <c r="F776" s="2"/>
    </row>
    <row r="777" ht="15.75" customHeight="1">
      <c r="A777" s="2"/>
      <c r="B777" s="2"/>
      <c r="C777" s="2"/>
      <c r="D777" s="2"/>
      <c r="E777" s="2"/>
      <c r="F777" s="2"/>
    </row>
    <row r="778" ht="15.75" customHeight="1">
      <c r="A778" s="2"/>
      <c r="B778" s="2"/>
      <c r="C778" s="2"/>
      <c r="D778" s="2"/>
      <c r="E778" s="2"/>
      <c r="F778" s="2"/>
    </row>
    <row r="779" ht="15.75" customHeight="1">
      <c r="A779" s="2"/>
      <c r="B779" s="2"/>
      <c r="C779" s="2"/>
      <c r="D779" s="2"/>
      <c r="E779" s="2"/>
      <c r="F779" s="2"/>
    </row>
    <row r="780" ht="15.75" customHeight="1">
      <c r="A780" s="2"/>
      <c r="B780" s="2"/>
      <c r="C780" s="2"/>
      <c r="D780" s="2"/>
      <c r="E780" s="2"/>
      <c r="F780" s="2"/>
    </row>
    <row r="781" ht="15.75" customHeight="1">
      <c r="A781" s="2"/>
      <c r="B781" s="2"/>
      <c r="C781" s="2"/>
      <c r="D781" s="2"/>
      <c r="E781" s="2"/>
      <c r="F781" s="2"/>
    </row>
    <row r="782" ht="15.75" customHeight="1">
      <c r="A782" s="2"/>
      <c r="B782" s="2"/>
      <c r="C782" s="2"/>
      <c r="D782" s="2"/>
      <c r="E782" s="2"/>
      <c r="F782" s="2"/>
    </row>
    <row r="783" ht="15.75" customHeight="1">
      <c r="A783" s="2"/>
      <c r="B783" s="2"/>
      <c r="C783" s="2"/>
      <c r="D783" s="2"/>
      <c r="E783" s="2"/>
      <c r="F783" s="2"/>
    </row>
    <row r="784" ht="15.75" customHeight="1">
      <c r="A784" s="2"/>
      <c r="B784" s="2"/>
      <c r="C784" s="2"/>
      <c r="D784" s="2"/>
      <c r="E784" s="2"/>
      <c r="F784" s="2"/>
    </row>
    <row r="785" ht="15.75" customHeight="1">
      <c r="A785" s="2"/>
      <c r="B785" s="2"/>
      <c r="C785" s="2"/>
      <c r="D785" s="2"/>
      <c r="E785" s="2"/>
      <c r="F785" s="2"/>
    </row>
    <row r="786" ht="15.75" customHeight="1">
      <c r="A786" s="2"/>
      <c r="B786" s="2"/>
      <c r="C786" s="2"/>
      <c r="D786" s="2"/>
      <c r="E786" s="2"/>
      <c r="F786" s="2"/>
    </row>
    <row r="787" ht="15.75" customHeight="1">
      <c r="A787" s="2"/>
      <c r="B787" s="2"/>
      <c r="C787" s="2"/>
      <c r="D787" s="2"/>
      <c r="E787" s="2"/>
      <c r="F787" s="2"/>
    </row>
    <row r="788" ht="15.75" customHeight="1">
      <c r="A788" s="2"/>
      <c r="B788" s="2"/>
      <c r="C788" s="2"/>
      <c r="D788" s="2"/>
      <c r="E788" s="2"/>
      <c r="F788" s="2"/>
    </row>
    <row r="789" ht="15.75" customHeight="1">
      <c r="A789" s="2"/>
      <c r="B789" s="2"/>
      <c r="C789" s="2"/>
      <c r="D789" s="2"/>
      <c r="E789" s="2"/>
      <c r="F789" s="2"/>
    </row>
    <row r="790" ht="15.75" customHeight="1">
      <c r="A790" s="2"/>
      <c r="B790" s="2"/>
      <c r="C790" s="2"/>
      <c r="D790" s="2"/>
      <c r="E790" s="2"/>
      <c r="F790" s="2"/>
    </row>
    <row r="791" ht="15.75" customHeight="1">
      <c r="A791" s="2"/>
      <c r="B791" s="2"/>
      <c r="C791" s="2"/>
      <c r="D791" s="2"/>
      <c r="E791" s="2"/>
      <c r="F791" s="2"/>
    </row>
    <row r="792" ht="15.75" customHeight="1">
      <c r="A792" s="2"/>
      <c r="B792" s="2"/>
      <c r="C792" s="2"/>
      <c r="D792" s="2"/>
      <c r="E792" s="2"/>
      <c r="F792" s="2"/>
    </row>
    <row r="793" ht="15.75" customHeight="1">
      <c r="A793" s="2"/>
      <c r="B793" s="2"/>
      <c r="C793" s="2"/>
      <c r="D793" s="2"/>
      <c r="E793" s="2"/>
      <c r="F793" s="2"/>
    </row>
    <row r="794" ht="15.75" customHeight="1">
      <c r="A794" s="2"/>
      <c r="B794" s="2"/>
      <c r="C794" s="2"/>
      <c r="D794" s="2"/>
      <c r="E794" s="2"/>
      <c r="F794" s="2"/>
    </row>
    <row r="795" ht="15.75" customHeight="1">
      <c r="A795" s="2"/>
      <c r="B795" s="2"/>
      <c r="C795" s="2"/>
      <c r="D795" s="2"/>
      <c r="E795" s="2"/>
      <c r="F795" s="2"/>
    </row>
    <row r="796" ht="15.75" customHeight="1">
      <c r="A796" s="2"/>
      <c r="B796" s="2"/>
      <c r="C796" s="2"/>
      <c r="D796" s="2"/>
      <c r="E796" s="2"/>
      <c r="F796" s="2"/>
    </row>
    <row r="797" ht="15.75" customHeight="1">
      <c r="A797" s="2"/>
      <c r="B797" s="2"/>
      <c r="C797" s="2"/>
      <c r="D797" s="2"/>
      <c r="E797" s="2"/>
      <c r="F797" s="2"/>
    </row>
    <row r="798" ht="15.75" customHeight="1">
      <c r="A798" s="2"/>
      <c r="B798" s="2"/>
      <c r="C798" s="2"/>
      <c r="D798" s="2"/>
      <c r="E798" s="2"/>
      <c r="F798" s="2"/>
    </row>
    <row r="799" ht="15.75" customHeight="1">
      <c r="A799" s="2"/>
      <c r="B799" s="2"/>
      <c r="C799" s="2"/>
      <c r="D799" s="2"/>
      <c r="E799" s="2"/>
      <c r="F799" s="2"/>
    </row>
    <row r="800" ht="15.75" customHeight="1">
      <c r="A800" s="2"/>
      <c r="B800" s="2"/>
      <c r="C800" s="2"/>
      <c r="D800" s="2"/>
      <c r="E800" s="2"/>
      <c r="F800" s="2"/>
    </row>
    <row r="801" ht="15.75" customHeight="1">
      <c r="A801" s="2"/>
      <c r="B801" s="2"/>
      <c r="C801" s="2"/>
      <c r="D801" s="2"/>
      <c r="E801" s="2"/>
      <c r="F801" s="2"/>
    </row>
    <row r="802" ht="15.75" customHeight="1">
      <c r="A802" s="2"/>
      <c r="B802" s="2"/>
      <c r="C802" s="2"/>
      <c r="D802" s="2"/>
      <c r="E802" s="2"/>
      <c r="F802" s="2"/>
    </row>
    <row r="803" ht="15.75" customHeight="1">
      <c r="A803" s="2"/>
      <c r="B803" s="2"/>
      <c r="C803" s="2"/>
      <c r="D803" s="2"/>
      <c r="E803" s="2"/>
      <c r="F803" s="2"/>
    </row>
    <row r="804" ht="15.75" customHeight="1">
      <c r="A804" s="2"/>
      <c r="B804" s="2"/>
      <c r="C804" s="2"/>
      <c r="D804" s="2"/>
      <c r="E804" s="2"/>
      <c r="F804" s="2"/>
    </row>
    <row r="805" ht="15.75" customHeight="1">
      <c r="A805" s="2"/>
      <c r="B805" s="2"/>
      <c r="C805" s="2"/>
      <c r="D805" s="2"/>
      <c r="E805" s="2"/>
      <c r="F805" s="2"/>
    </row>
    <row r="806" ht="15.75" customHeight="1">
      <c r="A806" s="2"/>
      <c r="B806" s="2"/>
      <c r="C806" s="2"/>
      <c r="D806" s="2"/>
      <c r="E806" s="2"/>
      <c r="F806" s="2"/>
    </row>
    <row r="807" ht="15.75" customHeight="1">
      <c r="A807" s="2"/>
      <c r="B807" s="2"/>
      <c r="C807" s="2"/>
      <c r="D807" s="2"/>
      <c r="E807" s="2"/>
      <c r="F807" s="2"/>
    </row>
    <row r="808" ht="15.75" customHeight="1">
      <c r="A808" s="2"/>
      <c r="B808" s="2"/>
      <c r="C808" s="2"/>
      <c r="D808" s="2"/>
      <c r="E808" s="2"/>
      <c r="F808" s="2"/>
    </row>
    <row r="809" ht="15.75" customHeight="1">
      <c r="A809" s="2"/>
      <c r="B809" s="2"/>
      <c r="C809" s="2"/>
      <c r="D809" s="2"/>
      <c r="E809" s="2"/>
      <c r="F809" s="2"/>
    </row>
    <row r="810" ht="15.75" customHeight="1">
      <c r="A810" s="2"/>
      <c r="B810" s="2"/>
      <c r="C810" s="2"/>
      <c r="D810" s="2"/>
      <c r="E810" s="2"/>
      <c r="F810" s="2"/>
    </row>
    <row r="811" ht="15.75" customHeight="1">
      <c r="A811" s="2"/>
      <c r="B811" s="2"/>
      <c r="C811" s="2"/>
      <c r="D811" s="2"/>
      <c r="E811" s="2"/>
      <c r="F811" s="2"/>
    </row>
    <row r="812" ht="15.75" customHeight="1">
      <c r="A812" s="2"/>
      <c r="B812" s="2"/>
      <c r="C812" s="2"/>
      <c r="D812" s="2"/>
      <c r="E812" s="2"/>
      <c r="F812" s="2"/>
    </row>
    <row r="813" ht="15.75" customHeight="1">
      <c r="A813" s="2"/>
      <c r="B813" s="2"/>
      <c r="C813" s="2"/>
      <c r="D813" s="2"/>
      <c r="E813" s="2"/>
      <c r="F813" s="2"/>
    </row>
    <row r="814" ht="15.75" customHeight="1">
      <c r="A814" s="2"/>
      <c r="B814" s="2"/>
      <c r="C814" s="2"/>
      <c r="D814" s="2"/>
      <c r="E814" s="2"/>
      <c r="F814" s="2"/>
    </row>
    <row r="815" ht="15.75" customHeight="1">
      <c r="A815" s="2"/>
      <c r="B815" s="2"/>
      <c r="C815" s="2"/>
      <c r="D815" s="2"/>
      <c r="E815" s="2"/>
      <c r="F815" s="2"/>
    </row>
    <row r="816" ht="15.75" customHeight="1">
      <c r="A816" s="2"/>
      <c r="B816" s="2"/>
      <c r="C816" s="2"/>
      <c r="D816" s="2"/>
      <c r="E816" s="2"/>
      <c r="F816" s="2"/>
    </row>
    <row r="817" ht="15.75" customHeight="1">
      <c r="A817" s="2"/>
      <c r="B817" s="2"/>
      <c r="C817" s="2"/>
      <c r="D817" s="2"/>
      <c r="E817" s="2"/>
      <c r="F817" s="2"/>
    </row>
    <row r="818" ht="15.75" customHeight="1">
      <c r="A818" s="2"/>
      <c r="B818" s="2"/>
      <c r="C818" s="2"/>
      <c r="D818" s="2"/>
      <c r="E818" s="2"/>
      <c r="F818" s="2"/>
    </row>
    <row r="819" ht="15.75" customHeight="1">
      <c r="A819" s="2"/>
      <c r="B819" s="2"/>
      <c r="C819" s="2"/>
      <c r="D819" s="2"/>
      <c r="E819" s="2"/>
      <c r="F819" s="2"/>
    </row>
    <row r="820" ht="15.75" customHeight="1">
      <c r="A820" s="2"/>
      <c r="B820" s="2"/>
      <c r="C820" s="2"/>
      <c r="D820" s="2"/>
      <c r="E820" s="2"/>
      <c r="F820" s="2"/>
    </row>
    <row r="821" ht="15.75" customHeight="1">
      <c r="A821" s="2"/>
      <c r="B821" s="2"/>
      <c r="C821" s="2"/>
      <c r="D821" s="2"/>
      <c r="E821" s="2"/>
      <c r="F821" s="2"/>
    </row>
    <row r="822" ht="15.75" customHeight="1">
      <c r="A822" s="2"/>
      <c r="B822" s="2"/>
      <c r="C822" s="2"/>
      <c r="D822" s="2"/>
      <c r="E822" s="2"/>
      <c r="F822" s="2"/>
    </row>
    <row r="823" ht="15.75" customHeight="1">
      <c r="A823" s="2"/>
      <c r="B823" s="2"/>
      <c r="C823" s="2"/>
      <c r="D823" s="2"/>
      <c r="E823" s="2"/>
      <c r="F823" s="2"/>
    </row>
    <row r="824" ht="15.75" customHeight="1">
      <c r="A824" s="2"/>
      <c r="B824" s="2"/>
      <c r="C824" s="2"/>
      <c r="D824" s="2"/>
      <c r="E824" s="2"/>
      <c r="F824" s="2"/>
    </row>
    <row r="825" ht="15.75" customHeight="1">
      <c r="A825" s="2"/>
      <c r="B825" s="2"/>
      <c r="C825" s="2"/>
      <c r="D825" s="2"/>
      <c r="E825" s="2"/>
      <c r="F825" s="2"/>
    </row>
    <row r="826" ht="15.75" customHeight="1">
      <c r="A826" s="2"/>
      <c r="B826" s="2"/>
      <c r="C826" s="2"/>
      <c r="D826" s="2"/>
      <c r="E826" s="2"/>
      <c r="F826" s="2"/>
    </row>
    <row r="827" ht="15.75" customHeight="1">
      <c r="A827" s="2"/>
      <c r="B827" s="2"/>
      <c r="C827" s="2"/>
      <c r="D827" s="2"/>
      <c r="E827" s="2"/>
      <c r="F827" s="2"/>
    </row>
    <row r="828" ht="15.75" customHeight="1">
      <c r="A828" s="2"/>
      <c r="B828" s="2"/>
      <c r="C828" s="2"/>
      <c r="D828" s="2"/>
      <c r="E828" s="2"/>
      <c r="F828" s="2"/>
    </row>
    <row r="829" ht="15.75" customHeight="1">
      <c r="A829" s="2"/>
      <c r="B829" s="2"/>
      <c r="C829" s="2"/>
      <c r="D829" s="2"/>
      <c r="E829" s="2"/>
      <c r="F829" s="2"/>
    </row>
    <row r="830" ht="15.75" customHeight="1">
      <c r="A830" s="2"/>
      <c r="B830" s="2"/>
      <c r="C830" s="2"/>
      <c r="D830" s="2"/>
      <c r="E830" s="2"/>
      <c r="F830" s="2"/>
    </row>
    <row r="831" ht="15.75" customHeight="1">
      <c r="A831" s="2"/>
      <c r="B831" s="2"/>
      <c r="C831" s="2"/>
      <c r="D831" s="2"/>
      <c r="E831" s="2"/>
      <c r="F831" s="2"/>
    </row>
    <row r="832" ht="15.75" customHeight="1">
      <c r="A832" s="2"/>
      <c r="B832" s="2"/>
      <c r="C832" s="2"/>
      <c r="D832" s="2"/>
      <c r="E832" s="2"/>
      <c r="F832" s="2"/>
    </row>
    <row r="833" ht="15.75" customHeight="1">
      <c r="A833" s="2"/>
      <c r="B833" s="2"/>
      <c r="C833" s="2"/>
      <c r="D833" s="2"/>
      <c r="E833" s="2"/>
      <c r="F833" s="2"/>
    </row>
    <row r="834" ht="15.75" customHeight="1">
      <c r="A834" s="2"/>
      <c r="B834" s="2"/>
      <c r="C834" s="2"/>
      <c r="D834" s="2"/>
      <c r="E834" s="2"/>
      <c r="F834" s="2"/>
    </row>
    <row r="835" ht="15.75" customHeight="1">
      <c r="A835" s="2"/>
      <c r="B835" s="2"/>
      <c r="C835" s="2"/>
      <c r="D835" s="2"/>
      <c r="E835" s="2"/>
      <c r="F835" s="2"/>
    </row>
    <row r="836" ht="15.75" customHeight="1">
      <c r="A836" s="2"/>
      <c r="B836" s="2"/>
      <c r="C836" s="2"/>
      <c r="D836" s="2"/>
      <c r="E836" s="2"/>
      <c r="F836" s="2"/>
    </row>
    <row r="837" ht="15.75" customHeight="1">
      <c r="A837" s="2"/>
      <c r="B837" s="2"/>
      <c r="C837" s="2"/>
      <c r="D837" s="2"/>
      <c r="E837" s="2"/>
      <c r="F837" s="2"/>
    </row>
    <row r="838" ht="15.75" customHeight="1">
      <c r="A838" s="2"/>
      <c r="B838" s="2"/>
      <c r="C838" s="2"/>
      <c r="D838" s="2"/>
      <c r="E838" s="2"/>
      <c r="F838" s="2"/>
    </row>
    <row r="839" ht="15.75" customHeight="1">
      <c r="A839" s="2"/>
      <c r="B839" s="2"/>
      <c r="C839" s="2"/>
      <c r="D839" s="2"/>
      <c r="E839" s="2"/>
      <c r="F839" s="2"/>
    </row>
    <row r="840" ht="15.75" customHeight="1">
      <c r="A840" s="2"/>
      <c r="B840" s="2"/>
      <c r="C840" s="2"/>
      <c r="D840" s="2"/>
      <c r="E840" s="2"/>
      <c r="F840" s="2"/>
    </row>
    <row r="841" ht="15.75" customHeight="1">
      <c r="A841" s="2"/>
      <c r="B841" s="2"/>
      <c r="C841" s="2"/>
      <c r="D841" s="2"/>
      <c r="E841" s="2"/>
      <c r="F841" s="2"/>
    </row>
    <row r="842" ht="15.75" customHeight="1">
      <c r="A842" s="2"/>
      <c r="B842" s="2"/>
      <c r="C842" s="2"/>
      <c r="D842" s="2"/>
      <c r="E842" s="2"/>
      <c r="F842" s="2"/>
    </row>
    <row r="843" ht="15.75" customHeight="1">
      <c r="A843" s="2"/>
      <c r="B843" s="2"/>
      <c r="C843" s="2"/>
      <c r="D843" s="2"/>
      <c r="E843" s="2"/>
      <c r="F843" s="2"/>
    </row>
    <row r="844" ht="15.75" customHeight="1">
      <c r="A844" s="2"/>
      <c r="B844" s="2"/>
      <c r="C844" s="2"/>
      <c r="D844" s="2"/>
      <c r="E844" s="2"/>
      <c r="F844" s="2"/>
    </row>
    <row r="845" ht="15.75" customHeight="1">
      <c r="A845" s="2"/>
      <c r="B845" s="2"/>
      <c r="C845" s="2"/>
      <c r="D845" s="2"/>
      <c r="E845" s="2"/>
      <c r="F845" s="2"/>
    </row>
    <row r="846" ht="15.75" customHeight="1">
      <c r="A846" s="2"/>
      <c r="B846" s="2"/>
      <c r="C846" s="2"/>
      <c r="D846" s="2"/>
      <c r="E846" s="2"/>
      <c r="F846" s="2"/>
    </row>
    <row r="847" ht="15.75" customHeight="1">
      <c r="A847" s="2"/>
      <c r="B847" s="2"/>
      <c r="C847" s="2"/>
      <c r="D847" s="2"/>
      <c r="E847" s="2"/>
      <c r="F847" s="2"/>
    </row>
    <row r="848" ht="15.75" customHeight="1">
      <c r="A848" s="2"/>
      <c r="B848" s="2"/>
      <c r="C848" s="2"/>
      <c r="D848" s="2"/>
      <c r="E848" s="2"/>
      <c r="F848" s="2"/>
    </row>
    <row r="849" ht="15.75" customHeight="1">
      <c r="A849" s="2"/>
      <c r="B849" s="2"/>
      <c r="C849" s="2"/>
      <c r="D849" s="2"/>
      <c r="E849" s="2"/>
      <c r="F849" s="2"/>
    </row>
    <row r="850" ht="15.75" customHeight="1">
      <c r="A850" s="2"/>
      <c r="B850" s="2"/>
      <c r="C850" s="2"/>
      <c r="D850" s="2"/>
      <c r="E850" s="2"/>
      <c r="F850" s="2"/>
    </row>
    <row r="851" ht="15.75" customHeight="1">
      <c r="A851" s="2"/>
      <c r="B851" s="2"/>
      <c r="C851" s="2"/>
      <c r="D851" s="2"/>
      <c r="E851" s="2"/>
      <c r="F851" s="2"/>
    </row>
    <row r="852" ht="15.75" customHeight="1">
      <c r="A852" s="2"/>
      <c r="B852" s="2"/>
      <c r="C852" s="2"/>
      <c r="D852" s="2"/>
      <c r="E852" s="2"/>
      <c r="F852" s="2"/>
    </row>
    <row r="853" ht="15.75" customHeight="1">
      <c r="A853" s="2"/>
      <c r="B853" s="2"/>
      <c r="C853" s="2"/>
      <c r="D853" s="2"/>
      <c r="E853" s="2"/>
      <c r="F853" s="2"/>
    </row>
    <row r="854" ht="15.75" customHeight="1">
      <c r="A854" s="2"/>
      <c r="B854" s="2"/>
      <c r="C854" s="2"/>
      <c r="D854" s="2"/>
      <c r="E854" s="2"/>
      <c r="F854" s="2"/>
    </row>
    <row r="855" ht="15.75" customHeight="1">
      <c r="A855" s="2"/>
      <c r="B855" s="2"/>
      <c r="C855" s="2"/>
      <c r="D855" s="2"/>
      <c r="E855" s="2"/>
      <c r="F855" s="2"/>
    </row>
    <row r="856" ht="15.75" customHeight="1">
      <c r="A856" s="2"/>
      <c r="B856" s="2"/>
      <c r="C856" s="2"/>
      <c r="D856" s="2"/>
      <c r="E856" s="2"/>
      <c r="F856" s="2"/>
    </row>
    <row r="857" ht="15.75" customHeight="1">
      <c r="A857" s="2"/>
      <c r="B857" s="2"/>
      <c r="C857" s="2"/>
      <c r="D857" s="2"/>
      <c r="E857" s="2"/>
      <c r="F857" s="2"/>
    </row>
    <row r="858" ht="15.75" customHeight="1">
      <c r="A858" s="2"/>
      <c r="B858" s="2"/>
      <c r="C858" s="2"/>
      <c r="D858" s="2"/>
      <c r="E858" s="2"/>
      <c r="F858" s="2"/>
    </row>
    <row r="859" ht="15.75" customHeight="1">
      <c r="A859" s="2"/>
      <c r="B859" s="2"/>
      <c r="C859" s="2"/>
      <c r="D859" s="2"/>
      <c r="E859" s="2"/>
      <c r="F859" s="2"/>
    </row>
    <row r="860" ht="15.75" customHeight="1">
      <c r="A860" s="2"/>
      <c r="B860" s="2"/>
      <c r="C860" s="2"/>
      <c r="D860" s="2"/>
      <c r="E860" s="2"/>
      <c r="F860" s="2"/>
    </row>
    <row r="861" ht="15.75" customHeight="1">
      <c r="A861" s="2"/>
      <c r="B861" s="2"/>
      <c r="C861" s="2"/>
      <c r="D861" s="2"/>
      <c r="E861" s="2"/>
      <c r="F861" s="2"/>
    </row>
    <row r="862" ht="15.75" customHeight="1">
      <c r="A862" s="2"/>
      <c r="B862" s="2"/>
      <c r="C862" s="2"/>
      <c r="D862" s="2"/>
      <c r="E862" s="2"/>
      <c r="F862" s="2"/>
    </row>
    <row r="863" ht="15.75" customHeight="1">
      <c r="A863" s="2"/>
      <c r="B863" s="2"/>
      <c r="C863" s="2"/>
      <c r="D863" s="2"/>
      <c r="E863" s="2"/>
      <c r="F863" s="2"/>
    </row>
    <row r="864" ht="15.75" customHeight="1">
      <c r="A864" s="2"/>
      <c r="B864" s="2"/>
      <c r="C864" s="2"/>
      <c r="D864" s="2"/>
      <c r="E864" s="2"/>
      <c r="F864" s="2"/>
    </row>
    <row r="865" ht="15.75" customHeight="1">
      <c r="A865" s="2"/>
      <c r="B865" s="2"/>
      <c r="C865" s="2"/>
      <c r="D865" s="2"/>
      <c r="E865" s="2"/>
      <c r="F865" s="2"/>
    </row>
    <row r="866" ht="15.75" customHeight="1">
      <c r="A866" s="2"/>
      <c r="B866" s="2"/>
      <c r="C866" s="2"/>
      <c r="D866" s="2"/>
      <c r="E866" s="2"/>
      <c r="F866" s="2"/>
    </row>
    <row r="867" ht="15.75" customHeight="1">
      <c r="A867" s="2"/>
      <c r="B867" s="2"/>
      <c r="C867" s="2"/>
      <c r="D867" s="2"/>
      <c r="E867" s="2"/>
      <c r="F867" s="2"/>
    </row>
    <row r="868" ht="15.75" customHeight="1">
      <c r="A868" s="2"/>
      <c r="B868" s="2"/>
      <c r="C868" s="2"/>
      <c r="D868" s="2"/>
      <c r="E868" s="2"/>
      <c r="F868" s="2"/>
    </row>
    <row r="869" ht="15.75" customHeight="1">
      <c r="A869" s="2"/>
      <c r="B869" s="2"/>
      <c r="C869" s="2"/>
      <c r="D869" s="2"/>
      <c r="E869" s="2"/>
      <c r="F869" s="2"/>
    </row>
    <row r="870" ht="15.75" customHeight="1">
      <c r="A870" s="2"/>
      <c r="B870" s="2"/>
      <c r="C870" s="2"/>
      <c r="D870" s="2"/>
      <c r="E870" s="2"/>
      <c r="F870" s="2"/>
    </row>
    <row r="871" ht="15.75" customHeight="1">
      <c r="A871" s="2"/>
      <c r="B871" s="2"/>
      <c r="C871" s="2"/>
      <c r="D871" s="2"/>
      <c r="E871" s="2"/>
      <c r="F871" s="2"/>
    </row>
    <row r="872" ht="15.75" customHeight="1">
      <c r="A872" s="2"/>
      <c r="B872" s="2"/>
      <c r="C872" s="2"/>
      <c r="D872" s="2"/>
      <c r="E872" s="2"/>
      <c r="F872" s="2"/>
    </row>
    <row r="873" ht="15.75" customHeight="1">
      <c r="A873" s="2"/>
      <c r="B873" s="2"/>
      <c r="C873" s="2"/>
      <c r="D873" s="2"/>
      <c r="E873" s="2"/>
      <c r="F873" s="2"/>
    </row>
    <row r="874" ht="15.75" customHeight="1">
      <c r="A874" s="2"/>
      <c r="B874" s="2"/>
      <c r="C874" s="2"/>
      <c r="D874" s="2"/>
      <c r="E874" s="2"/>
      <c r="F874" s="2"/>
    </row>
    <row r="875" ht="15.75" customHeight="1">
      <c r="A875" s="2"/>
      <c r="B875" s="2"/>
      <c r="C875" s="2"/>
      <c r="D875" s="2"/>
      <c r="E875" s="2"/>
      <c r="F875" s="2"/>
    </row>
    <row r="876" ht="15.75" customHeight="1">
      <c r="A876" s="2"/>
      <c r="B876" s="2"/>
      <c r="C876" s="2"/>
      <c r="D876" s="2"/>
      <c r="E876" s="2"/>
      <c r="F876" s="2"/>
    </row>
    <row r="877" ht="15.75" customHeight="1">
      <c r="A877" s="2"/>
      <c r="B877" s="2"/>
      <c r="C877" s="2"/>
      <c r="D877" s="2"/>
      <c r="E877" s="2"/>
      <c r="F877" s="2"/>
    </row>
    <row r="878" ht="15.75" customHeight="1">
      <c r="A878" s="2"/>
      <c r="B878" s="2"/>
      <c r="C878" s="2"/>
      <c r="D878" s="2"/>
      <c r="E878" s="2"/>
      <c r="F878" s="2"/>
    </row>
    <row r="879" ht="15.75" customHeight="1">
      <c r="A879" s="2"/>
      <c r="B879" s="2"/>
      <c r="C879" s="2"/>
      <c r="D879" s="2"/>
      <c r="E879" s="2"/>
      <c r="F879" s="2"/>
    </row>
    <row r="880" ht="15.75" customHeight="1">
      <c r="A880" s="2"/>
      <c r="B880" s="2"/>
      <c r="C880" s="2"/>
      <c r="D880" s="2"/>
      <c r="E880" s="2"/>
      <c r="F880" s="2"/>
    </row>
    <row r="881" ht="15.75" customHeight="1">
      <c r="A881" s="2"/>
      <c r="B881" s="2"/>
      <c r="C881" s="2"/>
      <c r="D881" s="2"/>
      <c r="E881" s="2"/>
      <c r="F881" s="2"/>
    </row>
    <row r="882" ht="15.75" customHeight="1">
      <c r="A882" s="2"/>
      <c r="B882" s="2"/>
      <c r="C882" s="2"/>
      <c r="D882" s="2"/>
      <c r="E882" s="2"/>
      <c r="F882" s="2"/>
    </row>
    <row r="883" ht="15.75" customHeight="1">
      <c r="A883" s="2"/>
      <c r="B883" s="2"/>
      <c r="C883" s="2"/>
      <c r="D883" s="2"/>
      <c r="E883" s="2"/>
      <c r="F883" s="2"/>
    </row>
    <row r="884" ht="15.75" customHeight="1">
      <c r="A884" s="2"/>
      <c r="B884" s="2"/>
      <c r="C884" s="2"/>
      <c r="D884" s="2"/>
      <c r="E884" s="2"/>
      <c r="F884" s="2"/>
    </row>
    <row r="885" ht="15.75" customHeight="1">
      <c r="A885" s="2"/>
      <c r="B885" s="2"/>
      <c r="C885" s="2"/>
      <c r="D885" s="2"/>
      <c r="E885" s="2"/>
      <c r="F885" s="2"/>
    </row>
    <row r="886" ht="15.75" customHeight="1">
      <c r="A886" s="2"/>
      <c r="B886" s="2"/>
      <c r="C886" s="2"/>
      <c r="D886" s="2"/>
      <c r="E886" s="2"/>
      <c r="F886" s="2"/>
    </row>
    <row r="887" ht="15.75" customHeight="1">
      <c r="A887" s="2"/>
      <c r="B887" s="2"/>
      <c r="C887" s="2"/>
      <c r="D887" s="2"/>
      <c r="E887" s="2"/>
      <c r="F887" s="2"/>
    </row>
    <row r="888" ht="15.75" customHeight="1">
      <c r="A888" s="2"/>
      <c r="B888" s="2"/>
      <c r="C888" s="2"/>
      <c r="D888" s="2"/>
      <c r="E888" s="2"/>
      <c r="F888" s="2"/>
    </row>
    <row r="889" ht="15.75" customHeight="1">
      <c r="A889" s="2"/>
      <c r="B889" s="2"/>
      <c r="C889" s="2"/>
      <c r="D889" s="2"/>
      <c r="E889" s="2"/>
      <c r="F889" s="2"/>
    </row>
    <row r="890" ht="15.75" customHeight="1">
      <c r="A890" s="2"/>
      <c r="B890" s="2"/>
      <c r="C890" s="2"/>
      <c r="D890" s="2"/>
      <c r="E890" s="2"/>
      <c r="F890" s="2"/>
    </row>
    <row r="891" ht="15.75" customHeight="1">
      <c r="A891" s="2"/>
      <c r="B891" s="2"/>
      <c r="C891" s="2"/>
      <c r="D891" s="2"/>
      <c r="E891" s="2"/>
      <c r="F891" s="2"/>
    </row>
    <row r="892" ht="15.75" customHeight="1">
      <c r="A892" s="2"/>
      <c r="B892" s="2"/>
      <c r="C892" s="2"/>
      <c r="D892" s="2"/>
      <c r="E892" s="2"/>
      <c r="F892" s="2"/>
    </row>
    <row r="893" ht="15.75" customHeight="1">
      <c r="A893" s="2"/>
      <c r="B893" s="2"/>
      <c r="C893" s="2"/>
      <c r="D893" s="2"/>
      <c r="E893" s="2"/>
      <c r="F893" s="2"/>
    </row>
    <row r="894" ht="15.75" customHeight="1">
      <c r="A894" s="2"/>
      <c r="B894" s="2"/>
      <c r="C894" s="2"/>
      <c r="D894" s="2"/>
      <c r="E894" s="2"/>
      <c r="F894" s="2"/>
    </row>
    <row r="895" ht="15.75" customHeight="1">
      <c r="A895" s="2"/>
      <c r="B895" s="2"/>
      <c r="C895" s="2"/>
      <c r="D895" s="2"/>
      <c r="E895" s="2"/>
      <c r="F895" s="2"/>
    </row>
    <row r="896" ht="15.75" customHeight="1">
      <c r="A896" s="2"/>
      <c r="B896" s="2"/>
      <c r="C896" s="2"/>
      <c r="D896" s="2"/>
      <c r="E896" s="2"/>
      <c r="F896" s="2"/>
    </row>
    <row r="897" ht="15.75" customHeight="1">
      <c r="A897" s="2"/>
      <c r="B897" s="2"/>
      <c r="C897" s="2"/>
      <c r="D897" s="2"/>
      <c r="E897" s="2"/>
      <c r="F897" s="2"/>
    </row>
    <row r="898" ht="15.75" customHeight="1">
      <c r="A898" s="2"/>
      <c r="B898" s="2"/>
      <c r="C898" s="2"/>
      <c r="D898" s="2"/>
      <c r="E898" s="2"/>
      <c r="F898" s="2"/>
    </row>
    <row r="899" ht="15.75" customHeight="1">
      <c r="A899" s="2"/>
      <c r="B899" s="2"/>
      <c r="C899" s="2"/>
      <c r="D899" s="2"/>
      <c r="E899" s="2"/>
      <c r="F899" s="2"/>
    </row>
    <row r="900" ht="15.75" customHeight="1">
      <c r="A900" s="2"/>
      <c r="B900" s="2"/>
      <c r="C900" s="2"/>
      <c r="D900" s="2"/>
      <c r="E900" s="2"/>
      <c r="F900" s="2"/>
    </row>
    <row r="901" ht="15.75" customHeight="1">
      <c r="A901" s="2"/>
      <c r="B901" s="2"/>
      <c r="C901" s="2"/>
      <c r="D901" s="2"/>
      <c r="E901" s="2"/>
      <c r="F901" s="2"/>
    </row>
    <row r="902" ht="15.75" customHeight="1">
      <c r="A902" s="2"/>
      <c r="B902" s="2"/>
      <c r="C902" s="2"/>
      <c r="D902" s="2"/>
      <c r="E902" s="2"/>
      <c r="F902" s="2"/>
    </row>
    <row r="903" ht="15.75" customHeight="1">
      <c r="A903" s="2"/>
      <c r="B903" s="2"/>
      <c r="C903" s="2"/>
      <c r="D903" s="2"/>
      <c r="E903" s="2"/>
      <c r="F903" s="2"/>
    </row>
    <row r="904" ht="15.75" customHeight="1">
      <c r="A904" s="2"/>
      <c r="B904" s="2"/>
      <c r="C904" s="2"/>
      <c r="D904" s="2"/>
      <c r="E904" s="2"/>
      <c r="F904" s="2"/>
    </row>
    <row r="905" ht="15.75" customHeight="1">
      <c r="A905" s="2"/>
      <c r="B905" s="2"/>
      <c r="C905" s="2"/>
      <c r="D905" s="2"/>
      <c r="E905" s="2"/>
      <c r="F905" s="2"/>
    </row>
    <row r="906" ht="15.75" customHeight="1">
      <c r="A906" s="2"/>
      <c r="B906" s="2"/>
      <c r="C906" s="2"/>
      <c r="D906" s="2"/>
      <c r="E906" s="2"/>
      <c r="F906" s="2"/>
    </row>
    <row r="907" ht="15.75" customHeight="1">
      <c r="A907" s="2"/>
      <c r="B907" s="2"/>
      <c r="C907" s="2"/>
      <c r="D907" s="2"/>
      <c r="E907" s="2"/>
      <c r="F907" s="2"/>
    </row>
    <row r="908" ht="15.75" customHeight="1">
      <c r="A908" s="2"/>
      <c r="B908" s="2"/>
      <c r="C908" s="2"/>
      <c r="D908" s="2"/>
      <c r="E908" s="2"/>
      <c r="F908" s="2"/>
    </row>
    <row r="909" ht="15.75" customHeight="1">
      <c r="A909" s="2"/>
      <c r="B909" s="2"/>
      <c r="C909" s="2"/>
      <c r="D909" s="2"/>
      <c r="E909" s="2"/>
      <c r="F909" s="2"/>
    </row>
    <row r="910" ht="15.75" customHeight="1">
      <c r="A910" s="2"/>
      <c r="B910" s="2"/>
      <c r="C910" s="2"/>
      <c r="D910" s="2"/>
      <c r="E910" s="2"/>
      <c r="F910" s="2"/>
    </row>
    <row r="911" ht="15.75" customHeight="1">
      <c r="A911" s="2"/>
      <c r="B911" s="2"/>
      <c r="C911" s="2"/>
      <c r="D911" s="2"/>
      <c r="E911" s="2"/>
      <c r="F911" s="2"/>
    </row>
    <row r="912" ht="15.75" customHeight="1">
      <c r="A912" s="2"/>
      <c r="B912" s="2"/>
      <c r="C912" s="2"/>
      <c r="D912" s="2"/>
      <c r="E912" s="2"/>
      <c r="F912" s="2"/>
    </row>
    <row r="913" ht="15.75" customHeight="1">
      <c r="A913" s="2"/>
      <c r="B913" s="2"/>
      <c r="C913" s="2"/>
      <c r="D913" s="2"/>
      <c r="E913" s="2"/>
      <c r="F913" s="2"/>
    </row>
    <row r="914" ht="15.75" customHeight="1">
      <c r="A914" s="2"/>
      <c r="B914" s="2"/>
      <c r="C914" s="2"/>
      <c r="D914" s="2"/>
      <c r="E914" s="2"/>
      <c r="F914" s="2"/>
    </row>
    <row r="915" ht="15.75" customHeight="1">
      <c r="A915" s="2"/>
      <c r="B915" s="2"/>
      <c r="C915" s="2"/>
      <c r="D915" s="2"/>
      <c r="E915" s="2"/>
      <c r="F915" s="2"/>
    </row>
    <row r="916" ht="15.75" customHeight="1">
      <c r="A916" s="2"/>
      <c r="B916" s="2"/>
      <c r="C916" s="2"/>
      <c r="D916" s="2"/>
      <c r="E916" s="2"/>
      <c r="F916" s="2"/>
    </row>
    <row r="917" ht="15.75" customHeight="1">
      <c r="A917" s="2"/>
      <c r="B917" s="2"/>
      <c r="C917" s="2"/>
      <c r="D917" s="2"/>
      <c r="E917" s="2"/>
      <c r="F917" s="2"/>
    </row>
    <row r="918" ht="15.75" customHeight="1">
      <c r="A918" s="2"/>
      <c r="B918" s="2"/>
      <c r="C918" s="2"/>
      <c r="D918" s="2"/>
      <c r="E918" s="2"/>
      <c r="F918" s="2"/>
    </row>
    <row r="919" ht="15.75" customHeight="1">
      <c r="A919" s="2"/>
      <c r="B919" s="2"/>
      <c r="C919" s="2"/>
      <c r="D919" s="2"/>
      <c r="E919" s="2"/>
      <c r="F919" s="2"/>
    </row>
    <row r="920" ht="15.75" customHeight="1">
      <c r="A920" s="2"/>
      <c r="B920" s="2"/>
      <c r="C920" s="2"/>
      <c r="D920" s="2"/>
      <c r="E920" s="2"/>
      <c r="F920" s="2"/>
    </row>
    <row r="921" ht="15.75" customHeight="1">
      <c r="A921" s="2"/>
      <c r="B921" s="2"/>
      <c r="C921" s="2"/>
      <c r="D921" s="2"/>
      <c r="E921" s="2"/>
      <c r="F921" s="2"/>
    </row>
    <row r="922" ht="15.75" customHeight="1">
      <c r="A922" s="2"/>
      <c r="B922" s="2"/>
      <c r="C922" s="2"/>
      <c r="D922" s="2"/>
      <c r="E922" s="2"/>
      <c r="F922" s="2"/>
    </row>
    <row r="923" ht="15.75" customHeight="1">
      <c r="A923" s="2"/>
      <c r="B923" s="2"/>
      <c r="C923" s="2"/>
      <c r="D923" s="2"/>
      <c r="E923" s="2"/>
      <c r="F923" s="2"/>
    </row>
    <row r="924" ht="15.75" customHeight="1">
      <c r="A924" s="2"/>
      <c r="B924" s="2"/>
      <c r="C924" s="2"/>
      <c r="D924" s="2"/>
      <c r="E924" s="2"/>
      <c r="F924" s="2"/>
    </row>
    <row r="925" ht="15.75" customHeight="1">
      <c r="A925" s="2"/>
      <c r="B925" s="2"/>
      <c r="C925" s="2"/>
      <c r="D925" s="2"/>
      <c r="E925" s="2"/>
      <c r="F925" s="2"/>
    </row>
    <row r="926" ht="15.75" customHeight="1">
      <c r="A926" s="2"/>
      <c r="B926" s="2"/>
      <c r="C926" s="2"/>
      <c r="D926" s="2"/>
      <c r="E926" s="2"/>
      <c r="F926" s="2"/>
    </row>
    <row r="927" ht="15.75" customHeight="1">
      <c r="A927" s="2"/>
      <c r="B927" s="2"/>
      <c r="C927" s="2"/>
      <c r="D927" s="2"/>
      <c r="E927" s="2"/>
      <c r="F927" s="2"/>
    </row>
    <row r="928" ht="15.75" customHeight="1">
      <c r="A928" s="2"/>
      <c r="B928" s="2"/>
      <c r="C928" s="2"/>
      <c r="D928" s="2"/>
      <c r="E928" s="2"/>
      <c r="F928" s="2"/>
    </row>
    <row r="929" ht="15.75" customHeight="1">
      <c r="A929" s="2"/>
      <c r="B929" s="2"/>
      <c r="C929" s="2"/>
      <c r="D929" s="2"/>
      <c r="E929" s="2"/>
      <c r="F929" s="2"/>
    </row>
    <row r="930" ht="15.75" customHeight="1">
      <c r="A930" s="2"/>
      <c r="B930" s="2"/>
      <c r="C930" s="2"/>
      <c r="D930" s="2"/>
      <c r="E930" s="2"/>
      <c r="F930" s="2"/>
    </row>
    <row r="931" ht="15.75" customHeight="1">
      <c r="A931" s="2"/>
      <c r="B931" s="2"/>
      <c r="C931" s="2"/>
      <c r="D931" s="2"/>
      <c r="E931" s="2"/>
      <c r="F931" s="2"/>
    </row>
    <row r="932" ht="15.75" customHeight="1">
      <c r="A932" s="2"/>
      <c r="B932" s="2"/>
      <c r="C932" s="2"/>
      <c r="D932" s="2"/>
      <c r="E932" s="2"/>
      <c r="F932" s="2"/>
    </row>
    <row r="933" ht="15.75" customHeight="1">
      <c r="A933" s="2"/>
      <c r="B933" s="2"/>
      <c r="C933" s="2"/>
      <c r="D933" s="2"/>
      <c r="E933" s="2"/>
      <c r="F933" s="2"/>
    </row>
    <row r="934" ht="15.75" customHeight="1">
      <c r="A934" s="2"/>
      <c r="B934" s="2"/>
      <c r="C934" s="2"/>
      <c r="D934" s="2"/>
      <c r="E934" s="2"/>
      <c r="F934" s="2"/>
    </row>
    <row r="935" ht="15.75" customHeight="1">
      <c r="A935" s="2"/>
      <c r="B935" s="2"/>
      <c r="C935" s="2"/>
      <c r="D935" s="2"/>
      <c r="E935" s="2"/>
      <c r="F935" s="2"/>
    </row>
    <row r="936" ht="15.75" customHeight="1">
      <c r="A936" s="2"/>
      <c r="B936" s="2"/>
      <c r="C936" s="2"/>
      <c r="D936" s="2"/>
      <c r="E936" s="2"/>
      <c r="F936" s="2"/>
    </row>
    <row r="937" ht="15.75" customHeight="1">
      <c r="A937" s="2"/>
      <c r="B937" s="2"/>
      <c r="C937" s="2"/>
      <c r="D937" s="2"/>
      <c r="E937" s="2"/>
      <c r="F937" s="2"/>
    </row>
    <row r="938" ht="15.75" customHeight="1">
      <c r="A938" s="2"/>
      <c r="B938" s="2"/>
      <c r="C938" s="2"/>
      <c r="D938" s="2"/>
      <c r="E938" s="2"/>
      <c r="F938" s="2"/>
    </row>
    <row r="939" ht="15.75" customHeight="1">
      <c r="A939" s="2"/>
      <c r="B939" s="2"/>
      <c r="C939" s="2"/>
      <c r="D939" s="2"/>
      <c r="E939" s="2"/>
      <c r="F939" s="2"/>
    </row>
    <row r="940" ht="15.75" customHeight="1">
      <c r="A940" s="2"/>
      <c r="B940" s="2"/>
      <c r="C940" s="2"/>
      <c r="D940" s="2"/>
      <c r="E940" s="2"/>
      <c r="F940" s="2"/>
    </row>
    <row r="941" ht="15.75" customHeight="1">
      <c r="A941" s="2"/>
      <c r="B941" s="2"/>
      <c r="C941" s="2"/>
      <c r="D941" s="2"/>
      <c r="E941" s="2"/>
      <c r="F941" s="2"/>
    </row>
    <row r="942" ht="15.75" customHeight="1">
      <c r="A942" s="2"/>
      <c r="B942" s="2"/>
      <c r="C942" s="2"/>
      <c r="D942" s="2"/>
      <c r="E942" s="2"/>
      <c r="F942" s="2"/>
    </row>
    <row r="943" ht="15.75" customHeight="1">
      <c r="A943" s="2"/>
      <c r="B943" s="2"/>
      <c r="C943" s="2"/>
      <c r="D943" s="2"/>
      <c r="E943" s="2"/>
      <c r="F943" s="2"/>
    </row>
    <row r="944" ht="15.75" customHeight="1">
      <c r="A944" s="2"/>
      <c r="B944" s="2"/>
      <c r="C944" s="2"/>
      <c r="D944" s="2"/>
      <c r="E944" s="2"/>
      <c r="F944" s="2"/>
    </row>
    <row r="945" ht="15.75" customHeight="1">
      <c r="A945" s="2"/>
      <c r="B945" s="2"/>
      <c r="C945" s="2"/>
      <c r="D945" s="2"/>
      <c r="E945" s="2"/>
      <c r="F945" s="2"/>
    </row>
    <row r="946" ht="15.75" customHeight="1">
      <c r="A946" s="2"/>
      <c r="B946" s="2"/>
      <c r="C946" s="2"/>
      <c r="D946" s="2"/>
      <c r="E946" s="2"/>
      <c r="F946" s="2"/>
    </row>
    <row r="947" ht="15.75" customHeight="1">
      <c r="A947" s="2"/>
      <c r="B947" s="2"/>
      <c r="C947" s="2"/>
      <c r="D947" s="2"/>
      <c r="E947" s="2"/>
      <c r="F947" s="2"/>
    </row>
    <row r="948" ht="15.75" customHeight="1">
      <c r="A948" s="2"/>
      <c r="B948" s="2"/>
      <c r="C948" s="2"/>
      <c r="D948" s="2"/>
      <c r="E948" s="2"/>
      <c r="F948" s="2"/>
    </row>
    <row r="949" ht="15.75" customHeight="1">
      <c r="A949" s="2"/>
      <c r="B949" s="2"/>
      <c r="C949" s="2"/>
      <c r="D949" s="2"/>
      <c r="E949" s="2"/>
      <c r="F949" s="2"/>
    </row>
    <row r="950" ht="15.75" customHeight="1">
      <c r="A950" s="2"/>
      <c r="B950" s="2"/>
      <c r="C950" s="2"/>
      <c r="D950" s="2"/>
      <c r="E950" s="2"/>
      <c r="F950" s="2"/>
    </row>
    <row r="951" ht="15.75" customHeight="1">
      <c r="A951" s="2"/>
      <c r="B951" s="2"/>
      <c r="C951" s="2"/>
      <c r="D951" s="2"/>
      <c r="E951" s="2"/>
      <c r="F951" s="2"/>
    </row>
    <row r="952" ht="15.75" customHeight="1">
      <c r="A952" s="2"/>
      <c r="B952" s="2"/>
      <c r="C952" s="2"/>
      <c r="D952" s="2"/>
      <c r="E952" s="2"/>
      <c r="F952" s="2"/>
    </row>
    <row r="953" ht="15.75" customHeight="1">
      <c r="A953" s="2"/>
      <c r="B953" s="2"/>
      <c r="C953" s="2"/>
      <c r="D953" s="2"/>
      <c r="E953" s="2"/>
      <c r="F953" s="2"/>
    </row>
    <row r="954" ht="15.75" customHeight="1">
      <c r="A954" s="2"/>
      <c r="B954" s="2"/>
      <c r="C954" s="2"/>
      <c r="D954" s="2"/>
      <c r="E954" s="2"/>
      <c r="F954" s="2"/>
    </row>
    <row r="955" ht="15.75" customHeight="1">
      <c r="A955" s="2"/>
      <c r="B955" s="2"/>
      <c r="C955" s="2"/>
      <c r="D955" s="2"/>
      <c r="E955" s="2"/>
      <c r="F955" s="2"/>
    </row>
    <row r="956" ht="15.75" customHeight="1">
      <c r="A956" s="2"/>
      <c r="B956" s="2"/>
      <c r="C956" s="2"/>
      <c r="D956" s="2"/>
      <c r="E956" s="2"/>
      <c r="F956" s="2"/>
    </row>
    <row r="957" ht="15.75" customHeight="1">
      <c r="A957" s="2"/>
      <c r="B957" s="2"/>
      <c r="C957" s="2"/>
      <c r="D957" s="2"/>
      <c r="E957" s="2"/>
      <c r="F957" s="2"/>
    </row>
    <row r="958" ht="15.75" customHeight="1">
      <c r="A958" s="2"/>
      <c r="B958" s="2"/>
      <c r="C958" s="2"/>
      <c r="D958" s="2"/>
      <c r="E958" s="2"/>
      <c r="F958" s="2"/>
    </row>
    <row r="959" ht="15.75" customHeight="1">
      <c r="A959" s="2"/>
      <c r="B959" s="2"/>
      <c r="C959" s="2"/>
      <c r="D959" s="2"/>
      <c r="E959" s="2"/>
      <c r="F959" s="2"/>
    </row>
    <row r="960" ht="15.75" customHeight="1">
      <c r="A960" s="2"/>
      <c r="B960" s="2"/>
      <c r="C960" s="2"/>
      <c r="D960" s="2"/>
      <c r="E960" s="2"/>
      <c r="F960" s="2"/>
    </row>
    <row r="961" ht="15.75" customHeight="1">
      <c r="A961" s="2"/>
      <c r="B961" s="2"/>
      <c r="C961" s="2"/>
      <c r="D961" s="2"/>
      <c r="E961" s="2"/>
      <c r="F961" s="2"/>
    </row>
    <row r="962" ht="15.75" customHeight="1">
      <c r="A962" s="2"/>
      <c r="B962" s="2"/>
      <c r="C962" s="2"/>
      <c r="D962" s="2"/>
      <c r="E962" s="2"/>
      <c r="F962" s="2"/>
    </row>
    <row r="963" ht="15.75" customHeight="1">
      <c r="A963" s="2"/>
      <c r="B963" s="2"/>
      <c r="C963" s="2"/>
      <c r="D963" s="2"/>
      <c r="E963" s="2"/>
      <c r="F963" s="2"/>
    </row>
    <row r="964" ht="15.75" customHeight="1">
      <c r="A964" s="2"/>
      <c r="B964" s="2"/>
      <c r="C964" s="2"/>
      <c r="D964" s="2"/>
      <c r="E964" s="2"/>
      <c r="F964" s="2"/>
    </row>
    <row r="965" ht="15.75" customHeight="1">
      <c r="A965" s="2"/>
      <c r="B965" s="2"/>
      <c r="C965" s="2"/>
      <c r="D965" s="2"/>
      <c r="E965" s="2"/>
      <c r="F965" s="2"/>
    </row>
    <row r="966" ht="15.75" customHeight="1">
      <c r="A966" s="2"/>
      <c r="B966" s="2"/>
      <c r="C966" s="2"/>
      <c r="D966" s="2"/>
      <c r="E966" s="2"/>
      <c r="F966" s="2"/>
    </row>
    <row r="967" ht="15.75" customHeight="1">
      <c r="A967" s="2"/>
      <c r="B967" s="2"/>
      <c r="C967" s="2"/>
      <c r="D967" s="2"/>
      <c r="E967" s="2"/>
      <c r="F967" s="2"/>
    </row>
    <row r="968" ht="15.75" customHeight="1">
      <c r="A968" s="2"/>
      <c r="B968" s="2"/>
      <c r="C968" s="2"/>
      <c r="D968" s="2"/>
      <c r="E968" s="2"/>
      <c r="F968" s="2"/>
    </row>
    <row r="969" ht="15.75" customHeight="1">
      <c r="A969" s="2"/>
      <c r="B969" s="2"/>
      <c r="C969" s="2"/>
      <c r="D969" s="2"/>
      <c r="E969" s="2"/>
      <c r="F969" s="2"/>
    </row>
    <row r="970" ht="15.75" customHeight="1">
      <c r="A970" s="2"/>
      <c r="B970" s="2"/>
      <c r="C970" s="2"/>
      <c r="D970" s="2"/>
      <c r="E970" s="2"/>
      <c r="F970" s="2"/>
    </row>
    <row r="971" ht="15.75" customHeight="1">
      <c r="A971" s="2"/>
      <c r="B971" s="2"/>
      <c r="C971" s="2"/>
      <c r="D971" s="2"/>
      <c r="E971" s="2"/>
      <c r="F971" s="2"/>
    </row>
    <row r="972" ht="15.75" customHeight="1">
      <c r="A972" s="2"/>
      <c r="B972" s="2"/>
      <c r="C972" s="2"/>
      <c r="D972" s="2"/>
      <c r="E972" s="2"/>
      <c r="F972" s="2"/>
    </row>
    <row r="973" ht="15.75" customHeight="1">
      <c r="A973" s="2"/>
      <c r="B973" s="2"/>
      <c r="C973" s="2"/>
      <c r="D973" s="2"/>
      <c r="E973" s="2"/>
      <c r="F973" s="2"/>
    </row>
    <row r="974" ht="15.75" customHeight="1">
      <c r="A974" s="2"/>
      <c r="B974" s="2"/>
      <c r="C974" s="2"/>
      <c r="D974" s="2"/>
      <c r="E974" s="2"/>
      <c r="F974" s="2"/>
    </row>
    <row r="975" ht="15.75" customHeight="1">
      <c r="A975" s="2"/>
      <c r="B975" s="2"/>
      <c r="C975" s="2"/>
      <c r="D975" s="2"/>
      <c r="E975" s="2"/>
      <c r="F975" s="2"/>
    </row>
    <row r="976" ht="15.75" customHeight="1">
      <c r="A976" s="2"/>
      <c r="B976" s="2"/>
      <c r="C976" s="2"/>
      <c r="D976" s="2"/>
      <c r="E976" s="2"/>
      <c r="F976" s="2"/>
    </row>
    <row r="977" ht="15.75" customHeight="1">
      <c r="A977" s="2"/>
      <c r="B977" s="2"/>
      <c r="C977" s="2"/>
      <c r="D977" s="2"/>
      <c r="E977" s="2"/>
      <c r="F977" s="2"/>
    </row>
    <row r="978" ht="15.75" customHeight="1">
      <c r="A978" s="2"/>
      <c r="B978" s="2"/>
      <c r="C978" s="2"/>
      <c r="D978" s="2"/>
      <c r="E978" s="2"/>
      <c r="F978" s="2"/>
    </row>
    <row r="979" ht="15.75" customHeight="1">
      <c r="A979" s="2"/>
      <c r="B979" s="2"/>
      <c r="C979" s="2"/>
      <c r="D979" s="2"/>
      <c r="E979" s="2"/>
      <c r="F979" s="2"/>
    </row>
    <row r="980" ht="15.75" customHeight="1">
      <c r="A980" s="2"/>
      <c r="B980" s="2"/>
      <c r="C980" s="2"/>
      <c r="D980" s="2"/>
      <c r="E980" s="2"/>
      <c r="F980" s="2"/>
    </row>
    <row r="981" ht="15.75" customHeight="1">
      <c r="A981" s="2"/>
      <c r="B981" s="2"/>
      <c r="C981" s="2"/>
      <c r="D981" s="2"/>
      <c r="E981" s="2"/>
      <c r="F981" s="2"/>
    </row>
    <row r="982" ht="15.75" customHeight="1">
      <c r="A982" s="2"/>
      <c r="B982" s="2"/>
      <c r="C982" s="2"/>
      <c r="D982" s="2"/>
      <c r="E982" s="2"/>
      <c r="F982" s="2"/>
    </row>
    <row r="983" ht="15.75" customHeight="1">
      <c r="A983" s="2"/>
      <c r="B983" s="2"/>
      <c r="C983" s="2"/>
      <c r="D983" s="2"/>
      <c r="E983" s="2"/>
      <c r="F983" s="2"/>
    </row>
    <row r="984" ht="15.75" customHeight="1">
      <c r="A984" s="2"/>
      <c r="B984" s="2"/>
      <c r="C984" s="2"/>
      <c r="D984" s="2"/>
      <c r="E984" s="2"/>
      <c r="F984" s="2"/>
    </row>
    <row r="985" ht="15.75" customHeight="1">
      <c r="A985" s="2"/>
      <c r="B985" s="2"/>
      <c r="C985" s="2"/>
      <c r="D985" s="2"/>
      <c r="E985" s="2"/>
      <c r="F985" s="2"/>
    </row>
    <row r="986" ht="15.75" customHeight="1">
      <c r="A986" s="2"/>
      <c r="B986" s="2"/>
      <c r="C986" s="2"/>
      <c r="D986" s="2"/>
      <c r="E986" s="2"/>
      <c r="F986" s="2"/>
    </row>
    <row r="987" ht="15.75" customHeight="1">
      <c r="A987" s="2"/>
      <c r="B987" s="2"/>
      <c r="C987" s="2"/>
      <c r="D987" s="2"/>
      <c r="E987" s="2"/>
      <c r="F987" s="2"/>
    </row>
    <row r="988" ht="15.75" customHeight="1">
      <c r="A988" s="2"/>
      <c r="B988" s="2"/>
      <c r="C988" s="2"/>
      <c r="D988" s="2"/>
      <c r="E988" s="2"/>
      <c r="F988" s="2"/>
    </row>
    <row r="989" ht="15.75" customHeight="1">
      <c r="A989" s="2"/>
      <c r="B989" s="2"/>
      <c r="C989" s="2"/>
      <c r="D989" s="2"/>
      <c r="E989" s="2"/>
      <c r="F989" s="2"/>
    </row>
    <row r="990" ht="15.75" customHeight="1">
      <c r="A990" s="2"/>
      <c r="B990" s="2"/>
      <c r="C990" s="2"/>
      <c r="D990" s="2"/>
      <c r="E990" s="2"/>
      <c r="F990" s="2"/>
    </row>
    <row r="991" ht="15.75" customHeight="1">
      <c r="A991" s="2"/>
      <c r="B991" s="2"/>
      <c r="C991" s="2"/>
      <c r="D991" s="2"/>
      <c r="E991" s="2"/>
      <c r="F991" s="2"/>
    </row>
    <row r="992" ht="15.75" customHeight="1">
      <c r="A992" s="2"/>
      <c r="B992" s="2"/>
      <c r="C992" s="2"/>
      <c r="D992" s="2"/>
      <c r="E992" s="2"/>
      <c r="F992" s="2"/>
    </row>
    <row r="993" ht="15.75" customHeight="1">
      <c r="A993" s="2"/>
      <c r="B993" s="2"/>
      <c r="C993" s="2"/>
      <c r="D993" s="2"/>
      <c r="E993" s="2"/>
      <c r="F993" s="2"/>
    </row>
    <row r="994" ht="15.75" customHeight="1">
      <c r="A994" s="2"/>
      <c r="B994" s="2"/>
      <c r="C994" s="2"/>
      <c r="D994" s="2"/>
      <c r="E994" s="2"/>
      <c r="F994" s="2"/>
    </row>
    <row r="995" ht="15.75" customHeight="1">
      <c r="A995" s="2"/>
      <c r="B995" s="2"/>
      <c r="C995" s="2"/>
      <c r="D995" s="2"/>
      <c r="E995" s="2"/>
      <c r="F995" s="2"/>
    </row>
    <row r="996" ht="15.75" customHeight="1">
      <c r="A996" s="2"/>
      <c r="B996" s="2"/>
      <c r="C996" s="2"/>
      <c r="D996" s="2"/>
      <c r="E996" s="2"/>
      <c r="F996" s="2"/>
    </row>
    <row r="997" ht="15.75" customHeight="1">
      <c r="A997" s="2"/>
      <c r="B997" s="2"/>
      <c r="C997" s="2"/>
      <c r="D997" s="2"/>
      <c r="E997" s="2"/>
      <c r="F997" s="2"/>
    </row>
    <row r="998" ht="15.75" customHeight="1">
      <c r="A998" s="2"/>
      <c r="B998" s="2"/>
      <c r="C998" s="2"/>
      <c r="D998" s="2"/>
      <c r="E998" s="2"/>
      <c r="F998" s="2"/>
    </row>
    <row r="999" ht="15.75" customHeight="1">
      <c r="A999" s="2"/>
      <c r="B999" s="2"/>
      <c r="C999" s="2"/>
      <c r="D999" s="2"/>
      <c r="E999" s="2"/>
      <c r="F999" s="2"/>
    </row>
    <row r="1000" ht="15.75" customHeight="1">
      <c r="A1000" s="2"/>
      <c r="B1000" s="2"/>
      <c r="C1000" s="2"/>
      <c r="D1000" s="2"/>
      <c r="E1000" s="2"/>
      <c r="F1000" s="2"/>
    </row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63"/>
    <col customWidth="1" min="2" max="15" width="8.63"/>
  </cols>
  <sheetData>
    <row r="1">
      <c r="A1" s="2"/>
      <c r="B1" s="565" t="s">
        <v>415</v>
      </c>
      <c r="C1" s="565" t="s">
        <v>416</v>
      </c>
      <c r="D1" s="565" t="s">
        <v>417</v>
      </c>
      <c r="E1" s="565" t="s">
        <v>418</v>
      </c>
      <c r="F1" s="565" t="s">
        <v>419</v>
      </c>
      <c r="G1" s="565" t="s">
        <v>420</v>
      </c>
      <c r="H1" s="565" t="s">
        <v>421</v>
      </c>
      <c r="I1" s="565" t="s">
        <v>161</v>
      </c>
      <c r="J1" s="565" t="s">
        <v>422</v>
      </c>
      <c r="K1" s="565" t="s">
        <v>423</v>
      </c>
      <c r="L1" s="565" t="s">
        <v>424</v>
      </c>
      <c r="M1" s="565" t="s">
        <v>425</v>
      </c>
      <c r="N1" s="565" t="s">
        <v>426</v>
      </c>
      <c r="O1" s="565" t="s">
        <v>427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566">
        <v>44888.0</v>
      </c>
      <c r="B2" s="411" t="s">
        <v>428</v>
      </c>
      <c r="C2" s="411" t="s">
        <v>429</v>
      </c>
      <c r="D2" s="411" t="s">
        <v>430</v>
      </c>
      <c r="E2" s="411" t="s">
        <v>431</v>
      </c>
      <c r="F2" s="411" t="s">
        <v>432</v>
      </c>
      <c r="G2" s="411">
        <v>66.86</v>
      </c>
      <c r="H2" s="411">
        <v>1129531.0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66">
        <v>45078.0</v>
      </c>
      <c r="B3" s="2"/>
      <c r="C3" s="2"/>
      <c r="D3" s="2"/>
      <c r="E3" s="2"/>
      <c r="F3" s="2"/>
      <c r="G3" s="2"/>
      <c r="H3" s="2"/>
      <c r="I3" s="411" t="s">
        <v>433</v>
      </c>
      <c r="J3" s="411" t="s">
        <v>434</v>
      </c>
      <c r="K3" s="411" t="s">
        <v>435</v>
      </c>
      <c r="L3" s="411" t="s">
        <v>436</v>
      </c>
      <c r="M3" s="411" t="s">
        <v>437</v>
      </c>
      <c r="N3" s="411" t="s">
        <v>438</v>
      </c>
      <c r="O3" s="411" t="s">
        <v>439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>
      <c r="A1" s="411" t="str">
        <f t="array" ref="A1:AKT26">TRANSPOSE('Histórico'!1:982)</f>
        <v/>
      </c>
      <c r="B1" s="567">
        <v>45005.0</v>
      </c>
      <c r="C1" s="567">
        <v>45006.0</v>
      </c>
      <c r="D1" s="567">
        <v>45007.0</v>
      </c>
      <c r="E1" s="567">
        <v>45008.0</v>
      </c>
      <c r="F1" s="567">
        <v>45009.0</v>
      </c>
      <c r="G1" s="567">
        <v>45012.0</v>
      </c>
      <c r="H1" s="567">
        <v>45013.0</v>
      </c>
      <c r="I1" s="567">
        <v>45014.0</v>
      </c>
      <c r="J1" s="567">
        <v>45015.0</v>
      </c>
      <c r="K1" s="567">
        <v>45016.0</v>
      </c>
      <c r="L1" s="567">
        <v>45019.0</v>
      </c>
      <c r="M1" s="567">
        <v>45020.0</v>
      </c>
      <c r="N1" s="567">
        <v>45021.0</v>
      </c>
      <c r="O1" s="567">
        <v>45022.0</v>
      </c>
      <c r="P1" s="567">
        <v>45026.0</v>
      </c>
      <c r="Q1" s="567">
        <v>45027.0</v>
      </c>
      <c r="R1" s="567">
        <v>45028.0</v>
      </c>
      <c r="S1" s="567">
        <v>45029.0</v>
      </c>
      <c r="T1" s="567">
        <v>45030.0</v>
      </c>
      <c r="U1" s="567">
        <v>45033.0</v>
      </c>
      <c r="V1" s="567">
        <v>45034.0</v>
      </c>
      <c r="W1" s="567">
        <v>45035.0</v>
      </c>
      <c r="X1" s="567">
        <v>45036.0</v>
      </c>
      <c r="Y1" s="567">
        <v>45040.0</v>
      </c>
      <c r="Z1" s="567">
        <v>45041.0</v>
      </c>
      <c r="AA1" s="567">
        <v>45042.0</v>
      </c>
      <c r="AB1" s="567">
        <v>45043.0</v>
      </c>
      <c r="AC1" s="567">
        <v>45044.0</v>
      </c>
      <c r="AD1" s="567">
        <v>45048.0</v>
      </c>
      <c r="AE1" s="567">
        <v>45049.0</v>
      </c>
      <c r="AF1" s="567">
        <v>45050.0</v>
      </c>
      <c r="AG1" s="567">
        <v>45051.0</v>
      </c>
      <c r="AH1" s="567">
        <v>45054.0</v>
      </c>
      <c r="AI1" s="567">
        <v>45055.0</v>
      </c>
      <c r="AJ1" s="567">
        <v>45056.0</v>
      </c>
      <c r="AK1" s="567">
        <v>45057.0</v>
      </c>
      <c r="AL1" s="567">
        <v>45058.0</v>
      </c>
      <c r="AM1" s="567">
        <v>45061.0</v>
      </c>
      <c r="AN1" s="567">
        <v>45062.0</v>
      </c>
      <c r="AO1" s="567">
        <v>45063.0</v>
      </c>
      <c r="AP1" s="567">
        <v>45064.0</v>
      </c>
      <c r="AQ1" s="567">
        <v>45065.0</v>
      </c>
      <c r="AR1" s="567">
        <v>45068.0</v>
      </c>
      <c r="AS1" s="567">
        <v>45069.0</v>
      </c>
      <c r="AT1" s="567">
        <v>45070.0</v>
      </c>
      <c r="AU1" s="567">
        <v>45071.0</v>
      </c>
      <c r="AV1" s="567">
        <v>45072.0</v>
      </c>
      <c r="AW1" s="567">
        <v>45075.0</v>
      </c>
      <c r="AX1" s="567">
        <v>45076.0</v>
      </c>
      <c r="AY1" s="567">
        <v>45077.0</v>
      </c>
      <c r="AZ1" s="567">
        <v>45078.0</v>
      </c>
      <c r="BA1" s="567">
        <v>45079.0</v>
      </c>
      <c r="BB1" s="567">
        <v>45082.0</v>
      </c>
      <c r="BC1" s="567">
        <v>45083.0</v>
      </c>
      <c r="BD1" s="567">
        <v>45084.0</v>
      </c>
      <c r="BE1" s="567">
        <v>45086.0</v>
      </c>
      <c r="BF1" s="567">
        <v>45089.0</v>
      </c>
      <c r="BG1" s="567">
        <v>45090.0</v>
      </c>
      <c r="BH1" s="567">
        <v>45091.0</v>
      </c>
      <c r="BI1" s="567">
        <v>45092.0</v>
      </c>
      <c r="BJ1" s="567">
        <v>45093.0</v>
      </c>
      <c r="BK1" s="567">
        <v>45096.0</v>
      </c>
      <c r="BL1" s="567">
        <v>45097.0</v>
      </c>
      <c r="BM1" s="567">
        <v>45098.0</v>
      </c>
      <c r="BN1" s="567">
        <v>45099.0</v>
      </c>
      <c r="BO1" s="567">
        <v>45100.0</v>
      </c>
      <c r="BP1" s="567">
        <v>45103.0</v>
      </c>
      <c r="BQ1" s="567">
        <v>45104.0</v>
      </c>
      <c r="BR1" s="567">
        <v>45105.0</v>
      </c>
      <c r="BS1" s="567">
        <v>45106.0</v>
      </c>
      <c r="BT1" s="567">
        <v>45107.0</v>
      </c>
      <c r="BU1" s="567">
        <v>45110.0</v>
      </c>
      <c r="BV1" s="567">
        <v>45111.0</v>
      </c>
      <c r="BW1" s="567">
        <v>45112.0</v>
      </c>
      <c r="BX1" s="567">
        <v>45113.0</v>
      </c>
      <c r="BY1" s="567">
        <v>45114.0</v>
      </c>
      <c r="BZ1" s="567">
        <v>45117.0</v>
      </c>
      <c r="CA1" s="567">
        <v>45118.0</v>
      </c>
      <c r="CB1" s="567">
        <v>45119.0</v>
      </c>
      <c r="CC1" s="567">
        <v>45120.0</v>
      </c>
      <c r="CD1" s="567">
        <v>45121.0</v>
      </c>
      <c r="CE1" s="567">
        <v>45124.0</v>
      </c>
      <c r="CF1" s="567">
        <v>45125.0</v>
      </c>
      <c r="CG1" s="567">
        <v>45126.0</v>
      </c>
      <c r="CH1" s="567">
        <v>45127.0</v>
      </c>
      <c r="CI1" s="567">
        <v>45128.0</v>
      </c>
      <c r="CJ1" s="567">
        <v>45131.0</v>
      </c>
      <c r="CK1" s="567">
        <v>45132.0</v>
      </c>
      <c r="CL1" s="567">
        <v>45133.0</v>
      </c>
      <c r="CM1" s="567">
        <v>45134.0</v>
      </c>
      <c r="CN1" s="567">
        <v>45135.0</v>
      </c>
      <c r="CO1" s="567">
        <v>45138.0</v>
      </c>
      <c r="CP1" s="567">
        <v>45139.0</v>
      </c>
      <c r="CQ1" s="567">
        <v>45140.0</v>
      </c>
      <c r="CR1" s="567">
        <v>45141.0</v>
      </c>
      <c r="CS1" s="567">
        <v>45142.0</v>
      </c>
      <c r="CT1" s="567">
        <v>45145.0</v>
      </c>
      <c r="CU1" s="567">
        <v>45146.0</v>
      </c>
      <c r="CV1" s="567">
        <v>45147.0</v>
      </c>
      <c r="CW1" s="567">
        <v>45148.0</v>
      </c>
      <c r="CX1" s="567">
        <v>45149.0</v>
      </c>
      <c r="CY1" s="567">
        <v>45152.0</v>
      </c>
      <c r="CZ1" s="567">
        <v>45153.0</v>
      </c>
      <c r="DA1" s="567">
        <v>45154.0</v>
      </c>
      <c r="DB1" s="567">
        <v>45155.0</v>
      </c>
      <c r="DC1" s="567">
        <v>45156.0</v>
      </c>
      <c r="DD1" s="567">
        <v>45159.0</v>
      </c>
      <c r="DE1" s="567">
        <v>45160.0</v>
      </c>
      <c r="DF1" s="567">
        <v>45161.0</v>
      </c>
      <c r="DG1" s="567">
        <v>45162.0</v>
      </c>
      <c r="DH1" s="567">
        <v>45163.0</v>
      </c>
      <c r="DI1" s="567">
        <v>45166.0</v>
      </c>
      <c r="DJ1" s="567">
        <v>45167.0</v>
      </c>
      <c r="DK1" s="567">
        <v>45168.0</v>
      </c>
      <c r="DL1" s="567">
        <v>45169.0</v>
      </c>
      <c r="DM1" s="567">
        <v>45170.0</v>
      </c>
      <c r="DN1" s="411"/>
      <c r="DO1" s="411"/>
      <c r="DP1" s="411"/>
      <c r="DQ1" s="411"/>
      <c r="DR1" s="411"/>
      <c r="DS1" s="411"/>
      <c r="DT1" s="411"/>
      <c r="DU1" s="411"/>
      <c r="DV1" s="411"/>
      <c r="DW1" s="411"/>
      <c r="DX1" s="411"/>
      <c r="DY1" s="411"/>
      <c r="DZ1" s="411"/>
      <c r="EA1" s="411"/>
      <c r="EB1" s="411"/>
      <c r="EC1" s="411"/>
      <c r="ED1" s="411"/>
      <c r="EE1" s="411"/>
      <c r="EF1" s="411"/>
      <c r="EG1" s="411"/>
      <c r="EH1" s="411"/>
      <c r="EI1" s="411"/>
      <c r="EJ1" s="411"/>
      <c r="EK1" s="411"/>
      <c r="EL1" s="411"/>
      <c r="EM1" s="411"/>
      <c r="EN1" s="411"/>
      <c r="EO1" s="411"/>
      <c r="EP1" s="411"/>
      <c r="EQ1" s="411"/>
      <c r="ER1" s="411"/>
      <c r="ES1" s="411"/>
      <c r="ET1" s="411"/>
      <c r="EU1" s="411"/>
      <c r="EV1" s="411"/>
      <c r="EW1" s="411"/>
      <c r="EX1" s="411"/>
      <c r="EY1" s="411"/>
      <c r="EZ1" s="411"/>
      <c r="FA1" s="411"/>
      <c r="FB1" s="411"/>
      <c r="FC1" s="411"/>
      <c r="FD1" s="411"/>
      <c r="FE1" s="411"/>
      <c r="FF1" s="411"/>
      <c r="FG1" s="411"/>
      <c r="FH1" s="411"/>
      <c r="FI1" s="411"/>
      <c r="FJ1" s="411"/>
      <c r="FK1" s="411"/>
      <c r="FL1" s="411"/>
      <c r="FM1" s="411"/>
      <c r="FN1" s="411"/>
      <c r="FO1" s="411"/>
      <c r="FP1" s="411"/>
      <c r="FQ1" s="411"/>
      <c r="FR1" s="411"/>
      <c r="FS1" s="411"/>
      <c r="FT1" s="411"/>
      <c r="FU1" s="411"/>
      <c r="FV1" s="411"/>
      <c r="FW1" s="411"/>
      <c r="FX1" s="411"/>
      <c r="FY1" s="411"/>
      <c r="FZ1" s="411"/>
      <c r="GA1" s="411"/>
      <c r="GB1" s="411"/>
      <c r="GC1" s="411"/>
      <c r="GD1" s="411"/>
      <c r="GE1" s="411"/>
      <c r="GF1" s="411"/>
      <c r="GG1" s="411"/>
      <c r="GH1" s="411"/>
      <c r="GI1" s="411"/>
      <c r="GJ1" s="411"/>
      <c r="GK1" s="411"/>
      <c r="GL1" s="411"/>
      <c r="GM1" s="411"/>
      <c r="GN1" s="411"/>
      <c r="GO1" s="411"/>
      <c r="GP1" s="411"/>
      <c r="GQ1" s="411"/>
      <c r="GR1" s="411"/>
      <c r="GS1" s="411"/>
      <c r="GT1" s="411"/>
      <c r="GU1" s="411"/>
      <c r="GV1" s="411"/>
      <c r="GW1" s="411"/>
      <c r="GX1" s="411"/>
      <c r="GY1" s="411"/>
      <c r="GZ1" s="411"/>
      <c r="HA1" s="411"/>
      <c r="HB1" s="411"/>
      <c r="HC1" s="411"/>
      <c r="HD1" s="411"/>
      <c r="HE1" s="411"/>
      <c r="HF1" s="411"/>
      <c r="HG1" s="411"/>
      <c r="HH1" s="411"/>
      <c r="HI1" s="411"/>
      <c r="HJ1" s="411"/>
      <c r="HK1" s="411"/>
      <c r="HL1" s="411"/>
      <c r="HM1" s="411"/>
      <c r="HN1" s="411"/>
      <c r="HO1" s="411"/>
      <c r="HP1" s="411"/>
      <c r="HQ1" s="411"/>
      <c r="HR1" s="411"/>
      <c r="HS1" s="411"/>
      <c r="HT1" s="411"/>
      <c r="HU1" s="411"/>
      <c r="HV1" s="411"/>
      <c r="HW1" s="411"/>
      <c r="HX1" s="411"/>
      <c r="HY1" s="411"/>
      <c r="HZ1" s="411"/>
      <c r="IA1" s="411"/>
      <c r="IB1" s="411"/>
      <c r="IC1" s="411"/>
      <c r="ID1" s="411"/>
      <c r="IE1" s="411"/>
      <c r="IF1" s="411"/>
      <c r="IG1" s="411"/>
      <c r="IH1" s="411"/>
      <c r="II1" s="411"/>
      <c r="IJ1" s="411"/>
      <c r="IK1" s="411"/>
      <c r="IL1" s="411"/>
      <c r="IM1" s="411"/>
      <c r="IN1" s="411"/>
      <c r="IO1" s="411"/>
      <c r="IP1" s="411"/>
      <c r="IQ1" s="411"/>
      <c r="IR1" s="411"/>
      <c r="IS1" s="411"/>
      <c r="IT1" s="411"/>
      <c r="IU1" s="411"/>
      <c r="IV1" s="411"/>
      <c r="IW1" s="411"/>
      <c r="IX1" s="411"/>
      <c r="IY1" s="411"/>
      <c r="IZ1" s="411"/>
      <c r="JA1" s="411"/>
      <c r="JB1" s="411"/>
      <c r="JC1" s="411"/>
      <c r="JD1" s="411"/>
      <c r="JE1" s="411"/>
      <c r="JF1" s="411"/>
      <c r="JG1" s="411"/>
      <c r="JH1" s="411"/>
      <c r="JI1" s="411"/>
      <c r="JJ1" s="411"/>
      <c r="JK1" s="411"/>
      <c r="JL1" s="411"/>
      <c r="JM1" s="411"/>
      <c r="JN1" s="411"/>
      <c r="JO1" s="411"/>
      <c r="JP1" s="411"/>
      <c r="JQ1" s="411"/>
      <c r="JR1" s="411"/>
      <c r="JS1" s="411"/>
      <c r="JT1" s="411"/>
      <c r="JU1" s="411"/>
      <c r="JV1" s="411"/>
      <c r="JW1" s="411"/>
      <c r="JX1" s="411"/>
      <c r="JY1" s="411"/>
      <c r="JZ1" s="411"/>
      <c r="KA1" s="411"/>
      <c r="KB1" s="411"/>
      <c r="KC1" s="411"/>
      <c r="KD1" s="411"/>
      <c r="KE1" s="411"/>
      <c r="KF1" s="411"/>
      <c r="KG1" s="411"/>
      <c r="KH1" s="411"/>
      <c r="KI1" s="411"/>
      <c r="KJ1" s="411"/>
      <c r="KK1" s="411"/>
      <c r="KL1" s="411"/>
      <c r="KM1" s="411"/>
      <c r="KN1" s="411"/>
      <c r="KO1" s="411"/>
      <c r="KP1" s="411"/>
      <c r="KQ1" s="411"/>
      <c r="KR1" s="411"/>
      <c r="KS1" s="411"/>
      <c r="KT1" s="411"/>
      <c r="KU1" s="411"/>
      <c r="KV1" s="411"/>
      <c r="KW1" s="411"/>
      <c r="KX1" s="411"/>
      <c r="KY1" s="411"/>
      <c r="KZ1" s="411"/>
      <c r="LA1" s="411"/>
      <c r="LB1" s="411"/>
      <c r="LC1" s="411"/>
      <c r="LD1" s="411"/>
      <c r="LE1" s="411"/>
      <c r="LF1" s="411"/>
      <c r="LG1" s="411"/>
      <c r="LH1" s="411"/>
      <c r="LI1" s="411"/>
      <c r="LJ1" s="411"/>
      <c r="LK1" s="411"/>
      <c r="LL1" s="411"/>
      <c r="LM1" s="411"/>
      <c r="LN1" s="411"/>
      <c r="LO1" s="411"/>
      <c r="LP1" s="411"/>
      <c r="LQ1" s="411"/>
      <c r="LR1" s="411"/>
      <c r="LS1" s="411"/>
      <c r="LT1" s="411"/>
      <c r="LU1" s="411"/>
      <c r="LV1" s="411"/>
      <c r="LW1" s="411"/>
      <c r="LX1" s="411"/>
      <c r="LY1" s="411"/>
      <c r="LZ1" s="411"/>
      <c r="MA1" s="411"/>
      <c r="MB1" s="411"/>
      <c r="MC1" s="411"/>
      <c r="MD1" s="411"/>
      <c r="ME1" s="411"/>
      <c r="MF1" s="411"/>
      <c r="MG1" s="411"/>
      <c r="MH1" s="411"/>
      <c r="MI1" s="411"/>
      <c r="MJ1" s="411"/>
      <c r="MK1" s="411"/>
      <c r="ML1" s="411"/>
      <c r="MM1" s="411"/>
      <c r="MN1" s="411"/>
      <c r="MO1" s="411"/>
      <c r="MP1" s="411"/>
      <c r="MQ1" s="411"/>
      <c r="MR1" s="411"/>
      <c r="MS1" s="411"/>
      <c r="MT1" s="411"/>
      <c r="MU1" s="411"/>
      <c r="MV1" s="411"/>
      <c r="MW1" s="411"/>
      <c r="MX1" s="411"/>
      <c r="MY1" s="411"/>
      <c r="MZ1" s="411"/>
      <c r="NA1" s="411"/>
      <c r="NB1" s="411"/>
      <c r="NC1" s="411"/>
      <c r="ND1" s="411"/>
      <c r="NE1" s="411"/>
      <c r="NF1" s="411"/>
      <c r="NG1" s="411"/>
      <c r="NH1" s="411"/>
      <c r="NI1" s="411"/>
      <c r="NJ1" s="411"/>
      <c r="NK1" s="411"/>
      <c r="NL1" s="411"/>
      <c r="NM1" s="411"/>
      <c r="NN1" s="411"/>
      <c r="NO1" s="411"/>
      <c r="NP1" s="411"/>
      <c r="NQ1" s="411"/>
      <c r="NR1" s="411"/>
      <c r="NS1" s="411"/>
      <c r="NT1" s="411"/>
      <c r="NU1" s="411"/>
      <c r="NV1" s="411"/>
      <c r="NW1" s="411"/>
      <c r="NX1" s="411"/>
      <c r="NY1" s="411"/>
      <c r="NZ1" s="411"/>
      <c r="OA1" s="411"/>
      <c r="OB1" s="411"/>
      <c r="OC1" s="411"/>
      <c r="OD1" s="411"/>
      <c r="OE1" s="411"/>
      <c r="OF1" s="411"/>
      <c r="OG1" s="411"/>
      <c r="OH1" s="411"/>
      <c r="OI1" s="411"/>
      <c r="OJ1" s="411"/>
      <c r="OK1" s="411"/>
      <c r="OL1" s="411"/>
      <c r="OM1" s="411"/>
      <c r="ON1" s="411"/>
      <c r="OO1" s="411"/>
      <c r="OP1" s="411"/>
      <c r="OQ1" s="411"/>
      <c r="OR1" s="411"/>
      <c r="OS1" s="411"/>
      <c r="OT1" s="411"/>
      <c r="OU1" s="411"/>
      <c r="OV1" s="411"/>
      <c r="OW1" s="411"/>
      <c r="OX1" s="411"/>
      <c r="OY1" s="411"/>
      <c r="OZ1" s="411"/>
      <c r="PA1" s="411"/>
      <c r="PB1" s="411"/>
      <c r="PC1" s="411"/>
      <c r="PD1" s="411"/>
      <c r="PE1" s="411"/>
      <c r="PF1" s="411"/>
      <c r="PG1" s="411"/>
      <c r="PH1" s="411"/>
      <c r="PI1" s="411"/>
      <c r="PJ1" s="411"/>
      <c r="PK1" s="411"/>
      <c r="PL1" s="411"/>
      <c r="PM1" s="411"/>
      <c r="PN1" s="411"/>
      <c r="PO1" s="411"/>
      <c r="PP1" s="411"/>
      <c r="PQ1" s="411"/>
      <c r="PR1" s="411"/>
      <c r="PS1" s="411"/>
      <c r="PT1" s="411"/>
      <c r="PU1" s="411"/>
      <c r="PV1" s="411"/>
      <c r="PW1" s="411"/>
      <c r="PX1" s="411"/>
      <c r="PY1" s="411"/>
      <c r="PZ1" s="411"/>
      <c r="QA1" s="411"/>
      <c r="QB1" s="411"/>
      <c r="QC1" s="411"/>
      <c r="QD1" s="411"/>
      <c r="QE1" s="411"/>
      <c r="QF1" s="411"/>
      <c r="QG1" s="411"/>
      <c r="QH1" s="411"/>
      <c r="QI1" s="411"/>
      <c r="QJ1" s="411"/>
      <c r="QK1" s="411"/>
      <c r="QL1" s="411"/>
      <c r="QM1" s="411"/>
      <c r="QN1" s="411"/>
      <c r="QO1" s="411"/>
      <c r="QP1" s="411"/>
      <c r="QQ1" s="411"/>
      <c r="QR1" s="411"/>
      <c r="QS1" s="411"/>
      <c r="QT1" s="411"/>
      <c r="QU1" s="411"/>
      <c r="QV1" s="411"/>
      <c r="QW1" s="411"/>
      <c r="QX1" s="411"/>
      <c r="QY1" s="411"/>
      <c r="QZ1" s="411"/>
      <c r="RA1" s="411"/>
      <c r="RB1" s="411"/>
      <c r="RC1" s="411"/>
      <c r="RD1" s="411"/>
      <c r="RE1" s="411"/>
      <c r="RF1" s="411"/>
      <c r="RG1" s="411"/>
      <c r="RH1" s="411"/>
      <c r="RI1" s="411"/>
      <c r="RJ1" s="411"/>
      <c r="RK1" s="411"/>
      <c r="RL1" s="411"/>
      <c r="RM1" s="411"/>
      <c r="RN1" s="411"/>
      <c r="RO1" s="411"/>
      <c r="RP1" s="411"/>
      <c r="RQ1" s="411"/>
      <c r="RR1" s="411"/>
      <c r="RS1" s="411"/>
      <c r="RT1" s="411"/>
      <c r="RU1" s="411"/>
      <c r="RV1" s="411"/>
      <c r="RW1" s="411"/>
      <c r="RX1" s="411"/>
      <c r="RY1" s="411"/>
      <c r="RZ1" s="411"/>
      <c r="SA1" s="411"/>
      <c r="SB1" s="411"/>
      <c r="SC1" s="411"/>
      <c r="SD1" s="411"/>
      <c r="SE1" s="411"/>
      <c r="SF1" s="411"/>
      <c r="SG1" s="411"/>
      <c r="SH1" s="411"/>
      <c r="SI1" s="411"/>
      <c r="SJ1" s="411"/>
      <c r="SK1" s="411"/>
      <c r="SL1" s="411"/>
      <c r="SM1" s="411"/>
      <c r="SN1" s="411"/>
      <c r="SO1" s="411"/>
      <c r="SP1" s="411"/>
      <c r="SQ1" s="411"/>
      <c r="SR1" s="411"/>
      <c r="SS1" s="411"/>
      <c r="ST1" s="411"/>
      <c r="SU1" s="411"/>
      <c r="SV1" s="411"/>
      <c r="SW1" s="411"/>
      <c r="SX1" s="411"/>
      <c r="SY1" s="411"/>
      <c r="SZ1" s="411"/>
      <c r="TA1" s="411"/>
      <c r="TB1" s="411"/>
      <c r="TC1" s="411"/>
      <c r="TD1" s="411"/>
      <c r="TE1" s="411"/>
      <c r="TF1" s="411"/>
      <c r="TG1" s="411"/>
      <c r="TH1" s="411"/>
      <c r="TI1" s="411"/>
      <c r="TJ1" s="411"/>
      <c r="TK1" s="411"/>
      <c r="TL1" s="411"/>
      <c r="TM1" s="411"/>
      <c r="TN1" s="411"/>
      <c r="TO1" s="411"/>
      <c r="TP1" s="411"/>
      <c r="TQ1" s="411"/>
      <c r="TR1" s="411"/>
      <c r="TS1" s="411"/>
      <c r="TT1" s="411"/>
      <c r="TU1" s="411"/>
      <c r="TV1" s="411"/>
      <c r="TW1" s="411"/>
      <c r="TX1" s="411"/>
      <c r="TY1" s="411"/>
      <c r="TZ1" s="411"/>
      <c r="UA1" s="411"/>
      <c r="UB1" s="411"/>
      <c r="UC1" s="411"/>
      <c r="UD1" s="411"/>
      <c r="UE1" s="411"/>
      <c r="UF1" s="411"/>
      <c r="UG1" s="411"/>
      <c r="UH1" s="411"/>
      <c r="UI1" s="411"/>
      <c r="UJ1" s="411"/>
      <c r="UK1" s="411"/>
      <c r="UL1" s="411"/>
      <c r="UM1" s="411"/>
      <c r="UN1" s="411"/>
      <c r="UO1" s="411"/>
      <c r="UP1" s="411"/>
      <c r="UQ1" s="411"/>
      <c r="UR1" s="411"/>
      <c r="US1" s="411"/>
      <c r="UT1" s="411"/>
      <c r="UU1" s="411"/>
      <c r="UV1" s="411"/>
      <c r="UW1" s="411"/>
      <c r="UX1" s="411"/>
      <c r="UY1" s="411"/>
      <c r="UZ1" s="411"/>
      <c r="VA1" s="411"/>
      <c r="VB1" s="411"/>
      <c r="VC1" s="411"/>
      <c r="VD1" s="411"/>
      <c r="VE1" s="411"/>
      <c r="VF1" s="411"/>
      <c r="VG1" s="411"/>
      <c r="VH1" s="411"/>
      <c r="VI1" s="411"/>
      <c r="VJ1" s="411"/>
      <c r="VK1" s="411"/>
      <c r="VL1" s="411"/>
      <c r="VM1" s="411"/>
      <c r="VN1" s="411"/>
      <c r="VO1" s="411"/>
      <c r="VP1" s="411"/>
      <c r="VQ1" s="411"/>
      <c r="VR1" s="411"/>
      <c r="VS1" s="411"/>
      <c r="VT1" s="411"/>
      <c r="VU1" s="411"/>
      <c r="VV1" s="411"/>
      <c r="VW1" s="411"/>
      <c r="VX1" s="411"/>
      <c r="VY1" s="411"/>
      <c r="VZ1" s="411"/>
      <c r="WA1" s="411"/>
      <c r="WB1" s="411"/>
      <c r="WC1" s="411"/>
      <c r="WD1" s="411"/>
      <c r="WE1" s="411"/>
      <c r="WF1" s="411"/>
      <c r="WG1" s="411"/>
      <c r="WH1" s="411"/>
      <c r="WI1" s="411"/>
      <c r="WJ1" s="411"/>
      <c r="WK1" s="411"/>
      <c r="WL1" s="411"/>
      <c r="WM1" s="411"/>
      <c r="WN1" s="411"/>
      <c r="WO1" s="411"/>
      <c r="WP1" s="411"/>
      <c r="WQ1" s="411"/>
      <c r="WR1" s="411"/>
      <c r="WS1" s="411"/>
      <c r="WT1" s="411"/>
      <c r="WU1" s="411"/>
      <c r="WV1" s="411"/>
      <c r="WW1" s="411"/>
      <c r="WX1" s="411"/>
      <c r="WY1" s="411"/>
      <c r="WZ1" s="411"/>
      <c r="XA1" s="411"/>
      <c r="XB1" s="411"/>
      <c r="XC1" s="411"/>
      <c r="XD1" s="411"/>
      <c r="XE1" s="411"/>
      <c r="XF1" s="411"/>
      <c r="XG1" s="411"/>
      <c r="XH1" s="411"/>
      <c r="XI1" s="411"/>
      <c r="XJ1" s="411"/>
      <c r="XK1" s="411"/>
      <c r="XL1" s="411"/>
      <c r="XM1" s="411"/>
      <c r="XN1" s="411"/>
      <c r="XO1" s="411"/>
      <c r="XP1" s="411"/>
      <c r="XQ1" s="411"/>
      <c r="XR1" s="411"/>
      <c r="XS1" s="411"/>
      <c r="XT1" s="411"/>
      <c r="XU1" s="411"/>
      <c r="XV1" s="411"/>
      <c r="XW1" s="411"/>
      <c r="XX1" s="411"/>
      <c r="XY1" s="411"/>
      <c r="XZ1" s="411"/>
      <c r="YA1" s="411"/>
      <c r="YB1" s="411"/>
      <c r="YC1" s="411"/>
      <c r="YD1" s="411"/>
      <c r="YE1" s="411"/>
      <c r="YF1" s="411"/>
      <c r="YG1" s="411"/>
      <c r="YH1" s="411"/>
      <c r="YI1" s="411"/>
      <c r="YJ1" s="411"/>
      <c r="YK1" s="411"/>
      <c r="YL1" s="411"/>
      <c r="YM1" s="411"/>
      <c r="YN1" s="411"/>
      <c r="YO1" s="411"/>
      <c r="YP1" s="411"/>
      <c r="YQ1" s="411"/>
      <c r="YR1" s="411"/>
      <c r="YS1" s="411"/>
      <c r="YT1" s="411"/>
      <c r="YU1" s="411"/>
      <c r="YV1" s="411"/>
      <c r="YW1" s="411"/>
      <c r="YX1" s="411"/>
      <c r="YY1" s="411"/>
      <c r="YZ1" s="411"/>
      <c r="ZA1" s="411"/>
      <c r="ZB1" s="411"/>
      <c r="ZC1" s="411"/>
      <c r="ZD1" s="411"/>
      <c r="ZE1" s="411"/>
      <c r="ZF1" s="411"/>
      <c r="ZG1" s="411"/>
      <c r="ZH1" s="411"/>
      <c r="ZI1" s="411"/>
      <c r="ZJ1" s="411"/>
      <c r="ZK1" s="411"/>
      <c r="ZL1" s="411"/>
      <c r="ZM1" s="411"/>
      <c r="ZN1" s="411"/>
      <c r="ZO1" s="411"/>
      <c r="ZP1" s="411"/>
      <c r="ZQ1" s="411"/>
      <c r="ZR1" s="411"/>
      <c r="ZS1" s="411"/>
      <c r="ZT1" s="411"/>
      <c r="ZU1" s="411"/>
      <c r="ZV1" s="411"/>
      <c r="ZW1" s="411"/>
      <c r="ZX1" s="411"/>
      <c r="ZY1" s="411"/>
      <c r="ZZ1" s="411"/>
      <c r="AAA1" s="411"/>
      <c r="AAB1" s="411"/>
      <c r="AAC1" s="411"/>
      <c r="AAD1" s="411"/>
      <c r="AAE1" s="411"/>
      <c r="AAF1" s="411"/>
      <c r="AAG1" s="411"/>
      <c r="AAH1" s="411"/>
      <c r="AAI1" s="411"/>
      <c r="AAJ1" s="411"/>
      <c r="AAK1" s="411"/>
      <c r="AAL1" s="411"/>
      <c r="AAM1" s="411"/>
      <c r="AAN1" s="411"/>
      <c r="AAO1" s="411"/>
      <c r="AAP1" s="411"/>
      <c r="AAQ1" s="411"/>
      <c r="AAR1" s="411"/>
      <c r="AAS1" s="411"/>
      <c r="AAT1" s="411"/>
      <c r="AAU1" s="411"/>
      <c r="AAV1" s="411"/>
      <c r="AAW1" s="411"/>
      <c r="AAX1" s="411"/>
      <c r="AAY1" s="411"/>
      <c r="AAZ1" s="411"/>
      <c r="ABA1" s="411"/>
      <c r="ABB1" s="411"/>
      <c r="ABC1" s="411"/>
      <c r="ABD1" s="411"/>
      <c r="ABE1" s="411"/>
      <c r="ABF1" s="411"/>
      <c r="ABG1" s="411"/>
      <c r="ABH1" s="411"/>
      <c r="ABI1" s="411"/>
      <c r="ABJ1" s="411"/>
      <c r="ABK1" s="411"/>
      <c r="ABL1" s="411"/>
      <c r="ABM1" s="411"/>
      <c r="ABN1" s="411"/>
      <c r="ABO1" s="411"/>
      <c r="ABP1" s="411"/>
      <c r="ABQ1" s="411"/>
      <c r="ABR1" s="411"/>
      <c r="ABS1" s="411"/>
      <c r="ABT1" s="411"/>
      <c r="ABU1" s="411"/>
      <c r="ABV1" s="411"/>
      <c r="ABW1" s="411"/>
      <c r="ABX1" s="411"/>
      <c r="ABY1" s="411"/>
      <c r="ABZ1" s="411"/>
      <c r="ACA1" s="411"/>
      <c r="ACB1" s="411"/>
      <c r="ACC1" s="411"/>
      <c r="ACD1" s="411"/>
      <c r="ACE1" s="411"/>
      <c r="ACF1" s="411"/>
      <c r="ACG1" s="411"/>
      <c r="ACH1" s="411"/>
      <c r="ACI1" s="411"/>
      <c r="ACJ1" s="411"/>
      <c r="ACK1" s="411"/>
      <c r="ACL1" s="411"/>
      <c r="ACM1" s="411"/>
      <c r="ACN1" s="411"/>
      <c r="ACO1" s="411"/>
      <c r="ACP1" s="411"/>
      <c r="ACQ1" s="411"/>
      <c r="ACR1" s="411"/>
      <c r="ACS1" s="411"/>
      <c r="ACT1" s="411"/>
      <c r="ACU1" s="411"/>
      <c r="ACV1" s="411"/>
      <c r="ACW1" s="411"/>
      <c r="ACX1" s="411"/>
      <c r="ACY1" s="411"/>
      <c r="ACZ1" s="411"/>
      <c r="ADA1" s="411"/>
      <c r="ADB1" s="411"/>
      <c r="ADC1" s="411"/>
      <c r="ADD1" s="411"/>
      <c r="ADE1" s="411"/>
      <c r="ADF1" s="411"/>
      <c r="ADG1" s="411"/>
      <c r="ADH1" s="411"/>
      <c r="ADI1" s="411"/>
      <c r="ADJ1" s="411"/>
      <c r="ADK1" s="411"/>
      <c r="ADL1" s="411"/>
      <c r="ADM1" s="411"/>
      <c r="ADN1" s="411"/>
      <c r="ADO1" s="411"/>
      <c r="ADP1" s="411"/>
      <c r="ADQ1" s="411"/>
      <c r="ADR1" s="411"/>
      <c r="ADS1" s="411"/>
      <c r="ADT1" s="411"/>
      <c r="ADU1" s="411"/>
      <c r="ADV1" s="411"/>
      <c r="ADW1" s="411"/>
      <c r="ADX1" s="411"/>
      <c r="ADY1" s="411"/>
      <c r="ADZ1" s="411"/>
      <c r="AEA1" s="411"/>
      <c r="AEB1" s="411"/>
      <c r="AEC1" s="411"/>
      <c r="AED1" s="411"/>
      <c r="AEE1" s="411"/>
      <c r="AEF1" s="411"/>
      <c r="AEG1" s="411"/>
      <c r="AEH1" s="411"/>
      <c r="AEI1" s="411"/>
      <c r="AEJ1" s="411"/>
      <c r="AEK1" s="411"/>
      <c r="AEL1" s="411"/>
      <c r="AEM1" s="411"/>
      <c r="AEN1" s="411"/>
      <c r="AEO1" s="411"/>
      <c r="AEP1" s="411"/>
      <c r="AEQ1" s="411"/>
      <c r="AER1" s="411"/>
      <c r="AES1" s="411"/>
      <c r="AET1" s="411"/>
      <c r="AEU1" s="411"/>
      <c r="AEV1" s="411"/>
      <c r="AEW1" s="411"/>
      <c r="AEX1" s="411"/>
      <c r="AEY1" s="411"/>
      <c r="AEZ1" s="411"/>
      <c r="AFA1" s="411"/>
      <c r="AFB1" s="411"/>
      <c r="AFC1" s="411"/>
      <c r="AFD1" s="411"/>
      <c r="AFE1" s="411"/>
      <c r="AFF1" s="411"/>
      <c r="AFG1" s="411"/>
      <c r="AFH1" s="411"/>
      <c r="AFI1" s="411"/>
      <c r="AFJ1" s="411"/>
      <c r="AFK1" s="411"/>
      <c r="AFL1" s="411"/>
      <c r="AFM1" s="411"/>
      <c r="AFN1" s="411"/>
      <c r="AFO1" s="411"/>
      <c r="AFP1" s="411"/>
      <c r="AFQ1" s="411"/>
      <c r="AFR1" s="411"/>
      <c r="AFS1" s="411"/>
      <c r="AFT1" s="411"/>
      <c r="AFU1" s="411"/>
      <c r="AFV1" s="411"/>
      <c r="AFW1" s="411"/>
      <c r="AFX1" s="411"/>
      <c r="AFY1" s="411"/>
      <c r="AFZ1" s="411"/>
      <c r="AGA1" s="411"/>
      <c r="AGB1" s="411"/>
      <c r="AGC1" s="411"/>
      <c r="AGD1" s="411"/>
      <c r="AGE1" s="411"/>
      <c r="AGF1" s="411"/>
      <c r="AGG1" s="411"/>
      <c r="AGH1" s="411"/>
      <c r="AGI1" s="411"/>
      <c r="AGJ1" s="411"/>
      <c r="AGK1" s="411"/>
      <c r="AGL1" s="411"/>
      <c r="AGM1" s="411"/>
      <c r="AGN1" s="411"/>
      <c r="AGO1" s="411"/>
      <c r="AGP1" s="411"/>
      <c r="AGQ1" s="411"/>
      <c r="AGR1" s="411"/>
      <c r="AGS1" s="411"/>
      <c r="AGT1" s="411"/>
      <c r="AGU1" s="411"/>
      <c r="AGV1" s="411"/>
      <c r="AGW1" s="411"/>
      <c r="AGX1" s="411"/>
      <c r="AGY1" s="411"/>
      <c r="AGZ1" s="411"/>
      <c r="AHA1" s="411"/>
      <c r="AHB1" s="411"/>
      <c r="AHC1" s="411"/>
      <c r="AHD1" s="411"/>
      <c r="AHE1" s="411"/>
      <c r="AHF1" s="411"/>
      <c r="AHG1" s="411"/>
      <c r="AHH1" s="411"/>
      <c r="AHI1" s="411"/>
      <c r="AHJ1" s="411"/>
      <c r="AHK1" s="411"/>
      <c r="AHL1" s="411"/>
      <c r="AHM1" s="411"/>
      <c r="AHN1" s="411"/>
      <c r="AHO1" s="411"/>
      <c r="AHP1" s="411"/>
      <c r="AHQ1" s="411"/>
      <c r="AHR1" s="411"/>
      <c r="AHS1" s="411"/>
      <c r="AHT1" s="411"/>
      <c r="AHU1" s="411"/>
      <c r="AHV1" s="411"/>
      <c r="AHW1" s="411"/>
      <c r="AHX1" s="411"/>
      <c r="AHY1" s="411"/>
      <c r="AHZ1" s="411"/>
      <c r="AIA1" s="411"/>
      <c r="AIB1" s="411"/>
      <c r="AIC1" s="411"/>
      <c r="AID1" s="411"/>
      <c r="AIE1" s="411"/>
      <c r="AIF1" s="411"/>
      <c r="AIG1" s="411"/>
      <c r="AIH1" s="411"/>
      <c r="AII1" s="411"/>
      <c r="AIJ1" s="411"/>
      <c r="AIK1" s="411"/>
      <c r="AIL1" s="411"/>
      <c r="AIM1" s="411"/>
      <c r="AIN1" s="411"/>
      <c r="AIO1" s="411"/>
      <c r="AIP1" s="411"/>
      <c r="AIQ1" s="411"/>
      <c r="AIR1" s="411"/>
      <c r="AIS1" s="411"/>
      <c r="AIT1" s="411"/>
      <c r="AIU1" s="411"/>
      <c r="AIV1" s="411"/>
      <c r="AIW1" s="411"/>
      <c r="AIX1" s="411"/>
      <c r="AIY1" s="411"/>
      <c r="AIZ1" s="411"/>
      <c r="AJA1" s="411"/>
      <c r="AJB1" s="411"/>
      <c r="AJC1" s="411"/>
      <c r="AJD1" s="411"/>
      <c r="AJE1" s="411"/>
      <c r="AJF1" s="411"/>
      <c r="AJG1" s="411"/>
      <c r="AJH1" s="411"/>
      <c r="AJI1" s="411"/>
      <c r="AJJ1" s="411"/>
      <c r="AJK1" s="411"/>
      <c r="AJL1" s="411"/>
      <c r="AJM1" s="411"/>
      <c r="AJN1" s="411"/>
      <c r="AJO1" s="411"/>
      <c r="AJP1" s="411"/>
      <c r="AJQ1" s="411"/>
      <c r="AJR1" s="411"/>
      <c r="AJS1" s="411"/>
      <c r="AJT1" s="411"/>
      <c r="AJU1" s="411"/>
      <c r="AJV1" s="411"/>
      <c r="AJW1" s="411"/>
      <c r="AJX1" s="411"/>
      <c r="AJY1" s="411"/>
      <c r="AJZ1" s="411"/>
      <c r="AKA1" s="411"/>
      <c r="AKB1" s="411"/>
      <c r="AKC1" s="411"/>
      <c r="AKD1" s="411"/>
      <c r="AKE1" s="411"/>
      <c r="AKF1" s="411"/>
      <c r="AKG1" s="411"/>
      <c r="AKH1" s="411"/>
      <c r="AKI1" s="411"/>
      <c r="AKJ1" s="411"/>
      <c r="AKK1" s="411"/>
      <c r="AKL1" s="411"/>
      <c r="AKM1" s="411"/>
      <c r="AKN1" s="411"/>
      <c r="AKO1" s="411"/>
      <c r="AKP1" s="411"/>
      <c r="AKQ1" s="411"/>
      <c r="AKR1" s="411"/>
      <c r="AKS1" s="411"/>
      <c r="AKT1" s="411"/>
    </row>
    <row r="2">
      <c r="A2" s="411" t="s">
        <v>157</v>
      </c>
      <c r="B2" s="411"/>
      <c r="C2" s="411"/>
      <c r="D2" s="411"/>
      <c r="E2" s="411"/>
      <c r="F2" s="411"/>
      <c r="G2" s="411"/>
      <c r="H2" s="411"/>
      <c r="I2" s="411"/>
      <c r="J2" s="411"/>
      <c r="K2" s="411"/>
      <c r="L2" s="411"/>
      <c r="M2" s="411"/>
      <c r="N2" s="411"/>
      <c r="O2" s="411"/>
      <c r="P2" s="411"/>
      <c r="Q2" s="411"/>
      <c r="R2" s="411"/>
      <c r="S2" s="411"/>
      <c r="T2" s="411"/>
      <c r="U2" s="411"/>
      <c r="V2" s="411"/>
      <c r="W2" s="411"/>
      <c r="X2" s="411"/>
      <c r="Y2" s="411"/>
      <c r="Z2" s="411"/>
      <c r="AA2" s="411"/>
      <c r="AB2" s="411"/>
      <c r="AC2" s="411"/>
      <c r="AD2" s="411"/>
      <c r="AE2" s="411"/>
      <c r="AF2" s="411"/>
      <c r="AG2" s="411"/>
      <c r="AH2" s="411"/>
      <c r="AI2" s="411"/>
      <c r="AJ2" s="411"/>
      <c r="AK2" s="411"/>
      <c r="AL2" s="411"/>
      <c r="AM2" s="411"/>
      <c r="AN2" s="411"/>
      <c r="AO2" s="411"/>
      <c r="AP2" s="411"/>
      <c r="AQ2" s="411"/>
      <c r="AR2" s="411"/>
      <c r="AS2" s="411"/>
      <c r="AT2" s="411"/>
      <c r="AU2" s="411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1"/>
      <c r="BK2" s="411"/>
      <c r="BL2" s="411"/>
      <c r="BM2" s="411"/>
      <c r="BN2" s="411"/>
      <c r="BO2" s="411"/>
      <c r="BP2" s="411"/>
      <c r="BQ2" s="411"/>
      <c r="BR2" s="411"/>
      <c r="BS2" s="411"/>
      <c r="BT2" s="411"/>
      <c r="BU2" s="411"/>
      <c r="BV2" s="411"/>
      <c r="BW2" s="411"/>
      <c r="BX2" s="411"/>
      <c r="BY2" s="411"/>
      <c r="BZ2" s="411"/>
      <c r="CA2" s="411"/>
      <c r="CB2" s="411"/>
      <c r="CC2" s="411"/>
      <c r="CD2" s="411"/>
      <c r="CE2" s="411"/>
      <c r="CF2" s="411"/>
      <c r="CG2" s="411"/>
      <c r="CH2" s="411"/>
      <c r="CI2" s="411"/>
      <c r="CJ2" s="411"/>
      <c r="CK2" s="411"/>
      <c r="CL2" s="411"/>
      <c r="CM2" s="411"/>
      <c r="CN2" s="411"/>
      <c r="CO2" s="411"/>
      <c r="CP2" s="411"/>
      <c r="CQ2" s="411"/>
      <c r="CR2" s="411"/>
      <c r="CS2" s="411"/>
      <c r="CT2" s="411"/>
      <c r="CU2" s="411"/>
      <c r="CV2" s="411"/>
      <c r="CW2" s="411"/>
      <c r="CX2" s="411"/>
      <c r="CY2" s="411"/>
      <c r="CZ2" s="411"/>
      <c r="DA2" s="411"/>
      <c r="DB2" s="411"/>
      <c r="DC2" s="411"/>
      <c r="DD2" s="411"/>
      <c r="DE2" s="411"/>
      <c r="DF2" s="411"/>
      <c r="DG2" s="411"/>
      <c r="DH2" s="411"/>
      <c r="DI2" s="411">
        <v>12.14999961853027</v>
      </c>
      <c r="DJ2" s="411">
        <v>11.95</v>
      </c>
      <c r="DK2" s="411">
        <v>11.8100004196167</v>
      </c>
      <c r="DL2" s="411">
        <v>11.60999965667725</v>
      </c>
      <c r="DM2" s="411">
        <v>11.85999965667725</v>
      </c>
      <c r="DN2" s="411"/>
      <c r="DO2" s="411"/>
      <c r="DP2" s="411"/>
      <c r="DQ2" s="411"/>
      <c r="DR2" s="411"/>
      <c r="DS2" s="411"/>
      <c r="DT2" s="411"/>
      <c r="DU2" s="411"/>
      <c r="DV2" s="411"/>
      <c r="DW2" s="411"/>
      <c r="DX2" s="411"/>
      <c r="DY2" s="411"/>
      <c r="DZ2" s="411"/>
      <c r="EA2" s="411"/>
      <c r="EB2" s="411"/>
      <c r="EC2" s="411"/>
      <c r="ED2" s="411"/>
      <c r="EE2" s="411"/>
      <c r="EF2" s="411"/>
      <c r="EG2" s="411"/>
      <c r="EH2" s="411"/>
      <c r="EI2" s="411"/>
      <c r="EJ2" s="411"/>
      <c r="EK2" s="411"/>
      <c r="EL2" s="411"/>
      <c r="EM2" s="411"/>
      <c r="EN2" s="411"/>
      <c r="EO2" s="411"/>
      <c r="EP2" s="411"/>
      <c r="EQ2" s="411"/>
      <c r="ER2" s="411"/>
      <c r="ES2" s="411"/>
      <c r="ET2" s="411"/>
      <c r="EU2" s="411"/>
      <c r="EV2" s="411"/>
      <c r="EW2" s="411"/>
      <c r="EX2" s="411"/>
      <c r="EY2" s="411"/>
      <c r="EZ2" s="411"/>
      <c r="FA2" s="411"/>
      <c r="FB2" s="411"/>
      <c r="FC2" s="411"/>
      <c r="FD2" s="411"/>
      <c r="FE2" s="411"/>
      <c r="FF2" s="411"/>
      <c r="FG2" s="411"/>
      <c r="FH2" s="411"/>
      <c r="FI2" s="411"/>
      <c r="FJ2" s="411"/>
      <c r="FK2" s="411"/>
      <c r="FL2" s="411"/>
      <c r="FM2" s="411"/>
      <c r="FN2" s="411"/>
      <c r="FO2" s="411"/>
      <c r="FP2" s="411"/>
      <c r="FQ2" s="411"/>
      <c r="FR2" s="411"/>
      <c r="FS2" s="411"/>
      <c r="FT2" s="411"/>
      <c r="FU2" s="411"/>
      <c r="FV2" s="411"/>
      <c r="FW2" s="411"/>
      <c r="FX2" s="411"/>
      <c r="FY2" s="411"/>
      <c r="FZ2" s="411"/>
      <c r="GA2" s="411"/>
      <c r="GB2" s="411"/>
      <c r="GC2" s="411"/>
      <c r="GD2" s="411"/>
      <c r="GE2" s="411"/>
      <c r="GF2" s="411"/>
      <c r="GG2" s="411"/>
      <c r="GH2" s="411"/>
      <c r="GI2" s="411"/>
      <c r="GJ2" s="411"/>
      <c r="GK2" s="411"/>
      <c r="GL2" s="411"/>
      <c r="GM2" s="411"/>
      <c r="GN2" s="411"/>
      <c r="GO2" s="411"/>
      <c r="GP2" s="411"/>
      <c r="GQ2" s="411"/>
      <c r="GR2" s="411"/>
      <c r="GS2" s="411"/>
      <c r="GT2" s="411"/>
      <c r="GU2" s="411"/>
      <c r="GV2" s="411"/>
      <c r="GW2" s="411"/>
      <c r="GX2" s="411"/>
      <c r="GY2" s="411"/>
      <c r="GZ2" s="411"/>
      <c r="HA2" s="411"/>
      <c r="HB2" s="411"/>
      <c r="HC2" s="411"/>
      <c r="HD2" s="411"/>
      <c r="HE2" s="411"/>
      <c r="HF2" s="411"/>
      <c r="HG2" s="411"/>
      <c r="HH2" s="411"/>
      <c r="HI2" s="411"/>
      <c r="HJ2" s="411"/>
      <c r="HK2" s="411"/>
      <c r="HL2" s="411"/>
      <c r="HM2" s="411"/>
      <c r="HN2" s="411"/>
      <c r="HO2" s="411"/>
      <c r="HP2" s="411"/>
      <c r="HQ2" s="411"/>
      <c r="HR2" s="411"/>
      <c r="HS2" s="411"/>
      <c r="HT2" s="411"/>
      <c r="HU2" s="411"/>
      <c r="HV2" s="411"/>
      <c r="HW2" s="411"/>
      <c r="HX2" s="411"/>
      <c r="HY2" s="411"/>
      <c r="HZ2" s="411"/>
      <c r="IA2" s="411"/>
      <c r="IB2" s="411"/>
      <c r="IC2" s="411"/>
      <c r="ID2" s="411"/>
      <c r="IE2" s="411"/>
      <c r="IF2" s="411"/>
      <c r="IG2" s="411"/>
      <c r="IH2" s="411"/>
      <c r="II2" s="411"/>
      <c r="IJ2" s="411"/>
      <c r="IK2" s="411"/>
      <c r="IL2" s="411"/>
      <c r="IM2" s="411"/>
      <c r="IN2" s="411"/>
      <c r="IO2" s="411"/>
      <c r="IP2" s="411"/>
      <c r="IQ2" s="411"/>
      <c r="IR2" s="411"/>
      <c r="IS2" s="411"/>
      <c r="IT2" s="411"/>
      <c r="IU2" s="411"/>
      <c r="IV2" s="411"/>
      <c r="IW2" s="411"/>
      <c r="IX2" s="411"/>
      <c r="IY2" s="411"/>
      <c r="IZ2" s="411"/>
      <c r="JA2" s="411"/>
      <c r="JB2" s="411"/>
      <c r="JC2" s="411"/>
      <c r="JD2" s="411"/>
      <c r="JE2" s="411"/>
      <c r="JF2" s="411"/>
      <c r="JG2" s="411"/>
      <c r="JH2" s="411"/>
      <c r="JI2" s="411"/>
      <c r="JJ2" s="411"/>
      <c r="JK2" s="411"/>
      <c r="JL2" s="411"/>
      <c r="JM2" s="411"/>
      <c r="JN2" s="411"/>
      <c r="JO2" s="411"/>
      <c r="JP2" s="411"/>
      <c r="JQ2" s="411"/>
      <c r="JR2" s="411"/>
      <c r="JS2" s="411"/>
      <c r="JT2" s="411"/>
      <c r="JU2" s="411"/>
      <c r="JV2" s="411"/>
      <c r="JW2" s="411"/>
      <c r="JX2" s="411"/>
      <c r="JY2" s="411"/>
      <c r="JZ2" s="411"/>
      <c r="KA2" s="411"/>
      <c r="KB2" s="411"/>
      <c r="KC2" s="411"/>
      <c r="KD2" s="411"/>
      <c r="KE2" s="411"/>
      <c r="KF2" s="411"/>
      <c r="KG2" s="411"/>
      <c r="KH2" s="411"/>
      <c r="KI2" s="411"/>
      <c r="KJ2" s="411"/>
      <c r="KK2" s="411"/>
      <c r="KL2" s="411"/>
      <c r="KM2" s="411"/>
      <c r="KN2" s="411"/>
      <c r="KO2" s="411"/>
      <c r="KP2" s="411"/>
      <c r="KQ2" s="411"/>
      <c r="KR2" s="411"/>
      <c r="KS2" s="411"/>
      <c r="KT2" s="411"/>
      <c r="KU2" s="411"/>
      <c r="KV2" s="411"/>
      <c r="KW2" s="411"/>
      <c r="KX2" s="411"/>
      <c r="KY2" s="411"/>
      <c r="KZ2" s="411"/>
      <c r="LA2" s="411"/>
      <c r="LB2" s="411"/>
      <c r="LC2" s="411"/>
      <c r="LD2" s="411"/>
      <c r="LE2" s="411"/>
      <c r="LF2" s="411"/>
      <c r="LG2" s="411"/>
      <c r="LH2" s="411"/>
      <c r="LI2" s="411"/>
      <c r="LJ2" s="411"/>
      <c r="LK2" s="411"/>
      <c r="LL2" s="411"/>
      <c r="LM2" s="411"/>
      <c r="LN2" s="411"/>
      <c r="LO2" s="411"/>
      <c r="LP2" s="411"/>
      <c r="LQ2" s="411"/>
      <c r="LR2" s="411"/>
      <c r="LS2" s="411"/>
      <c r="LT2" s="411"/>
      <c r="LU2" s="411"/>
      <c r="LV2" s="411"/>
      <c r="LW2" s="411"/>
      <c r="LX2" s="411"/>
      <c r="LY2" s="411"/>
      <c r="LZ2" s="411"/>
      <c r="MA2" s="411"/>
      <c r="MB2" s="411"/>
      <c r="MC2" s="411"/>
      <c r="MD2" s="411"/>
      <c r="ME2" s="411"/>
      <c r="MF2" s="411"/>
      <c r="MG2" s="411"/>
      <c r="MH2" s="411"/>
      <c r="MI2" s="411"/>
      <c r="MJ2" s="411"/>
      <c r="MK2" s="411"/>
      <c r="ML2" s="411"/>
      <c r="MM2" s="411"/>
      <c r="MN2" s="411"/>
      <c r="MO2" s="411"/>
      <c r="MP2" s="411"/>
      <c r="MQ2" s="411"/>
      <c r="MR2" s="411"/>
      <c r="MS2" s="411"/>
      <c r="MT2" s="411"/>
      <c r="MU2" s="411"/>
      <c r="MV2" s="411"/>
      <c r="MW2" s="411"/>
      <c r="MX2" s="411"/>
      <c r="MY2" s="411"/>
      <c r="MZ2" s="411"/>
      <c r="NA2" s="411"/>
      <c r="NB2" s="411"/>
      <c r="NC2" s="411"/>
      <c r="ND2" s="411"/>
      <c r="NE2" s="411"/>
      <c r="NF2" s="411"/>
      <c r="NG2" s="411"/>
      <c r="NH2" s="411"/>
      <c r="NI2" s="411"/>
      <c r="NJ2" s="411"/>
      <c r="NK2" s="411"/>
      <c r="NL2" s="411"/>
      <c r="NM2" s="411"/>
      <c r="NN2" s="411"/>
      <c r="NO2" s="411"/>
      <c r="NP2" s="411"/>
      <c r="NQ2" s="411"/>
      <c r="NR2" s="411"/>
      <c r="NS2" s="411"/>
      <c r="NT2" s="411"/>
      <c r="NU2" s="411"/>
      <c r="NV2" s="411"/>
      <c r="NW2" s="411"/>
      <c r="NX2" s="411"/>
      <c r="NY2" s="411"/>
      <c r="NZ2" s="411"/>
      <c r="OA2" s="411"/>
      <c r="OB2" s="411"/>
      <c r="OC2" s="411"/>
      <c r="OD2" s="411"/>
      <c r="OE2" s="411"/>
      <c r="OF2" s="411"/>
      <c r="OG2" s="411"/>
      <c r="OH2" s="411"/>
      <c r="OI2" s="411"/>
      <c r="OJ2" s="411"/>
      <c r="OK2" s="411"/>
      <c r="OL2" s="411"/>
      <c r="OM2" s="411"/>
      <c r="ON2" s="411"/>
      <c r="OO2" s="411"/>
      <c r="OP2" s="411"/>
      <c r="OQ2" s="411"/>
      <c r="OR2" s="411"/>
      <c r="OS2" s="411"/>
      <c r="OT2" s="411"/>
      <c r="OU2" s="411"/>
      <c r="OV2" s="411"/>
      <c r="OW2" s="411"/>
      <c r="OX2" s="411"/>
      <c r="OY2" s="411"/>
      <c r="OZ2" s="411"/>
      <c r="PA2" s="411"/>
      <c r="PB2" s="411"/>
      <c r="PC2" s="411"/>
      <c r="PD2" s="411"/>
      <c r="PE2" s="411"/>
      <c r="PF2" s="411"/>
      <c r="PG2" s="411"/>
      <c r="PH2" s="411"/>
      <c r="PI2" s="411"/>
      <c r="PJ2" s="411"/>
      <c r="PK2" s="411"/>
      <c r="PL2" s="411"/>
      <c r="PM2" s="411"/>
      <c r="PN2" s="411"/>
      <c r="PO2" s="411"/>
      <c r="PP2" s="411"/>
      <c r="PQ2" s="411"/>
      <c r="PR2" s="411"/>
      <c r="PS2" s="411"/>
      <c r="PT2" s="411"/>
      <c r="PU2" s="411"/>
      <c r="PV2" s="411"/>
      <c r="PW2" s="411"/>
      <c r="PX2" s="411"/>
      <c r="PY2" s="411"/>
      <c r="PZ2" s="411"/>
      <c r="QA2" s="411"/>
      <c r="QB2" s="411"/>
      <c r="QC2" s="411"/>
      <c r="QD2" s="411"/>
      <c r="QE2" s="411"/>
      <c r="QF2" s="411"/>
      <c r="QG2" s="411"/>
      <c r="QH2" s="411"/>
      <c r="QI2" s="411"/>
      <c r="QJ2" s="411"/>
      <c r="QK2" s="411"/>
      <c r="QL2" s="411"/>
      <c r="QM2" s="411"/>
      <c r="QN2" s="411"/>
      <c r="QO2" s="411"/>
      <c r="QP2" s="411"/>
      <c r="QQ2" s="411"/>
      <c r="QR2" s="411"/>
      <c r="QS2" s="411"/>
      <c r="QT2" s="411"/>
      <c r="QU2" s="411"/>
      <c r="QV2" s="411"/>
      <c r="QW2" s="411"/>
      <c r="QX2" s="411"/>
      <c r="QY2" s="411"/>
      <c r="QZ2" s="411"/>
      <c r="RA2" s="411"/>
      <c r="RB2" s="411"/>
      <c r="RC2" s="411"/>
      <c r="RD2" s="411"/>
      <c r="RE2" s="411"/>
      <c r="RF2" s="411"/>
      <c r="RG2" s="411"/>
      <c r="RH2" s="411"/>
      <c r="RI2" s="411"/>
      <c r="RJ2" s="411"/>
      <c r="RK2" s="411"/>
      <c r="RL2" s="411"/>
      <c r="RM2" s="411"/>
      <c r="RN2" s="411"/>
      <c r="RO2" s="411"/>
      <c r="RP2" s="411"/>
      <c r="RQ2" s="411"/>
      <c r="RR2" s="411"/>
      <c r="RS2" s="411"/>
      <c r="RT2" s="411"/>
      <c r="RU2" s="411"/>
      <c r="RV2" s="411"/>
      <c r="RW2" s="411"/>
      <c r="RX2" s="411"/>
      <c r="RY2" s="411"/>
      <c r="RZ2" s="411"/>
      <c r="SA2" s="411"/>
      <c r="SB2" s="411"/>
      <c r="SC2" s="411"/>
      <c r="SD2" s="411"/>
      <c r="SE2" s="411"/>
      <c r="SF2" s="411"/>
      <c r="SG2" s="411"/>
      <c r="SH2" s="411"/>
      <c r="SI2" s="411"/>
      <c r="SJ2" s="411"/>
      <c r="SK2" s="411"/>
      <c r="SL2" s="411"/>
      <c r="SM2" s="411"/>
      <c r="SN2" s="411"/>
      <c r="SO2" s="411"/>
      <c r="SP2" s="411"/>
      <c r="SQ2" s="411"/>
      <c r="SR2" s="411"/>
      <c r="SS2" s="411"/>
      <c r="ST2" s="411"/>
      <c r="SU2" s="411"/>
      <c r="SV2" s="411"/>
      <c r="SW2" s="411"/>
      <c r="SX2" s="411"/>
      <c r="SY2" s="411"/>
      <c r="SZ2" s="411"/>
      <c r="TA2" s="411"/>
      <c r="TB2" s="411"/>
      <c r="TC2" s="411"/>
      <c r="TD2" s="411"/>
      <c r="TE2" s="411"/>
      <c r="TF2" s="411"/>
      <c r="TG2" s="411"/>
      <c r="TH2" s="411"/>
      <c r="TI2" s="411"/>
      <c r="TJ2" s="411"/>
      <c r="TK2" s="411"/>
      <c r="TL2" s="411"/>
      <c r="TM2" s="411"/>
      <c r="TN2" s="411"/>
      <c r="TO2" s="411"/>
      <c r="TP2" s="411"/>
      <c r="TQ2" s="411"/>
      <c r="TR2" s="411"/>
      <c r="TS2" s="411"/>
      <c r="TT2" s="411"/>
      <c r="TU2" s="411"/>
      <c r="TV2" s="411"/>
      <c r="TW2" s="411"/>
      <c r="TX2" s="411"/>
      <c r="TY2" s="411"/>
      <c r="TZ2" s="411"/>
      <c r="UA2" s="411"/>
      <c r="UB2" s="411"/>
      <c r="UC2" s="411"/>
      <c r="UD2" s="411"/>
      <c r="UE2" s="411"/>
      <c r="UF2" s="411"/>
      <c r="UG2" s="411"/>
      <c r="UH2" s="411"/>
      <c r="UI2" s="411"/>
      <c r="UJ2" s="411"/>
      <c r="UK2" s="411"/>
      <c r="UL2" s="411"/>
      <c r="UM2" s="411"/>
      <c r="UN2" s="411"/>
      <c r="UO2" s="411"/>
      <c r="UP2" s="411"/>
      <c r="UQ2" s="411"/>
      <c r="UR2" s="411"/>
      <c r="US2" s="411"/>
      <c r="UT2" s="411"/>
      <c r="UU2" s="411"/>
      <c r="UV2" s="411"/>
      <c r="UW2" s="411"/>
      <c r="UX2" s="411"/>
      <c r="UY2" s="411"/>
      <c r="UZ2" s="411"/>
      <c r="VA2" s="411"/>
      <c r="VB2" s="411"/>
      <c r="VC2" s="411"/>
      <c r="VD2" s="411"/>
      <c r="VE2" s="411"/>
      <c r="VF2" s="411"/>
      <c r="VG2" s="411"/>
      <c r="VH2" s="411"/>
      <c r="VI2" s="411"/>
      <c r="VJ2" s="411"/>
      <c r="VK2" s="411"/>
      <c r="VL2" s="411"/>
      <c r="VM2" s="411"/>
      <c r="VN2" s="411"/>
      <c r="VO2" s="411"/>
      <c r="VP2" s="411"/>
      <c r="VQ2" s="411"/>
      <c r="VR2" s="411"/>
      <c r="VS2" s="411"/>
      <c r="VT2" s="411"/>
      <c r="VU2" s="411"/>
      <c r="VV2" s="411"/>
      <c r="VW2" s="411"/>
      <c r="VX2" s="411"/>
      <c r="VY2" s="411"/>
      <c r="VZ2" s="411"/>
      <c r="WA2" s="411"/>
      <c r="WB2" s="411"/>
      <c r="WC2" s="411"/>
      <c r="WD2" s="411"/>
      <c r="WE2" s="411"/>
      <c r="WF2" s="411"/>
      <c r="WG2" s="411"/>
      <c r="WH2" s="411"/>
      <c r="WI2" s="411"/>
      <c r="WJ2" s="411"/>
      <c r="WK2" s="411"/>
      <c r="WL2" s="411"/>
      <c r="WM2" s="411"/>
      <c r="WN2" s="411"/>
      <c r="WO2" s="411"/>
      <c r="WP2" s="411"/>
      <c r="WQ2" s="411"/>
      <c r="WR2" s="411"/>
      <c r="WS2" s="411"/>
      <c r="WT2" s="411"/>
      <c r="WU2" s="411"/>
      <c r="WV2" s="411"/>
      <c r="WW2" s="411"/>
      <c r="WX2" s="411"/>
      <c r="WY2" s="411"/>
      <c r="WZ2" s="411"/>
      <c r="XA2" s="411"/>
      <c r="XB2" s="411"/>
      <c r="XC2" s="411"/>
      <c r="XD2" s="411"/>
      <c r="XE2" s="411"/>
      <c r="XF2" s="411"/>
      <c r="XG2" s="411"/>
      <c r="XH2" s="411"/>
      <c r="XI2" s="411"/>
      <c r="XJ2" s="411"/>
      <c r="XK2" s="411"/>
      <c r="XL2" s="411"/>
      <c r="XM2" s="411"/>
      <c r="XN2" s="411"/>
      <c r="XO2" s="411"/>
      <c r="XP2" s="411"/>
      <c r="XQ2" s="411"/>
      <c r="XR2" s="411"/>
      <c r="XS2" s="411"/>
      <c r="XT2" s="411"/>
      <c r="XU2" s="411"/>
      <c r="XV2" s="411"/>
      <c r="XW2" s="411"/>
      <c r="XX2" s="411"/>
      <c r="XY2" s="411"/>
      <c r="XZ2" s="411"/>
      <c r="YA2" s="411"/>
      <c r="YB2" s="411"/>
      <c r="YC2" s="411"/>
      <c r="YD2" s="411"/>
      <c r="YE2" s="411"/>
      <c r="YF2" s="411"/>
      <c r="YG2" s="411"/>
      <c r="YH2" s="411"/>
      <c r="YI2" s="411"/>
      <c r="YJ2" s="411"/>
      <c r="YK2" s="411"/>
      <c r="YL2" s="411"/>
      <c r="YM2" s="411"/>
      <c r="YN2" s="411"/>
      <c r="YO2" s="411"/>
      <c r="YP2" s="411"/>
      <c r="YQ2" s="411"/>
      <c r="YR2" s="411"/>
      <c r="YS2" s="411"/>
      <c r="YT2" s="411"/>
      <c r="YU2" s="411"/>
      <c r="YV2" s="411"/>
      <c r="YW2" s="411"/>
      <c r="YX2" s="411"/>
      <c r="YY2" s="411"/>
      <c r="YZ2" s="411"/>
      <c r="ZA2" s="411"/>
      <c r="ZB2" s="411"/>
      <c r="ZC2" s="411"/>
      <c r="ZD2" s="411"/>
      <c r="ZE2" s="411"/>
      <c r="ZF2" s="411"/>
      <c r="ZG2" s="411"/>
      <c r="ZH2" s="411"/>
      <c r="ZI2" s="411"/>
      <c r="ZJ2" s="411"/>
      <c r="ZK2" s="411"/>
      <c r="ZL2" s="411"/>
      <c r="ZM2" s="411"/>
      <c r="ZN2" s="411"/>
      <c r="ZO2" s="411"/>
      <c r="ZP2" s="411"/>
      <c r="ZQ2" s="411"/>
      <c r="ZR2" s="411"/>
      <c r="ZS2" s="411"/>
      <c r="ZT2" s="411"/>
      <c r="ZU2" s="411"/>
      <c r="ZV2" s="411"/>
      <c r="ZW2" s="411"/>
      <c r="ZX2" s="411"/>
      <c r="ZY2" s="411"/>
      <c r="ZZ2" s="411"/>
      <c r="AAA2" s="411"/>
      <c r="AAB2" s="411"/>
      <c r="AAC2" s="411"/>
      <c r="AAD2" s="411"/>
      <c r="AAE2" s="411"/>
      <c r="AAF2" s="411"/>
      <c r="AAG2" s="411"/>
      <c r="AAH2" s="411"/>
      <c r="AAI2" s="411"/>
      <c r="AAJ2" s="411"/>
      <c r="AAK2" s="411"/>
      <c r="AAL2" s="411"/>
      <c r="AAM2" s="411"/>
      <c r="AAN2" s="411"/>
      <c r="AAO2" s="411"/>
      <c r="AAP2" s="411"/>
      <c r="AAQ2" s="411"/>
      <c r="AAR2" s="411"/>
      <c r="AAS2" s="411"/>
      <c r="AAT2" s="411"/>
      <c r="AAU2" s="411"/>
      <c r="AAV2" s="411"/>
      <c r="AAW2" s="411"/>
      <c r="AAX2" s="411"/>
      <c r="AAY2" s="411"/>
      <c r="AAZ2" s="411"/>
      <c r="ABA2" s="411"/>
      <c r="ABB2" s="411"/>
      <c r="ABC2" s="411"/>
      <c r="ABD2" s="411"/>
      <c r="ABE2" s="411"/>
      <c r="ABF2" s="411"/>
      <c r="ABG2" s="411"/>
      <c r="ABH2" s="411"/>
      <c r="ABI2" s="411"/>
      <c r="ABJ2" s="411"/>
      <c r="ABK2" s="411"/>
      <c r="ABL2" s="411"/>
      <c r="ABM2" s="411"/>
      <c r="ABN2" s="411"/>
      <c r="ABO2" s="411"/>
      <c r="ABP2" s="411"/>
      <c r="ABQ2" s="411"/>
      <c r="ABR2" s="411"/>
      <c r="ABS2" s="411"/>
      <c r="ABT2" s="411"/>
      <c r="ABU2" s="411"/>
      <c r="ABV2" s="411"/>
      <c r="ABW2" s="411"/>
      <c r="ABX2" s="411"/>
      <c r="ABY2" s="411"/>
      <c r="ABZ2" s="411"/>
      <c r="ACA2" s="411"/>
      <c r="ACB2" s="411"/>
      <c r="ACC2" s="411"/>
      <c r="ACD2" s="411"/>
      <c r="ACE2" s="411"/>
      <c r="ACF2" s="411"/>
      <c r="ACG2" s="411"/>
      <c r="ACH2" s="411"/>
      <c r="ACI2" s="411"/>
      <c r="ACJ2" s="411"/>
      <c r="ACK2" s="411"/>
      <c r="ACL2" s="411"/>
      <c r="ACM2" s="411"/>
      <c r="ACN2" s="411"/>
      <c r="ACO2" s="411"/>
      <c r="ACP2" s="411"/>
      <c r="ACQ2" s="411"/>
      <c r="ACR2" s="411"/>
      <c r="ACS2" s="411"/>
      <c r="ACT2" s="411"/>
      <c r="ACU2" s="411"/>
      <c r="ACV2" s="411"/>
      <c r="ACW2" s="411"/>
      <c r="ACX2" s="411"/>
      <c r="ACY2" s="411"/>
      <c r="ACZ2" s="411"/>
      <c r="ADA2" s="411"/>
      <c r="ADB2" s="411"/>
      <c r="ADC2" s="411"/>
      <c r="ADD2" s="411"/>
      <c r="ADE2" s="411"/>
      <c r="ADF2" s="411"/>
      <c r="ADG2" s="411"/>
      <c r="ADH2" s="411"/>
      <c r="ADI2" s="411"/>
      <c r="ADJ2" s="411"/>
      <c r="ADK2" s="411"/>
      <c r="ADL2" s="411"/>
      <c r="ADM2" s="411"/>
      <c r="ADN2" s="411"/>
      <c r="ADO2" s="411"/>
      <c r="ADP2" s="411"/>
      <c r="ADQ2" s="411"/>
      <c r="ADR2" s="411"/>
      <c r="ADS2" s="411"/>
      <c r="ADT2" s="411"/>
      <c r="ADU2" s="411"/>
      <c r="ADV2" s="411"/>
      <c r="ADW2" s="411"/>
      <c r="ADX2" s="411"/>
      <c r="ADY2" s="411"/>
      <c r="ADZ2" s="411"/>
      <c r="AEA2" s="411"/>
      <c r="AEB2" s="411"/>
      <c r="AEC2" s="411"/>
      <c r="AED2" s="411"/>
      <c r="AEE2" s="411"/>
      <c r="AEF2" s="411"/>
      <c r="AEG2" s="411"/>
      <c r="AEH2" s="411"/>
      <c r="AEI2" s="411"/>
      <c r="AEJ2" s="411"/>
      <c r="AEK2" s="411"/>
      <c r="AEL2" s="411"/>
      <c r="AEM2" s="411"/>
      <c r="AEN2" s="411"/>
      <c r="AEO2" s="411"/>
      <c r="AEP2" s="411"/>
      <c r="AEQ2" s="411"/>
      <c r="AER2" s="411"/>
      <c r="AES2" s="411"/>
      <c r="AET2" s="411"/>
      <c r="AEU2" s="411"/>
      <c r="AEV2" s="411"/>
      <c r="AEW2" s="411"/>
      <c r="AEX2" s="411"/>
      <c r="AEY2" s="411"/>
      <c r="AEZ2" s="411"/>
      <c r="AFA2" s="411"/>
      <c r="AFB2" s="411"/>
      <c r="AFC2" s="411"/>
      <c r="AFD2" s="411"/>
      <c r="AFE2" s="411"/>
      <c r="AFF2" s="411"/>
      <c r="AFG2" s="411"/>
      <c r="AFH2" s="411"/>
      <c r="AFI2" s="411"/>
      <c r="AFJ2" s="411"/>
      <c r="AFK2" s="411"/>
      <c r="AFL2" s="411"/>
      <c r="AFM2" s="411"/>
      <c r="AFN2" s="411"/>
      <c r="AFO2" s="411"/>
      <c r="AFP2" s="411"/>
      <c r="AFQ2" s="411"/>
      <c r="AFR2" s="411"/>
      <c r="AFS2" s="411"/>
      <c r="AFT2" s="411"/>
      <c r="AFU2" s="411"/>
      <c r="AFV2" s="411"/>
      <c r="AFW2" s="411"/>
      <c r="AFX2" s="411"/>
      <c r="AFY2" s="411"/>
      <c r="AFZ2" s="411"/>
      <c r="AGA2" s="411"/>
      <c r="AGB2" s="411"/>
      <c r="AGC2" s="411"/>
      <c r="AGD2" s="411"/>
      <c r="AGE2" s="411"/>
      <c r="AGF2" s="411"/>
      <c r="AGG2" s="411"/>
      <c r="AGH2" s="411"/>
      <c r="AGI2" s="411"/>
      <c r="AGJ2" s="411"/>
      <c r="AGK2" s="411"/>
      <c r="AGL2" s="411"/>
      <c r="AGM2" s="411"/>
      <c r="AGN2" s="411"/>
      <c r="AGO2" s="411"/>
      <c r="AGP2" s="411"/>
      <c r="AGQ2" s="411"/>
      <c r="AGR2" s="411"/>
      <c r="AGS2" s="411"/>
      <c r="AGT2" s="411"/>
      <c r="AGU2" s="411"/>
      <c r="AGV2" s="411"/>
      <c r="AGW2" s="411"/>
      <c r="AGX2" s="411"/>
      <c r="AGY2" s="411"/>
      <c r="AGZ2" s="411"/>
      <c r="AHA2" s="411"/>
      <c r="AHB2" s="411"/>
      <c r="AHC2" s="411"/>
      <c r="AHD2" s="411"/>
      <c r="AHE2" s="411"/>
      <c r="AHF2" s="411"/>
      <c r="AHG2" s="411"/>
      <c r="AHH2" s="411"/>
      <c r="AHI2" s="411"/>
      <c r="AHJ2" s="411"/>
      <c r="AHK2" s="411"/>
      <c r="AHL2" s="411"/>
      <c r="AHM2" s="411"/>
      <c r="AHN2" s="411"/>
      <c r="AHO2" s="411"/>
      <c r="AHP2" s="411"/>
      <c r="AHQ2" s="411"/>
      <c r="AHR2" s="411"/>
      <c r="AHS2" s="411"/>
      <c r="AHT2" s="411"/>
      <c r="AHU2" s="411"/>
      <c r="AHV2" s="411"/>
      <c r="AHW2" s="411"/>
      <c r="AHX2" s="411"/>
      <c r="AHY2" s="411"/>
      <c r="AHZ2" s="411"/>
      <c r="AIA2" s="411"/>
      <c r="AIB2" s="411"/>
      <c r="AIC2" s="411"/>
      <c r="AID2" s="411"/>
      <c r="AIE2" s="411"/>
      <c r="AIF2" s="411"/>
      <c r="AIG2" s="411"/>
      <c r="AIH2" s="411"/>
      <c r="AII2" s="411"/>
      <c r="AIJ2" s="411"/>
      <c r="AIK2" s="411"/>
      <c r="AIL2" s="411"/>
      <c r="AIM2" s="411"/>
      <c r="AIN2" s="411"/>
      <c r="AIO2" s="411"/>
      <c r="AIP2" s="411"/>
      <c r="AIQ2" s="411"/>
      <c r="AIR2" s="411"/>
      <c r="AIS2" s="411"/>
      <c r="AIT2" s="411"/>
      <c r="AIU2" s="411"/>
      <c r="AIV2" s="411"/>
      <c r="AIW2" s="411"/>
      <c r="AIX2" s="411"/>
      <c r="AIY2" s="411"/>
      <c r="AIZ2" s="411"/>
      <c r="AJA2" s="411"/>
      <c r="AJB2" s="411"/>
      <c r="AJC2" s="411"/>
      <c r="AJD2" s="411"/>
      <c r="AJE2" s="411"/>
      <c r="AJF2" s="411"/>
      <c r="AJG2" s="411"/>
      <c r="AJH2" s="411"/>
      <c r="AJI2" s="411"/>
      <c r="AJJ2" s="411"/>
      <c r="AJK2" s="411"/>
      <c r="AJL2" s="411"/>
      <c r="AJM2" s="411"/>
      <c r="AJN2" s="411"/>
      <c r="AJO2" s="411"/>
      <c r="AJP2" s="411"/>
      <c r="AJQ2" s="411"/>
      <c r="AJR2" s="411"/>
      <c r="AJS2" s="411"/>
      <c r="AJT2" s="411"/>
      <c r="AJU2" s="411"/>
      <c r="AJV2" s="411"/>
      <c r="AJW2" s="411"/>
      <c r="AJX2" s="411"/>
      <c r="AJY2" s="411"/>
      <c r="AJZ2" s="411"/>
      <c r="AKA2" s="411"/>
      <c r="AKB2" s="411"/>
      <c r="AKC2" s="411"/>
      <c r="AKD2" s="411"/>
      <c r="AKE2" s="411"/>
      <c r="AKF2" s="411"/>
      <c r="AKG2" s="411"/>
      <c r="AKH2" s="411"/>
      <c r="AKI2" s="411"/>
      <c r="AKJ2" s="411"/>
      <c r="AKK2" s="411"/>
      <c r="AKL2" s="411"/>
      <c r="AKM2" s="411"/>
      <c r="AKN2" s="411"/>
      <c r="AKO2" s="411"/>
      <c r="AKP2" s="411"/>
      <c r="AKQ2" s="411"/>
      <c r="AKR2" s="411"/>
      <c r="AKS2" s="411"/>
      <c r="AKT2" s="411"/>
    </row>
    <row r="3">
      <c r="A3" s="411" t="s">
        <v>15</v>
      </c>
      <c r="B3" s="411"/>
      <c r="C3" s="411">
        <v>12.9399995803833</v>
      </c>
      <c r="D3" s="411">
        <v>12.27999973297119</v>
      </c>
      <c r="E3" s="411">
        <v>11.1899995803833</v>
      </c>
      <c r="F3" s="411">
        <v>11.68</v>
      </c>
      <c r="G3" s="411">
        <v>11.34</v>
      </c>
      <c r="H3" s="411">
        <v>11.76</v>
      </c>
      <c r="I3" s="411">
        <v>11.68</v>
      </c>
      <c r="J3" s="411">
        <v>12.11999988555908</v>
      </c>
      <c r="K3" s="411">
        <v>12.02999973297119</v>
      </c>
      <c r="L3" s="411">
        <v>11.52999973297119</v>
      </c>
      <c r="M3" s="411">
        <v>11.21000003814697</v>
      </c>
      <c r="N3" s="411">
        <v>10.80000019073486</v>
      </c>
      <c r="O3" s="411">
        <v>10.76000022888184</v>
      </c>
      <c r="P3" s="411">
        <v>10.78999996185303</v>
      </c>
      <c r="Q3" s="411">
        <v>12.27999973297119</v>
      </c>
      <c r="R3" s="411">
        <v>12.14999961853027</v>
      </c>
      <c r="S3" s="411">
        <v>11.97000026702881</v>
      </c>
      <c r="T3" s="411">
        <v>11.56999969482422</v>
      </c>
      <c r="U3" s="411">
        <v>11.39000034332275</v>
      </c>
      <c r="V3" s="411">
        <v>11.11999988555908</v>
      </c>
      <c r="W3" s="411">
        <v>10.69999980926514</v>
      </c>
      <c r="X3" s="411">
        <v>10.72000026702881</v>
      </c>
      <c r="Y3" s="411">
        <v>10.61999989</v>
      </c>
      <c r="Z3" s="411">
        <v>10.31000042</v>
      </c>
      <c r="AA3" s="411">
        <v>9.880000114440918</v>
      </c>
      <c r="AB3" s="411">
        <v>10.19999980926514</v>
      </c>
      <c r="AC3" s="411">
        <v>10.85999965667725</v>
      </c>
      <c r="AD3" s="411">
        <v>10.77000045776367</v>
      </c>
      <c r="AE3" s="411">
        <v>11.30000019073486</v>
      </c>
      <c r="AF3" s="411">
        <v>11.32999992370605</v>
      </c>
      <c r="AG3" s="411">
        <v>11.63000011444092</v>
      </c>
      <c r="AH3" s="411">
        <v>11.72000026702881</v>
      </c>
      <c r="AI3" s="411">
        <v>11.77000045776367</v>
      </c>
      <c r="AJ3" s="411">
        <v>12.28999996185303</v>
      </c>
      <c r="AK3" s="411">
        <v>12.97000026702881</v>
      </c>
      <c r="AL3" s="411">
        <v>12.85999965667725</v>
      </c>
      <c r="AM3" s="411">
        <v>12.76000022888184</v>
      </c>
      <c r="AN3" s="411">
        <v>12.35999965667725</v>
      </c>
      <c r="AO3" s="411">
        <v>14.19999980926514</v>
      </c>
      <c r="AP3" s="411">
        <v>14.5</v>
      </c>
      <c r="AQ3" s="411">
        <v>14.07999992370605</v>
      </c>
      <c r="AR3" s="411">
        <v>15.39999961853027</v>
      </c>
      <c r="AS3" s="411">
        <v>14.93000030517578</v>
      </c>
      <c r="AT3" s="411">
        <v>14.6899995803833</v>
      </c>
      <c r="AU3" s="411">
        <v>15.60000038146973</v>
      </c>
      <c r="AV3" s="411">
        <v>16.03000068664551</v>
      </c>
      <c r="AW3" s="411">
        <v>16.29999923706055</v>
      </c>
      <c r="AX3" s="411">
        <v>16.04999923706055</v>
      </c>
      <c r="AY3" s="411">
        <v>16.85000038146973</v>
      </c>
      <c r="AZ3" s="411">
        <v>17.85000038146973</v>
      </c>
      <c r="BA3" s="411">
        <v>18.35000038146973</v>
      </c>
      <c r="BB3" s="411">
        <v>18.28000068664551</v>
      </c>
      <c r="BC3" s="411">
        <v>20.20000076293945</v>
      </c>
      <c r="BD3" s="411">
        <v>19.48999977111816</v>
      </c>
      <c r="BE3" s="411">
        <v>19.61000061035156</v>
      </c>
      <c r="BF3" s="411">
        <v>19.21</v>
      </c>
      <c r="BG3" s="411">
        <v>18.36000061035156</v>
      </c>
      <c r="BH3" s="411">
        <v>19.95000076293945</v>
      </c>
      <c r="BI3" s="411">
        <v>20.04999923706055</v>
      </c>
      <c r="BJ3" s="411">
        <v>20.61000061035156</v>
      </c>
      <c r="BK3" s="411">
        <v>21.42000007629395</v>
      </c>
      <c r="BL3" s="411">
        <v>21.59000015258789</v>
      </c>
      <c r="BM3" s="411">
        <v>21.76000022888184</v>
      </c>
      <c r="BN3" s="411">
        <v>21.19000053405762</v>
      </c>
      <c r="BO3" s="411">
        <v>21.23999977111816</v>
      </c>
      <c r="BP3" s="411">
        <v>20.67000007629395</v>
      </c>
      <c r="BQ3" s="411">
        <v>20.94000053405762</v>
      </c>
      <c r="BR3" s="411">
        <v>21.35000038146973</v>
      </c>
      <c r="BS3" s="411">
        <v>21.34000015258789</v>
      </c>
      <c r="BT3" s="411">
        <v>21.86000061035156</v>
      </c>
      <c r="BU3" s="411">
        <v>13.37</v>
      </c>
      <c r="BV3" s="411">
        <v>21.1299991607666</v>
      </c>
      <c r="BW3" s="411">
        <v>20.46999931335449</v>
      </c>
      <c r="BX3" s="411">
        <v>19.13999938964844</v>
      </c>
      <c r="BY3" s="411">
        <v>19.31999969482422</v>
      </c>
      <c r="BZ3" s="411">
        <v>19.92000007629395</v>
      </c>
      <c r="CA3" s="411">
        <v>19.39999961853027</v>
      </c>
      <c r="CB3" s="411">
        <v>18.56999969482422</v>
      </c>
      <c r="CC3" s="411">
        <v>18.11</v>
      </c>
      <c r="CD3" s="411">
        <v>16.96999931335449</v>
      </c>
      <c r="CE3" s="411">
        <v>17.32999992370605</v>
      </c>
      <c r="CF3" s="411">
        <v>17.21999931335449</v>
      </c>
      <c r="CG3" s="411">
        <v>17.22999954223633</v>
      </c>
      <c r="CH3" s="411">
        <v>17.0</v>
      </c>
      <c r="CI3" s="411">
        <v>18.5</v>
      </c>
      <c r="CJ3" s="411">
        <v>18.79999923706055</v>
      </c>
      <c r="CK3" s="411">
        <v>18.45999908447266</v>
      </c>
      <c r="CL3" s="411">
        <v>18.43000030517578</v>
      </c>
      <c r="CM3" s="411">
        <v>17.68000030517578</v>
      </c>
      <c r="CN3" s="411">
        <v>17.55999946594238</v>
      </c>
      <c r="CO3" s="411">
        <v>17.70000076293945</v>
      </c>
      <c r="CP3" s="411">
        <v>17.70999908447266</v>
      </c>
      <c r="CQ3" s="411">
        <v>17.42000007629395</v>
      </c>
      <c r="CR3" s="411">
        <v>17.17000007629395</v>
      </c>
      <c r="CS3" s="411">
        <v>17.21999931335449</v>
      </c>
      <c r="CT3" s="411">
        <v>17.25</v>
      </c>
      <c r="CU3" s="411">
        <v>17.53000069</v>
      </c>
      <c r="CV3" s="411">
        <v>16.59000015</v>
      </c>
      <c r="CW3" s="411">
        <v>18.21999931</v>
      </c>
      <c r="CX3" s="411">
        <v>17.04999924</v>
      </c>
      <c r="CY3" s="411">
        <v>16.96999931335449</v>
      </c>
      <c r="CZ3" s="411">
        <v>15.85000038146973</v>
      </c>
      <c r="DA3" s="411">
        <v>15.63000011444092</v>
      </c>
      <c r="DB3" s="411">
        <v>15.31999969482422</v>
      </c>
      <c r="DC3" s="411">
        <v>15.90999984741211</v>
      </c>
      <c r="DD3" s="411">
        <v>15.6899995803833</v>
      </c>
      <c r="DE3" s="411">
        <v>16.01000022888184</v>
      </c>
      <c r="DF3" s="411">
        <v>16.20000076293945</v>
      </c>
      <c r="DG3" s="411">
        <v>15.34000015258789</v>
      </c>
      <c r="DH3" s="411">
        <v>14.97999954223633</v>
      </c>
      <c r="DI3" s="411">
        <v>14.86999988555908</v>
      </c>
      <c r="DJ3" s="411">
        <v>15.01</v>
      </c>
      <c r="DK3" s="411">
        <v>15.03999996185303</v>
      </c>
      <c r="DL3" s="411">
        <v>14.48999977111816</v>
      </c>
      <c r="DM3" s="411">
        <v>14.93000030517578</v>
      </c>
      <c r="DN3" s="411"/>
      <c r="DO3" s="411"/>
      <c r="DP3" s="411"/>
      <c r="DQ3" s="411"/>
      <c r="DR3" s="411"/>
      <c r="DS3" s="411"/>
      <c r="DT3" s="411"/>
      <c r="DU3" s="411"/>
      <c r="DV3" s="411"/>
      <c r="DW3" s="411"/>
      <c r="DX3" s="411"/>
      <c r="DY3" s="411"/>
      <c r="DZ3" s="411"/>
      <c r="EA3" s="411"/>
      <c r="EB3" s="411"/>
      <c r="EC3" s="411"/>
      <c r="ED3" s="411"/>
      <c r="EE3" s="411"/>
      <c r="EF3" s="411"/>
      <c r="EG3" s="411"/>
      <c r="EH3" s="411"/>
      <c r="EI3" s="411"/>
      <c r="EJ3" s="411"/>
      <c r="EK3" s="411"/>
      <c r="EL3" s="411"/>
      <c r="EM3" s="411"/>
      <c r="EN3" s="411"/>
      <c r="EO3" s="411"/>
      <c r="EP3" s="411"/>
      <c r="EQ3" s="411"/>
      <c r="ER3" s="411"/>
      <c r="ES3" s="411"/>
      <c r="ET3" s="411"/>
      <c r="EU3" s="411"/>
      <c r="EV3" s="411"/>
      <c r="EW3" s="411"/>
      <c r="EX3" s="411"/>
      <c r="EY3" s="411"/>
      <c r="EZ3" s="411"/>
      <c r="FA3" s="411"/>
      <c r="FB3" s="411"/>
      <c r="FC3" s="411"/>
      <c r="FD3" s="411"/>
      <c r="FE3" s="411"/>
      <c r="FF3" s="411"/>
      <c r="FG3" s="411"/>
      <c r="FH3" s="411"/>
      <c r="FI3" s="411"/>
      <c r="FJ3" s="411"/>
      <c r="FK3" s="411"/>
      <c r="FL3" s="411"/>
      <c r="FM3" s="411"/>
      <c r="FN3" s="411"/>
      <c r="FO3" s="411"/>
      <c r="FP3" s="411"/>
      <c r="FQ3" s="411"/>
      <c r="FR3" s="411"/>
      <c r="FS3" s="411"/>
      <c r="FT3" s="411"/>
      <c r="FU3" s="411"/>
      <c r="FV3" s="411"/>
      <c r="FW3" s="411"/>
      <c r="FX3" s="411"/>
      <c r="FY3" s="411"/>
      <c r="FZ3" s="411"/>
      <c r="GA3" s="411"/>
      <c r="GB3" s="411"/>
      <c r="GC3" s="411"/>
      <c r="GD3" s="411"/>
      <c r="GE3" s="411"/>
      <c r="GF3" s="411"/>
      <c r="GG3" s="411"/>
      <c r="GH3" s="411"/>
      <c r="GI3" s="411"/>
      <c r="GJ3" s="411"/>
      <c r="GK3" s="411"/>
      <c r="GL3" s="411"/>
      <c r="GM3" s="411"/>
      <c r="GN3" s="411"/>
      <c r="GO3" s="411"/>
      <c r="GP3" s="411"/>
      <c r="GQ3" s="411"/>
      <c r="GR3" s="411"/>
      <c r="GS3" s="411"/>
      <c r="GT3" s="411"/>
      <c r="GU3" s="411"/>
      <c r="GV3" s="411"/>
      <c r="GW3" s="411"/>
      <c r="GX3" s="411"/>
      <c r="GY3" s="411"/>
      <c r="GZ3" s="411"/>
      <c r="HA3" s="411"/>
      <c r="HB3" s="411"/>
      <c r="HC3" s="411"/>
      <c r="HD3" s="411"/>
      <c r="HE3" s="411"/>
      <c r="HF3" s="411"/>
      <c r="HG3" s="411"/>
      <c r="HH3" s="411"/>
      <c r="HI3" s="411"/>
      <c r="HJ3" s="411"/>
      <c r="HK3" s="411"/>
      <c r="HL3" s="411"/>
      <c r="HM3" s="411"/>
      <c r="HN3" s="411"/>
      <c r="HO3" s="411"/>
      <c r="HP3" s="411"/>
      <c r="HQ3" s="411"/>
      <c r="HR3" s="411"/>
      <c r="HS3" s="411"/>
      <c r="HT3" s="411"/>
      <c r="HU3" s="411"/>
      <c r="HV3" s="411"/>
      <c r="HW3" s="411"/>
      <c r="HX3" s="411"/>
      <c r="HY3" s="411"/>
      <c r="HZ3" s="411"/>
      <c r="IA3" s="411"/>
      <c r="IB3" s="411"/>
      <c r="IC3" s="411"/>
      <c r="ID3" s="411"/>
      <c r="IE3" s="411"/>
      <c r="IF3" s="411"/>
      <c r="IG3" s="411"/>
      <c r="IH3" s="411"/>
      <c r="II3" s="411"/>
      <c r="IJ3" s="411"/>
      <c r="IK3" s="411"/>
      <c r="IL3" s="411"/>
      <c r="IM3" s="411"/>
      <c r="IN3" s="411"/>
      <c r="IO3" s="411"/>
      <c r="IP3" s="411"/>
      <c r="IQ3" s="411"/>
      <c r="IR3" s="411"/>
      <c r="IS3" s="411"/>
      <c r="IT3" s="411"/>
      <c r="IU3" s="411"/>
      <c r="IV3" s="411"/>
      <c r="IW3" s="411"/>
      <c r="IX3" s="411"/>
      <c r="IY3" s="411"/>
      <c r="IZ3" s="411"/>
      <c r="JA3" s="411"/>
      <c r="JB3" s="411"/>
      <c r="JC3" s="411"/>
      <c r="JD3" s="411"/>
      <c r="JE3" s="411"/>
      <c r="JF3" s="411"/>
      <c r="JG3" s="411"/>
      <c r="JH3" s="411"/>
      <c r="JI3" s="411"/>
      <c r="JJ3" s="411"/>
      <c r="JK3" s="411"/>
      <c r="JL3" s="411"/>
      <c r="JM3" s="411"/>
      <c r="JN3" s="411"/>
      <c r="JO3" s="411"/>
      <c r="JP3" s="411"/>
      <c r="JQ3" s="411"/>
      <c r="JR3" s="411"/>
      <c r="JS3" s="411"/>
      <c r="JT3" s="411"/>
      <c r="JU3" s="411"/>
      <c r="JV3" s="411"/>
      <c r="JW3" s="411"/>
      <c r="JX3" s="411"/>
      <c r="JY3" s="411"/>
      <c r="JZ3" s="411"/>
      <c r="KA3" s="411"/>
      <c r="KB3" s="411"/>
      <c r="KC3" s="411"/>
      <c r="KD3" s="411"/>
      <c r="KE3" s="411"/>
      <c r="KF3" s="411"/>
      <c r="KG3" s="411"/>
      <c r="KH3" s="411"/>
      <c r="KI3" s="411"/>
      <c r="KJ3" s="411"/>
      <c r="KK3" s="411"/>
      <c r="KL3" s="411"/>
      <c r="KM3" s="411"/>
      <c r="KN3" s="411"/>
      <c r="KO3" s="411"/>
      <c r="KP3" s="411"/>
      <c r="KQ3" s="411"/>
      <c r="KR3" s="411"/>
      <c r="KS3" s="411"/>
      <c r="KT3" s="411"/>
      <c r="KU3" s="411"/>
      <c r="KV3" s="411"/>
      <c r="KW3" s="411"/>
      <c r="KX3" s="411"/>
      <c r="KY3" s="411"/>
      <c r="KZ3" s="411"/>
      <c r="LA3" s="411"/>
      <c r="LB3" s="411"/>
      <c r="LC3" s="411"/>
      <c r="LD3" s="411"/>
      <c r="LE3" s="411"/>
      <c r="LF3" s="411"/>
      <c r="LG3" s="411"/>
      <c r="LH3" s="411"/>
      <c r="LI3" s="411"/>
      <c r="LJ3" s="411"/>
      <c r="LK3" s="411"/>
      <c r="LL3" s="411"/>
      <c r="LM3" s="411"/>
      <c r="LN3" s="411"/>
      <c r="LO3" s="411"/>
      <c r="LP3" s="411"/>
      <c r="LQ3" s="411"/>
      <c r="LR3" s="411"/>
      <c r="LS3" s="411"/>
      <c r="LT3" s="411"/>
      <c r="LU3" s="411"/>
      <c r="LV3" s="411"/>
      <c r="LW3" s="411"/>
      <c r="LX3" s="411"/>
      <c r="LY3" s="411"/>
      <c r="LZ3" s="411"/>
      <c r="MA3" s="411"/>
      <c r="MB3" s="411"/>
      <c r="MC3" s="411"/>
      <c r="MD3" s="411"/>
      <c r="ME3" s="411"/>
      <c r="MF3" s="411"/>
      <c r="MG3" s="411"/>
      <c r="MH3" s="411"/>
      <c r="MI3" s="411"/>
      <c r="MJ3" s="411"/>
      <c r="MK3" s="411"/>
      <c r="ML3" s="411"/>
      <c r="MM3" s="411"/>
      <c r="MN3" s="411"/>
      <c r="MO3" s="411"/>
      <c r="MP3" s="411"/>
      <c r="MQ3" s="411"/>
      <c r="MR3" s="411"/>
      <c r="MS3" s="411"/>
      <c r="MT3" s="411"/>
      <c r="MU3" s="411"/>
      <c r="MV3" s="411"/>
      <c r="MW3" s="411"/>
      <c r="MX3" s="411"/>
      <c r="MY3" s="411"/>
      <c r="MZ3" s="411"/>
      <c r="NA3" s="411"/>
      <c r="NB3" s="411"/>
      <c r="NC3" s="411"/>
      <c r="ND3" s="411"/>
      <c r="NE3" s="411"/>
      <c r="NF3" s="411"/>
      <c r="NG3" s="411"/>
      <c r="NH3" s="411"/>
      <c r="NI3" s="411"/>
      <c r="NJ3" s="411"/>
      <c r="NK3" s="411"/>
      <c r="NL3" s="411"/>
      <c r="NM3" s="411"/>
      <c r="NN3" s="411"/>
      <c r="NO3" s="411"/>
      <c r="NP3" s="411"/>
      <c r="NQ3" s="411"/>
      <c r="NR3" s="411"/>
      <c r="NS3" s="411"/>
      <c r="NT3" s="411"/>
      <c r="NU3" s="411"/>
      <c r="NV3" s="411"/>
      <c r="NW3" s="411"/>
      <c r="NX3" s="411"/>
      <c r="NY3" s="411"/>
      <c r="NZ3" s="411"/>
      <c r="OA3" s="411"/>
      <c r="OB3" s="411"/>
      <c r="OC3" s="411"/>
      <c r="OD3" s="411"/>
      <c r="OE3" s="411"/>
      <c r="OF3" s="411"/>
      <c r="OG3" s="411"/>
      <c r="OH3" s="411"/>
      <c r="OI3" s="411"/>
      <c r="OJ3" s="411"/>
      <c r="OK3" s="411"/>
      <c r="OL3" s="411"/>
      <c r="OM3" s="411"/>
      <c r="ON3" s="411"/>
      <c r="OO3" s="411"/>
      <c r="OP3" s="411"/>
      <c r="OQ3" s="411"/>
      <c r="OR3" s="411"/>
      <c r="OS3" s="411"/>
      <c r="OT3" s="411"/>
      <c r="OU3" s="411"/>
      <c r="OV3" s="411"/>
      <c r="OW3" s="411"/>
      <c r="OX3" s="411"/>
      <c r="OY3" s="411"/>
      <c r="OZ3" s="411"/>
      <c r="PA3" s="411"/>
      <c r="PB3" s="411"/>
      <c r="PC3" s="411"/>
      <c r="PD3" s="411"/>
      <c r="PE3" s="411"/>
      <c r="PF3" s="411"/>
      <c r="PG3" s="411"/>
      <c r="PH3" s="411"/>
      <c r="PI3" s="411"/>
      <c r="PJ3" s="411"/>
      <c r="PK3" s="411"/>
      <c r="PL3" s="411"/>
      <c r="PM3" s="411"/>
      <c r="PN3" s="411"/>
      <c r="PO3" s="411"/>
      <c r="PP3" s="411"/>
      <c r="PQ3" s="411"/>
      <c r="PR3" s="411"/>
      <c r="PS3" s="411"/>
      <c r="PT3" s="411"/>
      <c r="PU3" s="411"/>
      <c r="PV3" s="411"/>
      <c r="PW3" s="411"/>
      <c r="PX3" s="411"/>
      <c r="PY3" s="411"/>
      <c r="PZ3" s="411"/>
      <c r="QA3" s="411"/>
      <c r="QB3" s="411"/>
      <c r="QC3" s="411"/>
      <c r="QD3" s="411"/>
      <c r="QE3" s="411"/>
      <c r="QF3" s="411"/>
      <c r="QG3" s="411"/>
      <c r="QH3" s="411"/>
      <c r="QI3" s="411"/>
      <c r="QJ3" s="411"/>
      <c r="QK3" s="411"/>
      <c r="QL3" s="411"/>
      <c r="QM3" s="411"/>
      <c r="QN3" s="411"/>
      <c r="QO3" s="411"/>
      <c r="QP3" s="411"/>
      <c r="QQ3" s="411"/>
      <c r="QR3" s="411"/>
      <c r="QS3" s="411"/>
      <c r="QT3" s="411"/>
      <c r="QU3" s="411"/>
      <c r="QV3" s="411"/>
      <c r="QW3" s="411"/>
      <c r="QX3" s="411"/>
      <c r="QY3" s="411"/>
      <c r="QZ3" s="411"/>
      <c r="RA3" s="411"/>
      <c r="RB3" s="411"/>
      <c r="RC3" s="411"/>
      <c r="RD3" s="411"/>
      <c r="RE3" s="411"/>
      <c r="RF3" s="411"/>
      <c r="RG3" s="411"/>
      <c r="RH3" s="411"/>
      <c r="RI3" s="411"/>
      <c r="RJ3" s="411"/>
      <c r="RK3" s="411"/>
      <c r="RL3" s="411"/>
      <c r="RM3" s="411"/>
      <c r="RN3" s="411"/>
      <c r="RO3" s="411"/>
      <c r="RP3" s="411"/>
      <c r="RQ3" s="411"/>
      <c r="RR3" s="411"/>
      <c r="RS3" s="411"/>
      <c r="RT3" s="411"/>
      <c r="RU3" s="411"/>
      <c r="RV3" s="411"/>
      <c r="RW3" s="411"/>
      <c r="RX3" s="411"/>
      <c r="RY3" s="411"/>
      <c r="RZ3" s="411"/>
      <c r="SA3" s="411"/>
      <c r="SB3" s="411"/>
      <c r="SC3" s="411"/>
      <c r="SD3" s="411"/>
      <c r="SE3" s="411"/>
      <c r="SF3" s="411"/>
      <c r="SG3" s="411"/>
      <c r="SH3" s="411"/>
      <c r="SI3" s="411"/>
      <c r="SJ3" s="411"/>
      <c r="SK3" s="411"/>
      <c r="SL3" s="411"/>
      <c r="SM3" s="411"/>
      <c r="SN3" s="411"/>
      <c r="SO3" s="411"/>
      <c r="SP3" s="411"/>
      <c r="SQ3" s="411"/>
      <c r="SR3" s="411"/>
      <c r="SS3" s="411"/>
      <c r="ST3" s="411"/>
      <c r="SU3" s="411"/>
      <c r="SV3" s="411"/>
      <c r="SW3" s="411"/>
      <c r="SX3" s="411"/>
      <c r="SY3" s="411"/>
      <c r="SZ3" s="411"/>
      <c r="TA3" s="411"/>
      <c r="TB3" s="411"/>
      <c r="TC3" s="411"/>
      <c r="TD3" s="411"/>
      <c r="TE3" s="411"/>
      <c r="TF3" s="411"/>
      <c r="TG3" s="411"/>
      <c r="TH3" s="411"/>
      <c r="TI3" s="411"/>
      <c r="TJ3" s="411"/>
      <c r="TK3" s="411"/>
      <c r="TL3" s="411"/>
      <c r="TM3" s="411"/>
      <c r="TN3" s="411"/>
      <c r="TO3" s="411"/>
      <c r="TP3" s="411"/>
      <c r="TQ3" s="411"/>
      <c r="TR3" s="411"/>
      <c r="TS3" s="411"/>
      <c r="TT3" s="411"/>
      <c r="TU3" s="411"/>
      <c r="TV3" s="411"/>
      <c r="TW3" s="411"/>
      <c r="TX3" s="411"/>
      <c r="TY3" s="411"/>
      <c r="TZ3" s="411"/>
      <c r="UA3" s="411"/>
      <c r="UB3" s="411"/>
      <c r="UC3" s="411"/>
      <c r="UD3" s="411"/>
      <c r="UE3" s="411"/>
      <c r="UF3" s="411"/>
      <c r="UG3" s="411"/>
      <c r="UH3" s="411"/>
      <c r="UI3" s="411"/>
      <c r="UJ3" s="411"/>
      <c r="UK3" s="411"/>
      <c r="UL3" s="411"/>
      <c r="UM3" s="411"/>
      <c r="UN3" s="411"/>
      <c r="UO3" s="411"/>
      <c r="UP3" s="411"/>
      <c r="UQ3" s="411"/>
      <c r="UR3" s="411"/>
      <c r="US3" s="411"/>
      <c r="UT3" s="411"/>
      <c r="UU3" s="411"/>
      <c r="UV3" s="411"/>
      <c r="UW3" s="411"/>
      <c r="UX3" s="411"/>
      <c r="UY3" s="411"/>
      <c r="UZ3" s="411"/>
      <c r="VA3" s="411"/>
      <c r="VB3" s="411"/>
      <c r="VC3" s="411"/>
      <c r="VD3" s="411"/>
      <c r="VE3" s="411"/>
      <c r="VF3" s="411"/>
      <c r="VG3" s="411"/>
      <c r="VH3" s="411"/>
      <c r="VI3" s="411"/>
      <c r="VJ3" s="411"/>
      <c r="VK3" s="411"/>
      <c r="VL3" s="411"/>
      <c r="VM3" s="411"/>
      <c r="VN3" s="411"/>
      <c r="VO3" s="411"/>
      <c r="VP3" s="411"/>
      <c r="VQ3" s="411"/>
      <c r="VR3" s="411"/>
      <c r="VS3" s="411"/>
      <c r="VT3" s="411"/>
      <c r="VU3" s="411"/>
      <c r="VV3" s="411"/>
      <c r="VW3" s="411"/>
      <c r="VX3" s="411"/>
      <c r="VY3" s="411"/>
      <c r="VZ3" s="411"/>
      <c r="WA3" s="411"/>
      <c r="WB3" s="411"/>
      <c r="WC3" s="411"/>
      <c r="WD3" s="411"/>
      <c r="WE3" s="411"/>
      <c r="WF3" s="411"/>
      <c r="WG3" s="411"/>
      <c r="WH3" s="411"/>
      <c r="WI3" s="411"/>
      <c r="WJ3" s="411"/>
      <c r="WK3" s="411"/>
      <c r="WL3" s="411"/>
      <c r="WM3" s="411"/>
      <c r="WN3" s="411"/>
      <c r="WO3" s="411"/>
      <c r="WP3" s="411"/>
      <c r="WQ3" s="411"/>
      <c r="WR3" s="411"/>
      <c r="WS3" s="411"/>
      <c r="WT3" s="411"/>
      <c r="WU3" s="411"/>
      <c r="WV3" s="411"/>
      <c r="WW3" s="411"/>
      <c r="WX3" s="411"/>
      <c r="WY3" s="411"/>
      <c r="WZ3" s="411"/>
      <c r="XA3" s="411"/>
      <c r="XB3" s="411"/>
      <c r="XC3" s="411"/>
      <c r="XD3" s="411"/>
      <c r="XE3" s="411"/>
      <c r="XF3" s="411"/>
      <c r="XG3" s="411"/>
      <c r="XH3" s="411"/>
      <c r="XI3" s="411"/>
      <c r="XJ3" s="411"/>
      <c r="XK3" s="411"/>
      <c r="XL3" s="411"/>
      <c r="XM3" s="411"/>
      <c r="XN3" s="411"/>
      <c r="XO3" s="411"/>
      <c r="XP3" s="411"/>
      <c r="XQ3" s="411"/>
      <c r="XR3" s="411"/>
      <c r="XS3" s="411"/>
      <c r="XT3" s="411"/>
      <c r="XU3" s="411"/>
      <c r="XV3" s="411"/>
      <c r="XW3" s="411"/>
      <c r="XX3" s="411"/>
      <c r="XY3" s="411"/>
      <c r="XZ3" s="411"/>
      <c r="YA3" s="411"/>
      <c r="YB3" s="411"/>
      <c r="YC3" s="411"/>
      <c r="YD3" s="411"/>
      <c r="YE3" s="411"/>
      <c r="YF3" s="411"/>
      <c r="YG3" s="411"/>
      <c r="YH3" s="411"/>
      <c r="YI3" s="411"/>
      <c r="YJ3" s="411"/>
      <c r="YK3" s="411"/>
      <c r="YL3" s="411"/>
      <c r="YM3" s="411"/>
      <c r="YN3" s="411"/>
      <c r="YO3" s="411"/>
      <c r="YP3" s="411"/>
      <c r="YQ3" s="411"/>
      <c r="YR3" s="411"/>
      <c r="YS3" s="411"/>
      <c r="YT3" s="411"/>
      <c r="YU3" s="411"/>
      <c r="YV3" s="411"/>
      <c r="YW3" s="411"/>
      <c r="YX3" s="411"/>
      <c r="YY3" s="411"/>
      <c r="YZ3" s="411"/>
      <c r="ZA3" s="411"/>
      <c r="ZB3" s="411"/>
      <c r="ZC3" s="411"/>
      <c r="ZD3" s="411"/>
      <c r="ZE3" s="411"/>
      <c r="ZF3" s="411"/>
      <c r="ZG3" s="411"/>
      <c r="ZH3" s="411"/>
      <c r="ZI3" s="411"/>
      <c r="ZJ3" s="411"/>
      <c r="ZK3" s="411"/>
      <c r="ZL3" s="411"/>
      <c r="ZM3" s="411"/>
      <c r="ZN3" s="411"/>
      <c r="ZO3" s="411"/>
      <c r="ZP3" s="411"/>
      <c r="ZQ3" s="411"/>
      <c r="ZR3" s="411"/>
      <c r="ZS3" s="411"/>
      <c r="ZT3" s="411"/>
      <c r="ZU3" s="411"/>
      <c r="ZV3" s="411"/>
      <c r="ZW3" s="411"/>
      <c r="ZX3" s="411"/>
      <c r="ZY3" s="411"/>
      <c r="ZZ3" s="411"/>
      <c r="AAA3" s="411"/>
      <c r="AAB3" s="411"/>
      <c r="AAC3" s="411"/>
      <c r="AAD3" s="411"/>
      <c r="AAE3" s="411"/>
      <c r="AAF3" s="411"/>
      <c r="AAG3" s="411"/>
      <c r="AAH3" s="411"/>
      <c r="AAI3" s="411"/>
      <c r="AAJ3" s="411"/>
      <c r="AAK3" s="411"/>
      <c r="AAL3" s="411"/>
      <c r="AAM3" s="411"/>
      <c r="AAN3" s="411"/>
      <c r="AAO3" s="411"/>
      <c r="AAP3" s="411"/>
      <c r="AAQ3" s="411"/>
      <c r="AAR3" s="411"/>
      <c r="AAS3" s="411"/>
      <c r="AAT3" s="411"/>
      <c r="AAU3" s="411"/>
      <c r="AAV3" s="411"/>
      <c r="AAW3" s="411"/>
      <c r="AAX3" s="411"/>
      <c r="AAY3" s="411"/>
      <c r="AAZ3" s="411"/>
      <c r="ABA3" s="411"/>
      <c r="ABB3" s="411"/>
      <c r="ABC3" s="411"/>
      <c r="ABD3" s="411"/>
      <c r="ABE3" s="411"/>
      <c r="ABF3" s="411"/>
      <c r="ABG3" s="411"/>
      <c r="ABH3" s="411"/>
      <c r="ABI3" s="411"/>
      <c r="ABJ3" s="411"/>
      <c r="ABK3" s="411"/>
      <c r="ABL3" s="411"/>
      <c r="ABM3" s="411"/>
      <c r="ABN3" s="411"/>
      <c r="ABO3" s="411"/>
      <c r="ABP3" s="411"/>
      <c r="ABQ3" s="411"/>
      <c r="ABR3" s="411"/>
      <c r="ABS3" s="411"/>
      <c r="ABT3" s="411"/>
      <c r="ABU3" s="411"/>
      <c r="ABV3" s="411"/>
      <c r="ABW3" s="411"/>
      <c r="ABX3" s="411"/>
      <c r="ABY3" s="411"/>
      <c r="ABZ3" s="411"/>
      <c r="ACA3" s="411"/>
      <c r="ACB3" s="411"/>
      <c r="ACC3" s="411"/>
      <c r="ACD3" s="411"/>
      <c r="ACE3" s="411"/>
      <c r="ACF3" s="411"/>
      <c r="ACG3" s="411"/>
      <c r="ACH3" s="411"/>
      <c r="ACI3" s="411"/>
      <c r="ACJ3" s="411"/>
      <c r="ACK3" s="411"/>
      <c r="ACL3" s="411"/>
      <c r="ACM3" s="411"/>
      <c r="ACN3" s="411"/>
      <c r="ACO3" s="411"/>
      <c r="ACP3" s="411"/>
      <c r="ACQ3" s="411"/>
      <c r="ACR3" s="411"/>
      <c r="ACS3" s="411"/>
      <c r="ACT3" s="411"/>
      <c r="ACU3" s="411"/>
      <c r="ACV3" s="411"/>
      <c r="ACW3" s="411"/>
      <c r="ACX3" s="411"/>
      <c r="ACY3" s="411"/>
      <c r="ACZ3" s="411"/>
      <c r="ADA3" s="411"/>
      <c r="ADB3" s="411"/>
      <c r="ADC3" s="411"/>
      <c r="ADD3" s="411"/>
      <c r="ADE3" s="411"/>
      <c r="ADF3" s="411"/>
      <c r="ADG3" s="411"/>
      <c r="ADH3" s="411"/>
      <c r="ADI3" s="411"/>
      <c r="ADJ3" s="411"/>
      <c r="ADK3" s="411"/>
      <c r="ADL3" s="411"/>
      <c r="ADM3" s="411"/>
      <c r="ADN3" s="411"/>
      <c r="ADO3" s="411"/>
      <c r="ADP3" s="411"/>
      <c r="ADQ3" s="411"/>
      <c r="ADR3" s="411"/>
      <c r="ADS3" s="411"/>
      <c r="ADT3" s="411"/>
      <c r="ADU3" s="411"/>
      <c r="ADV3" s="411"/>
      <c r="ADW3" s="411"/>
      <c r="ADX3" s="411"/>
      <c r="ADY3" s="411"/>
      <c r="ADZ3" s="411"/>
      <c r="AEA3" s="411"/>
      <c r="AEB3" s="411"/>
      <c r="AEC3" s="411"/>
      <c r="AED3" s="411"/>
      <c r="AEE3" s="411"/>
      <c r="AEF3" s="411"/>
      <c r="AEG3" s="411"/>
      <c r="AEH3" s="411"/>
      <c r="AEI3" s="411"/>
      <c r="AEJ3" s="411"/>
      <c r="AEK3" s="411"/>
      <c r="AEL3" s="411"/>
      <c r="AEM3" s="411"/>
      <c r="AEN3" s="411"/>
      <c r="AEO3" s="411"/>
      <c r="AEP3" s="411"/>
      <c r="AEQ3" s="411"/>
      <c r="AER3" s="411"/>
      <c r="AES3" s="411"/>
      <c r="AET3" s="411"/>
      <c r="AEU3" s="411"/>
      <c r="AEV3" s="411"/>
      <c r="AEW3" s="411"/>
      <c r="AEX3" s="411"/>
      <c r="AEY3" s="411"/>
      <c r="AEZ3" s="411"/>
      <c r="AFA3" s="411"/>
      <c r="AFB3" s="411"/>
      <c r="AFC3" s="411"/>
      <c r="AFD3" s="411"/>
      <c r="AFE3" s="411"/>
      <c r="AFF3" s="411"/>
      <c r="AFG3" s="411"/>
      <c r="AFH3" s="411"/>
      <c r="AFI3" s="411"/>
      <c r="AFJ3" s="411"/>
      <c r="AFK3" s="411"/>
      <c r="AFL3" s="411"/>
      <c r="AFM3" s="411"/>
      <c r="AFN3" s="411"/>
      <c r="AFO3" s="411"/>
      <c r="AFP3" s="411"/>
      <c r="AFQ3" s="411"/>
      <c r="AFR3" s="411"/>
      <c r="AFS3" s="411"/>
      <c r="AFT3" s="411"/>
      <c r="AFU3" s="411"/>
      <c r="AFV3" s="411"/>
      <c r="AFW3" s="411"/>
      <c r="AFX3" s="411"/>
      <c r="AFY3" s="411"/>
      <c r="AFZ3" s="411"/>
      <c r="AGA3" s="411"/>
      <c r="AGB3" s="411"/>
      <c r="AGC3" s="411"/>
      <c r="AGD3" s="411"/>
      <c r="AGE3" s="411"/>
      <c r="AGF3" s="411"/>
      <c r="AGG3" s="411"/>
      <c r="AGH3" s="411"/>
      <c r="AGI3" s="411"/>
      <c r="AGJ3" s="411"/>
      <c r="AGK3" s="411"/>
      <c r="AGL3" s="411"/>
      <c r="AGM3" s="411"/>
      <c r="AGN3" s="411"/>
      <c r="AGO3" s="411"/>
      <c r="AGP3" s="411"/>
      <c r="AGQ3" s="411"/>
      <c r="AGR3" s="411"/>
      <c r="AGS3" s="411"/>
      <c r="AGT3" s="411"/>
      <c r="AGU3" s="411"/>
      <c r="AGV3" s="411"/>
      <c r="AGW3" s="411"/>
      <c r="AGX3" s="411"/>
      <c r="AGY3" s="411"/>
      <c r="AGZ3" s="411"/>
      <c r="AHA3" s="411"/>
      <c r="AHB3" s="411"/>
      <c r="AHC3" s="411"/>
      <c r="AHD3" s="411"/>
      <c r="AHE3" s="411"/>
      <c r="AHF3" s="411"/>
      <c r="AHG3" s="411"/>
      <c r="AHH3" s="411"/>
      <c r="AHI3" s="411"/>
      <c r="AHJ3" s="411"/>
      <c r="AHK3" s="411"/>
      <c r="AHL3" s="411"/>
      <c r="AHM3" s="411"/>
      <c r="AHN3" s="411"/>
      <c r="AHO3" s="411"/>
      <c r="AHP3" s="411"/>
      <c r="AHQ3" s="411"/>
      <c r="AHR3" s="411"/>
      <c r="AHS3" s="411"/>
      <c r="AHT3" s="411"/>
      <c r="AHU3" s="411"/>
      <c r="AHV3" s="411"/>
      <c r="AHW3" s="411"/>
      <c r="AHX3" s="411"/>
      <c r="AHY3" s="411"/>
      <c r="AHZ3" s="411"/>
      <c r="AIA3" s="411"/>
      <c r="AIB3" s="411"/>
      <c r="AIC3" s="411"/>
      <c r="AID3" s="411"/>
      <c r="AIE3" s="411"/>
      <c r="AIF3" s="411"/>
      <c r="AIG3" s="411"/>
      <c r="AIH3" s="411"/>
      <c r="AII3" s="411"/>
      <c r="AIJ3" s="411"/>
      <c r="AIK3" s="411"/>
      <c r="AIL3" s="411"/>
      <c r="AIM3" s="411"/>
      <c r="AIN3" s="411"/>
      <c r="AIO3" s="411"/>
      <c r="AIP3" s="411"/>
      <c r="AIQ3" s="411"/>
      <c r="AIR3" s="411"/>
      <c r="AIS3" s="411"/>
      <c r="AIT3" s="411"/>
      <c r="AIU3" s="411"/>
      <c r="AIV3" s="411"/>
      <c r="AIW3" s="411"/>
      <c r="AIX3" s="411"/>
      <c r="AIY3" s="411"/>
      <c r="AIZ3" s="411"/>
      <c r="AJA3" s="411"/>
      <c r="AJB3" s="411"/>
      <c r="AJC3" s="411"/>
      <c r="AJD3" s="411"/>
      <c r="AJE3" s="411"/>
      <c r="AJF3" s="411"/>
      <c r="AJG3" s="411"/>
      <c r="AJH3" s="411"/>
      <c r="AJI3" s="411"/>
      <c r="AJJ3" s="411"/>
      <c r="AJK3" s="411"/>
      <c r="AJL3" s="411"/>
      <c r="AJM3" s="411"/>
      <c r="AJN3" s="411"/>
      <c r="AJO3" s="411"/>
      <c r="AJP3" s="411"/>
      <c r="AJQ3" s="411"/>
      <c r="AJR3" s="411"/>
      <c r="AJS3" s="411"/>
      <c r="AJT3" s="411"/>
      <c r="AJU3" s="411"/>
      <c r="AJV3" s="411"/>
      <c r="AJW3" s="411"/>
      <c r="AJX3" s="411"/>
      <c r="AJY3" s="411"/>
      <c r="AJZ3" s="411"/>
      <c r="AKA3" s="411"/>
      <c r="AKB3" s="411"/>
      <c r="AKC3" s="411"/>
      <c r="AKD3" s="411"/>
      <c r="AKE3" s="411"/>
      <c r="AKF3" s="411"/>
      <c r="AKG3" s="411"/>
      <c r="AKH3" s="411"/>
      <c r="AKI3" s="411"/>
      <c r="AKJ3" s="411"/>
      <c r="AKK3" s="411"/>
      <c r="AKL3" s="411"/>
      <c r="AKM3" s="411"/>
      <c r="AKN3" s="411"/>
      <c r="AKO3" s="411"/>
      <c r="AKP3" s="411"/>
      <c r="AKQ3" s="411"/>
      <c r="AKR3" s="411"/>
      <c r="AKS3" s="411"/>
      <c r="AKT3" s="411"/>
    </row>
    <row r="4">
      <c r="A4" s="411" t="s">
        <v>149</v>
      </c>
      <c r="B4" s="411"/>
      <c r="C4" s="411"/>
      <c r="D4" s="411"/>
      <c r="E4" s="411"/>
      <c r="F4" s="411"/>
      <c r="G4" s="411"/>
      <c r="H4" s="411"/>
      <c r="I4" s="411"/>
      <c r="J4" s="411"/>
      <c r="K4" s="411"/>
      <c r="L4" s="411"/>
      <c r="M4" s="411"/>
      <c r="N4" s="411"/>
      <c r="O4" s="411"/>
      <c r="P4" s="411"/>
      <c r="Q4" s="411"/>
      <c r="R4" s="411"/>
      <c r="S4" s="411"/>
      <c r="T4" s="411"/>
      <c r="U4" s="411"/>
      <c r="V4" s="411"/>
      <c r="W4" s="411"/>
      <c r="X4" s="411"/>
      <c r="Y4" s="411"/>
      <c r="Z4" s="411"/>
      <c r="AA4" s="411"/>
      <c r="AB4" s="411"/>
      <c r="AC4" s="411"/>
      <c r="AD4" s="411"/>
      <c r="AE4" s="411"/>
      <c r="AF4" s="411"/>
      <c r="AG4" s="411"/>
      <c r="AH4" s="411"/>
      <c r="AI4" s="411"/>
      <c r="AJ4" s="411"/>
      <c r="AK4" s="411"/>
      <c r="AL4" s="411"/>
      <c r="AM4" s="411"/>
      <c r="AN4" s="411"/>
      <c r="AO4" s="411"/>
      <c r="AP4" s="411"/>
      <c r="AQ4" s="411"/>
      <c r="AR4" s="411"/>
      <c r="AS4" s="411"/>
      <c r="AT4" s="411"/>
      <c r="AU4" s="411"/>
      <c r="AV4" s="411"/>
      <c r="AW4" s="411"/>
      <c r="AX4" s="411"/>
      <c r="AY4" s="411"/>
      <c r="AZ4" s="411"/>
      <c r="BA4" s="411"/>
      <c r="BB4" s="411"/>
      <c r="BC4" s="411"/>
      <c r="BD4" s="411"/>
      <c r="BE4" s="411"/>
      <c r="BF4" s="411"/>
      <c r="BG4" s="411"/>
      <c r="BH4" s="411"/>
      <c r="BI4" s="411"/>
      <c r="BJ4" s="411"/>
      <c r="BK4" s="411"/>
      <c r="BL4" s="411"/>
      <c r="BM4" s="411"/>
      <c r="BN4" s="411"/>
      <c r="BO4" s="411"/>
      <c r="BP4" s="411"/>
      <c r="BQ4" s="411"/>
      <c r="BR4" s="411"/>
      <c r="BS4" s="411"/>
      <c r="BT4" s="411"/>
      <c r="BU4" s="411"/>
      <c r="BV4" s="411"/>
      <c r="BW4" s="411"/>
      <c r="BX4" s="411"/>
      <c r="BY4" s="411"/>
      <c r="BZ4" s="411"/>
      <c r="CA4" s="411"/>
      <c r="CB4" s="411"/>
      <c r="CC4" s="411"/>
      <c r="CD4" s="411"/>
      <c r="CE4" s="411"/>
      <c r="CF4" s="411"/>
      <c r="CG4" s="411"/>
      <c r="CH4" s="411"/>
      <c r="CI4" s="411"/>
      <c r="CJ4" s="411"/>
      <c r="CK4" s="411"/>
      <c r="CL4" s="411"/>
      <c r="CM4" s="411"/>
      <c r="CN4" s="411"/>
      <c r="CO4" s="411"/>
      <c r="CP4" s="411"/>
      <c r="CQ4" s="411"/>
      <c r="CR4" s="411"/>
      <c r="CS4" s="411"/>
      <c r="CT4" s="411"/>
      <c r="CU4" s="411"/>
      <c r="CV4" s="411"/>
      <c r="CW4" s="411"/>
      <c r="CX4" s="411"/>
      <c r="CY4" s="411"/>
      <c r="CZ4" s="411"/>
      <c r="DA4" s="411"/>
      <c r="DB4" s="411"/>
      <c r="DC4" s="411"/>
      <c r="DD4" s="411"/>
      <c r="DE4" s="411"/>
      <c r="DF4" s="411"/>
      <c r="DG4" s="411"/>
      <c r="DH4" s="411"/>
      <c r="DI4" s="411">
        <v>10.89999961853027</v>
      </c>
      <c r="DJ4" s="411">
        <v>8.91</v>
      </c>
      <c r="DK4" s="411">
        <v>8.600000381469727</v>
      </c>
      <c r="DL4" s="411">
        <v>8.399999618530273</v>
      </c>
      <c r="DM4" s="411"/>
      <c r="DN4" s="411"/>
      <c r="DO4" s="411"/>
      <c r="DP4" s="411"/>
      <c r="DQ4" s="411"/>
      <c r="DR4" s="411"/>
      <c r="DS4" s="411"/>
      <c r="DT4" s="411"/>
      <c r="DU4" s="411"/>
      <c r="DV4" s="411"/>
      <c r="DW4" s="411"/>
      <c r="DX4" s="411"/>
      <c r="DY4" s="411"/>
      <c r="DZ4" s="411"/>
      <c r="EA4" s="411"/>
      <c r="EB4" s="411"/>
      <c r="EC4" s="411"/>
      <c r="ED4" s="411"/>
      <c r="EE4" s="411"/>
      <c r="EF4" s="411"/>
      <c r="EG4" s="411"/>
      <c r="EH4" s="411"/>
      <c r="EI4" s="411"/>
      <c r="EJ4" s="411"/>
      <c r="EK4" s="411"/>
      <c r="EL4" s="411"/>
      <c r="EM4" s="411"/>
      <c r="EN4" s="411"/>
      <c r="EO4" s="411"/>
      <c r="EP4" s="411"/>
      <c r="EQ4" s="411"/>
      <c r="ER4" s="411"/>
      <c r="ES4" s="411"/>
      <c r="ET4" s="411"/>
      <c r="EU4" s="411"/>
      <c r="EV4" s="411"/>
      <c r="EW4" s="411"/>
      <c r="EX4" s="411"/>
      <c r="EY4" s="411"/>
      <c r="EZ4" s="411"/>
      <c r="FA4" s="411"/>
      <c r="FB4" s="411"/>
      <c r="FC4" s="411"/>
      <c r="FD4" s="411"/>
      <c r="FE4" s="411"/>
      <c r="FF4" s="411"/>
      <c r="FG4" s="411"/>
      <c r="FH4" s="411"/>
      <c r="FI4" s="411"/>
      <c r="FJ4" s="411"/>
      <c r="FK4" s="411"/>
      <c r="FL4" s="411"/>
      <c r="FM4" s="411"/>
      <c r="FN4" s="411"/>
      <c r="FO4" s="411"/>
      <c r="FP4" s="411"/>
      <c r="FQ4" s="411"/>
      <c r="FR4" s="411"/>
      <c r="FS4" s="411"/>
      <c r="FT4" s="411"/>
      <c r="FU4" s="411"/>
      <c r="FV4" s="411"/>
      <c r="FW4" s="411"/>
      <c r="FX4" s="411"/>
      <c r="FY4" s="411"/>
      <c r="FZ4" s="411"/>
      <c r="GA4" s="411"/>
      <c r="GB4" s="411"/>
      <c r="GC4" s="411"/>
      <c r="GD4" s="411"/>
      <c r="GE4" s="411"/>
      <c r="GF4" s="411"/>
      <c r="GG4" s="411"/>
      <c r="GH4" s="411"/>
      <c r="GI4" s="411"/>
      <c r="GJ4" s="411"/>
      <c r="GK4" s="411"/>
      <c r="GL4" s="411"/>
      <c r="GM4" s="411"/>
      <c r="GN4" s="411"/>
      <c r="GO4" s="411"/>
      <c r="GP4" s="411"/>
      <c r="GQ4" s="411"/>
      <c r="GR4" s="411"/>
      <c r="GS4" s="411"/>
      <c r="GT4" s="411"/>
      <c r="GU4" s="411"/>
      <c r="GV4" s="411"/>
      <c r="GW4" s="411"/>
      <c r="GX4" s="411"/>
      <c r="GY4" s="411"/>
      <c r="GZ4" s="411"/>
      <c r="HA4" s="411"/>
      <c r="HB4" s="411"/>
      <c r="HC4" s="411"/>
      <c r="HD4" s="411"/>
      <c r="HE4" s="411"/>
      <c r="HF4" s="411"/>
      <c r="HG4" s="411"/>
      <c r="HH4" s="411"/>
      <c r="HI4" s="411"/>
      <c r="HJ4" s="411"/>
      <c r="HK4" s="411"/>
      <c r="HL4" s="411"/>
      <c r="HM4" s="411"/>
      <c r="HN4" s="411"/>
      <c r="HO4" s="411"/>
      <c r="HP4" s="411"/>
      <c r="HQ4" s="411"/>
      <c r="HR4" s="411"/>
      <c r="HS4" s="411"/>
      <c r="HT4" s="411"/>
      <c r="HU4" s="411"/>
      <c r="HV4" s="411"/>
      <c r="HW4" s="411"/>
      <c r="HX4" s="411"/>
      <c r="HY4" s="411"/>
      <c r="HZ4" s="411"/>
      <c r="IA4" s="411"/>
      <c r="IB4" s="411"/>
      <c r="IC4" s="411"/>
      <c r="ID4" s="411"/>
      <c r="IE4" s="411"/>
      <c r="IF4" s="411"/>
      <c r="IG4" s="411"/>
      <c r="IH4" s="411"/>
      <c r="II4" s="411"/>
      <c r="IJ4" s="411"/>
      <c r="IK4" s="411"/>
      <c r="IL4" s="411"/>
      <c r="IM4" s="411"/>
      <c r="IN4" s="411"/>
      <c r="IO4" s="411"/>
      <c r="IP4" s="411"/>
      <c r="IQ4" s="411"/>
      <c r="IR4" s="411"/>
      <c r="IS4" s="411"/>
      <c r="IT4" s="411"/>
      <c r="IU4" s="411"/>
      <c r="IV4" s="411"/>
      <c r="IW4" s="411"/>
      <c r="IX4" s="411"/>
      <c r="IY4" s="411"/>
      <c r="IZ4" s="411"/>
      <c r="JA4" s="411"/>
      <c r="JB4" s="411"/>
      <c r="JC4" s="411"/>
      <c r="JD4" s="411"/>
      <c r="JE4" s="411"/>
      <c r="JF4" s="411"/>
      <c r="JG4" s="411"/>
      <c r="JH4" s="411"/>
      <c r="JI4" s="411"/>
      <c r="JJ4" s="411"/>
      <c r="JK4" s="411"/>
      <c r="JL4" s="411"/>
      <c r="JM4" s="411"/>
      <c r="JN4" s="411"/>
      <c r="JO4" s="411"/>
      <c r="JP4" s="411"/>
      <c r="JQ4" s="411"/>
      <c r="JR4" s="411"/>
      <c r="JS4" s="411"/>
      <c r="JT4" s="411"/>
      <c r="JU4" s="411"/>
      <c r="JV4" s="411"/>
      <c r="JW4" s="411"/>
      <c r="JX4" s="411"/>
      <c r="JY4" s="411"/>
      <c r="JZ4" s="411"/>
      <c r="KA4" s="411"/>
      <c r="KB4" s="411"/>
      <c r="KC4" s="411"/>
      <c r="KD4" s="411"/>
      <c r="KE4" s="411"/>
      <c r="KF4" s="411"/>
      <c r="KG4" s="411"/>
      <c r="KH4" s="411"/>
      <c r="KI4" s="411"/>
      <c r="KJ4" s="411"/>
      <c r="KK4" s="411"/>
      <c r="KL4" s="411"/>
      <c r="KM4" s="411"/>
      <c r="KN4" s="411"/>
      <c r="KO4" s="411"/>
      <c r="KP4" s="411"/>
      <c r="KQ4" s="411"/>
      <c r="KR4" s="411"/>
      <c r="KS4" s="411"/>
      <c r="KT4" s="411"/>
      <c r="KU4" s="411"/>
      <c r="KV4" s="411"/>
      <c r="KW4" s="411"/>
      <c r="KX4" s="411"/>
      <c r="KY4" s="411"/>
      <c r="KZ4" s="411"/>
      <c r="LA4" s="411"/>
      <c r="LB4" s="411"/>
      <c r="LC4" s="411"/>
      <c r="LD4" s="411"/>
      <c r="LE4" s="411"/>
      <c r="LF4" s="411"/>
      <c r="LG4" s="411"/>
      <c r="LH4" s="411"/>
      <c r="LI4" s="411"/>
      <c r="LJ4" s="411"/>
      <c r="LK4" s="411"/>
      <c r="LL4" s="411"/>
      <c r="LM4" s="411"/>
      <c r="LN4" s="411"/>
      <c r="LO4" s="411"/>
      <c r="LP4" s="411"/>
      <c r="LQ4" s="411"/>
      <c r="LR4" s="411"/>
      <c r="LS4" s="411"/>
      <c r="LT4" s="411"/>
      <c r="LU4" s="411"/>
      <c r="LV4" s="411"/>
      <c r="LW4" s="411"/>
      <c r="LX4" s="411"/>
      <c r="LY4" s="411"/>
      <c r="LZ4" s="411"/>
      <c r="MA4" s="411"/>
      <c r="MB4" s="411"/>
      <c r="MC4" s="411"/>
      <c r="MD4" s="411"/>
      <c r="ME4" s="411"/>
      <c r="MF4" s="411"/>
      <c r="MG4" s="411"/>
      <c r="MH4" s="411"/>
      <c r="MI4" s="411"/>
      <c r="MJ4" s="411"/>
      <c r="MK4" s="411"/>
      <c r="ML4" s="411"/>
      <c r="MM4" s="411"/>
      <c r="MN4" s="411"/>
      <c r="MO4" s="411"/>
      <c r="MP4" s="411"/>
      <c r="MQ4" s="411"/>
      <c r="MR4" s="411"/>
      <c r="MS4" s="411"/>
      <c r="MT4" s="411"/>
      <c r="MU4" s="411"/>
      <c r="MV4" s="411"/>
      <c r="MW4" s="411"/>
      <c r="MX4" s="411"/>
      <c r="MY4" s="411"/>
      <c r="MZ4" s="411"/>
      <c r="NA4" s="411"/>
      <c r="NB4" s="411"/>
      <c r="NC4" s="411"/>
      <c r="ND4" s="411"/>
      <c r="NE4" s="411"/>
      <c r="NF4" s="411"/>
      <c r="NG4" s="411"/>
      <c r="NH4" s="411"/>
      <c r="NI4" s="411"/>
      <c r="NJ4" s="411"/>
      <c r="NK4" s="411"/>
      <c r="NL4" s="411"/>
      <c r="NM4" s="411"/>
      <c r="NN4" s="411"/>
      <c r="NO4" s="411"/>
      <c r="NP4" s="411"/>
      <c r="NQ4" s="411"/>
      <c r="NR4" s="411"/>
      <c r="NS4" s="411"/>
      <c r="NT4" s="411"/>
      <c r="NU4" s="411"/>
      <c r="NV4" s="411"/>
      <c r="NW4" s="411"/>
      <c r="NX4" s="411"/>
      <c r="NY4" s="411"/>
      <c r="NZ4" s="411"/>
      <c r="OA4" s="411"/>
      <c r="OB4" s="411"/>
      <c r="OC4" s="411"/>
      <c r="OD4" s="411"/>
      <c r="OE4" s="411"/>
      <c r="OF4" s="411"/>
      <c r="OG4" s="411"/>
      <c r="OH4" s="411"/>
      <c r="OI4" s="411"/>
      <c r="OJ4" s="411"/>
      <c r="OK4" s="411"/>
      <c r="OL4" s="411"/>
      <c r="OM4" s="411"/>
      <c r="ON4" s="411"/>
      <c r="OO4" s="411"/>
      <c r="OP4" s="411"/>
      <c r="OQ4" s="411"/>
      <c r="OR4" s="411"/>
      <c r="OS4" s="411"/>
      <c r="OT4" s="411"/>
      <c r="OU4" s="411"/>
      <c r="OV4" s="411"/>
      <c r="OW4" s="411"/>
      <c r="OX4" s="411"/>
      <c r="OY4" s="411"/>
      <c r="OZ4" s="411"/>
      <c r="PA4" s="411"/>
      <c r="PB4" s="411"/>
      <c r="PC4" s="411"/>
      <c r="PD4" s="411"/>
      <c r="PE4" s="411"/>
      <c r="PF4" s="411"/>
      <c r="PG4" s="411"/>
      <c r="PH4" s="411"/>
      <c r="PI4" s="411"/>
      <c r="PJ4" s="411"/>
      <c r="PK4" s="411"/>
      <c r="PL4" s="411"/>
      <c r="PM4" s="411"/>
      <c r="PN4" s="411"/>
      <c r="PO4" s="411"/>
      <c r="PP4" s="411"/>
      <c r="PQ4" s="411"/>
      <c r="PR4" s="411"/>
      <c r="PS4" s="411"/>
      <c r="PT4" s="411"/>
      <c r="PU4" s="411"/>
      <c r="PV4" s="411"/>
      <c r="PW4" s="411"/>
      <c r="PX4" s="411"/>
      <c r="PY4" s="411"/>
      <c r="PZ4" s="411"/>
      <c r="QA4" s="411"/>
      <c r="QB4" s="411"/>
      <c r="QC4" s="411"/>
      <c r="QD4" s="411"/>
      <c r="QE4" s="411"/>
      <c r="QF4" s="411"/>
      <c r="QG4" s="411"/>
      <c r="QH4" s="411"/>
      <c r="QI4" s="411"/>
      <c r="QJ4" s="411"/>
      <c r="QK4" s="411"/>
      <c r="QL4" s="411"/>
      <c r="QM4" s="411"/>
      <c r="QN4" s="411"/>
      <c r="QO4" s="411"/>
      <c r="QP4" s="411"/>
      <c r="QQ4" s="411"/>
      <c r="QR4" s="411"/>
      <c r="QS4" s="411"/>
      <c r="QT4" s="411"/>
      <c r="QU4" s="411"/>
      <c r="QV4" s="411"/>
      <c r="QW4" s="411"/>
      <c r="QX4" s="411"/>
      <c r="QY4" s="411"/>
      <c r="QZ4" s="411"/>
      <c r="RA4" s="411"/>
      <c r="RB4" s="411"/>
      <c r="RC4" s="411"/>
      <c r="RD4" s="411"/>
      <c r="RE4" s="411"/>
      <c r="RF4" s="411"/>
      <c r="RG4" s="411"/>
      <c r="RH4" s="411"/>
      <c r="RI4" s="411"/>
      <c r="RJ4" s="411"/>
      <c r="RK4" s="411"/>
      <c r="RL4" s="411"/>
      <c r="RM4" s="411"/>
      <c r="RN4" s="411"/>
      <c r="RO4" s="411"/>
      <c r="RP4" s="411"/>
      <c r="RQ4" s="411"/>
      <c r="RR4" s="411"/>
      <c r="RS4" s="411"/>
      <c r="RT4" s="411"/>
      <c r="RU4" s="411"/>
      <c r="RV4" s="411"/>
      <c r="RW4" s="411"/>
      <c r="RX4" s="411"/>
      <c r="RY4" s="411"/>
      <c r="RZ4" s="411"/>
      <c r="SA4" s="411"/>
      <c r="SB4" s="411"/>
      <c r="SC4" s="411"/>
      <c r="SD4" s="411"/>
      <c r="SE4" s="411"/>
      <c r="SF4" s="411"/>
      <c r="SG4" s="411"/>
      <c r="SH4" s="411"/>
      <c r="SI4" s="411"/>
      <c r="SJ4" s="411"/>
      <c r="SK4" s="411"/>
      <c r="SL4" s="411"/>
      <c r="SM4" s="411"/>
      <c r="SN4" s="411"/>
      <c r="SO4" s="411"/>
      <c r="SP4" s="411"/>
      <c r="SQ4" s="411"/>
      <c r="SR4" s="411"/>
      <c r="SS4" s="411"/>
      <c r="ST4" s="411"/>
      <c r="SU4" s="411"/>
      <c r="SV4" s="411"/>
      <c r="SW4" s="411"/>
      <c r="SX4" s="411"/>
      <c r="SY4" s="411"/>
      <c r="SZ4" s="411"/>
      <c r="TA4" s="411"/>
      <c r="TB4" s="411"/>
      <c r="TC4" s="411"/>
      <c r="TD4" s="411"/>
      <c r="TE4" s="411"/>
      <c r="TF4" s="411"/>
      <c r="TG4" s="411"/>
      <c r="TH4" s="411"/>
      <c r="TI4" s="411"/>
      <c r="TJ4" s="411"/>
      <c r="TK4" s="411"/>
      <c r="TL4" s="411"/>
      <c r="TM4" s="411"/>
      <c r="TN4" s="411"/>
      <c r="TO4" s="411"/>
      <c r="TP4" s="411"/>
      <c r="TQ4" s="411"/>
      <c r="TR4" s="411"/>
      <c r="TS4" s="411"/>
      <c r="TT4" s="411"/>
      <c r="TU4" s="411"/>
      <c r="TV4" s="411"/>
      <c r="TW4" s="411"/>
      <c r="TX4" s="411"/>
      <c r="TY4" s="411"/>
      <c r="TZ4" s="411"/>
      <c r="UA4" s="411"/>
      <c r="UB4" s="411"/>
      <c r="UC4" s="411"/>
      <c r="UD4" s="411"/>
      <c r="UE4" s="411"/>
      <c r="UF4" s="411"/>
      <c r="UG4" s="411"/>
      <c r="UH4" s="411"/>
      <c r="UI4" s="411"/>
      <c r="UJ4" s="411"/>
      <c r="UK4" s="411"/>
      <c r="UL4" s="411"/>
      <c r="UM4" s="411"/>
      <c r="UN4" s="411"/>
      <c r="UO4" s="411"/>
      <c r="UP4" s="411"/>
      <c r="UQ4" s="411"/>
      <c r="UR4" s="411"/>
      <c r="US4" s="411"/>
      <c r="UT4" s="411"/>
      <c r="UU4" s="411"/>
      <c r="UV4" s="411"/>
      <c r="UW4" s="411"/>
      <c r="UX4" s="411"/>
      <c r="UY4" s="411"/>
      <c r="UZ4" s="411"/>
      <c r="VA4" s="411"/>
      <c r="VB4" s="411"/>
      <c r="VC4" s="411"/>
      <c r="VD4" s="411"/>
      <c r="VE4" s="411"/>
      <c r="VF4" s="411"/>
      <c r="VG4" s="411"/>
      <c r="VH4" s="411"/>
      <c r="VI4" s="411"/>
      <c r="VJ4" s="411"/>
      <c r="VK4" s="411"/>
      <c r="VL4" s="411"/>
      <c r="VM4" s="411"/>
      <c r="VN4" s="411"/>
      <c r="VO4" s="411"/>
      <c r="VP4" s="411"/>
      <c r="VQ4" s="411"/>
      <c r="VR4" s="411"/>
      <c r="VS4" s="411"/>
      <c r="VT4" s="411"/>
      <c r="VU4" s="411"/>
      <c r="VV4" s="411"/>
      <c r="VW4" s="411"/>
      <c r="VX4" s="411"/>
      <c r="VY4" s="411"/>
      <c r="VZ4" s="411"/>
      <c r="WA4" s="411"/>
      <c r="WB4" s="411"/>
      <c r="WC4" s="411"/>
      <c r="WD4" s="411"/>
      <c r="WE4" s="411"/>
      <c r="WF4" s="411"/>
      <c r="WG4" s="411"/>
      <c r="WH4" s="411"/>
      <c r="WI4" s="411"/>
      <c r="WJ4" s="411"/>
      <c r="WK4" s="411"/>
      <c r="WL4" s="411"/>
      <c r="WM4" s="411"/>
      <c r="WN4" s="411"/>
      <c r="WO4" s="411"/>
      <c r="WP4" s="411"/>
      <c r="WQ4" s="411"/>
      <c r="WR4" s="411"/>
      <c r="WS4" s="411"/>
      <c r="WT4" s="411"/>
      <c r="WU4" s="411"/>
      <c r="WV4" s="411"/>
      <c r="WW4" s="411"/>
      <c r="WX4" s="411"/>
      <c r="WY4" s="411"/>
      <c r="WZ4" s="411"/>
      <c r="XA4" s="411"/>
      <c r="XB4" s="411"/>
      <c r="XC4" s="411"/>
      <c r="XD4" s="411"/>
      <c r="XE4" s="411"/>
      <c r="XF4" s="411"/>
      <c r="XG4" s="411"/>
      <c r="XH4" s="411"/>
      <c r="XI4" s="411"/>
      <c r="XJ4" s="411"/>
      <c r="XK4" s="411"/>
      <c r="XL4" s="411"/>
      <c r="XM4" s="411"/>
      <c r="XN4" s="411"/>
      <c r="XO4" s="411"/>
      <c r="XP4" s="411"/>
      <c r="XQ4" s="411"/>
      <c r="XR4" s="411"/>
      <c r="XS4" s="411"/>
      <c r="XT4" s="411"/>
      <c r="XU4" s="411"/>
      <c r="XV4" s="411"/>
      <c r="XW4" s="411"/>
      <c r="XX4" s="411"/>
      <c r="XY4" s="411"/>
      <c r="XZ4" s="411"/>
      <c r="YA4" s="411"/>
      <c r="YB4" s="411"/>
      <c r="YC4" s="411"/>
      <c r="YD4" s="411"/>
      <c r="YE4" s="411"/>
      <c r="YF4" s="411"/>
      <c r="YG4" s="411"/>
      <c r="YH4" s="411"/>
      <c r="YI4" s="411"/>
      <c r="YJ4" s="411"/>
      <c r="YK4" s="411"/>
      <c r="YL4" s="411"/>
      <c r="YM4" s="411"/>
      <c r="YN4" s="411"/>
      <c r="YO4" s="411"/>
      <c r="YP4" s="411"/>
      <c r="YQ4" s="411"/>
      <c r="YR4" s="411"/>
      <c r="YS4" s="411"/>
      <c r="YT4" s="411"/>
      <c r="YU4" s="411"/>
      <c r="YV4" s="411"/>
      <c r="YW4" s="411"/>
      <c r="YX4" s="411"/>
      <c r="YY4" s="411"/>
      <c r="YZ4" s="411"/>
      <c r="ZA4" s="411"/>
      <c r="ZB4" s="411"/>
      <c r="ZC4" s="411"/>
      <c r="ZD4" s="411"/>
      <c r="ZE4" s="411"/>
      <c r="ZF4" s="411"/>
      <c r="ZG4" s="411"/>
      <c r="ZH4" s="411"/>
      <c r="ZI4" s="411"/>
      <c r="ZJ4" s="411"/>
      <c r="ZK4" s="411"/>
      <c r="ZL4" s="411"/>
      <c r="ZM4" s="411"/>
      <c r="ZN4" s="411"/>
      <c r="ZO4" s="411"/>
      <c r="ZP4" s="411"/>
      <c r="ZQ4" s="411"/>
      <c r="ZR4" s="411"/>
      <c r="ZS4" s="411"/>
      <c r="ZT4" s="411"/>
      <c r="ZU4" s="411"/>
      <c r="ZV4" s="411"/>
      <c r="ZW4" s="411"/>
      <c r="ZX4" s="411"/>
      <c r="ZY4" s="411"/>
      <c r="ZZ4" s="411"/>
      <c r="AAA4" s="411"/>
      <c r="AAB4" s="411"/>
      <c r="AAC4" s="411"/>
      <c r="AAD4" s="411"/>
      <c r="AAE4" s="411"/>
      <c r="AAF4" s="411"/>
      <c r="AAG4" s="411"/>
      <c r="AAH4" s="411"/>
      <c r="AAI4" s="411"/>
      <c r="AAJ4" s="411"/>
      <c r="AAK4" s="411"/>
      <c r="AAL4" s="411"/>
      <c r="AAM4" s="411"/>
      <c r="AAN4" s="411"/>
      <c r="AAO4" s="411"/>
      <c r="AAP4" s="411"/>
      <c r="AAQ4" s="411"/>
      <c r="AAR4" s="411"/>
      <c r="AAS4" s="411"/>
      <c r="AAT4" s="411"/>
      <c r="AAU4" s="411"/>
      <c r="AAV4" s="411"/>
      <c r="AAW4" s="411"/>
      <c r="AAX4" s="411"/>
      <c r="AAY4" s="411"/>
      <c r="AAZ4" s="411"/>
      <c r="ABA4" s="411"/>
      <c r="ABB4" s="411"/>
      <c r="ABC4" s="411"/>
      <c r="ABD4" s="411"/>
      <c r="ABE4" s="411"/>
      <c r="ABF4" s="411"/>
      <c r="ABG4" s="411"/>
      <c r="ABH4" s="411"/>
      <c r="ABI4" s="411"/>
      <c r="ABJ4" s="411"/>
      <c r="ABK4" s="411"/>
      <c r="ABL4" s="411"/>
      <c r="ABM4" s="411"/>
      <c r="ABN4" s="411"/>
      <c r="ABO4" s="411"/>
      <c r="ABP4" s="411"/>
      <c r="ABQ4" s="411"/>
      <c r="ABR4" s="411"/>
      <c r="ABS4" s="411"/>
      <c r="ABT4" s="411"/>
      <c r="ABU4" s="411"/>
      <c r="ABV4" s="411"/>
      <c r="ABW4" s="411"/>
      <c r="ABX4" s="411"/>
      <c r="ABY4" s="411"/>
      <c r="ABZ4" s="411"/>
      <c r="ACA4" s="411"/>
      <c r="ACB4" s="411"/>
      <c r="ACC4" s="411"/>
      <c r="ACD4" s="411"/>
      <c r="ACE4" s="411"/>
      <c r="ACF4" s="411"/>
      <c r="ACG4" s="411"/>
      <c r="ACH4" s="411"/>
      <c r="ACI4" s="411"/>
      <c r="ACJ4" s="411"/>
      <c r="ACK4" s="411"/>
      <c r="ACL4" s="411"/>
      <c r="ACM4" s="411"/>
      <c r="ACN4" s="411"/>
      <c r="ACO4" s="411"/>
      <c r="ACP4" s="411"/>
      <c r="ACQ4" s="411"/>
      <c r="ACR4" s="411"/>
      <c r="ACS4" s="411"/>
      <c r="ACT4" s="411"/>
      <c r="ACU4" s="411"/>
      <c r="ACV4" s="411"/>
      <c r="ACW4" s="411"/>
      <c r="ACX4" s="411"/>
      <c r="ACY4" s="411"/>
      <c r="ACZ4" s="411"/>
      <c r="ADA4" s="411"/>
      <c r="ADB4" s="411"/>
      <c r="ADC4" s="411"/>
      <c r="ADD4" s="411"/>
      <c r="ADE4" s="411"/>
      <c r="ADF4" s="411"/>
      <c r="ADG4" s="411"/>
      <c r="ADH4" s="411"/>
      <c r="ADI4" s="411"/>
      <c r="ADJ4" s="411"/>
      <c r="ADK4" s="411"/>
      <c r="ADL4" s="411"/>
      <c r="ADM4" s="411"/>
      <c r="ADN4" s="411"/>
      <c r="ADO4" s="411"/>
      <c r="ADP4" s="411"/>
      <c r="ADQ4" s="411"/>
      <c r="ADR4" s="411"/>
      <c r="ADS4" s="411"/>
      <c r="ADT4" s="411"/>
      <c r="ADU4" s="411"/>
      <c r="ADV4" s="411"/>
      <c r="ADW4" s="411"/>
      <c r="ADX4" s="411"/>
      <c r="ADY4" s="411"/>
      <c r="ADZ4" s="411"/>
      <c r="AEA4" s="411"/>
      <c r="AEB4" s="411"/>
      <c r="AEC4" s="411"/>
      <c r="AED4" s="411"/>
      <c r="AEE4" s="411"/>
      <c r="AEF4" s="411"/>
      <c r="AEG4" s="411"/>
      <c r="AEH4" s="411"/>
      <c r="AEI4" s="411"/>
      <c r="AEJ4" s="411"/>
      <c r="AEK4" s="411"/>
      <c r="AEL4" s="411"/>
      <c r="AEM4" s="411"/>
      <c r="AEN4" s="411"/>
      <c r="AEO4" s="411"/>
      <c r="AEP4" s="411"/>
      <c r="AEQ4" s="411"/>
      <c r="AER4" s="411"/>
      <c r="AES4" s="411"/>
      <c r="AET4" s="411"/>
      <c r="AEU4" s="411"/>
      <c r="AEV4" s="411"/>
      <c r="AEW4" s="411"/>
      <c r="AEX4" s="411"/>
      <c r="AEY4" s="411"/>
      <c r="AEZ4" s="411"/>
      <c r="AFA4" s="411"/>
      <c r="AFB4" s="411"/>
      <c r="AFC4" s="411"/>
      <c r="AFD4" s="411"/>
      <c r="AFE4" s="411"/>
      <c r="AFF4" s="411"/>
      <c r="AFG4" s="411"/>
      <c r="AFH4" s="411"/>
      <c r="AFI4" s="411"/>
      <c r="AFJ4" s="411"/>
      <c r="AFK4" s="411"/>
      <c r="AFL4" s="411"/>
      <c r="AFM4" s="411"/>
      <c r="AFN4" s="411"/>
      <c r="AFO4" s="411"/>
      <c r="AFP4" s="411"/>
      <c r="AFQ4" s="411"/>
      <c r="AFR4" s="411"/>
      <c r="AFS4" s="411"/>
      <c r="AFT4" s="411"/>
      <c r="AFU4" s="411"/>
      <c r="AFV4" s="411"/>
      <c r="AFW4" s="411"/>
      <c r="AFX4" s="411"/>
      <c r="AFY4" s="411"/>
      <c r="AFZ4" s="411"/>
      <c r="AGA4" s="411"/>
      <c r="AGB4" s="411"/>
      <c r="AGC4" s="411"/>
      <c r="AGD4" s="411"/>
      <c r="AGE4" s="411"/>
      <c r="AGF4" s="411"/>
      <c r="AGG4" s="411"/>
      <c r="AGH4" s="411"/>
      <c r="AGI4" s="411"/>
      <c r="AGJ4" s="411"/>
      <c r="AGK4" s="411"/>
      <c r="AGL4" s="411"/>
      <c r="AGM4" s="411"/>
      <c r="AGN4" s="411"/>
      <c r="AGO4" s="411"/>
      <c r="AGP4" s="411"/>
      <c r="AGQ4" s="411"/>
      <c r="AGR4" s="411"/>
      <c r="AGS4" s="411"/>
      <c r="AGT4" s="411"/>
      <c r="AGU4" s="411"/>
      <c r="AGV4" s="411"/>
      <c r="AGW4" s="411"/>
      <c r="AGX4" s="411"/>
      <c r="AGY4" s="411"/>
      <c r="AGZ4" s="411"/>
      <c r="AHA4" s="411"/>
      <c r="AHB4" s="411"/>
      <c r="AHC4" s="411"/>
      <c r="AHD4" s="411"/>
      <c r="AHE4" s="411"/>
      <c r="AHF4" s="411"/>
      <c r="AHG4" s="411"/>
      <c r="AHH4" s="411"/>
      <c r="AHI4" s="411"/>
      <c r="AHJ4" s="411"/>
      <c r="AHK4" s="411"/>
      <c r="AHL4" s="411"/>
      <c r="AHM4" s="411"/>
      <c r="AHN4" s="411"/>
      <c r="AHO4" s="411"/>
      <c r="AHP4" s="411"/>
      <c r="AHQ4" s="411"/>
      <c r="AHR4" s="411"/>
      <c r="AHS4" s="411"/>
      <c r="AHT4" s="411"/>
      <c r="AHU4" s="411"/>
      <c r="AHV4" s="411"/>
      <c r="AHW4" s="411"/>
      <c r="AHX4" s="411"/>
      <c r="AHY4" s="411"/>
      <c r="AHZ4" s="411"/>
      <c r="AIA4" s="411"/>
      <c r="AIB4" s="411"/>
      <c r="AIC4" s="411"/>
      <c r="AID4" s="411"/>
      <c r="AIE4" s="411"/>
      <c r="AIF4" s="411"/>
      <c r="AIG4" s="411"/>
      <c r="AIH4" s="411"/>
      <c r="AII4" s="411"/>
      <c r="AIJ4" s="411"/>
      <c r="AIK4" s="411"/>
      <c r="AIL4" s="411"/>
      <c r="AIM4" s="411"/>
      <c r="AIN4" s="411"/>
      <c r="AIO4" s="411"/>
      <c r="AIP4" s="411"/>
      <c r="AIQ4" s="411"/>
      <c r="AIR4" s="411"/>
      <c r="AIS4" s="411"/>
      <c r="AIT4" s="411"/>
      <c r="AIU4" s="411"/>
      <c r="AIV4" s="411"/>
      <c r="AIW4" s="411"/>
      <c r="AIX4" s="411"/>
      <c r="AIY4" s="411"/>
      <c r="AIZ4" s="411"/>
      <c r="AJA4" s="411"/>
      <c r="AJB4" s="411"/>
      <c r="AJC4" s="411"/>
      <c r="AJD4" s="411"/>
      <c r="AJE4" s="411"/>
      <c r="AJF4" s="411"/>
      <c r="AJG4" s="411"/>
      <c r="AJH4" s="411"/>
      <c r="AJI4" s="411"/>
      <c r="AJJ4" s="411"/>
      <c r="AJK4" s="411"/>
      <c r="AJL4" s="411"/>
      <c r="AJM4" s="411"/>
      <c r="AJN4" s="411"/>
      <c r="AJO4" s="411"/>
      <c r="AJP4" s="411"/>
      <c r="AJQ4" s="411"/>
      <c r="AJR4" s="411"/>
      <c r="AJS4" s="411"/>
      <c r="AJT4" s="411"/>
      <c r="AJU4" s="411"/>
      <c r="AJV4" s="411"/>
      <c r="AJW4" s="411"/>
      <c r="AJX4" s="411"/>
      <c r="AJY4" s="411"/>
      <c r="AJZ4" s="411"/>
      <c r="AKA4" s="411"/>
      <c r="AKB4" s="411"/>
      <c r="AKC4" s="411"/>
      <c r="AKD4" s="411"/>
      <c r="AKE4" s="411"/>
      <c r="AKF4" s="411"/>
      <c r="AKG4" s="411"/>
      <c r="AKH4" s="411"/>
      <c r="AKI4" s="411"/>
      <c r="AKJ4" s="411"/>
      <c r="AKK4" s="411"/>
      <c r="AKL4" s="411"/>
      <c r="AKM4" s="411"/>
      <c r="AKN4" s="411"/>
      <c r="AKO4" s="411"/>
      <c r="AKP4" s="411"/>
      <c r="AKQ4" s="411"/>
      <c r="AKR4" s="411"/>
      <c r="AKS4" s="411"/>
      <c r="AKT4" s="411"/>
    </row>
    <row r="5">
      <c r="A5" s="411" t="s">
        <v>36</v>
      </c>
      <c r="B5" s="411"/>
      <c r="C5" s="411"/>
      <c r="D5" s="411"/>
      <c r="E5" s="411"/>
      <c r="F5" s="411"/>
      <c r="G5" s="411"/>
      <c r="H5" s="411"/>
      <c r="I5" s="411"/>
      <c r="J5" s="411"/>
      <c r="K5" s="411">
        <v>26.57999992370605</v>
      </c>
      <c r="L5" s="411">
        <v>28.30999946594238</v>
      </c>
      <c r="M5" s="411">
        <v>28.26000022888184</v>
      </c>
      <c r="N5" s="411">
        <v>28.28000068664551</v>
      </c>
      <c r="O5" s="411"/>
      <c r="P5" s="411"/>
      <c r="Q5" s="411"/>
      <c r="R5" s="411"/>
      <c r="S5" s="411"/>
      <c r="T5" s="411"/>
      <c r="U5" s="411"/>
      <c r="V5" s="411"/>
      <c r="W5" s="411"/>
      <c r="X5" s="411"/>
      <c r="Y5" s="537"/>
      <c r="Z5" s="411"/>
      <c r="AA5" s="411"/>
      <c r="AB5" s="411"/>
      <c r="AC5" s="411"/>
      <c r="AD5" s="411"/>
      <c r="AE5" s="411"/>
      <c r="AF5" s="411"/>
      <c r="AG5" s="411"/>
      <c r="AH5" s="411"/>
      <c r="AI5" s="411"/>
      <c r="AJ5" s="411"/>
      <c r="AK5" s="411"/>
      <c r="AL5" s="411"/>
      <c r="AM5" s="411"/>
      <c r="AN5" s="411"/>
      <c r="AO5" s="411"/>
      <c r="AP5" s="411"/>
      <c r="AQ5" s="411"/>
      <c r="AR5" s="411"/>
      <c r="AS5" s="411"/>
      <c r="AT5" s="411"/>
      <c r="AU5" s="411"/>
      <c r="AV5" s="411"/>
      <c r="AW5" s="411"/>
      <c r="AX5" s="411"/>
      <c r="AY5" s="411"/>
      <c r="AZ5" s="411"/>
      <c r="BA5" s="411"/>
      <c r="BB5" s="411"/>
      <c r="BC5" s="411"/>
      <c r="BD5" s="411"/>
      <c r="BE5" s="411"/>
      <c r="BF5" s="411"/>
      <c r="BG5" s="411"/>
      <c r="BH5" s="411"/>
      <c r="BI5" s="411"/>
      <c r="BJ5" s="411"/>
      <c r="BK5" s="411"/>
      <c r="BL5" s="411"/>
      <c r="BM5" s="411"/>
      <c r="BN5" s="411"/>
      <c r="BO5" s="411"/>
      <c r="BP5" s="411"/>
      <c r="BQ5" s="411"/>
      <c r="BR5" s="411"/>
      <c r="BS5" s="411"/>
      <c r="BT5" s="411"/>
      <c r="BU5" s="411"/>
      <c r="BV5" s="411"/>
      <c r="BW5" s="411"/>
      <c r="BX5" s="411"/>
      <c r="BY5" s="411"/>
      <c r="BZ5" s="411"/>
      <c r="CA5" s="411"/>
      <c r="CB5" s="411"/>
      <c r="CC5" s="411"/>
      <c r="CD5" s="411"/>
      <c r="CE5" s="411"/>
      <c r="CF5" s="411"/>
      <c r="CG5" s="411"/>
      <c r="CH5" s="411"/>
      <c r="CI5" s="411"/>
      <c r="CJ5" s="411"/>
      <c r="CK5" s="411"/>
      <c r="CL5" s="411"/>
      <c r="CM5" s="411"/>
      <c r="CN5" s="411"/>
      <c r="CO5" s="411"/>
      <c r="CP5" s="411"/>
      <c r="CQ5" s="411"/>
      <c r="CR5" s="411"/>
      <c r="CS5" s="411"/>
      <c r="CT5" s="411"/>
      <c r="CU5" s="411"/>
      <c r="CV5" s="411"/>
      <c r="CW5" s="411"/>
      <c r="CX5" s="411"/>
      <c r="CY5" s="411"/>
      <c r="CZ5" s="411"/>
      <c r="DA5" s="411"/>
      <c r="DB5" s="411"/>
      <c r="DC5" s="411"/>
      <c r="DD5" s="411"/>
      <c r="DE5" s="411"/>
      <c r="DF5" s="411"/>
      <c r="DG5" s="411"/>
      <c r="DH5" s="411"/>
      <c r="DI5" s="411"/>
      <c r="DJ5" s="411"/>
      <c r="DK5" s="411"/>
      <c r="DL5" s="411"/>
      <c r="DM5" s="411"/>
      <c r="DN5" s="411"/>
      <c r="DO5" s="411"/>
      <c r="DP5" s="411"/>
      <c r="DQ5" s="411"/>
      <c r="DR5" s="411"/>
      <c r="DS5" s="411"/>
      <c r="DT5" s="411"/>
      <c r="DU5" s="411"/>
      <c r="DV5" s="411"/>
      <c r="DW5" s="411"/>
      <c r="DX5" s="411"/>
      <c r="DY5" s="411"/>
      <c r="DZ5" s="411"/>
      <c r="EA5" s="411"/>
      <c r="EB5" s="411"/>
      <c r="EC5" s="411"/>
      <c r="ED5" s="411"/>
      <c r="EE5" s="411"/>
      <c r="EF5" s="411"/>
      <c r="EG5" s="411"/>
      <c r="EH5" s="411"/>
      <c r="EI5" s="411"/>
      <c r="EJ5" s="411"/>
      <c r="EK5" s="411"/>
      <c r="EL5" s="411"/>
      <c r="EM5" s="411"/>
      <c r="EN5" s="411"/>
      <c r="EO5" s="411"/>
      <c r="EP5" s="411"/>
      <c r="EQ5" s="411"/>
      <c r="ER5" s="411"/>
      <c r="ES5" s="411"/>
      <c r="ET5" s="411"/>
      <c r="EU5" s="411"/>
      <c r="EV5" s="411"/>
      <c r="EW5" s="411"/>
      <c r="EX5" s="411"/>
      <c r="EY5" s="411"/>
      <c r="EZ5" s="411"/>
      <c r="FA5" s="411"/>
      <c r="FB5" s="411"/>
      <c r="FC5" s="411"/>
      <c r="FD5" s="411"/>
      <c r="FE5" s="411"/>
      <c r="FF5" s="411"/>
      <c r="FG5" s="411"/>
      <c r="FH5" s="411"/>
      <c r="FI5" s="411"/>
      <c r="FJ5" s="411"/>
      <c r="FK5" s="411"/>
      <c r="FL5" s="411"/>
      <c r="FM5" s="411"/>
      <c r="FN5" s="411"/>
      <c r="FO5" s="411"/>
      <c r="FP5" s="411"/>
      <c r="FQ5" s="411"/>
      <c r="FR5" s="411"/>
      <c r="FS5" s="411"/>
      <c r="FT5" s="411"/>
      <c r="FU5" s="411"/>
      <c r="FV5" s="411"/>
      <c r="FW5" s="411"/>
      <c r="FX5" s="411"/>
      <c r="FY5" s="411"/>
      <c r="FZ5" s="411"/>
      <c r="GA5" s="411"/>
      <c r="GB5" s="411"/>
      <c r="GC5" s="411"/>
      <c r="GD5" s="411"/>
      <c r="GE5" s="411"/>
      <c r="GF5" s="411"/>
      <c r="GG5" s="411"/>
      <c r="GH5" s="411"/>
      <c r="GI5" s="411"/>
      <c r="GJ5" s="411"/>
      <c r="GK5" s="411"/>
      <c r="GL5" s="411"/>
      <c r="GM5" s="411"/>
      <c r="GN5" s="411"/>
      <c r="GO5" s="411"/>
      <c r="GP5" s="411"/>
      <c r="GQ5" s="411"/>
      <c r="GR5" s="411"/>
      <c r="GS5" s="411"/>
      <c r="GT5" s="411"/>
      <c r="GU5" s="411"/>
      <c r="GV5" s="411"/>
      <c r="GW5" s="411"/>
      <c r="GX5" s="411"/>
      <c r="GY5" s="411"/>
      <c r="GZ5" s="411"/>
      <c r="HA5" s="411"/>
      <c r="HB5" s="411"/>
      <c r="HC5" s="411"/>
      <c r="HD5" s="411"/>
      <c r="HE5" s="411"/>
      <c r="HF5" s="411"/>
      <c r="HG5" s="411"/>
      <c r="HH5" s="411"/>
      <c r="HI5" s="411"/>
      <c r="HJ5" s="411"/>
      <c r="HK5" s="411"/>
      <c r="HL5" s="411"/>
      <c r="HM5" s="411"/>
      <c r="HN5" s="411"/>
      <c r="HO5" s="411"/>
      <c r="HP5" s="411"/>
      <c r="HQ5" s="411"/>
      <c r="HR5" s="411"/>
      <c r="HS5" s="411"/>
      <c r="HT5" s="411"/>
      <c r="HU5" s="411"/>
      <c r="HV5" s="411"/>
      <c r="HW5" s="411"/>
      <c r="HX5" s="411"/>
      <c r="HY5" s="411"/>
      <c r="HZ5" s="411"/>
      <c r="IA5" s="411"/>
      <c r="IB5" s="411"/>
      <c r="IC5" s="411"/>
      <c r="ID5" s="411"/>
      <c r="IE5" s="411"/>
      <c r="IF5" s="411"/>
      <c r="IG5" s="411"/>
      <c r="IH5" s="411"/>
      <c r="II5" s="411"/>
      <c r="IJ5" s="411"/>
      <c r="IK5" s="411"/>
      <c r="IL5" s="411"/>
      <c r="IM5" s="411"/>
      <c r="IN5" s="411"/>
      <c r="IO5" s="411"/>
      <c r="IP5" s="411"/>
      <c r="IQ5" s="411"/>
      <c r="IR5" s="411"/>
      <c r="IS5" s="411"/>
      <c r="IT5" s="411"/>
      <c r="IU5" s="411"/>
      <c r="IV5" s="411"/>
      <c r="IW5" s="411"/>
      <c r="IX5" s="411"/>
      <c r="IY5" s="411"/>
      <c r="IZ5" s="411"/>
      <c r="JA5" s="411"/>
      <c r="JB5" s="411"/>
      <c r="JC5" s="411"/>
      <c r="JD5" s="411"/>
      <c r="JE5" s="411"/>
      <c r="JF5" s="411"/>
      <c r="JG5" s="411"/>
      <c r="JH5" s="411"/>
      <c r="JI5" s="411"/>
      <c r="JJ5" s="411"/>
      <c r="JK5" s="411"/>
      <c r="JL5" s="411"/>
      <c r="JM5" s="411"/>
      <c r="JN5" s="411"/>
      <c r="JO5" s="411"/>
      <c r="JP5" s="411"/>
      <c r="JQ5" s="411"/>
      <c r="JR5" s="411"/>
      <c r="JS5" s="411"/>
      <c r="JT5" s="411"/>
      <c r="JU5" s="411"/>
      <c r="JV5" s="411"/>
      <c r="JW5" s="411"/>
      <c r="JX5" s="411"/>
      <c r="JY5" s="411"/>
      <c r="JZ5" s="411"/>
      <c r="KA5" s="411"/>
      <c r="KB5" s="411"/>
      <c r="KC5" s="411"/>
      <c r="KD5" s="411"/>
      <c r="KE5" s="411"/>
      <c r="KF5" s="411"/>
      <c r="KG5" s="411"/>
      <c r="KH5" s="411"/>
      <c r="KI5" s="411"/>
      <c r="KJ5" s="411"/>
      <c r="KK5" s="411"/>
      <c r="KL5" s="411"/>
      <c r="KM5" s="411"/>
      <c r="KN5" s="411"/>
      <c r="KO5" s="411"/>
      <c r="KP5" s="411"/>
      <c r="KQ5" s="411"/>
      <c r="KR5" s="411"/>
      <c r="KS5" s="411"/>
      <c r="KT5" s="411"/>
      <c r="KU5" s="411"/>
      <c r="KV5" s="411"/>
      <c r="KW5" s="411"/>
      <c r="KX5" s="411"/>
      <c r="KY5" s="411"/>
      <c r="KZ5" s="411"/>
      <c r="LA5" s="411"/>
      <c r="LB5" s="411"/>
      <c r="LC5" s="411"/>
      <c r="LD5" s="411"/>
      <c r="LE5" s="411"/>
      <c r="LF5" s="411"/>
      <c r="LG5" s="411"/>
      <c r="LH5" s="411"/>
      <c r="LI5" s="411"/>
      <c r="LJ5" s="411"/>
      <c r="LK5" s="411"/>
      <c r="LL5" s="411"/>
      <c r="LM5" s="411"/>
      <c r="LN5" s="411"/>
      <c r="LO5" s="411"/>
      <c r="LP5" s="411"/>
      <c r="LQ5" s="411"/>
      <c r="LR5" s="411"/>
      <c r="LS5" s="411"/>
      <c r="LT5" s="411"/>
      <c r="LU5" s="411"/>
      <c r="LV5" s="411"/>
      <c r="LW5" s="411"/>
      <c r="LX5" s="411"/>
      <c r="LY5" s="411"/>
      <c r="LZ5" s="411"/>
      <c r="MA5" s="411"/>
      <c r="MB5" s="411"/>
      <c r="MC5" s="411"/>
      <c r="MD5" s="411"/>
      <c r="ME5" s="411"/>
      <c r="MF5" s="411"/>
      <c r="MG5" s="411"/>
      <c r="MH5" s="411"/>
      <c r="MI5" s="411"/>
      <c r="MJ5" s="411"/>
      <c r="MK5" s="411"/>
      <c r="ML5" s="411"/>
      <c r="MM5" s="411"/>
      <c r="MN5" s="411"/>
      <c r="MO5" s="411"/>
      <c r="MP5" s="411"/>
      <c r="MQ5" s="411"/>
      <c r="MR5" s="411"/>
      <c r="MS5" s="411"/>
      <c r="MT5" s="411"/>
      <c r="MU5" s="411"/>
      <c r="MV5" s="411"/>
      <c r="MW5" s="411"/>
      <c r="MX5" s="411"/>
      <c r="MY5" s="411"/>
      <c r="MZ5" s="411"/>
      <c r="NA5" s="411"/>
      <c r="NB5" s="411"/>
      <c r="NC5" s="411"/>
      <c r="ND5" s="411"/>
      <c r="NE5" s="411"/>
      <c r="NF5" s="411"/>
      <c r="NG5" s="411"/>
      <c r="NH5" s="411"/>
      <c r="NI5" s="411"/>
      <c r="NJ5" s="411"/>
      <c r="NK5" s="411"/>
      <c r="NL5" s="411"/>
      <c r="NM5" s="411"/>
      <c r="NN5" s="411"/>
      <c r="NO5" s="411"/>
      <c r="NP5" s="411"/>
      <c r="NQ5" s="411"/>
      <c r="NR5" s="411"/>
      <c r="NS5" s="411"/>
      <c r="NT5" s="411"/>
      <c r="NU5" s="411"/>
      <c r="NV5" s="411"/>
      <c r="NW5" s="411"/>
      <c r="NX5" s="411"/>
      <c r="NY5" s="411"/>
      <c r="NZ5" s="411"/>
      <c r="OA5" s="411"/>
      <c r="OB5" s="411"/>
      <c r="OC5" s="411"/>
      <c r="OD5" s="411"/>
      <c r="OE5" s="411"/>
      <c r="OF5" s="411"/>
      <c r="OG5" s="411"/>
      <c r="OH5" s="411"/>
      <c r="OI5" s="411"/>
      <c r="OJ5" s="411"/>
      <c r="OK5" s="411"/>
      <c r="OL5" s="411"/>
      <c r="OM5" s="411"/>
      <c r="ON5" s="411"/>
      <c r="OO5" s="411"/>
      <c r="OP5" s="411"/>
      <c r="OQ5" s="411"/>
      <c r="OR5" s="411"/>
      <c r="OS5" s="411"/>
      <c r="OT5" s="411"/>
      <c r="OU5" s="411"/>
      <c r="OV5" s="411"/>
      <c r="OW5" s="411"/>
      <c r="OX5" s="411"/>
      <c r="OY5" s="411"/>
      <c r="OZ5" s="411"/>
      <c r="PA5" s="411"/>
      <c r="PB5" s="411"/>
      <c r="PC5" s="411"/>
      <c r="PD5" s="411"/>
      <c r="PE5" s="411"/>
      <c r="PF5" s="411"/>
      <c r="PG5" s="411"/>
      <c r="PH5" s="411"/>
      <c r="PI5" s="411"/>
      <c r="PJ5" s="411"/>
      <c r="PK5" s="411"/>
      <c r="PL5" s="411"/>
      <c r="PM5" s="411"/>
      <c r="PN5" s="411"/>
      <c r="PO5" s="411"/>
      <c r="PP5" s="411"/>
      <c r="PQ5" s="411"/>
      <c r="PR5" s="411"/>
      <c r="PS5" s="411"/>
      <c r="PT5" s="411"/>
      <c r="PU5" s="411"/>
      <c r="PV5" s="411"/>
      <c r="PW5" s="411"/>
      <c r="PX5" s="411"/>
      <c r="PY5" s="411"/>
      <c r="PZ5" s="411"/>
      <c r="QA5" s="411"/>
      <c r="QB5" s="411"/>
      <c r="QC5" s="411"/>
      <c r="QD5" s="411"/>
      <c r="QE5" s="411"/>
      <c r="QF5" s="411"/>
      <c r="QG5" s="411"/>
      <c r="QH5" s="411"/>
      <c r="QI5" s="411"/>
      <c r="QJ5" s="411"/>
      <c r="QK5" s="411"/>
      <c r="QL5" s="411"/>
      <c r="QM5" s="411"/>
      <c r="QN5" s="411"/>
      <c r="QO5" s="411"/>
      <c r="QP5" s="411"/>
      <c r="QQ5" s="411"/>
      <c r="QR5" s="411"/>
      <c r="QS5" s="411"/>
      <c r="QT5" s="411"/>
      <c r="QU5" s="411"/>
      <c r="QV5" s="411"/>
      <c r="QW5" s="411"/>
      <c r="QX5" s="411"/>
      <c r="QY5" s="411"/>
      <c r="QZ5" s="411"/>
      <c r="RA5" s="411"/>
      <c r="RB5" s="411"/>
      <c r="RC5" s="411"/>
      <c r="RD5" s="411"/>
      <c r="RE5" s="411"/>
      <c r="RF5" s="411"/>
      <c r="RG5" s="411"/>
      <c r="RH5" s="411"/>
      <c r="RI5" s="411"/>
      <c r="RJ5" s="411"/>
      <c r="RK5" s="411"/>
      <c r="RL5" s="411"/>
      <c r="RM5" s="411"/>
      <c r="RN5" s="411"/>
      <c r="RO5" s="411"/>
      <c r="RP5" s="411"/>
      <c r="RQ5" s="411"/>
      <c r="RR5" s="411"/>
      <c r="RS5" s="411"/>
      <c r="RT5" s="411"/>
      <c r="RU5" s="411"/>
      <c r="RV5" s="411"/>
      <c r="RW5" s="411"/>
      <c r="RX5" s="411"/>
      <c r="RY5" s="411"/>
      <c r="RZ5" s="411"/>
      <c r="SA5" s="411"/>
      <c r="SB5" s="411"/>
      <c r="SC5" s="411"/>
      <c r="SD5" s="411"/>
      <c r="SE5" s="411"/>
      <c r="SF5" s="411"/>
      <c r="SG5" s="411"/>
      <c r="SH5" s="411"/>
      <c r="SI5" s="411"/>
      <c r="SJ5" s="411"/>
      <c r="SK5" s="411"/>
      <c r="SL5" s="411"/>
      <c r="SM5" s="411"/>
      <c r="SN5" s="411"/>
      <c r="SO5" s="411"/>
      <c r="SP5" s="411"/>
      <c r="SQ5" s="411"/>
      <c r="SR5" s="411"/>
      <c r="SS5" s="411"/>
      <c r="ST5" s="411"/>
      <c r="SU5" s="411"/>
      <c r="SV5" s="411"/>
      <c r="SW5" s="411"/>
      <c r="SX5" s="411"/>
      <c r="SY5" s="411"/>
      <c r="SZ5" s="411"/>
      <c r="TA5" s="411"/>
      <c r="TB5" s="411"/>
      <c r="TC5" s="411"/>
      <c r="TD5" s="411"/>
      <c r="TE5" s="411"/>
      <c r="TF5" s="411"/>
      <c r="TG5" s="411"/>
      <c r="TH5" s="411"/>
      <c r="TI5" s="411"/>
      <c r="TJ5" s="411"/>
      <c r="TK5" s="411"/>
      <c r="TL5" s="411"/>
      <c r="TM5" s="411"/>
      <c r="TN5" s="411"/>
      <c r="TO5" s="411"/>
      <c r="TP5" s="411"/>
      <c r="TQ5" s="411"/>
      <c r="TR5" s="411"/>
      <c r="TS5" s="411"/>
      <c r="TT5" s="411"/>
      <c r="TU5" s="411"/>
      <c r="TV5" s="411"/>
      <c r="TW5" s="411"/>
      <c r="TX5" s="411"/>
      <c r="TY5" s="411"/>
      <c r="TZ5" s="411"/>
      <c r="UA5" s="411"/>
      <c r="UB5" s="411"/>
      <c r="UC5" s="411"/>
      <c r="UD5" s="411"/>
      <c r="UE5" s="411"/>
      <c r="UF5" s="411"/>
      <c r="UG5" s="411"/>
      <c r="UH5" s="411"/>
      <c r="UI5" s="411"/>
      <c r="UJ5" s="411"/>
      <c r="UK5" s="411"/>
      <c r="UL5" s="411"/>
      <c r="UM5" s="411"/>
      <c r="UN5" s="411"/>
      <c r="UO5" s="411"/>
      <c r="UP5" s="411"/>
      <c r="UQ5" s="411"/>
      <c r="UR5" s="411"/>
      <c r="US5" s="411"/>
      <c r="UT5" s="411"/>
      <c r="UU5" s="411"/>
      <c r="UV5" s="411"/>
      <c r="UW5" s="411"/>
      <c r="UX5" s="411"/>
      <c r="UY5" s="411"/>
      <c r="UZ5" s="411"/>
      <c r="VA5" s="411"/>
      <c r="VB5" s="411"/>
      <c r="VC5" s="411"/>
      <c r="VD5" s="411"/>
      <c r="VE5" s="411"/>
      <c r="VF5" s="411"/>
      <c r="VG5" s="411"/>
      <c r="VH5" s="411"/>
      <c r="VI5" s="411"/>
      <c r="VJ5" s="411"/>
      <c r="VK5" s="411"/>
      <c r="VL5" s="411"/>
      <c r="VM5" s="411"/>
      <c r="VN5" s="411"/>
      <c r="VO5" s="411"/>
      <c r="VP5" s="411"/>
      <c r="VQ5" s="411"/>
      <c r="VR5" s="411"/>
      <c r="VS5" s="411"/>
      <c r="VT5" s="411"/>
      <c r="VU5" s="411"/>
      <c r="VV5" s="411"/>
      <c r="VW5" s="411"/>
      <c r="VX5" s="411"/>
      <c r="VY5" s="411"/>
      <c r="VZ5" s="411"/>
      <c r="WA5" s="411"/>
      <c r="WB5" s="411"/>
      <c r="WC5" s="411"/>
      <c r="WD5" s="411"/>
      <c r="WE5" s="411"/>
      <c r="WF5" s="411"/>
      <c r="WG5" s="411"/>
      <c r="WH5" s="411"/>
      <c r="WI5" s="411"/>
      <c r="WJ5" s="411"/>
      <c r="WK5" s="411"/>
      <c r="WL5" s="411"/>
      <c r="WM5" s="411"/>
      <c r="WN5" s="411"/>
      <c r="WO5" s="411"/>
      <c r="WP5" s="411"/>
      <c r="WQ5" s="411"/>
      <c r="WR5" s="411"/>
      <c r="WS5" s="411"/>
      <c r="WT5" s="411"/>
      <c r="WU5" s="411"/>
      <c r="WV5" s="411"/>
      <c r="WW5" s="411"/>
      <c r="WX5" s="411"/>
      <c r="WY5" s="411"/>
      <c r="WZ5" s="411"/>
      <c r="XA5" s="411"/>
      <c r="XB5" s="411"/>
      <c r="XC5" s="411"/>
      <c r="XD5" s="411"/>
      <c r="XE5" s="411"/>
      <c r="XF5" s="411"/>
      <c r="XG5" s="411"/>
      <c r="XH5" s="411"/>
      <c r="XI5" s="411"/>
      <c r="XJ5" s="411"/>
      <c r="XK5" s="411"/>
      <c r="XL5" s="411"/>
      <c r="XM5" s="411"/>
      <c r="XN5" s="411"/>
      <c r="XO5" s="411"/>
      <c r="XP5" s="411"/>
      <c r="XQ5" s="411"/>
      <c r="XR5" s="411"/>
      <c r="XS5" s="411"/>
      <c r="XT5" s="411"/>
      <c r="XU5" s="411"/>
      <c r="XV5" s="411"/>
      <c r="XW5" s="411"/>
      <c r="XX5" s="411"/>
      <c r="XY5" s="411"/>
      <c r="XZ5" s="411"/>
      <c r="YA5" s="411"/>
      <c r="YB5" s="411"/>
      <c r="YC5" s="411"/>
      <c r="YD5" s="411"/>
      <c r="YE5" s="411"/>
      <c r="YF5" s="411"/>
      <c r="YG5" s="411"/>
      <c r="YH5" s="411"/>
      <c r="YI5" s="411"/>
      <c r="YJ5" s="411"/>
      <c r="YK5" s="411"/>
      <c r="YL5" s="411"/>
      <c r="YM5" s="411"/>
      <c r="YN5" s="411"/>
      <c r="YO5" s="411"/>
      <c r="YP5" s="411"/>
      <c r="YQ5" s="411"/>
      <c r="YR5" s="411"/>
      <c r="YS5" s="411"/>
      <c r="YT5" s="411"/>
      <c r="YU5" s="411"/>
      <c r="YV5" s="411"/>
      <c r="YW5" s="411"/>
      <c r="YX5" s="411"/>
      <c r="YY5" s="411"/>
      <c r="YZ5" s="411"/>
      <c r="ZA5" s="411"/>
      <c r="ZB5" s="411"/>
      <c r="ZC5" s="411"/>
      <c r="ZD5" s="411"/>
      <c r="ZE5" s="411"/>
      <c r="ZF5" s="411"/>
      <c r="ZG5" s="411"/>
      <c r="ZH5" s="411"/>
      <c r="ZI5" s="411"/>
      <c r="ZJ5" s="411"/>
      <c r="ZK5" s="411"/>
      <c r="ZL5" s="411"/>
      <c r="ZM5" s="411"/>
      <c r="ZN5" s="411"/>
      <c r="ZO5" s="411"/>
      <c r="ZP5" s="411"/>
      <c r="ZQ5" s="411"/>
      <c r="ZR5" s="411"/>
      <c r="ZS5" s="411"/>
      <c r="ZT5" s="411"/>
      <c r="ZU5" s="411"/>
      <c r="ZV5" s="411"/>
      <c r="ZW5" s="411"/>
      <c r="ZX5" s="411"/>
      <c r="ZY5" s="411"/>
      <c r="ZZ5" s="411"/>
      <c r="AAA5" s="411"/>
      <c r="AAB5" s="411"/>
      <c r="AAC5" s="411"/>
      <c r="AAD5" s="411"/>
      <c r="AAE5" s="411"/>
      <c r="AAF5" s="411"/>
      <c r="AAG5" s="411"/>
      <c r="AAH5" s="411"/>
      <c r="AAI5" s="411"/>
      <c r="AAJ5" s="411"/>
      <c r="AAK5" s="411"/>
      <c r="AAL5" s="411"/>
      <c r="AAM5" s="411"/>
      <c r="AAN5" s="411"/>
      <c r="AAO5" s="411"/>
      <c r="AAP5" s="411"/>
      <c r="AAQ5" s="411"/>
      <c r="AAR5" s="411"/>
      <c r="AAS5" s="411"/>
      <c r="AAT5" s="411"/>
      <c r="AAU5" s="411"/>
      <c r="AAV5" s="411"/>
      <c r="AAW5" s="411"/>
      <c r="AAX5" s="411"/>
      <c r="AAY5" s="411"/>
      <c r="AAZ5" s="411"/>
      <c r="ABA5" s="411"/>
      <c r="ABB5" s="411"/>
      <c r="ABC5" s="411"/>
      <c r="ABD5" s="411"/>
      <c r="ABE5" s="411"/>
      <c r="ABF5" s="411"/>
      <c r="ABG5" s="411"/>
      <c r="ABH5" s="411"/>
      <c r="ABI5" s="411"/>
      <c r="ABJ5" s="411"/>
      <c r="ABK5" s="411"/>
      <c r="ABL5" s="411"/>
      <c r="ABM5" s="411"/>
      <c r="ABN5" s="411"/>
      <c r="ABO5" s="411"/>
      <c r="ABP5" s="411"/>
      <c r="ABQ5" s="411"/>
      <c r="ABR5" s="411"/>
      <c r="ABS5" s="411"/>
      <c r="ABT5" s="411"/>
      <c r="ABU5" s="411"/>
      <c r="ABV5" s="411"/>
      <c r="ABW5" s="411"/>
      <c r="ABX5" s="411"/>
      <c r="ABY5" s="411"/>
      <c r="ABZ5" s="411"/>
      <c r="ACA5" s="411"/>
      <c r="ACB5" s="411"/>
      <c r="ACC5" s="411"/>
      <c r="ACD5" s="411"/>
      <c r="ACE5" s="411"/>
      <c r="ACF5" s="411"/>
      <c r="ACG5" s="411"/>
      <c r="ACH5" s="411"/>
      <c r="ACI5" s="411"/>
      <c r="ACJ5" s="411"/>
      <c r="ACK5" s="411"/>
      <c r="ACL5" s="411"/>
      <c r="ACM5" s="411"/>
      <c r="ACN5" s="411"/>
      <c r="ACO5" s="411"/>
      <c r="ACP5" s="411"/>
      <c r="ACQ5" s="411"/>
      <c r="ACR5" s="411"/>
      <c r="ACS5" s="411"/>
      <c r="ACT5" s="411"/>
      <c r="ACU5" s="411"/>
      <c r="ACV5" s="411"/>
      <c r="ACW5" s="411"/>
      <c r="ACX5" s="411"/>
      <c r="ACY5" s="411"/>
      <c r="ACZ5" s="411"/>
      <c r="ADA5" s="411"/>
      <c r="ADB5" s="411"/>
      <c r="ADC5" s="411"/>
      <c r="ADD5" s="411"/>
      <c r="ADE5" s="411"/>
      <c r="ADF5" s="411"/>
      <c r="ADG5" s="411"/>
      <c r="ADH5" s="411"/>
      <c r="ADI5" s="411"/>
      <c r="ADJ5" s="411"/>
      <c r="ADK5" s="411"/>
      <c r="ADL5" s="411"/>
      <c r="ADM5" s="411"/>
      <c r="ADN5" s="411"/>
      <c r="ADO5" s="411"/>
      <c r="ADP5" s="411"/>
      <c r="ADQ5" s="411"/>
      <c r="ADR5" s="411"/>
      <c r="ADS5" s="411"/>
      <c r="ADT5" s="411"/>
      <c r="ADU5" s="411"/>
      <c r="ADV5" s="411"/>
      <c r="ADW5" s="411"/>
      <c r="ADX5" s="411"/>
      <c r="ADY5" s="411"/>
      <c r="ADZ5" s="411"/>
      <c r="AEA5" s="411"/>
      <c r="AEB5" s="411"/>
      <c r="AEC5" s="411"/>
      <c r="AED5" s="411"/>
      <c r="AEE5" s="411"/>
      <c r="AEF5" s="411"/>
      <c r="AEG5" s="411"/>
      <c r="AEH5" s="411"/>
      <c r="AEI5" s="411"/>
      <c r="AEJ5" s="411"/>
      <c r="AEK5" s="411"/>
      <c r="AEL5" s="411"/>
      <c r="AEM5" s="411"/>
      <c r="AEN5" s="411"/>
      <c r="AEO5" s="411"/>
      <c r="AEP5" s="411"/>
      <c r="AEQ5" s="411"/>
      <c r="AER5" s="411"/>
      <c r="AES5" s="411"/>
      <c r="AET5" s="411"/>
      <c r="AEU5" s="411"/>
      <c r="AEV5" s="411"/>
      <c r="AEW5" s="411"/>
      <c r="AEX5" s="411"/>
      <c r="AEY5" s="411"/>
      <c r="AEZ5" s="411"/>
      <c r="AFA5" s="411"/>
      <c r="AFB5" s="411"/>
      <c r="AFC5" s="411"/>
      <c r="AFD5" s="411"/>
      <c r="AFE5" s="411"/>
      <c r="AFF5" s="411"/>
      <c r="AFG5" s="411"/>
      <c r="AFH5" s="411"/>
      <c r="AFI5" s="411"/>
      <c r="AFJ5" s="411"/>
      <c r="AFK5" s="411"/>
      <c r="AFL5" s="411"/>
      <c r="AFM5" s="411"/>
      <c r="AFN5" s="411"/>
      <c r="AFO5" s="411"/>
      <c r="AFP5" s="411"/>
      <c r="AFQ5" s="411"/>
      <c r="AFR5" s="411"/>
      <c r="AFS5" s="411"/>
      <c r="AFT5" s="411"/>
      <c r="AFU5" s="411"/>
      <c r="AFV5" s="411"/>
      <c r="AFW5" s="411"/>
      <c r="AFX5" s="411"/>
      <c r="AFY5" s="411"/>
      <c r="AFZ5" s="411"/>
      <c r="AGA5" s="411"/>
      <c r="AGB5" s="411"/>
      <c r="AGC5" s="411"/>
      <c r="AGD5" s="411"/>
      <c r="AGE5" s="411"/>
      <c r="AGF5" s="411"/>
      <c r="AGG5" s="411"/>
      <c r="AGH5" s="411"/>
      <c r="AGI5" s="411"/>
      <c r="AGJ5" s="411"/>
      <c r="AGK5" s="411"/>
      <c r="AGL5" s="411"/>
      <c r="AGM5" s="411"/>
      <c r="AGN5" s="411"/>
      <c r="AGO5" s="411"/>
      <c r="AGP5" s="411"/>
      <c r="AGQ5" s="411"/>
      <c r="AGR5" s="411"/>
      <c r="AGS5" s="411"/>
      <c r="AGT5" s="411"/>
      <c r="AGU5" s="411"/>
      <c r="AGV5" s="411"/>
      <c r="AGW5" s="411"/>
      <c r="AGX5" s="411"/>
      <c r="AGY5" s="411"/>
      <c r="AGZ5" s="411"/>
      <c r="AHA5" s="411"/>
      <c r="AHB5" s="411"/>
      <c r="AHC5" s="411"/>
      <c r="AHD5" s="411"/>
      <c r="AHE5" s="411"/>
      <c r="AHF5" s="411"/>
      <c r="AHG5" s="411"/>
      <c r="AHH5" s="411"/>
      <c r="AHI5" s="411"/>
      <c r="AHJ5" s="411"/>
      <c r="AHK5" s="411"/>
      <c r="AHL5" s="411"/>
      <c r="AHM5" s="411"/>
      <c r="AHN5" s="411"/>
      <c r="AHO5" s="411"/>
      <c r="AHP5" s="411"/>
      <c r="AHQ5" s="411"/>
      <c r="AHR5" s="411"/>
      <c r="AHS5" s="411"/>
      <c r="AHT5" s="411"/>
      <c r="AHU5" s="411"/>
      <c r="AHV5" s="411"/>
      <c r="AHW5" s="411"/>
      <c r="AHX5" s="411"/>
      <c r="AHY5" s="411"/>
      <c r="AHZ5" s="411"/>
      <c r="AIA5" s="411"/>
      <c r="AIB5" s="411"/>
      <c r="AIC5" s="411"/>
      <c r="AID5" s="411"/>
      <c r="AIE5" s="411"/>
      <c r="AIF5" s="411"/>
      <c r="AIG5" s="411"/>
      <c r="AIH5" s="411"/>
      <c r="AII5" s="411"/>
      <c r="AIJ5" s="411"/>
      <c r="AIK5" s="411"/>
      <c r="AIL5" s="411"/>
      <c r="AIM5" s="411"/>
      <c r="AIN5" s="411"/>
      <c r="AIO5" s="411"/>
      <c r="AIP5" s="411"/>
      <c r="AIQ5" s="411"/>
      <c r="AIR5" s="411"/>
      <c r="AIS5" s="411"/>
      <c r="AIT5" s="411"/>
      <c r="AIU5" s="411"/>
      <c r="AIV5" s="411"/>
      <c r="AIW5" s="411"/>
      <c r="AIX5" s="411"/>
      <c r="AIY5" s="411"/>
      <c r="AIZ5" s="411"/>
      <c r="AJA5" s="411"/>
      <c r="AJB5" s="411"/>
      <c r="AJC5" s="411"/>
      <c r="AJD5" s="411"/>
      <c r="AJE5" s="411"/>
      <c r="AJF5" s="411"/>
      <c r="AJG5" s="411"/>
      <c r="AJH5" s="411"/>
      <c r="AJI5" s="411"/>
      <c r="AJJ5" s="411"/>
      <c r="AJK5" s="411"/>
      <c r="AJL5" s="411"/>
      <c r="AJM5" s="411"/>
      <c r="AJN5" s="411"/>
      <c r="AJO5" s="411"/>
      <c r="AJP5" s="411"/>
      <c r="AJQ5" s="411"/>
      <c r="AJR5" s="411"/>
      <c r="AJS5" s="411"/>
      <c r="AJT5" s="411"/>
      <c r="AJU5" s="411"/>
      <c r="AJV5" s="411"/>
      <c r="AJW5" s="411"/>
      <c r="AJX5" s="411"/>
      <c r="AJY5" s="411"/>
      <c r="AJZ5" s="411"/>
      <c r="AKA5" s="411"/>
      <c r="AKB5" s="411"/>
      <c r="AKC5" s="411"/>
      <c r="AKD5" s="411"/>
      <c r="AKE5" s="411"/>
      <c r="AKF5" s="411"/>
      <c r="AKG5" s="411"/>
      <c r="AKH5" s="411"/>
      <c r="AKI5" s="411"/>
      <c r="AKJ5" s="411"/>
      <c r="AKK5" s="411"/>
      <c r="AKL5" s="411"/>
      <c r="AKM5" s="411"/>
      <c r="AKN5" s="411"/>
      <c r="AKO5" s="411"/>
      <c r="AKP5" s="411"/>
      <c r="AKQ5" s="411"/>
      <c r="AKR5" s="411"/>
      <c r="AKS5" s="411"/>
      <c r="AKT5" s="411"/>
    </row>
    <row r="6">
      <c r="A6" s="411" t="s">
        <v>84</v>
      </c>
      <c r="B6" s="411"/>
      <c r="C6" s="411"/>
      <c r="D6" s="411"/>
      <c r="E6" s="411"/>
      <c r="F6" s="411"/>
      <c r="G6" s="411"/>
      <c r="H6" s="411"/>
      <c r="I6" s="411"/>
      <c r="J6" s="411"/>
      <c r="K6" s="411"/>
      <c r="L6" s="411"/>
      <c r="M6" s="411"/>
      <c r="N6" s="411"/>
      <c r="O6" s="411"/>
      <c r="P6" s="411"/>
      <c r="Q6" s="411"/>
      <c r="R6" s="411"/>
      <c r="S6" s="411"/>
      <c r="T6" s="411"/>
      <c r="U6" s="411"/>
      <c r="V6" s="411"/>
      <c r="W6" s="411"/>
      <c r="X6" s="411"/>
      <c r="Y6" s="411"/>
      <c r="Z6" s="411">
        <v>99.92</v>
      </c>
      <c r="AA6" s="411">
        <v>99.01</v>
      </c>
      <c r="AB6" s="411">
        <v>99.53</v>
      </c>
      <c r="AC6" s="411">
        <v>100.9000015258789</v>
      </c>
      <c r="AD6" s="411">
        <v>98.49</v>
      </c>
      <c r="AE6" s="411"/>
      <c r="AF6" s="411"/>
      <c r="AG6" s="411"/>
      <c r="AH6" s="411"/>
      <c r="AI6" s="411"/>
      <c r="AJ6" s="411"/>
      <c r="AK6" s="411"/>
      <c r="AL6" s="411"/>
      <c r="AM6" s="411"/>
      <c r="AN6" s="411">
        <v>104.629997253418</v>
      </c>
      <c r="AO6" s="411">
        <v>106.0100021362305</v>
      </c>
      <c r="AP6" s="411">
        <v>106.75</v>
      </c>
      <c r="AQ6" s="411">
        <v>107.1600036621094</v>
      </c>
      <c r="AR6" s="411">
        <v>106.5500030517578</v>
      </c>
      <c r="AS6" s="411">
        <v>106.4400024414062</v>
      </c>
      <c r="AT6" s="411">
        <v>105.2699966430664</v>
      </c>
      <c r="AU6" s="411">
        <v>106.5500030517578</v>
      </c>
      <c r="AV6" s="411">
        <v>107.5100021362305</v>
      </c>
      <c r="AW6" s="411">
        <v>106.7699966430664</v>
      </c>
      <c r="AX6" s="411">
        <v>105.379997253418</v>
      </c>
      <c r="AY6" s="411">
        <v>104.84</v>
      </c>
      <c r="AZ6" s="411">
        <v>107.2</v>
      </c>
      <c r="BA6" s="411"/>
      <c r="BB6" s="411"/>
      <c r="BC6" s="411"/>
      <c r="BD6" s="411"/>
      <c r="BE6" s="411"/>
      <c r="BF6" s="411"/>
      <c r="BG6" s="411"/>
      <c r="BH6" s="411">
        <v>115.1100006103516</v>
      </c>
      <c r="BI6" s="411">
        <v>115.4000015258789</v>
      </c>
      <c r="BJ6" s="411">
        <v>114.9000015258789</v>
      </c>
      <c r="BK6" s="411">
        <v>116.129997253418</v>
      </c>
      <c r="BL6" s="411">
        <v>115.8199996948242</v>
      </c>
      <c r="BM6" s="411">
        <v>116.2699966430664</v>
      </c>
      <c r="BN6" s="411">
        <v>115.2600021362305</v>
      </c>
      <c r="BO6" s="411">
        <v>115.3099975585938</v>
      </c>
      <c r="BP6" s="411">
        <v>114.4199981689453</v>
      </c>
      <c r="BQ6" s="411">
        <v>113.7699966430664</v>
      </c>
      <c r="BR6" s="411">
        <v>113.0299987792969</v>
      </c>
      <c r="BS6" s="411">
        <v>114.9100036621094</v>
      </c>
      <c r="BT6" s="411">
        <v>114.1699981689453</v>
      </c>
      <c r="BU6" s="411">
        <v>115.9400024414062</v>
      </c>
      <c r="BV6" s="411">
        <v>115.2399978637695</v>
      </c>
      <c r="BW6" s="411">
        <v>115.8399963378906</v>
      </c>
      <c r="BX6" s="411">
        <v>113.6399993896484</v>
      </c>
      <c r="BY6" s="411">
        <v>115.1900024414062</v>
      </c>
      <c r="BZ6" s="411">
        <v>114.0999984741211</v>
      </c>
      <c r="CA6" s="411"/>
      <c r="CB6" s="411"/>
      <c r="CC6" s="411"/>
      <c r="CD6" s="411"/>
      <c r="CE6" s="411"/>
      <c r="CF6" s="411"/>
      <c r="CG6" s="411"/>
      <c r="CH6" s="411"/>
      <c r="CI6" s="411">
        <v>116.4000015258789</v>
      </c>
      <c r="CJ6" s="411">
        <v>117.5699996948242</v>
      </c>
      <c r="CK6" s="411">
        <v>117.9800033569336</v>
      </c>
      <c r="CL6" s="411">
        <v>118.7399978637695</v>
      </c>
      <c r="CM6" s="411">
        <v>116.0400009155273</v>
      </c>
      <c r="CN6" s="411">
        <v>116.5199966430664</v>
      </c>
      <c r="CO6" s="411">
        <v>117.9499969482422</v>
      </c>
      <c r="CP6" s="411">
        <v>117.5199966430664</v>
      </c>
      <c r="CQ6" s="411">
        <v>117.0100021362305</v>
      </c>
      <c r="CR6" s="411">
        <v>116.7099990844727</v>
      </c>
      <c r="CS6" s="411">
        <v>115.6600036621094</v>
      </c>
      <c r="CT6" s="411">
        <v>115.6100006103516</v>
      </c>
      <c r="CU6" s="411">
        <v>115.2699966</v>
      </c>
      <c r="CV6" s="411">
        <v>114.6999969</v>
      </c>
      <c r="CW6" s="411">
        <v>114.5100021</v>
      </c>
      <c r="CX6" s="411">
        <v>114.25</v>
      </c>
      <c r="CY6" s="411">
        <v>113.3099975585938</v>
      </c>
      <c r="CZ6" s="411">
        <v>112.370002746582</v>
      </c>
      <c r="DA6" s="411">
        <v>111.870002746582</v>
      </c>
      <c r="DB6" s="411">
        <v>111.3600006103516</v>
      </c>
      <c r="DC6" s="411">
        <v>111.6999969482422</v>
      </c>
      <c r="DD6" s="411">
        <v>110.7900009155273</v>
      </c>
      <c r="DE6" s="411">
        <v>112.4100036621094</v>
      </c>
      <c r="DF6" s="411">
        <v>114.3000030517578</v>
      </c>
      <c r="DG6" s="411">
        <v>113.3000030517578</v>
      </c>
      <c r="DH6" s="411">
        <v>112.1500015258789</v>
      </c>
      <c r="DI6" s="411">
        <v>113.5</v>
      </c>
      <c r="DJ6" s="411">
        <v>114.620002746582</v>
      </c>
      <c r="DK6" s="411">
        <v>113.9000015258789</v>
      </c>
      <c r="DL6" s="411">
        <v>112.3099975585938</v>
      </c>
      <c r="DM6" s="411">
        <v>114.0500030517578</v>
      </c>
      <c r="DN6" s="411"/>
      <c r="DO6" s="411"/>
      <c r="DP6" s="411"/>
      <c r="DQ6" s="411"/>
      <c r="DR6" s="411"/>
      <c r="DS6" s="411"/>
      <c r="DT6" s="411"/>
      <c r="DU6" s="411"/>
      <c r="DV6" s="411"/>
      <c r="DW6" s="411"/>
      <c r="DX6" s="411"/>
      <c r="DY6" s="411"/>
      <c r="DZ6" s="411"/>
      <c r="EA6" s="411"/>
      <c r="EB6" s="411"/>
      <c r="EC6" s="411"/>
      <c r="ED6" s="411"/>
      <c r="EE6" s="411"/>
      <c r="EF6" s="411"/>
      <c r="EG6" s="411"/>
      <c r="EH6" s="411"/>
      <c r="EI6" s="411"/>
      <c r="EJ6" s="411"/>
      <c r="EK6" s="411"/>
      <c r="EL6" s="411"/>
      <c r="EM6" s="411"/>
      <c r="EN6" s="411"/>
      <c r="EO6" s="411"/>
      <c r="EP6" s="411"/>
      <c r="EQ6" s="411"/>
      <c r="ER6" s="411"/>
      <c r="ES6" s="411"/>
      <c r="ET6" s="411"/>
      <c r="EU6" s="411"/>
      <c r="EV6" s="411"/>
      <c r="EW6" s="411"/>
      <c r="EX6" s="411"/>
      <c r="EY6" s="411"/>
      <c r="EZ6" s="411"/>
      <c r="FA6" s="411"/>
      <c r="FB6" s="411"/>
      <c r="FC6" s="411"/>
      <c r="FD6" s="411"/>
      <c r="FE6" s="411"/>
      <c r="FF6" s="411"/>
      <c r="FG6" s="411"/>
      <c r="FH6" s="411"/>
      <c r="FI6" s="411"/>
      <c r="FJ6" s="411"/>
      <c r="FK6" s="411"/>
      <c r="FL6" s="411"/>
      <c r="FM6" s="411"/>
      <c r="FN6" s="411"/>
      <c r="FO6" s="411"/>
      <c r="FP6" s="411"/>
      <c r="FQ6" s="411"/>
      <c r="FR6" s="411"/>
      <c r="FS6" s="411"/>
      <c r="FT6" s="411"/>
      <c r="FU6" s="411"/>
      <c r="FV6" s="411"/>
      <c r="FW6" s="411"/>
      <c r="FX6" s="411"/>
      <c r="FY6" s="411"/>
      <c r="FZ6" s="411"/>
      <c r="GA6" s="411"/>
      <c r="GB6" s="411"/>
      <c r="GC6" s="411"/>
      <c r="GD6" s="411"/>
      <c r="GE6" s="411"/>
      <c r="GF6" s="411"/>
      <c r="GG6" s="411"/>
      <c r="GH6" s="411"/>
      <c r="GI6" s="411"/>
      <c r="GJ6" s="411"/>
      <c r="GK6" s="411"/>
      <c r="GL6" s="411"/>
      <c r="GM6" s="411"/>
      <c r="GN6" s="411"/>
      <c r="GO6" s="411"/>
      <c r="GP6" s="411"/>
      <c r="GQ6" s="411"/>
      <c r="GR6" s="411"/>
      <c r="GS6" s="411"/>
      <c r="GT6" s="411"/>
      <c r="GU6" s="411"/>
      <c r="GV6" s="411"/>
      <c r="GW6" s="411"/>
      <c r="GX6" s="411"/>
      <c r="GY6" s="411"/>
      <c r="GZ6" s="411"/>
      <c r="HA6" s="411"/>
      <c r="HB6" s="411"/>
      <c r="HC6" s="411"/>
      <c r="HD6" s="411"/>
      <c r="HE6" s="411"/>
      <c r="HF6" s="411"/>
      <c r="HG6" s="411"/>
      <c r="HH6" s="411"/>
      <c r="HI6" s="411"/>
      <c r="HJ6" s="411"/>
      <c r="HK6" s="411"/>
      <c r="HL6" s="411"/>
      <c r="HM6" s="411"/>
      <c r="HN6" s="411"/>
      <c r="HO6" s="411"/>
      <c r="HP6" s="411"/>
      <c r="HQ6" s="411"/>
      <c r="HR6" s="411"/>
      <c r="HS6" s="411"/>
      <c r="HT6" s="411"/>
      <c r="HU6" s="411"/>
      <c r="HV6" s="411"/>
      <c r="HW6" s="411"/>
      <c r="HX6" s="411"/>
      <c r="HY6" s="411"/>
      <c r="HZ6" s="411"/>
      <c r="IA6" s="411"/>
      <c r="IB6" s="411"/>
      <c r="IC6" s="411"/>
      <c r="ID6" s="411"/>
      <c r="IE6" s="411"/>
      <c r="IF6" s="411"/>
      <c r="IG6" s="411"/>
      <c r="IH6" s="411"/>
      <c r="II6" s="411"/>
      <c r="IJ6" s="411"/>
      <c r="IK6" s="411"/>
      <c r="IL6" s="411"/>
      <c r="IM6" s="411"/>
      <c r="IN6" s="411"/>
      <c r="IO6" s="411"/>
      <c r="IP6" s="411"/>
      <c r="IQ6" s="411"/>
      <c r="IR6" s="411"/>
      <c r="IS6" s="411"/>
      <c r="IT6" s="411"/>
      <c r="IU6" s="411"/>
      <c r="IV6" s="411"/>
      <c r="IW6" s="411"/>
      <c r="IX6" s="411"/>
      <c r="IY6" s="411"/>
      <c r="IZ6" s="411"/>
      <c r="JA6" s="411"/>
      <c r="JB6" s="411"/>
      <c r="JC6" s="411"/>
      <c r="JD6" s="411"/>
      <c r="JE6" s="411"/>
      <c r="JF6" s="411"/>
      <c r="JG6" s="411"/>
      <c r="JH6" s="411"/>
      <c r="JI6" s="411"/>
      <c r="JJ6" s="411"/>
      <c r="JK6" s="411"/>
      <c r="JL6" s="411"/>
      <c r="JM6" s="411"/>
      <c r="JN6" s="411"/>
      <c r="JO6" s="411"/>
      <c r="JP6" s="411"/>
      <c r="JQ6" s="411"/>
      <c r="JR6" s="411"/>
      <c r="JS6" s="411"/>
      <c r="JT6" s="411"/>
      <c r="JU6" s="411"/>
      <c r="JV6" s="411"/>
      <c r="JW6" s="411"/>
      <c r="JX6" s="411"/>
      <c r="JY6" s="411"/>
      <c r="JZ6" s="411"/>
      <c r="KA6" s="411"/>
      <c r="KB6" s="411"/>
      <c r="KC6" s="411"/>
      <c r="KD6" s="411"/>
      <c r="KE6" s="411"/>
      <c r="KF6" s="411"/>
      <c r="KG6" s="411"/>
      <c r="KH6" s="411"/>
      <c r="KI6" s="411"/>
      <c r="KJ6" s="411"/>
      <c r="KK6" s="411"/>
      <c r="KL6" s="411"/>
      <c r="KM6" s="411"/>
      <c r="KN6" s="411"/>
      <c r="KO6" s="411"/>
      <c r="KP6" s="411"/>
      <c r="KQ6" s="411"/>
      <c r="KR6" s="411"/>
      <c r="KS6" s="411"/>
      <c r="KT6" s="411"/>
      <c r="KU6" s="411"/>
      <c r="KV6" s="411"/>
      <c r="KW6" s="411"/>
      <c r="KX6" s="411"/>
      <c r="KY6" s="411"/>
      <c r="KZ6" s="411"/>
      <c r="LA6" s="411"/>
      <c r="LB6" s="411"/>
      <c r="LC6" s="411"/>
      <c r="LD6" s="411"/>
      <c r="LE6" s="411"/>
      <c r="LF6" s="411"/>
      <c r="LG6" s="411"/>
      <c r="LH6" s="411"/>
      <c r="LI6" s="411"/>
      <c r="LJ6" s="411"/>
      <c r="LK6" s="411"/>
      <c r="LL6" s="411"/>
      <c r="LM6" s="411"/>
      <c r="LN6" s="411"/>
      <c r="LO6" s="411"/>
      <c r="LP6" s="411"/>
      <c r="LQ6" s="411"/>
      <c r="LR6" s="411"/>
      <c r="LS6" s="411"/>
      <c r="LT6" s="411"/>
      <c r="LU6" s="411"/>
      <c r="LV6" s="411"/>
      <c r="LW6" s="411"/>
      <c r="LX6" s="411"/>
      <c r="LY6" s="411"/>
      <c r="LZ6" s="411"/>
      <c r="MA6" s="411"/>
      <c r="MB6" s="411"/>
      <c r="MC6" s="411"/>
      <c r="MD6" s="411"/>
      <c r="ME6" s="411"/>
      <c r="MF6" s="411"/>
      <c r="MG6" s="411"/>
      <c r="MH6" s="411"/>
      <c r="MI6" s="411"/>
      <c r="MJ6" s="411"/>
      <c r="MK6" s="411"/>
      <c r="ML6" s="411"/>
      <c r="MM6" s="411"/>
      <c r="MN6" s="411"/>
      <c r="MO6" s="411"/>
      <c r="MP6" s="411"/>
      <c r="MQ6" s="411"/>
      <c r="MR6" s="411"/>
      <c r="MS6" s="411"/>
      <c r="MT6" s="411"/>
      <c r="MU6" s="411"/>
      <c r="MV6" s="411"/>
      <c r="MW6" s="411"/>
      <c r="MX6" s="411"/>
      <c r="MY6" s="411"/>
      <c r="MZ6" s="411"/>
      <c r="NA6" s="411"/>
      <c r="NB6" s="411"/>
      <c r="NC6" s="411"/>
      <c r="ND6" s="411"/>
      <c r="NE6" s="411"/>
      <c r="NF6" s="411"/>
      <c r="NG6" s="411"/>
      <c r="NH6" s="411"/>
      <c r="NI6" s="411"/>
      <c r="NJ6" s="411"/>
      <c r="NK6" s="411"/>
      <c r="NL6" s="411"/>
      <c r="NM6" s="411"/>
      <c r="NN6" s="411"/>
      <c r="NO6" s="411"/>
      <c r="NP6" s="411"/>
      <c r="NQ6" s="411"/>
      <c r="NR6" s="411"/>
      <c r="NS6" s="411"/>
      <c r="NT6" s="411"/>
      <c r="NU6" s="411"/>
      <c r="NV6" s="411"/>
      <c r="NW6" s="411"/>
      <c r="NX6" s="411"/>
      <c r="NY6" s="411"/>
      <c r="NZ6" s="411"/>
      <c r="OA6" s="411"/>
      <c r="OB6" s="411"/>
      <c r="OC6" s="411"/>
      <c r="OD6" s="411"/>
      <c r="OE6" s="411"/>
      <c r="OF6" s="411"/>
      <c r="OG6" s="411"/>
      <c r="OH6" s="411"/>
      <c r="OI6" s="411"/>
      <c r="OJ6" s="411"/>
      <c r="OK6" s="411"/>
      <c r="OL6" s="411"/>
      <c r="OM6" s="411"/>
      <c r="ON6" s="411"/>
      <c r="OO6" s="411"/>
      <c r="OP6" s="411"/>
      <c r="OQ6" s="411"/>
      <c r="OR6" s="411"/>
      <c r="OS6" s="411"/>
      <c r="OT6" s="411"/>
      <c r="OU6" s="411"/>
      <c r="OV6" s="411"/>
      <c r="OW6" s="411"/>
      <c r="OX6" s="411"/>
      <c r="OY6" s="411"/>
      <c r="OZ6" s="411"/>
      <c r="PA6" s="411"/>
      <c r="PB6" s="411"/>
      <c r="PC6" s="411"/>
      <c r="PD6" s="411"/>
      <c r="PE6" s="411"/>
      <c r="PF6" s="411"/>
      <c r="PG6" s="411"/>
      <c r="PH6" s="411"/>
      <c r="PI6" s="411"/>
      <c r="PJ6" s="411"/>
      <c r="PK6" s="411"/>
      <c r="PL6" s="411"/>
      <c r="PM6" s="411"/>
      <c r="PN6" s="411"/>
      <c r="PO6" s="411"/>
      <c r="PP6" s="411"/>
      <c r="PQ6" s="411"/>
      <c r="PR6" s="411"/>
      <c r="PS6" s="411"/>
      <c r="PT6" s="411"/>
      <c r="PU6" s="411"/>
      <c r="PV6" s="411"/>
      <c r="PW6" s="411"/>
      <c r="PX6" s="411"/>
      <c r="PY6" s="411"/>
      <c r="PZ6" s="411"/>
      <c r="QA6" s="411"/>
      <c r="QB6" s="411"/>
      <c r="QC6" s="411"/>
      <c r="QD6" s="411"/>
      <c r="QE6" s="411"/>
      <c r="QF6" s="411"/>
      <c r="QG6" s="411"/>
      <c r="QH6" s="411"/>
      <c r="QI6" s="411"/>
      <c r="QJ6" s="411"/>
      <c r="QK6" s="411"/>
      <c r="QL6" s="411"/>
      <c r="QM6" s="411"/>
      <c r="QN6" s="411"/>
      <c r="QO6" s="411"/>
      <c r="QP6" s="411"/>
      <c r="QQ6" s="411"/>
      <c r="QR6" s="411"/>
      <c r="QS6" s="411"/>
      <c r="QT6" s="411"/>
      <c r="QU6" s="411"/>
      <c r="QV6" s="411"/>
      <c r="QW6" s="411"/>
      <c r="QX6" s="411"/>
      <c r="QY6" s="411"/>
      <c r="QZ6" s="411"/>
      <c r="RA6" s="411"/>
      <c r="RB6" s="411"/>
      <c r="RC6" s="411"/>
      <c r="RD6" s="411"/>
      <c r="RE6" s="411"/>
      <c r="RF6" s="411"/>
      <c r="RG6" s="411"/>
      <c r="RH6" s="411"/>
      <c r="RI6" s="411"/>
      <c r="RJ6" s="411"/>
      <c r="RK6" s="411"/>
      <c r="RL6" s="411"/>
      <c r="RM6" s="411"/>
      <c r="RN6" s="411"/>
      <c r="RO6" s="411"/>
      <c r="RP6" s="411"/>
      <c r="RQ6" s="411"/>
      <c r="RR6" s="411"/>
      <c r="RS6" s="411"/>
      <c r="RT6" s="411"/>
      <c r="RU6" s="411"/>
      <c r="RV6" s="411"/>
      <c r="RW6" s="411"/>
      <c r="RX6" s="411"/>
      <c r="RY6" s="411"/>
      <c r="RZ6" s="411"/>
      <c r="SA6" s="411"/>
      <c r="SB6" s="411"/>
      <c r="SC6" s="411"/>
      <c r="SD6" s="411"/>
      <c r="SE6" s="411"/>
      <c r="SF6" s="411"/>
      <c r="SG6" s="411"/>
      <c r="SH6" s="411"/>
      <c r="SI6" s="411"/>
      <c r="SJ6" s="411"/>
      <c r="SK6" s="411"/>
      <c r="SL6" s="411"/>
      <c r="SM6" s="411"/>
      <c r="SN6" s="411"/>
      <c r="SO6" s="411"/>
      <c r="SP6" s="411"/>
      <c r="SQ6" s="411"/>
      <c r="SR6" s="411"/>
      <c r="SS6" s="411"/>
      <c r="ST6" s="411"/>
      <c r="SU6" s="411"/>
      <c r="SV6" s="411"/>
      <c r="SW6" s="411"/>
      <c r="SX6" s="411"/>
      <c r="SY6" s="411"/>
      <c r="SZ6" s="411"/>
      <c r="TA6" s="411"/>
      <c r="TB6" s="411"/>
      <c r="TC6" s="411"/>
      <c r="TD6" s="411"/>
      <c r="TE6" s="411"/>
      <c r="TF6" s="411"/>
      <c r="TG6" s="411"/>
      <c r="TH6" s="411"/>
      <c r="TI6" s="411"/>
      <c r="TJ6" s="411"/>
      <c r="TK6" s="411"/>
      <c r="TL6" s="411"/>
      <c r="TM6" s="411"/>
      <c r="TN6" s="411"/>
      <c r="TO6" s="411"/>
      <c r="TP6" s="411"/>
      <c r="TQ6" s="411"/>
      <c r="TR6" s="411"/>
      <c r="TS6" s="411"/>
      <c r="TT6" s="411"/>
      <c r="TU6" s="411"/>
      <c r="TV6" s="411"/>
      <c r="TW6" s="411"/>
      <c r="TX6" s="411"/>
      <c r="TY6" s="411"/>
      <c r="TZ6" s="411"/>
      <c r="UA6" s="411"/>
      <c r="UB6" s="411"/>
      <c r="UC6" s="411"/>
      <c r="UD6" s="411"/>
      <c r="UE6" s="411"/>
      <c r="UF6" s="411"/>
      <c r="UG6" s="411"/>
      <c r="UH6" s="411"/>
      <c r="UI6" s="411"/>
      <c r="UJ6" s="411"/>
      <c r="UK6" s="411"/>
      <c r="UL6" s="411"/>
      <c r="UM6" s="411"/>
      <c r="UN6" s="411"/>
      <c r="UO6" s="411"/>
      <c r="UP6" s="411"/>
      <c r="UQ6" s="411"/>
      <c r="UR6" s="411"/>
      <c r="US6" s="411"/>
      <c r="UT6" s="411"/>
      <c r="UU6" s="411"/>
      <c r="UV6" s="411"/>
      <c r="UW6" s="411"/>
      <c r="UX6" s="411"/>
      <c r="UY6" s="411"/>
      <c r="UZ6" s="411"/>
      <c r="VA6" s="411"/>
      <c r="VB6" s="411"/>
      <c r="VC6" s="411"/>
      <c r="VD6" s="411"/>
      <c r="VE6" s="411"/>
      <c r="VF6" s="411"/>
      <c r="VG6" s="411"/>
      <c r="VH6" s="411"/>
      <c r="VI6" s="411"/>
      <c r="VJ6" s="411"/>
      <c r="VK6" s="411"/>
      <c r="VL6" s="411"/>
      <c r="VM6" s="411"/>
      <c r="VN6" s="411"/>
      <c r="VO6" s="411"/>
      <c r="VP6" s="411"/>
      <c r="VQ6" s="411"/>
      <c r="VR6" s="411"/>
      <c r="VS6" s="411"/>
      <c r="VT6" s="411"/>
      <c r="VU6" s="411"/>
      <c r="VV6" s="411"/>
      <c r="VW6" s="411"/>
      <c r="VX6" s="411"/>
      <c r="VY6" s="411"/>
      <c r="VZ6" s="411"/>
      <c r="WA6" s="411"/>
      <c r="WB6" s="411"/>
      <c r="WC6" s="411"/>
      <c r="WD6" s="411"/>
      <c r="WE6" s="411"/>
      <c r="WF6" s="411"/>
      <c r="WG6" s="411"/>
      <c r="WH6" s="411"/>
      <c r="WI6" s="411"/>
      <c r="WJ6" s="411"/>
      <c r="WK6" s="411"/>
      <c r="WL6" s="411"/>
      <c r="WM6" s="411"/>
      <c r="WN6" s="411"/>
      <c r="WO6" s="411"/>
      <c r="WP6" s="411"/>
      <c r="WQ6" s="411"/>
      <c r="WR6" s="411"/>
      <c r="WS6" s="411"/>
      <c r="WT6" s="411"/>
      <c r="WU6" s="411"/>
      <c r="WV6" s="411"/>
      <c r="WW6" s="411"/>
      <c r="WX6" s="411"/>
      <c r="WY6" s="411"/>
      <c r="WZ6" s="411"/>
      <c r="XA6" s="411"/>
      <c r="XB6" s="411"/>
      <c r="XC6" s="411"/>
      <c r="XD6" s="411"/>
      <c r="XE6" s="411"/>
      <c r="XF6" s="411"/>
      <c r="XG6" s="411"/>
      <c r="XH6" s="411"/>
      <c r="XI6" s="411"/>
      <c r="XJ6" s="411"/>
      <c r="XK6" s="411"/>
      <c r="XL6" s="411"/>
      <c r="XM6" s="411"/>
      <c r="XN6" s="411"/>
      <c r="XO6" s="411"/>
      <c r="XP6" s="411"/>
      <c r="XQ6" s="411"/>
      <c r="XR6" s="411"/>
      <c r="XS6" s="411"/>
      <c r="XT6" s="411"/>
      <c r="XU6" s="411"/>
      <c r="XV6" s="411"/>
      <c r="XW6" s="411"/>
      <c r="XX6" s="411"/>
      <c r="XY6" s="411"/>
      <c r="XZ6" s="411"/>
      <c r="YA6" s="411"/>
      <c r="YB6" s="411"/>
      <c r="YC6" s="411"/>
      <c r="YD6" s="411"/>
      <c r="YE6" s="411"/>
      <c r="YF6" s="411"/>
      <c r="YG6" s="411"/>
      <c r="YH6" s="411"/>
      <c r="YI6" s="411"/>
      <c r="YJ6" s="411"/>
      <c r="YK6" s="411"/>
      <c r="YL6" s="411"/>
      <c r="YM6" s="411"/>
      <c r="YN6" s="411"/>
      <c r="YO6" s="411"/>
      <c r="YP6" s="411"/>
      <c r="YQ6" s="411"/>
      <c r="YR6" s="411"/>
      <c r="YS6" s="411"/>
      <c r="YT6" s="411"/>
      <c r="YU6" s="411"/>
      <c r="YV6" s="411"/>
      <c r="YW6" s="411"/>
      <c r="YX6" s="411"/>
      <c r="YY6" s="411"/>
      <c r="YZ6" s="411"/>
      <c r="ZA6" s="411"/>
      <c r="ZB6" s="411"/>
      <c r="ZC6" s="411"/>
      <c r="ZD6" s="411"/>
      <c r="ZE6" s="411"/>
      <c r="ZF6" s="411"/>
      <c r="ZG6" s="411"/>
      <c r="ZH6" s="411"/>
      <c r="ZI6" s="411"/>
      <c r="ZJ6" s="411"/>
      <c r="ZK6" s="411"/>
      <c r="ZL6" s="411"/>
      <c r="ZM6" s="411"/>
      <c r="ZN6" s="411"/>
      <c r="ZO6" s="411"/>
      <c r="ZP6" s="411"/>
      <c r="ZQ6" s="411"/>
      <c r="ZR6" s="411"/>
      <c r="ZS6" s="411"/>
      <c r="ZT6" s="411"/>
      <c r="ZU6" s="411"/>
      <c r="ZV6" s="411"/>
      <c r="ZW6" s="411"/>
      <c r="ZX6" s="411"/>
      <c r="ZY6" s="411"/>
      <c r="ZZ6" s="411"/>
      <c r="AAA6" s="411"/>
      <c r="AAB6" s="411"/>
      <c r="AAC6" s="411"/>
      <c r="AAD6" s="411"/>
      <c r="AAE6" s="411"/>
      <c r="AAF6" s="411"/>
      <c r="AAG6" s="411"/>
      <c r="AAH6" s="411"/>
      <c r="AAI6" s="411"/>
      <c r="AAJ6" s="411"/>
      <c r="AAK6" s="411"/>
      <c r="AAL6" s="411"/>
      <c r="AAM6" s="411"/>
      <c r="AAN6" s="411"/>
      <c r="AAO6" s="411"/>
      <c r="AAP6" s="411"/>
      <c r="AAQ6" s="411"/>
      <c r="AAR6" s="411"/>
      <c r="AAS6" s="411"/>
      <c r="AAT6" s="411"/>
      <c r="AAU6" s="411"/>
      <c r="AAV6" s="411"/>
      <c r="AAW6" s="411"/>
      <c r="AAX6" s="411"/>
      <c r="AAY6" s="411"/>
      <c r="AAZ6" s="411"/>
      <c r="ABA6" s="411"/>
      <c r="ABB6" s="411"/>
      <c r="ABC6" s="411"/>
      <c r="ABD6" s="411"/>
      <c r="ABE6" s="411"/>
      <c r="ABF6" s="411"/>
      <c r="ABG6" s="411"/>
      <c r="ABH6" s="411"/>
      <c r="ABI6" s="411"/>
      <c r="ABJ6" s="411"/>
      <c r="ABK6" s="411"/>
      <c r="ABL6" s="411"/>
      <c r="ABM6" s="411"/>
      <c r="ABN6" s="411"/>
      <c r="ABO6" s="411"/>
      <c r="ABP6" s="411"/>
      <c r="ABQ6" s="411"/>
      <c r="ABR6" s="411"/>
      <c r="ABS6" s="411"/>
      <c r="ABT6" s="411"/>
      <c r="ABU6" s="411"/>
      <c r="ABV6" s="411"/>
      <c r="ABW6" s="411"/>
      <c r="ABX6" s="411"/>
      <c r="ABY6" s="411"/>
      <c r="ABZ6" s="411"/>
      <c r="ACA6" s="411"/>
      <c r="ACB6" s="411"/>
      <c r="ACC6" s="411"/>
      <c r="ACD6" s="411"/>
      <c r="ACE6" s="411"/>
      <c r="ACF6" s="411"/>
      <c r="ACG6" s="411"/>
      <c r="ACH6" s="411"/>
      <c r="ACI6" s="411"/>
      <c r="ACJ6" s="411"/>
      <c r="ACK6" s="411"/>
      <c r="ACL6" s="411"/>
      <c r="ACM6" s="411"/>
      <c r="ACN6" s="411"/>
      <c r="ACO6" s="411"/>
      <c r="ACP6" s="411"/>
      <c r="ACQ6" s="411"/>
      <c r="ACR6" s="411"/>
      <c r="ACS6" s="411"/>
      <c r="ACT6" s="411"/>
      <c r="ACU6" s="411"/>
      <c r="ACV6" s="411"/>
      <c r="ACW6" s="411"/>
      <c r="ACX6" s="411"/>
      <c r="ACY6" s="411"/>
      <c r="ACZ6" s="411"/>
      <c r="ADA6" s="411"/>
      <c r="ADB6" s="411"/>
      <c r="ADC6" s="411"/>
      <c r="ADD6" s="411"/>
      <c r="ADE6" s="411"/>
      <c r="ADF6" s="411"/>
      <c r="ADG6" s="411"/>
      <c r="ADH6" s="411"/>
      <c r="ADI6" s="411"/>
      <c r="ADJ6" s="411"/>
      <c r="ADK6" s="411"/>
      <c r="ADL6" s="411"/>
      <c r="ADM6" s="411"/>
      <c r="ADN6" s="411"/>
      <c r="ADO6" s="411"/>
      <c r="ADP6" s="411"/>
      <c r="ADQ6" s="411"/>
      <c r="ADR6" s="411"/>
      <c r="ADS6" s="411"/>
      <c r="ADT6" s="411"/>
      <c r="ADU6" s="411"/>
      <c r="ADV6" s="411"/>
      <c r="ADW6" s="411"/>
      <c r="ADX6" s="411"/>
      <c r="ADY6" s="411"/>
      <c r="ADZ6" s="411"/>
      <c r="AEA6" s="411"/>
      <c r="AEB6" s="411"/>
      <c r="AEC6" s="411"/>
      <c r="AED6" s="411"/>
      <c r="AEE6" s="411"/>
      <c r="AEF6" s="411"/>
      <c r="AEG6" s="411"/>
      <c r="AEH6" s="411"/>
      <c r="AEI6" s="411"/>
      <c r="AEJ6" s="411"/>
      <c r="AEK6" s="411"/>
      <c r="AEL6" s="411"/>
      <c r="AEM6" s="411"/>
      <c r="AEN6" s="411"/>
      <c r="AEO6" s="411"/>
      <c r="AEP6" s="411"/>
      <c r="AEQ6" s="411"/>
      <c r="AER6" s="411"/>
      <c r="AES6" s="411"/>
      <c r="AET6" s="411"/>
      <c r="AEU6" s="411"/>
      <c r="AEV6" s="411"/>
      <c r="AEW6" s="411"/>
      <c r="AEX6" s="411"/>
      <c r="AEY6" s="411"/>
      <c r="AEZ6" s="411"/>
      <c r="AFA6" s="411"/>
      <c r="AFB6" s="411"/>
      <c r="AFC6" s="411"/>
      <c r="AFD6" s="411"/>
      <c r="AFE6" s="411"/>
      <c r="AFF6" s="411"/>
      <c r="AFG6" s="411"/>
      <c r="AFH6" s="411"/>
      <c r="AFI6" s="411"/>
      <c r="AFJ6" s="411"/>
      <c r="AFK6" s="411"/>
      <c r="AFL6" s="411"/>
      <c r="AFM6" s="411"/>
      <c r="AFN6" s="411"/>
      <c r="AFO6" s="411"/>
      <c r="AFP6" s="411"/>
      <c r="AFQ6" s="411"/>
      <c r="AFR6" s="411"/>
      <c r="AFS6" s="411"/>
      <c r="AFT6" s="411"/>
      <c r="AFU6" s="411"/>
      <c r="AFV6" s="411"/>
      <c r="AFW6" s="411"/>
      <c r="AFX6" s="411"/>
      <c r="AFY6" s="411"/>
      <c r="AFZ6" s="411"/>
      <c r="AGA6" s="411"/>
      <c r="AGB6" s="411"/>
      <c r="AGC6" s="411"/>
      <c r="AGD6" s="411"/>
      <c r="AGE6" s="411"/>
      <c r="AGF6" s="411"/>
      <c r="AGG6" s="411"/>
      <c r="AGH6" s="411"/>
      <c r="AGI6" s="411"/>
      <c r="AGJ6" s="411"/>
      <c r="AGK6" s="411"/>
      <c r="AGL6" s="411"/>
      <c r="AGM6" s="411"/>
      <c r="AGN6" s="411"/>
      <c r="AGO6" s="411"/>
      <c r="AGP6" s="411"/>
      <c r="AGQ6" s="411"/>
      <c r="AGR6" s="411"/>
      <c r="AGS6" s="411"/>
      <c r="AGT6" s="411"/>
      <c r="AGU6" s="411"/>
      <c r="AGV6" s="411"/>
      <c r="AGW6" s="411"/>
      <c r="AGX6" s="411"/>
      <c r="AGY6" s="411"/>
      <c r="AGZ6" s="411"/>
      <c r="AHA6" s="411"/>
      <c r="AHB6" s="411"/>
      <c r="AHC6" s="411"/>
      <c r="AHD6" s="411"/>
      <c r="AHE6" s="411"/>
      <c r="AHF6" s="411"/>
      <c r="AHG6" s="411"/>
      <c r="AHH6" s="411"/>
      <c r="AHI6" s="411"/>
      <c r="AHJ6" s="411"/>
      <c r="AHK6" s="411"/>
      <c r="AHL6" s="411"/>
      <c r="AHM6" s="411"/>
      <c r="AHN6" s="411"/>
      <c r="AHO6" s="411"/>
      <c r="AHP6" s="411"/>
      <c r="AHQ6" s="411"/>
      <c r="AHR6" s="411"/>
      <c r="AHS6" s="411"/>
      <c r="AHT6" s="411"/>
      <c r="AHU6" s="411"/>
      <c r="AHV6" s="411"/>
      <c r="AHW6" s="411"/>
      <c r="AHX6" s="411"/>
      <c r="AHY6" s="411"/>
      <c r="AHZ6" s="411"/>
      <c r="AIA6" s="411"/>
      <c r="AIB6" s="411"/>
      <c r="AIC6" s="411"/>
      <c r="AID6" s="411"/>
      <c r="AIE6" s="411"/>
      <c r="AIF6" s="411"/>
      <c r="AIG6" s="411"/>
      <c r="AIH6" s="411"/>
      <c r="AII6" s="411"/>
      <c r="AIJ6" s="411"/>
      <c r="AIK6" s="411"/>
      <c r="AIL6" s="411"/>
      <c r="AIM6" s="411"/>
      <c r="AIN6" s="411"/>
      <c r="AIO6" s="411"/>
      <c r="AIP6" s="411"/>
      <c r="AIQ6" s="411"/>
      <c r="AIR6" s="411"/>
      <c r="AIS6" s="411"/>
      <c r="AIT6" s="411"/>
      <c r="AIU6" s="411"/>
      <c r="AIV6" s="411"/>
      <c r="AIW6" s="411"/>
      <c r="AIX6" s="411"/>
      <c r="AIY6" s="411"/>
      <c r="AIZ6" s="411"/>
      <c r="AJA6" s="411"/>
      <c r="AJB6" s="411"/>
      <c r="AJC6" s="411"/>
      <c r="AJD6" s="411"/>
      <c r="AJE6" s="411"/>
      <c r="AJF6" s="411"/>
      <c r="AJG6" s="411"/>
      <c r="AJH6" s="411"/>
      <c r="AJI6" s="411"/>
      <c r="AJJ6" s="411"/>
      <c r="AJK6" s="411"/>
      <c r="AJL6" s="411"/>
      <c r="AJM6" s="411"/>
      <c r="AJN6" s="411"/>
      <c r="AJO6" s="411"/>
      <c r="AJP6" s="411"/>
      <c r="AJQ6" s="411"/>
      <c r="AJR6" s="411"/>
      <c r="AJS6" s="411"/>
      <c r="AJT6" s="411"/>
      <c r="AJU6" s="411"/>
      <c r="AJV6" s="411"/>
      <c r="AJW6" s="411"/>
      <c r="AJX6" s="411"/>
      <c r="AJY6" s="411"/>
      <c r="AJZ6" s="411"/>
      <c r="AKA6" s="411"/>
      <c r="AKB6" s="411"/>
      <c r="AKC6" s="411"/>
      <c r="AKD6" s="411"/>
      <c r="AKE6" s="411"/>
      <c r="AKF6" s="411"/>
      <c r="AKG6" s="411"/>
      <c r="AKH6" s="411"/>
      <c r="AKI6" s="411"/>
      <c r="AKJ6" s="411"/>
      <c r="AKK6" s="411"/>
      <c r="AKL6" s="411"/>
      <c r="AKM6" s="411"/>
      <c r="AKN6" s="411"/>
      <c r="AKO6" s="411"/>
      <c r="AKP6" s="411"/>
      <c r="AKQ6" s="411"/>
      <c r="AKR6" s="411"/>
      <c r="AKS6" s="411"/>
      <c r="AKT6" s="411"/>
    </row>
    <row r="7">
      <c r="A7" s="411" t="s">
        <v>153</v>
      </c>
      <c r="B7" s="411"/>
      <c r="C7" s="411"/>
      <c r="D7" s="411"/>
      <c r="E7" s="411"/>
      <c r="F7" s="411"/>
      <c r="G7" s="411"/>
      <c r="H7" s="411"/>
      <c r="I7" s="411"/>
      <c r="J7" s="411"/>
      <c r="K7" s="411"/>
      <c r="L7" s="411"/>
      <c r="M7" s="411"/>
      <c r="N7" s="411"/>
      <c r="O7" s="411"/>
      <c r="P7" s="411"/>
      <c r="Q7" s="411"/>
      <c r="R7" s="411"/>
      <c r="S7" s="411"/>
      <c r="T7" s="411"/>
      <c r="U7" s="411"/>
      <c r="V7" s="411"/>
      <c r="W7" s="411"/>
      <c r="X7" s="411"/>
      <c r="Y7" s="411"/>
      <c r="Z7" s="411"/>
      <c r="AA7" s="411"/>
      <c r="AB7" s="411"/>
      <c r="AC7" s="411"/>
      <c r="AD7" s="411"/>
      <c r="AE7" s="411"/>
      <c r="AF7" s="411"/>
      <c r="AG7" s="411"/>
      <c r="AH7" s="411"/>
      <c r="AI7" s="411"/>
      <c r="AJ7" s="411"/>
      <c r="AK7" s="411"/>
      <c r="AL7" s="411"/>
      <c r="AM7" s="411"/>
      <c r="AN7" s="411"/>
      <c r="AO7" s="411"/>
      <c r="AP7" s="411"/>
      <c r="AQ7" s="411"/>
      <c r="AR7" s="411"/>
      <c r="AS7" s="411"/>
      <c r="AT7" s="411"/>
      <c r="AU7" s="411"/>
      <c r="AV7" s="411"/>
      <c r="AW7" s="411"/>
      <c r="AX7" s="411"/>
      <c r="AY7" s="411"/>
      <c r="AZ7" s="411"/>
      <c r="BA7" s="411"/>
      <c r="BB7" s="411"/>
      <c r="BC7" s="411"/>
      <c r="BD7" s="411"/>
      <c r="BE7" s="411"/>
      <c r="BF7" s="411"/>
      <c r="BG7" s="411"/>
      <c r="BH7" s="411"/>
      <c r="BI7" s="411"/>
      <c r="BJ7" s="411"/>
      <c r="BK7" s="411"/>
      <c r="BL7" s="411"/>
      <c r="BM7" s="411"/>
      <c r="BN7" s="411"/>
      <c r="BO7" s="411"/>
      <c r="BP7" s="411"/>
      <c r="BQ7" s="411"/>
      <c r="BR7" s="411"/>
      <c r="BS7" s="411"/>
      <c r="BT7" s="411"/>
      <c r="BU7" s="411"/>
      <c r="BV7" s="411"/>
      <c r="BW7" s="411"/>
      <c r="BX7" s="411"/>
      <c r="BY7" s="411"/>
      <c r="BZ7" s="411"/>
      <c r="CA7" s="411"/>
      <c r="CB7" s="411"/>
      <c r="CC7" s="411"/>
      <c r="CD7" s="411"/>
      <c r="CE7" s="411"/>
      <c r="CF7" s="411"/>
      <c r="CG7" s="411"/>
      <c r="CH7" s="411"/>
      <c r="CI7" s="411"/>
      <c r="CJ7" s="411"/>
      <c r="CK7" s="411"/>
      <c r="CL7" s="411"/>
      <c r="CM7" s="411"/>
      <c r="CN7" s="411"/>
      <c r="CO7" s="411"/>
      <c r="CP7" s="411"/>
      <c r="CQ7" s="411"/>
      <c r="CR7" s="411"/>
      <c r="CS7" s="411"/>
      <c r="CT7" s="411"/>
      <c r="CU7" s="411"/>
      <c r="CV7" s="411"/>
      <c r="CW7" s="411"/>
      <c r="CX7" s="411"/>
      <c r="CY7" s="411"/>
      <c r="CZ7" s="411"/>
      <c r="DA7" s="411"/>
      <c r="DB7" s="411"/>
      <c r="DC7" s="411"/>
      <c r="DD7" s="411"/>
      <c r="DE7" s="411"/>
      <c r="DF7" s="411"/>
      <c r="DG7" s="411"/>
      <c r="DH7" s="411"/>
      <c r="DI7" s="411">
        <v>36.63999938964844</v>
      </c>
      <c r="DJ7" s="411">
        <v>37.1</v>
      </c>
      <c r="DK7" s="411">
        <v>37.29000091552734</v>
      </c>
      <c r="DL7" s="411">
        <v>37.18000030517578</v>
      </c>
      <c r="DM7" s="411">
        <v>38.13000106811523</v>
      </c>
      <c r="DN7" s="411"/>
      <c r="DO7" s="411"/>
      <c r="DP7" s="411"/>
      <c r="DQ7" s="411"/>
      <c r="DR7" s="411"/>
      <c r="DS7" s="411"/>
      <c r="DT7" s="411"/>
      <c r="DU7" s="411"/>
      <c r="DV7" s="411"/>
      <c r="DW7" s="411"/>
      <c r="DX7" s="411"/>
      <c r="DY7" s="411"/>
      <c r="DZ7" s="411"/>
      <c r="EA7" s="411"/>
      <c r="EB7" s="411"/>
      <c r="EC7" s="411"/>
      <c r="ED7" s="411"/>
      <c r="EE7" s="411"/>
      <c r="EF7" s="411"/>
      <c r="EG7" s="411"/>
      <c r="EH7" s="411"/>
      <c r="EI7" s="411"/>
      <c r="EJ7" s="411"/>
      <c r="EK7" s="411"/>
      <c r="EL7" s="411"/>
      <c r="EM7" s="411"/>
      <c r="EN7" s="411"/>
      <c r="EO7" s="411"/>
      <c r="EP7" s="411"/>
      <c r="EQ7" s="411"/>
      <c r="ER7" s="411"/>
      <c r="ES7" s="411"/>
      <c r="ET7" s="411"/>
      <c r="EU7" s="411"/>
      <c r="EV7" s="411"/>
      <c r="EW7" s="411"/>
      <c r="EX7" s="411"/>
      <c r="EY7" s="411"/>
      <c r="EZ7" s="411"/>
      <c r="FA7" s="411"/>
      <c r="FB7" s="411"/>
      <c r="FC7" s="411"/>
      <c r="FD7" s="411"/>
      <c r="FE7" s="411"/>
      <c r="FF7" s="411"/>
      <c r="FG7" s="411"/>
      <c r="FH7" s="411"/>
      <c r="FI7" s="411"/>
      <c r="FJ7" s="411"/>
      <c r="FK7" s="411"/>
      <c r="FL7" s="411"/>
      <c r="FM7" s="411"/>
      <c r="FN7" s="411"/>
      <c r="FO7" s="411"/>
      <c r="FP7" s="411"/>
      <c r="FQ7" s="411"/>
      <c r="FR7" s="411"/>
      <c r="FS7" s="411"/>
      <c r="FT7" s="411"/>
      <c r="FU7" s="411"/>
      <c r="FV7" s="411"/>
      <c r="FW7" s="411"/>
      <c r="FX7" s="411"/>
      <c r="FY7" s="411"/>
      <c r="FZ7" s="411"/>
      <c r="GA7" s="411"/>
      <c r="GB7" s="411"/>
      <c r="GC7" s="411"/>
      <c r="GD7" s="411"/>
      <c r="GE7" s="411"/>
      <c r="GF7" s="411"/>
      <c r="GG7" s="411"/>
      <c r="GH7" s="411"/>
      <c r="GI7" s="411"/>
      <c r="GJ7" s="411"/>
      <c r="GK7" s="411"/>
      <c r="GL7" s="411"/>
      <c r="GM7" s="411"/>
      <c r="GN7" s="411"/>
      <c r="GO7" s="411"/>
      <c r="GP7" s="411"/>
      <c r="GQ7" s="411"/>
      <c r="GR7" s="411"/>
      <c r="GS7" s="411"/>
      <c r="GT7" s="411"/>
      <c r="GU7" s="411"/>
      <c r="GV7" s="411"/>
      <c r="GW7" s="411"/>
      <c r="GX7" s="411"/>
      <c r="GY7" s="411"/>
      <c r="GZ7" s="411"/>
      <c r="HA7" s="411"/>
      <c r="HB7" s="411"/>
      <c r="HC7" s="411"/>
      <c r="HD7" s="411"/>
      <c r="HE7" s="411"/>
      <c r="HF7" s="411"/>
      <c r="HG7" s="411"/>
      <c r="HH7" s="411"/>
      <c r="HI7" s="411"/>
      <c r="HJ7" s="411"/>
      <c r="HK7" s="411"/>
      <c r="HL7" s="411"/>
      <c r="HM7" s="411"/>
      <c r="HN7" s="411"/>
      <c r="HO7" s="411"/>
      <c r="HP7" s="411"/>
      <c r="HQ7" s="411"/>
      <c r="HR7" s="411"/>
      <c r="HS7" s="411"/>
      <c r="HT7" s="411"/>
      <c r="HU7" s="411"/>
      <c r="HV7" s="411"/>
      <c r="HW7" s="411"/>
      <c r="HX7" s="411"/>
      <c r="HY7" s="411"/>
      <c r="HZ7" s="411"/>
      <c r="IA7" s="411"/>
      <c r="IB7" s="411"/>
      <c r="IC7" s="411"/>
      <c r="ID7" s="411"/>
      <c r="IE7" s="411"/>
      <c r="IF7" s="411"/>
      <c r="IG7" s="411"/>
      <c r="IH7" s="411"/>
      <c r="II7" s="411"/>
      <c r="IJ7" s="411"/>
      <c r="IK7" s="411"/>
      <c r="IL7" s="411"/>
      <c r="IM7" s="411"/>
      <c r="IN7" s="411"/>
      <c r="IO7" s="411"/>
      <c r="IP7" s="411"/>
      <c r="IQ7" s="411"/>
      <c r="IR7" s="411"/>
      <c r="IS7" s="411"/>
      <c r="IT7" s="411"/>
      <c r="IU7" s="411"/>
      <c r="IV7" s="411"/>
      <c r="IW7" s="411"/>
      <c r="IX7" s="411"/>
      <c r="IY7" s="411"/>
      <c r="IZ7" s="411"/>
      <c r="JA7" s="411"/>
      <c r="JB7" s="411"/>
      <c r="JC7" s="411"/>
      <c r="JD7" s="411"/>
      <c r="JE7" s="411"/>
      <c r="JF7" s="411"/>
      <c r="JG7" s="411"/>
      <c r="JH7" s="411"/>
      <c r="JI7" s="411"/>
      <c r="JJ7" s="411"/>
      <c r="JK7" s="411"/>
      <c r="JL7" s="411"/>
      <c r="JM7" s="411"/>
      <c r="JN7" s="411"/>
      <c r="JO7" s="411"/>
      <c r="JP7" s="411"/>
      <c r="JQ7" s="411"/>
      <c r="JR7" s="411"/>
      <c r="JS7" s="411"/>
      <c r="JT7" s="411"/>
      <c r="JU7" s="411"/>
      <c r="JV7" s="411"/>
      <c r="JW7" s="411"/>
      <c r="JX7" s="411"/>
      <c r="JY7" s="411"/>
      <c r="JZ7" s="411"/>
      <c r="KA7" s="411"/>
      <c r="KB7" s="411"/>
      <c r="KC7" s="411"/>
      <c r="KD7" s="411"/>
      <c r="KE7" s="411"/>
      <c r="KF7" s="411"/>
      <c r="KG7" s="411"/>
      <c r="KH7" s="411"/>
      <c r="KI7" s="411"/>
      <c r="KJ7" s="411"/>
      <c r="KK7" s="411"/>
      <c r="KL7" s="411"/>
      <c r="KM7" s="411"/>
      <c r="KN7" s="411"/>
      <c r="KO7" s="411"/>
      <c r="KP7" s="411"/>
      <c r="KQ7" s="411"/>
      <c r="KR7" s="411"/>
      <c r="KS7" s="411"/>
      <c r="KT7" s="411"/>
      <c r="KU7" s="411"/>
      <c r="KV7" s="411"/>
      <c r="KW7" s="411"/>
      <c r="KX7" s="411"/>
      <c r="KY7" s="411"/>
      <c r="KZ7" s="411"/>
      <c r="LA7" s="411"/>
      <c r="LB7" s="411"/>
      <c r="LC7" s="411"/>
      <c r="LD7" s="411"/>
      <c r="LE7" s="411"/>
      <c r="LF7" s="411"/>
      <c r="LG7" s="411"/>
      <c r="LH7" s="411"/>
      <c r="LI7" s="411"/>
      <c r="LJ7" s="411"/>
      <c r="LK7" s="411"/>
      <c r="LL7" s="411"/>
      <c r="LM7" s="411"/>
      <c r="LN7" s="411"/>
      <c r="LO7" s="411"/>
      <c r="LP7" s="411"/>
      <c r="LQ7" s="411"/>
      <c r="LR7" s="411"/>
      <c r="LS7" s="411"/>
      <c r="LT7" s="411"/>
      <c r="LU7" s="411"/>
      <c r="LV7" s="411"/>
      <c r="LW7" s="411"/>
      <c r="LX7" s="411"/>
      <c r="LY7" s="411"/>
      <c r="LZ7" s="411"/>
      <c r="MA7" s="411"/>
      <c r="MB7" s="411"/>
      <c r="MC7" s="411"/>
      <c r="MD7" s="411"/>
      <c r="ME7" s="411"/>
      <c r="MF7" s="411"/>
      <c r="MG7" s="411"/>
      <c r="MH7" s="411"/>
      <c r="MI7" s="411"/>
      <c r="MJ7" s="411"/>
      <c r="MK7" s="411"/>
      <c r="ML7" s="411"/>
      <c r="MM7" s="411"/>
      <c r="MN7" s="411"/>
      <c r="MO7" s="411"/>
      <c r="MP7" s="411"/>
      <c r="MQ7" s="411"/>
      <c r="MR7" s="411"/>
      <c r="MS7" s="411"/>
      <c r="MT7" s="411"/>
      <c r="MU7" s="411"/>
      <c r="MV7" s="411"/>
      <c r="MW7" s="411"/>
      <c r="MX7" s="411"/>
      <c r="MY7" s="411"/>
      <c r="MZ7" s="411"/>
      <c r="NA7" s="411"/>
      <c r="NB7" s="411"/>
      <c r="NC7" s="411"/>
      <c r="ND7" s="411"/>
      <c r="NE7" s="411"/>
      <c r="NF7" s="411"/>
      <c r="NG7" s="411"/>
      <c r="NH7" s="411"/>
      <c r="NI7" s="411"/>
      <c r="NJ7" s="411"/>
      <c r="NK7" s="411"/>
      <c r="NL7" s="411"/>
      <c r="NM7" s="411"/>
      <c r="NN7" s="411"/>
      <c r="NO7" s="411"/>
      <c r="NP7" s="411"/>
      <c r="NQ7" s="411"/>
      <c r="NR7" s="411"/>
      <c r="NS7" s="411"/>
      <c r="NT7" s="411"/>
      <c r="NU7" s="411"/>
      <c r="NV7" s="411"/>
      <c r="NW7" s="411"/>
      <c r="NX7" s="411"/>
      <c r="NY7" s="411"/>
      <c r="NZ7" s="411"/>
      <c r="OA7" s="411"/>
      <c r="OB7" s="411"/>
      <c r="OC7" s="411"/>
      <c r="OD7" s="411"/>
      <c r="OE7" s="411"/>
      <c r="OF7" s="411"/>
      <c r="OG7" s="411"/>
      <c r="OH7" s="411"/>
      <c r="OI7" s="411"/>
      <c r="OJ7" s="411"/>
      <c r="OK7" s="411"/>
      <c r="OL7" s="411"/>
      <c r="OM7" s="411"/>
      <c r="ON7" s="411"/>
      <c r="OO7" s="411"/>
      <c r="OP7" s="411"/>
      <c r="OQ7" s="411"/>
      <c r="OR7" s="411"/>
      <c r="OS7" s="411"/>
      <c r="OT7" s="411"/>
      <c r="OU7" s="411"/>
      <c r="OV7" s="411"/>
      <c r="OW7" s="411"/>
      <c r="OX7" s="411"/>
      <c r="OY7" s="411"/>
      <c r="OZ7" s="411"/>
      <c r="PA7" s="411"/>
      <c r="PB7" s="411"/>
      <c r="PC7" s="411"/>
      <c r="PD7" s="411"/>
      <c r="PE7" s="411"/>
      <c r="PF7" s="411"/>
      <c r="PG7" s="411"/>
      <c r="PH7" s="411"/>
      <c r="PI7" s="411"/>
      <c r="PJ7" s="411"/>
      <c r="PK7" s="411"/>
      <c r="PL7" s="411"/>
      <c r="PM7" s="411"/>
      <c r="PN7" s="411"/>
      <c r="PO7" s="411"/>
      <c r="PP7" s="411"/>
      <c r="PQ7" s="411"/>
      <c r="PR7" s="411"/>
      <c r="PS7" s="411"/>
      <c r="PT7" s="411"/>
      <c r="PU7" s="411"/>
      <c r="PV7" s="411"/>
      <c r="PW7" s="411"/>
      <c r="PX7" s="411"/>
      <c r="PY7" s="411"/>
      <c r="PZ7" s="411"/>
      <c r="QA7" s="411"/>
      <c r="QB7" s="411"/>
      <c r="QC7" s="411"/>
      <c r="QD7" s="411"/>
      <c r="QE7" s="411"/>
      <c r="QF7" s="411"/>
      <c r="QG7" s="411"/>
      <c r="QH7" s="411"/>
      <c r="QI7" s="411"/>
      <c r="QJ7" s="411"/>
      <c r="QK7" s="411"/>
      <c r="QL7" s="411"/>
      <c r="QM7" s="411"/>
      <c r="QN7" s="411"/>
      <c r="QO7" s="411"/>
      <c r="QP7" s="411"/>
      <c r="QQ7" s="411"/>
      <c r="QR7" s="411"/>
      <c r="QS7" s="411"/>
      <c r="QT7" s="411"/>
      <c r="QU7" s="411"/>
      <c r="QV7" s="411"/>
      <c r="QW7" s="411"/>
      <c r="QX7" s="411"/>
      <c r="QY7" s="411"/>
      <c r="QZ7" s="411"/>
      <c r="RA7" s="411"/>
      <c r="RB7" s="411"/>
      <c r="RC7" s="411"/>
      <c r="RD7" s="411"/>
      <c r="RE7" s="411"/>
      <c r="RF7" s="411"/>
      <c r="RG7" s="411"/>
      <c r="RH7" s="411"/>
      <c r="RI7" s="411"/>
      <c r="RJ7" s="411"/>
      <c r="RK7" s="411"/>
      <c r="RL7" s="411"/>
      <c r="RM7" s="411"/>
      <c r="RN7" s="411"/>
      <c r="RO7" s="411"/>
      <c r="RP7" s="411"/>
      <c r="RQ7" s="411"/>
      <c r="RR7" s="411"/>
      <c r="RS7" s="411"/>
      <c r="RT7" s="411"/>
      <c r="RU7" s="411"/>
      <c r="RV7" s="411"/>
      <c r="RW7" s="411"/>
      <c r="RX7" s="411"/>
      <c r="RY7" s="411"/>
      <c r="RZ7" s="411"/>
      <c r="SA7" s="411"/>
      <c r="SB7" s="411"/>
      <c r="SC7" s="411"/>
      <c r="SD7" s="411"/>
      <c r="SE7" s="411"/>
      <c r="SF7" s="411"/>
      <c r="SG7" s="411"/>
      <c r="SH7" s="411"/>
      <c r="SI7" s="411"/>
      <c r="SJ7" s="411"/>
      <c r="SK7" s="411"/>
      <c r="SL7" s="411"/>
      <c r="SM7" s="411"/>
      <c r="SN7" s="411"/>
      <c r="SO7" s="411"/>
      <c r="SP7" s="411"/>
      <c r="SQ7" s="411"/>
      <c r="SR7" s="411"/>
      <c r="SS7" s="411"/>
      <c r="ST7" s="411"/>
      <c r="SU7" s="411"/>
      <c r="SV7" s="411"/>
      <c r="SW7" s="411"/>
      <c r="SX7" s="411"/>
      <c r="SY7" s="411"/>
      <c r="SZ7" s="411"/>
      <c r="TA7" s="411"/>
      <c r="TB7" s="411"/>
      <c r="TC7" s="411"/>
      <c r="TD7" s="411"/>
      <c r="TE7" s="411"/>
      <c r="TF7" s="411"/>
      <c r="TG7" s="411"/>
      <c r="TH7" s="411"/>
      <c r="TI7" s="411"/>
      <c r="TJ7" s="411"/>
      <c r="TK7" s="411"/>
      <c r="TL7" s="411"/>
      <c r="TM7" s="411"/>
      <c r="TN7" s="411"/>
      <c r="TO7" s="411"/>
      <c r="TP7" s="411"/>
      <c r="TQ7" s="411"/>
      <c r="TR7" s="411"/>
      <c r="TS7" s="411"/>
      <c r="TT7" s="411"/>
      <c r="TU7" s="411"/>
      <c r="TV7" s="411"/>
      <c r="TW7" s="411"/>
      <c r="TX7" s="411"/>
      <c r="TY7" s="411"/>
      <c r="TZ7" s="411"/>
      <c r="UA7" s="411"/>
      <c r="UB7" s="411"/>
      <c r="UC7" s="411"/>
      <c r="UD7" s="411"/>
      <c r="UE7" s="411"/>
      <c r="UF7" s="411"/>
      <c r="UG7" s="411"/>
      <c r="UH7" s="411"/>
      <c r="UI7" s="411"/>
      <c r="UJ7" s="411"/>
      <c r="UK7" s="411"/>
      <c r="UL7" s="411"/>
      <c r="UM7" s="411"/>
      <c r="UN7" s="411"/>
      <c r="UO7" s="411"/>
      <c r="UP7" s="411"/>
      <c r="UQ7" s="411"/>
      <c r="UR7" s="411"/>
      <c r="US7" s="411"/>
      <c r="UT7" s="411"/>
      <c r="UU7" s="411"/>
      <c r="UV7" s="411"/>
      <c r="UW7" s="411"/>
      <c r="UX7" s="411"/>
      <c r="UY7" s="411"/>
      <c r="UZ7" s="411"/>
      <c r="VA7" s="411"/>
      <c r="VB7" s="411"/>
      <c r="VC7" s="411"/>
      <c r="VD7" s="411"/>
      <c r="VE7" s="411"/>
      <c r="VF7" s="411"/>
      <c r="VG7" s="411"/>
      <c r="VH7" s="411"/>
      <c r="VI7" s="411"/>
      <c r="VJ7" s="411"/>
      <c r="VK7" s="411"/>
      <c r="VL7" s="411"/>
      <c r="VM7" s="411"/>
      <c r="VN7" s="411"/>
      <c r="VO7" s="411"/>
      <c r="VP7" s="411"/>
      <c r="VQ7" s="411"/>
      <c r="VR7" s="411"/>
      <c r="VS7" s="411"/>
      <c r="VT7" s="411"/>
      <c r="VU7" s="411"/>
      <c r="VV7" s="411"/>
      <c r="VW7" s="411"/>
      <c r="VX7" s="411"/>
      <c r="VY7" s="411"/>
      <c r="VZ7" s="411"/>
      <c r="WA7" s="411"/>
      <c r="WB7" s="411"/>
      <c r="WC7" s="411"/>
      <c r="WD7" s="411"/>
      <c r="WE7" s="411"/>
      <c r="WF7" s="411"/>
      <c r="WG7" s="411"/>
      <c r="WH7" s="411"/>
      <c r="WI7" s="411"/>
      <c r="WJ7" s="411"/>
      <c r="WK7" s="411"/>
      <c r="WL7" s="411"/>
      <c r="WM7" s="411"/>
      <c r="WN7" s="411"/>
      <c r="WO7" s="411"/>
      <c r="WP7" s="411"/>
      <c r="WQ7" s="411"/>
      <c r="WR7" s="411"/>
      <c r="WS7" s="411"/>
      <c r="WT7" s="411"/>
      <c r="WU7" s="411"/>
      <c r="WV7" s="411"/>
      <c r="WW7" s="411"/>
      <c r="WX7" s="411"/>
      <c r="WY7" s="411"/>
      <c r="WZ7" s="411"/>
      <c r="XA7" s="411"/>
      <c r="XB7" s="411"/>
      <c r="XC7" s="411"/>
      <c r="XD7" s="411"/>
      <c r="XE7" s="411"/>
      <c r="XF7" s="411"/>
      <c r="XG7" s="411"/>
      <c r="XH7" s="411"/>
      <c r="XI7" s="411"/>
      <c r="XJ7" s="411"/>
      <c r="XK7" s="411"/>
      <c r="XL7" s="411"/>
      <c r="XM7" s="411"/>
      <c r="XN7" s="411"/>
      <c r="XO7" s="411"/>
      <c r="XP7" s="411"/>
      <c r="XQ7" s="411"/>
      <c r="XR7" s="411"/>
      <c r="XS7" s="411"/>
      <c r="XT7" s="411"/>
      <c r="XU7" s="411"/>
      <c r="XV7" s="411"/>
      <c r="XW7" s="411"/>
      <c r="XX7" s="411"/>
      <c r="XY7" s="411"/>
      <c r="XZ7" s="411"/>
      <c r="YA7" s="411"/>
      <c r="YB7" s="411"/>
      <c r="YC7" s="411"/>
      <c r="YD7" s="411"/>
      <c r="YE7" s="411"/>
      <c r="YF7" s="411"/>
      <c r="YG7" s="411"/>
      <c r="YH7" s="411"/>
      <c r="YI7" s="411"/>
      <c r="YJ7" s="411"/>
      <c r="YK7" s="411"/>
      <c r="YL7" s="411"/>
      <c r="YM7" s="411"/>
      <c r="YN7" s="411"/>
      <c r="YO7" s="411"/>
      <c r="YP7" s="411"/>
      <c r="YQ7" s="411"/>
      <c r="YR7" s="411"/>
      <c r="YS7" s="411"/>
      <c r="YT7" s="411"/>
      <c r="YU7" s="411"/>
      <c r="YV7" s="411"/>
      <c r="YW7" s="411"/>
      <c r="YX7" s="411"/>
      <c r="YY7" s="411"/>
      <c r="YZ7" s="411"/>
      <c r="ZA7" s="411"/>
      <c r="ZB7" s="411"/>
      <c r="ZC7" s="411"/>
      <c r="ZD7" s="411"/>
      <c r="ZE7" s="411"/>
      <c r="ZF7" s="411"/>
      <c r="ZG7" s="411"/>
      <c r="ZH7" s="411"/>
      <c r="ZI7" s="411"/>
      <c r="ZJ7" s="411"/>
      <c r="ZK7" s="411"/>
      <c r="ZL7" s="411"/>
      <c r="ZM7" s="411"/>
      <c r="ZN7" s="411"/>
      <c r="ZO7" s="411"/>
      <c r="ZP7" s="411"/>
      <c r="ZQ7" s="411"/>
      <c r="ZR7" s="411"/>
      <c r="ZS7" s="411"/>
      <c r="ZT7" s="411"/>
      <c r="ZU7" s="411"/>
      <c r="ZV7" s="411"/>
      <c r="ZW7" s="411"/>
      <c r="ZX7" s="411"/>
      <c r="ZY7" s="411"/>
      <c r="ZZ7" s="411"/>
      <c r="AAA7" s="411"/>
      <c r="AAB7" s="411"/>
      <c r="AAC7" s="411"/>
      <c r="AAD7" s="411"/>
      <c r="AAE7" s="411"/>
      <c r="AAF7" s="411"/>
      <c r="AAG7" s="411"/>
      <c r="AAH7" s="411"/>
      <c r="AAI7" s="411"/>
      <c r="AAJ7" s="411"/>
      <c r="AAK7" s="411"/>
      <c r="AAL7" s="411"/>
      <c r="AAM7" s="411"/>
      <c r="AAN7" s="411"/>
      <c r="AAO7" s="411"/>
      <c r="AAP7" s="411"/>
      <c r="AAQ7" s="411"/>
      <c r="AAR7" s="411"/>
      <c r="AAS7" s="411"/>
      <c r="AAT7" s="411"/>
      <c r="AAU7" s="411"/>
      <c r="AAV7" s="411"/>
      <c r="AAW7" s="411"/>
      <c r="AAX7" s="411"/>
      <c r="AAY7" s="411"/>
      <c r="AAZ7" s="411"/>
      <c r="ABA7" s="411"/>
      <c r="ABB7" s="411"/>
      <c r="ABC7" s="411"/>
      <c r="ABD7" s="411"/>
      <c r="ABE7" s="411"/>
      <c r="ABF7" s="411"/>
      <c r="ABG7" s="411"/>
      <c r="ABH7" s="411"/>
      <c r="ABI7" s="411"/>
      <c r="ABJ7" s="411"/>
      <c r="ABK7" s="411"/>
      <c r="ABL7" s="411"/>
      <c r="ABM7" s="411"/>
      <c r="ABN7" s="411"/>
      <c r="ABO7" s="411"/>
      <c r="ABP7" s="411"/>
      <c r="ABQ7" s="411"/>
      <c r="ABR7" s="411"/>
      <c r="ABS7" s="411"/>
      <c r="ABT7" s="411"/>
      <c r="ABU7" s="411"/>
      <c r="ABV7" s="411"/>
      <c r="ABW7" s="411"/>
      <c r="ABX7" s="411"/>
      <c r="ABY7" s="411"/>
      <c r="ABZ7" s="411"/>
      <c r="ACA7" s="411"/>
      <c r="ACB7" s="411"/>
      <c r="ACC7" s="411"/>
      <c r="ACD7" s="411"/>
      <c r="ACE7" s="411"/>
      <c r="ACF7" s="411"/>
      <c r="ACG7" s="411"/>
      <c r="ACH7" s="411"/>
      <c r="ACI7" s="411"/>
      <c r="ACJ7" s="411"/>
      <c r="ACK7" s="411"/>
      <c r="ACL7" s="411"/>
      <c r="ACM7" s="411"/>
      <c r="ACN7" s="411"/>
      <c r="ACO7" s="411"/>
      <c r="ACP7" s="411"/>
      <c r="ACQ7" s="411"/>
      <c r="ACR7" s="411"/>
      <c r="ACS7" s="411"/>
      <c r="ACT7" s="411"/>
      <c r="ACU7" s="411"/>
      <c r="ACV7" s="411"/>
      <c r="ACW7" s="411"/>
      <c r="ACX7" s="411"/>
      <c r="ACY7" s="411"/>
      <c r="ACZ7" s="411"/>
      <c r="ADA7" s="411"/>
      <c r="ADB7" s="411"/>
      <c r="ADC7" s="411"/>
      <c r="ADD7" s="411"/>
      <c r="ADE7" s="411"/>
      <c r="ADF7" s="411"/>
      <c r="ADG7" s="411"/>
      <c r="ADH7" s="411"/>
      <c r="ADI7" s="411"/>
      <c r="ADJ7" s="411"/>
      <c r="ADK7" s="411"/>
      <c r="ADL7" s="411"/>
      <c r="ADM7" s="411"/>
      <c r="ADN7" s="411"/>
      <c r="ADO7" s="411"/>
      <c r="ADP7" s="411"/>
      <c r="ADQ7" s="411"/>
      <c r="ADR7" s="411"/>
      <c r="ADS7" s="411"/>
      <c r="ADT7" s="411"/>
      <c r="ADU7" s="411"/>
      <c r="ADV7" s="411"/>
      <c r="ADW7" s="411"/>
      <c r="ADX7" s="411"/>
      <c r="ADY7" s="411"/>
      <c r="ADZ7" s="411"/>
      <c r="AEA7" s="411"/>
      <c r="AEB7" s="411"/>
      <c r="AEC7" s="411"/>
      <c r="AED7" s="411"/>
      <c r="AEE7" s="411"/>
      <c r="AEF7" s="411"/>
      <c r="AEG7" s="411"/>
      <c r="AEH7" s="411"/>
      <c r="AEI7" s="411"/>
      <c r="AEJ7" s="411"/>
      <c r="AEK7" s="411"/>
      <c r="AEL7" s="411"/>
      <c r="AEM7" s="411"/>
      <c r="AEN7" s="411"/>
      <c r="AEO7" s="411"/>
      <c r="AEP7" s="411"/>
      <c r="AEQ7" s="411"/>
      <c r="AER7" s="411"/>
      <c r="AES7" s="411"/>
      <c r="AET7" s="411"/>
      <c r="AEU7" s="411"/>
      <c r="AEV7" s="411"/>
      <c r="AEW7" s="411"/>
      <c r="AEX7" s="411"/>
      <c r="AEY7" s="411"/>
      <c r="AEZ7" s="411"/>
      <c r="AFA7" s="411"/>
      <c r="AFB7" s="411"/>
      <c r="AFC7" s="411"/>
      <c r="AFD7" s="411"/>
      <c r="AFE7" s="411"/>
      <c r="AFF7" s="411"/>
      <c r="AFG7" s="411"/>
      <c r="AFH7" s="411"/>
      <c r="AFI7" s="411"/>
      <c r="AFJ7" s="411"/>
      <c r="AFK7" s="411"/>
      <c r="AFL7" s="411"/>
      <c r="AFM7" s="411"/>
      <c r="AFN7" s="411"/>
      <c r="AFO7" s="411"/>
      <c r="AFP7" s="411"/>
      <c r="AFQ7" s="411"/>
      <c r="AFR7" s="411"/>
      <c r="AFS7" s="411"/>
      <c r="AFT7" s="411"/>
      <c r="AFU7" s="411"/>
      <c r="AFV7" s="411"/>
      <c r="AFW7" s="411"/>
      <c r="AFX7" s="411"/>
      <c r="AFY7" s="411"/>
      <c r="AFZ7" s="411"/>
      <c r="AGA7" s="411"/>
      <c r="AGB7" s="411"/>
      <c r="AGC7" s="411"/>
      <c r="AGD7" s="411"/>
      <c r="AGE7" s="411"/>
      <c r="AGF7" s="411"/>
      <c r="AGG7" s="411"/>
      <c r="AGH7" s="411"/>
      <c r="AGI7" s="411"/>
      <c r="AGJ7" s="411"/>
      <c r="AGK7" s="411"/>
      <c r="AGL7" s="411"/>
      <c r="AGM7" s="411"/>
      <c r="AGN7" s="411"/>
      <c r="AGO7" s="411"/>
      <c r="AGP7" s="411"/>
      <c r="AGQ7" s="411"/>
      <c r="AGR7" s="411"/>
      <c r="AGS7" s="411"/>
      <c r="AGT7" s="411"/>
      <c r="AGU7" s="411"/>
      <c r="AGV7" s="411"/>
      <c r="AGW7" s="411"/>
      <c r="AGX7" s="411"/>
      <c r="AGY7" s="411"/>
      <c r="AGZ7" s="411"/>
      <c r="AHA7" s="411"/>
      <c r="AHB7" s="411"/>
      <c r="AHC7" s="411"/>
      <c r="AHD7" s="411"/>
      <c r="AHE7" s="411"/>
      <c r="AHF7" s="411"/>
      <c r="AHG7" s="411"/>
      <c r="AHH7" s="411"/>
      <c r="AHI7" s="411"/>
      <c r="AHJ7" s="411"/>
      <c r="AHK7" s="411"/>
      <c r="AHL7" s="411"/>
      <c r="AHM7" s="411"/>
      <c r="AHN7" s="411"/>
      <c r="AHO7" s="411"/>
      <c r="AHP7" s="411"/>
      <c r="AHQ7" s="411"/>
      <c r="AHR7" s="411"/>
      <c r="AHS7" s="411"/>
      <c r="AHT7" s="411"/>
      <c r="AHU7" s="411"/>
      <c r="AHV7" s="411"/>
      <c r="AHW7" s="411"/>
      <c r="AHX7" s="411"/>
      <c r="AHY7" s="411"/>
      <c r="AHZ7" s="411"/>
      <c r="AIA7" s="411"/>
      <c r="AIB7" s="411"/>
      <c r="AIC7" s="411"/>
      <c r="AID7" s="411"/>
      <c r="AIE7" s="411"/>
      <c r="AIF7" s="411"/>
      <c r="AIG7" s="411"/>
      <c r="AIH7" s="411"/>
      <c r="AII7" s="411"/>
      <c r="AIJ7" s="411"/>
      <c r="AIK7" s="411"/>
      <c r="AIL7" s="411"/>
      <c r="AIM7" s="411"/>
      <c r="AIN7" s="411"/>
      <c r="AIO7" s="411"/>
      <c r="AIP7" s="411"/>
      <c r="AIQ7" s="411"/>
      <c r="AIR7" s="411"/>
      <c r="AIS7" s="411"/>
      <c r="AIT7" s="411"/>
      <c r="AIU7" s="411"/>
      <c r="AIV7" s="411"/>
      <c r="AIW7" s="411"/>
      <c r="AIX7" s="411"/>
      <c r="AIY7" s="411"/>
      <c r="AIZ7" s="411"/>
      <c r="AJA7" s="411"/>
      <c r="AJB7" s="411"/>
      <c r="AJC7" s="411"/>
      <c r="AJD7" s="411"/>
      <c r="AJE7" s="411"/>
      <c r="AJF7" s="411"/>
      <c r="AJG7" s="411"/>
      <c r="AJH7" s="411"/>
      <c r="AJI7" s="411"/>
      <c r="AJJ7" s="411"/>
      <c r="AJK7" s="411"/>
      <c r="AJL7" s="411"/>
      <c r="AJM7" s="411"/>
      <c r="AJN7" s="411"/>
      <c r="AJO7" s="411"/>
      <c r="AJP7" s="411"/>
      <c r="AJQ7" s="411"/>
      <c r="AJR7" s="411"/>
      <c r="AJS7" s="411"/>
      <c r="AJT7" s="411"/>
      <c r="AJU7" s="411"/>
      <c r="AJV7" s="411"/>
      <c r="AJW7" s="411"/>
      <c r="AJX7" s="411"/>
      <c r="AJY7" s="411"/>
      <c r="AJZ7" s="411"/>
      <c r="AKA7" s="411"/>
      <c r="AKB7" s="411"/>
      <c r="AKC7" s="411"/>
      <c r="AKD7" s="411"/>
      <c r="AKE7" s="411"/>
      <c r="AKF7" s="411"/>
      <c r="AKG7" s="411"/>
      <c r="AKH7" s="411"/>
      <c r="AKI7" s="411"/>
      <c r="AKJ7" s="411"/>
      <c r="AKK7" s="411"/>
      <c r="AKL7" s="411"/>
      <c r="AKM7" s="411"/>
      <c r="AKN7" s="411"/>
      <c r="AKO7" s="411"/>
      <c r="AKP7" s="411"/>
      <c r="AKQ7" s="411"/>
      <c r="AKR7" s="411"/>
      <c r="AKS7" s="411"/>
      <c r="AKT7" s="411"/>
    </row>
    <row r="8">
      <c r="A8" s="411" t="s">
        <v>96</v>
      </c>
      <c r="B8" s="411"/>
      <c r="C8" s="411"/>
      <c r="D8" s="411"/>
      <c r="E8" s="411"/>
      <c r="F8" s="411"/>
      <c r="G8" s="411"/>
      <c r="H8" s="411"/>
      <c r="I8" s="411"/>
      <c r="J8" s="411"/>
      <c r="K8" s="411"/>
      <c r="L8" s="411"/>
      <c r="M8" s="411"/>
      <c r="N8" s="411"/>
      <c r="O8" s="411"/>
      <c r="P8" s="411"/>
      <c r="Q8" s="411"/>
      <c r="R8" s="411"/>
      <c r="S8" s="411"/>
      <c r="T8" s="411"/>
      <c r="U8" s="411"/>
      <c r="V8" s="411"/>
      <c r="W8" s="411"/>
      <c r="X8" s="411"/>
      <c r="Y8" s="411"/>
      <c r="Z8" s="411"/>
      <c r="AA8" s="411"/>
      <c r="AB8" s="411"/>
      <c r="AC8" s="411"/>
      <c r="AD8" s="411"/>
      <c r="AE8" s="411"/>
      <c r="AF8" s="411"/>
      <c r="AG8" s="411"/>
      <c r="AH8" s="411">
        <v>-336.83</v>
      </c>
      <c r="AI8" s="411">
        <v>22.57</v>
      </c>
      <c r="AJ8" s="411">
        <v>-321.53</v>
      </c>
      <c r="AK8" s="411">
        <v>513.71</v>
      </c>
      <c r="AL8" s="411">
        <v>-515.35</v>
      </c>
      <c r="AM8" s="411"/>
      <c r="AN8" s="411"/>
      <c r="AO8" s="411"/>
      <c r="AP8" s="411"/>
      <c r="AQ8" s="411"/>
      <c r="AR8" s="411"/>
      <c r="AS8" s="411"/>
      <c r="AT8" s="411"/>
      <c r="AU8" s="411"/>
      <c r="AV8" s="411"/>
      <c r="AW8" s="411"/>
      <c r="AX8" s="411"/>
      <c r="AY8" s="411"/>
      <c r="AZ8" s="411"/>
      <c r="BA8" s="411"/>
      <c r="BB8" s="411"/>
      <c r="BC8" s="411"/>
      <c r="BD8" s="411"/>
      <c r="BE8" s="411"/>
      <c r="BF8" s="411"/>
      <c r="BG8" s="411"/>
      <c r="BH8" s="411"/>
      <c r="BI8" s="411"/>
      <c r="BJ8" s="411"/>
      <c r="BK8" s="411"/>
      <c r="BL8" s="411"/>
      <c r="BM8" s="411"/>
      <c r="BN8" s="411"/>
      <c r="BO8" s="411"/>
      <c r="BP8" s="411"/>
      <c r="BQ8" s="411"/>
      <c r="BR8" s="411"/>
      <c r="BS8" s="411"/>
      <c r="BT8" s="411"/>
      <c r="BU8" s="411"/>
      <c r="BV8" s="411"/>
      <c r="BW8" s="411"/>
      <c r="BX8" s="411"/>
      <c r="BY8" s="411"/>
      <c r="BZ8" s="411"/>
      <c r="CA8" s="411"/>
      <c r="CB8" s="411"/>
      <c r="CC8" s="411"/>
      <c r="CD8" s="411"/>
      <c r="CE8" s="411"/>
      <c r="CF8" s="411"/>
      <c r="CG8" s="411"/>
      <c r="CH8" s="411"/>
      <c r="CI8" s="411"/>
      <c r="CJ8" s="411"/>
      <c r="CK8" s="411"/>
      <c r="CL8" s="411"/>
      <c r="CM8" s="411"/>
      <c r="CN8" s="411"/>
      <c r="CO8" s="411"/>
      <c r="CP8" s="411"/>
      <c r="CQ8" s="411"/>
      <c r="CR8" s="411"/>
      <c r="CS8" s="411"/>
      <c r="CT8" s="411"/>
      <c r="CU8" s="411"/>
      <c r="CV8" s="411"/>
      <c r="CW8" s="411"/>
      <c r="CX8" s="411"/>
      <c r="CY8" s="411"/>
      <c r="CZ8" s="411"/>
      <c r="DA8" s="411"/>
      <c r="DB8" s="411"/>
      <c r="DC8" s="411"/>
      <c r="DD8" s="411"/>
      <c r="DE8" s="411"/>
      <c r="DF8" s="411"/>
      <c r="DG8" s="411"/>
      <c r="DH8" s="411"/>
      <c r="DI8" s="411"/>
      <c r="DJ8" s="411"/>
      <c r="DK8" s="411"/>
      <c r="DL8" s="411"/>
      <c r="DM8" s="411"/>
      <c r="DN8" s="411"/>
      <c r="DO8" s="411"/>
      <c r="DP8" s="411"/>
      <c r="DQ8" s="411"/>
      <c r="DR8" s="411"/>
      <c r="DS8" s="411"/>
      <c r="DT8" s="411"/>
      <c r="DU8" s="411"/>
      <c r="DV8" s="411"/>
      <c r="DW8" s="411"/>
      <c r="DX8" s="411"/>
      <c r="DY8" s="411"/>
      <c r="DZ8" s="411"/>
      <c r="EA8" s="411"/>
      <c r="EB8" s="411"/>
      <c r="EC8" s="411"/>
      <c r="ED8" s="411"/>
      <c r="EE8" s="411"/>
      <c r="EF8" s="411"/>
      <c r="EG8" s="411"/>
      <c r="EH8" s="411"/>
      <c r="EI8" s="411"/>
      <c r="EJ8" s="411"/>
      <c r="EK8" s="411"/>
      <c r="EL8" s="411"/>
      <c r="EM8" s="411"/>
      <c r="EN8" s="411"/>
      <c r="EO8" s="411"/>
      <c r="EP8" s="411"/>
      <c r="EQ8" s="411"/>
      <c r="ER8" s="411"/>
      <c r="ES8" s="411"/>
      <c r="ET8" s="411"/>
      <c r="EU8" s="411"/>
      <c r="EV8" s="411"/>
      <c r="EW8" s="411"/>
      <c r="EX8" s="411"/>
      <c r="EY8" s="411"/>
      <c r="EZ8" s="411"/>
      <c r="FA8" s="411"/>
      <c r="FB8" s="411"/>
      <c r="FC8" s="411"/>
      <c r="FD8" s="411"/>
      <c r="FE8" s="411"/>
      <c r="FF8" s="411"/>
      <c r="FG8" s="411"/>
      <c r="FH8" s="411"/>
      <c r="FI8" s="411"/>
      <c r="FJ8" s="411"/>
      <c r="FK8" s="411"/>
      <c r="FL8" s="411"/>
      <c r="FM8" s="411"/>
      <c r="FN8" s="411"/>
      <c r="FO8" s="411"/>
      <c r="FP8" s="411"/>
      <c r="FQ8" s="411"/>
      <c r="FR8" s="411"/>
      <c r="FS8" s="411"/>
      <c r="FT8" s="411"/>
      <c r="FU8" s="411"/>
      <c r="FV8" s="411"/>
      <c r="FW8" s="411"/>
      <c r="FX8" s="411"/>
      <c r="FY8" s="411"/>
      <c r="FZ8" s="411"/>
      <c r="GA8" s="411"/>
      <c r="GB8" s="411"/>
      <c r="GC8" s="411"/>
      <c r="GD8" s="411"/>
      <c r="GE8" s="411"/>
      <c r="GF8" s="411"/>
      <c r="GG8" s="411"/>
      <c r="GH8" s="411"/>
      <c r="GI8" s="411"/>
      <c r="GJ8" s="411"/>
      <c r="GK8" s="411"/>
      <c r="GL8" s="411"/>
      <c r="GM8" s="411"/>
      <c r="GN8" s="411"/>
      <c r="GO8" s="411"/>
      <c r="GP8" s="411"/>
      <c r="GQ8" s="411"/>
      <c r="GR8" s="411"/>
      <c r="GS8" s="411"/>
      <c r="GT8" s="411"/>
      <c r="GU8" s="411"/>
      <c r="GV8" s="411"/>
      <c r="GW8" s="411"/>
      <c r="GX8" s="411"/>
      <c r="GY8" s="411"/>
      <c r="GZ8" s="411"/>
      <c r="HA8" s="411"/>
      <c r="HB8" s="411"/>
      <c r="HC8" s="411"/>
      <c r="HD8" s="411"/>
      <c r="HE8" s="411"/>
      <c r="HF8" s="411"/>
      <c r="HG8" s="411"/>
      <c r="HH8" s="411"/>
      <c r="HI8" s="411"/>
      <c r="HJ8" s="411"/>
      <c r="HK8" s="411"/>
      <c r="HL8" s="411"/>
      <c r="HM8" s="411"/>
      <c r="HN8" s="411"/>
      <c r="HO8" s="411"/>
      <c r="HP8" s="411"/>
      <c r="HQ8" s="411"/>
      <c r="HR8" s="411"/>
      <c r="HS8" s="411"/>
      <c r="HT8" s="411"/>
      <c r="HU8" s="411"/>
      <c r="HV8" s="411"/>
      <c r="HW8" s="411"/>
      <c r="HX8" s="411"/>
      <c r="HY8" s="411"/>
      <c r="HZ8" s="411"/>
      <c r="IA8" s="411"/>
      <c r="IB8" s="411"/>
      <c r="IC8" s="411"/>
      <c r="ID8" s="411"/>
      <c r="IE8" s="411"/>
      <c r="IF8" s="411"/>
      <c r="IG8" s="411"/>
      <c r="IH8" s="411"/>
      <c r="II8" s="411"/>
      <c r="IJ8" s="411"/>
      <c r="IK8" s="411"/>
      <c r="IL8" s="411"/>
      <c r="IM8" s="411"/>
      <c r="IN8" s="411"/>
      <c r="IO8" s="411"/>
      <c r="IP8" s="411"/>
      <c r="IQ8" s="411"/>
      <c r="IR8" s="411"/>
      <c r="IS8" s="411"/>
      <c r="IT8" s="411"/>
      <c r="IU8" s="411"/>
      <c r="IV8" s="411"/>
      <c r="IW8" s="411"/>
      <c r="IX8" s="411"/>
      <c r="IY8" s="411"/>
      <c r="IZ8" s="411"/>
      <c r="JA8" s="411"/>
      <c r="JB8" s="411"/>
      <c r="JC8" s="411"/>
      <c r="JD8" s="411"/>
      <c r="JE8" s="411"/>
      <c r="JF8" s="411"/>
      <c r="JG8" s="411"/>
      <c r="JH8" s="411"/>
      <c r="JI8" s="411"/>
      <c r="JJ8" s="411"/>
      <c r="JK8" s="411"/>
      <c r="JL8" s="411"/>
      <c r="JM8" s="411"/>
      <c r="JN8" s="411"/>
      <c r="JO8" s="411"/>
      <c r="JP8" s="411"/>
      <c r="JQ8" s="411"/>
      <c r="JR8" s="411"/>
      <c r="JS8" s="411"/>
      <c r="JT8" s="411"/>
      <c r="JU8" s="411"/>
      <c r="JV8" s="411"/>
      <c r="JW8" s="411"/>
      <c r="JX8" s="411"/>
      <c r="JY8" s="411"/>
      <c r="JZ8" s="411"/>
      <c r="KA8" s="411"/>
      <c r="KB8" s="411"/>
      <c r="KC8" s="411"/>
      <c r="KD8" s="411"/>
      <c r="KE8" s="411"/>
      <c r="KF8" s="411"/>
      <c r="KG8" s="411"/>
      <c r="KH8" s="411"/>
      <c r="KI8" s="411"/>
      <c r="KJ8" s="411"/>
      <c r="KK8" s="411"/>
      <c r="KL8" s="411"/>
      <c r="KM8" s="411"/>
      <c r="KN8" s="411"/>
      <c r="KO8" s="411"/>
      <c r="KP8" s="411"/>
      <c r="KQ8" s="411"/>
      <c r="KR8" s="411"/>
      <c r="KS8" s="411"/>
      <c r="KT8" s="411"/>
      <c r="KU8" s="411"/>
      <c r="KV8" s="411"/>
      <c r="KW8" s="411"/>
      <c r="KX8" s="411"/>
      <c r="KY8" s="411"/>
      <c r="KZ8" s="411"/>
      <c r="LA8" s="411"/>
      <c r="LB8" s="411"/>
      <c r="LC8" s="411"/>
      <c r="LD8" s="411"/>
      <c r="LE8" s="411"/>
      <c r="LF8" s="411"/>
      <c r="LG8" s="411"/>
      <c r="LH8" s="411"/>
      <c r="LI8" s="411"/>
      <c r="LJ8" s="411"/>
      <c r="LK8" s="411"/>
      <c r="LL8" s="411"/>
      <c r="LM8" s="411"/>
      <c r="LN8" s="411"/>
      <c r="LO8" s="411"/>
      <c r="LP8" s="411"/>
      <c r="LQ8" s="411"/>
      <c r="LR8" s="411"/>
      <c r="LS8" s="411"/>
      <c r="LT8" s="411"/>
      <c r="LU8" s="411"/>
      <c r="LV8" s="411"/>
      <c r="LW8" s="411"/>
      <c r="LX8" s="411"/>
      <c r="LY8" s="411"/>
      <c r="LZ8" s="411"/>
      <c r="MA8" s="411"/>
      <c r="MB8" s="411"/>
      <c r="MC8" s="411"/>
      <c r="MD8" s="411"/>
      <c r="ME8" s="411"/>
      <c r="MF8" s="411"/>
      <c r="MG8" s="411"/>
      <c r="MH8" s="411"/>
      <c r="MI8" s="411"/>
      <c r="MJ8" s="411"/>
      <c r="MK8" s="411"/>
      <c r="ML8" s="411"/>
      <c r="MM8" s="411"/>
      <c r="MN8" s="411"/>
      <c r="MO8" s="411"/>
      <c r="MP8" s="411"/>
      <c r="MQ8" s="411"/>
      <c r="MR8" s="411"/>
      <c r="MS8" s="411"/>
      <c r="MT8" s="411"/>
      <c r="MU8" s="411"/>
      <c r="MV8" s="411"/>
      <c r="MW8" s="411"/>
      <c r="MX8" s="411"/>
      <c r="MY8" s="411"/>
      <c r="MZ8" s="411"/>
      <c r="NA8" s="411"/>
      <c r="NB8" s="411"/>
      <c r="NC8" s="411"/>
      <c r="ND8" s="411"/>
      <c r="NE8" s="411"/>
      <c r="NF8" s="411"/>
      <c r="NG8" s="411"/>
      <c r="NH8" s="411"/>
      <c r="NI8" s="411"/>
      <c r="NJ8" s="411"/>
      <c r="NK8" s="411"/>
      <c r="NL8" s="411"/>
      <c r="NM8" s="411"/>
      <c r="NN8" s="411"/>
      <c r="NO8" s="411"/>
      <c r="NP8" s="411"/>
      <c r="NQ8" s="411"/>
      <c r="NR8" s="411"/>
      <c r="NS8" s="411"/>
      <c r="NT8" s="411"/>
      <c r="NU8" s="411"/>
      <c r="NV8" s="411"/>
      <c r="NW8" s="411"/>
      <c r="NX8" s="411"/>
      <c r="NY8" s="411"/>
      <c r="NZ8" s="411"/>
      <c r="OA8" s="411"/>
      <c r="OB8" s="411"/>
      <c r="OC8" s="411"/>
      <c r="OD8" s="411"/>
      <c r="OE8" s="411"/>
      <c r="OF8" s="411"/>
      <c r="OG8" s="411"/>
      <c r="OH8" s="411"/>
      <c r="OI8" s="411"/>
      <c r="OJ8" s="411"/>
      <c r="OK8" s="411"/>
      <c r="OL8" s="411"/>
      <c r="OM8" s="411"/>
      <c r="ON8" s="411"/>
      <c r="OO8" s="411"/>
      <c r="OP8" s="411"/>
      <c r="OQ8" s="411"/>
      <c r="OR8" s="411"/>
      <c r="OS8" s="411"/>
      <c r="OT8" s="411"/>
      <c r="OU8" s="411"/>
      <c r="OV8" s="411"/>
      <c r="OW8" s="411"/>
      <c r="OX8" s="411"/>
      <c r="OY8" s="411"/>
      <c r="OZ8" s="411"/>
      <c r="PA8" s="411"/>
      <c r="PB8" s="411"/>
      <c r="PC8" s="411"/>
      <c r="PD8" s="411"/>
      <c r="PE8" s="411"/>
      <c r="PF8" s="411"/>
      <c r="PG8" s="411"/>
      <c r="PH8" s="411"/>
      <c r="PI8" s="411"/>
      <c r="PJ8" s="411"/>
      <c r="PK8" s="411"/>
      <c r="PL8" s="411"/>
      <c r="PM8" s="411"/>
      <c r="PN8" s="411"/>
      <c r="PO8" s="411"/>
      <c r="PP8" s="411"/>
      <c r="PQ8" s="411"/>
      <c r="PR8" s="411"/>
      <c r="PS8" s="411"/>
      <c r="PT8" s="411"/>
      <c r="PU8" s="411"/>
      <c r="PV8" s="411"/>
      <c r="PW8" s="411"/>
      <c r="PX8" s="411"/>
      <c r="PY8" s="411"/>
      <c r="PZ8" s="411"/>
      <c r="QA8" s="411"/>
      <c r="QB8" s="411"/>
      <c r="QC8" s="411"/>
      <c r="QD8" s="411"/>
      <c r="QE8" s="411"/>
      <c r="QF8" s="411"/>
      <c r="QG8" s="411"/>
      <c r="QH8" s="411"/>
      <c r="QI8" s="411"/>
      <c r="QJ8" s="411"/>
      <c r="QK8" s="411"/>
      <c r="QL8" s="411"/>
      <c r="QM8" s="411"/>
      <c r="QN8" s="411"/>
      <c r="QO8" s="411"/>
      <c r="QP8" s="411"/>
      <c r="QQ8" s="411"/>
      <c r="QR8" s="411"/>
      <c r="QS8" s="411"/>
      <c r="QT8" s="411"/>
      <c r="QU8" s="411"/>
      <c r="QV8" s="411"/>
      <c r="QW8" s="411"/>
      <c r="QX8" s="411"/>
      <c r="QY8" s="411"/>
      <c r="QZ8" s="411"/>
      <c r="RA8" s="411"/>
      <c r="RB8" s="411"/>
      <c r="RC8" s="411"/>
      <c r="RD8" s="411"/>
      <c r="RE8" s="411"/>
      <c r="RF8" s="411"/>
      <c r="RG8" s="411"/>
      <c r="RH8" s="411"/>
      <c r="RI8" s="411"/>
      <c r="RJ8" s="411"/>
      <c r="RK8" s="411"/>
      <c r="RL8" s="411"/>
      <c r="RM8" s="411"/>
      <c r="RN8" s="411"/>
      <c r="RO8" s="411"/>
      <c r="RP8" s="411"/>
      <c r="RQ8" s="411"/>
      <c r="RR8" s="411"/>
      <c r="RS8" s="411"/>
      <c r="RT8" s="411"/>
      <c r="RU8" s="411"/>
      <c r="RV8" s="411"/>
      <c r="RW8" s="411"/>
      <c r="RX8" s="411"/>
      <c r="RY8" s="411"/>
      <c r="RZ8" s="411"/>
      <c r="SA8" s="411"/>
      <c r="SB8" s="411"/>
      <c r="SC8" s="411"/>
      <c r="SD8" s="411"/>
      <c r="SE8" s="411"/>
      <c r="SF8" s="411"/>
      <c r="SG8" s="411"/>
      <c r="SH8" s="411"/>
      <c r="SI8" s="411"/>
      <c r="SJ8" s="411"/>
      <c r="SK8" s="411"/>
      <c r="SL8" s="411"/>
      <c r="SM8" s="411"/>
      <c r="SN8" s="411"/>
      <c r="SO8" s="411"/>
      <c r="SP8" s="411"/>
      <c r="SQ8" s="411"/>
      <c r="SR8" s="411"/>
      <c r="SS8" s="411"/>
      <c r="ST8" s="411"/>
      <c r="SU8" s="411"/>
      <c r="SV8" s="411"/>
      <c r="SW8" s="411"/>
      <c r="SX8" s="411"/>
      <c r="SY8" s="411"/>
      <c r="SZ8" s="411"/>
      <c r="TA8" s="411"/>
      <c r="TB8" s="411"/>
      <c r="TC8" s="411"/>
      <c r="TD8" s="411"/>
      <c r="TE8" s="411"/>
      <c r="TF8" s="411"/>
      <c r="TG8" s="411"/>
      <c r="TH8" s="411"/>
      <c r="TI8" s="411"/>
      <c r="TJ8" s="411"/>
      <c r="TK8" s="411"/>
      <c r="TL8" s="411"/>
      <c r="TM8" s="411"/>
      <c r="TN8" s="411"/>
      <c r="TO8" s="411"/>
      <c r="TP8" s="411"/>
      <c r="TQ8" s="411"/>
      <c r="TR8" s="411"/>
      <c r="TS8" s="411"/>
      <c r="TT8" s="411"/>
      <c r="TU8" s="411"/>
      <c r="TV8" s="411"/>
      <c r="TW8" s="411"/>
      <c r="TX8" s="411"/>
      <c r="TY8" s="411"/>
      <c r="TZ8" s="411"/>
      <c r="UA8" s="411"/>
      <c r="UB8" s="411"/>
      <c r="UC8" s="411"/>
      <c r="UD8" s="411"/>
      <c r="UE8" s="411"/>
      <c r="UF8" s="411"/>
      <c r="UG8" s="411"/>
      <c r="UH8" s="411"/>
      <c r="UI8" s="411"/>
      <c r="UJ8" s="411"/>
      <c r="UK8" s="411"/>
      <c r="UL8" s="411"/>
      <c r="UM8" s="411"/>
      <c r="UN8" s="411"/>
      <c r="UO8" s="411"/>
      <c r="UP8" s="411"/>
      <c r="UQ8" s="411"/>
      <c r="UR8" s="411"/>
      <c r="US8" s="411"/>
      <c r="UT8" s="411"/>
      <c r="UU8" s="411"/>
      <c r="UV8" s="411"/>
      <c r="UW8" s="411"/>
      <c r="UX8" s="411"/>
      <c r="UY8" s="411"/>
      <c r="UZ8" s="411"/>
      <c r="VA8" s="411"/>
      <c r="VB8" s="411"/>
      <c r="VC8" s="411"/>
      <c r="VD8" s="411"/>
      <c r="VE8" s="411"/>
      <c r="VF8" s="411"/>
      <c r="VG8" s="411"/>
      <c r="VH8" s="411"/>
      <c r="VI8" s="411"/>
      <c r="VJ8" s="411"/>
      <c r="VK8" s="411"/>
      <c r="VL8" s="411"/>
      <c r="VM8" s="411"/>
      <c r="VN8" s="411"/>
      <c r="VO8" s="411"/>
      <c r="VP8" s="411"/>
      <c r="VQ8" s="411"/>
      <c r="VR8" s="411"/>
      <c r="VS8" s="411"/>
      <c r="VT8" s="411"/>
      <c r="VU8" s="411"/>
      <c r="VV8" s="411"/>
      <c r="VW8" s="411"/>
      <c r="VX8" s="411"/>
      <c r="VY8" s="411"/>
      <c r="VZ8" s="411"/>
      <c r="WA8" s="411"/>
      <c r="WB8" s="411"/>
      <c r="WC8" s="411"/>
      <c r="WD8" s="411"/>
      <c r="WE8" s="411"/>
      <c r="WF8" s="411"/>
      <c r="WG8" s="411"/>
      <c r="WH8" s="411"/>
      <c r="WI8" s="411"/>
      <c r="WJ8" s="411"/>
      <c r="WK8" s="411"/>
      <c r="WL8" s="411"/>
      <c r="WM8" s="411"/>
      <c r="WN8" s="411"/>
      <c r="WO8" s="411"/>
      <c r="WP8" s="411"/>
      <c r="WQ8" s="411"/>
      <c r="WR8" s="411"/>
      <c r="WS8" s="411"/>
      <c r="WT8" s="411"/>
      <c r="WU8" s="411"/>
      <c r="WV8" s="411"/>
      <c r="WW8" s="411"/>
      <c r="WX8" s="411"/>
      <c r="WY8" s="411"/>
      <c r="WZ8" s="411"/>
      <c r="XA8" s="411"/>
      <c r="XB8" s="411"/>
      <c r="XC8" s="411"/>
      <c r="XD8" s="411"/>
      <c r="XE8" s="411"/>
      <c r="XF8" s="411"/>
      <c r="XG8" s="411"/>
      <c r="XH8" s="411"/>
      <c r="XI8" s="411"/>
      <c r="XJ8" s="411"/>
      <c r="XK8" s="411"/>
      <c r="XL8" s="411"/>
      <c r="XM8" s="411"/>
      <c r="XN8" s="411"/>
      <c r="XO8" s="411"/>
      <c r="XP8" s="411"/>
      <c r="XQ8" s="411"/>
      <c r="XR8" s="411"/>
      <c r="XS8" s="411"/>
      <c r="XT8" s="411"/>
      <c r="XU8" s="411"/>
      <c r="XV8" s="411"/>
      <c r="XW8" s="411"/>
      <c r="XX8" s="411"/>
      <c r="XY8" s="411"/>
      <c r="XZ8" s="411"/>
      <c r="YA8" s="411"/>
      <c r="YB8" s="411"/>
      <c r="YC8" s="411"/>
      <c r="YD8" s="411"/>
      <c r="YE8" s="411"/>
      <c r="YF8" s="411"/>
      <c r="YG8" s="411"/>
      <c r="YH8" s="411"/>
      <c r="YI8" s="411"/>
      <c r="YJ8" s="411"/>
      <c r="YK8" s="411"/>
      <c r="YL8" s="411"/>
      <c r="YM8" s="411"/>
      <c r="YN8" s="411"/>
      <c r="YO8" s="411"/>
      <c r="YP8" s="411"/>
      <c r="YQ8" s="411"/>
      <c r="YR8" s="411"/>
      <c r="YS8" s="411"/>
      <c r="YT8" s="411"/>
      <c r="YU8" s="411"/>
      <c r="YV8" s="411"/>
      <c r="YW8" s="411"/>
      <c r="YX8" s="411"/>
      <c r="YY8" s="411"/>
      <c r="YZ8" s="411"/>
      <c r="ZA8" s="411"/>
      <c r="ZB8" s="411"/>
      <c r="ZC8" s="411"/>
      <c r="ZD8" s="411"/>
      <c r="ZE8" s="411"/>
      <c r="ZF8" s="411"/>
      <c r="ZG8" s="411"/>
      <c r="ZH8" s="411"/>
      <c r="ZI8" s="411"/>
      <c r="ZJ8" s="411"/>
      <c r="ZK8" s="411"/>
      <c r="ZL8" s="411"/>
      <c r="ZM8" s="411"/>
      <c r="ZN8" s="411"/>
      <c r="ZO8" s="411"/>
      <c r="ZP8" s="411"/>
      <c r="ZQ8" s="411"/>
      <c r="ZR8" s="411"/>
      <c r="ZS8" s="411"/>
      <c r="ZT8" s="411"/>
      <c r="ZU8" s="411"/>
      <c r="ZV8" s="411"/>
      <c r="ZW8" s="411"/>
      <c r="ZX8" s="411"/>
      <c r="ZY8" s="411"/>
      <c r="ZZ8" s="411"/>
      <c r="AAA8" s="411"/>
      <c r="AAB8" s="411"/>
      <c r="AAC8" s="411"/>
      <c r="AAD8" s="411"/>
      <c r="AAE8" s="411"/>
      <c r="AAF8" s="411"/>
      <c r="AAG8" s="411"/>
      <c r="AAH8" s="411"/>
      <c r="AAI8" s="411"/>
      <c r="AAJ8" s="411"/>
      <c r="AAK8" s="411"/>
      <c r="AAL8" s="411"/>
      <c r="AAM8" s="411"/>
      <c r="AAN8" s="411"/>
      <c r="AAO8" s="411"/>
      <c r="AAP8" s="411"/>
      <c r="AAQ8" s="411"/>
      <c r="AAR8" s="411"/>
      <c r="AAS8" s="411"/>
      <c r="AAT8" s="411"/>
      <c r="AAU8" s="411"/>
      <c r="AAV8" s="411"/>
      <c r="AAW8" s="411"/>
      <c r="AAX8" s="411"/>
      <c r="AAY8" s="411"/>
      <c r="AAZ8" s="411"/>
      <c r="ABA8" s="411"/>
      <c r="ABB8" s="411"/>
      <c r="ABC8" s="411"/>
      <c r="ABD8" s="411"/>
      <c r="ABE8" s="411"/>
      <c r="ABF8" s="411"/>
      <c r="ABG8" s="411"/>
      <c r="ABH8" s="411"/>
      <c r="ABI8" s="411"/>
      <c r="ABJ8" s="411"/>
      <c r="ABK8" s="411"/>
      <c r="ABL8" s="411"/>
      <c r="ABM8" s="411"/>
      <c r="ABN8" s="411"/>
      <c r="ABO8" s="411"/>
      <c r="ABP8" s="411"/>
      <c r="ABQ8" s="411"/>
      <c r="ABR8" s="411"/>
      <c r="ABS8" s="411"/>
      <c r="ABT8" s="411"/>
      <c r="ABU8" s="411"/>
      <c r="ABV8" s="411"/>
      <c r="ABW8" s="411"/>
      <c r="ABX8" s="411"/>
      <c r="ABY8" s="411"/>
      <c r="ABZ8" s="411"/>
      <c r="ACA8" s="411"/>
      <c r="ACB8" s="411"/>
      <c r="ACC8" s="411"/>
      <c r="ACD8" s="411"/>
      <c r="ACE8" s="411"/>
      <c r="ACF8" s="411"/>
      <c r="ACG8" s="411"/>
      <c r="ACH8" s="411"/>
      <c r="ACI8" s="411"/>
      <c r="ACJ8" s="411"/>
      <c r="ACK8" s="411"/>
      <c r="ACL8" s="411"/>
      <c r="ACM8" s="411"/>
      <c r="ACN8" s="411"/>
      <c r="ACO8" s="411"/>
      <c r="ACP8" s="411"/>
      <c r="ACQ8" s="411"/>
      <c r="ACR8" s="411"/>
      <c r="ACS8" s="411"/>
      <c r="ACT8" s="411"/>
      <c r="ACU8" s="411"/>
      <c r="ACV8" s="411"/>
      <c r="ACW8" s="411"/>
      <c r="ACX8" s="411"/>
      <c r="ACY8" s="411"/>
      <c r="ACZ8" s="411"/>
      <c r="ADA8" s="411"/>
      <c r="ADB8" s="411"/>
      <c r="ADC8" s="411"/>
      <c r="ADD8" s="411"/>
      <c r="ADE8" s="411"/>
      <c r="ADF8" s="411"/>
      <c r="ADG8" s="411"/>
      <c r="ADH8" s="411"/>
      <c r="ADI8" s="411"/>
      <c r="ADJ8" s="411"/>
      <c r="ADK8" s="411"/>
      <c r="ADL8" s="411"/>
      <c r="ADM8" s="411"/>
      <c r="ADN8" s="411"/>
      <c r="ADO8" s="411"/>
      <c r="ADP8" s="411"/>
      <c r="ADQ8" s="411"/>
      <c r="ADR8" s="411"/>
      <c r="ADS8" s="411"/>
      <c r="ADT8" s="411"/>
      <c r="ADU8" s="411"/>
      <c r="ADV8" s="411"/>
      <c r="ADW8" s="411"/>
      <c r="ADX8" s="411"/>
      <c r="ADY8" s="411"/>
      <c r="ADZ8" s="411"/>
      <c r="AEA8" s="411"/>
      <c r="AEB8" s="411"/>
      <c r="AEC8" s="411"/>
      <c r="AED8" s="411"/>
      <c r="AEE8" s="411"/>
      <c r="AEF8" s="411"/>
      <c r="AEG8" s="411"/>
      <c r="AEH8" s="411"/>
      <c r="AEI8" s="411"/>
      <c r="AEJ8" s="411"/>
      <c r="AEK8" s="411"/>
      <c r="AEL8" s="411"/>
      <c r="AEM8" s="411"/>
      <c r="AEN8" s="411"/>
      <c r="AEO8" s="411"/>
      <c r="AEP8" s="411"/>
      <c r="AEQ8" s="411"/>
      <c r="AER8" s="411"/>
      <c r="AES8" s="411"/>
      <c r="AET8" s="411"/>
      <c r="AEU8" s="411"/>
      <c r="AEV8" s="411"/>
      <c r="AEW8" s="411"/>
      <c r="AEX8" s="411"/>
      <c r="AEY8" s="411"/>
      <c r="AEZ8" s="411"/>
      <c r="AFA8" s="411"/>
      <c r="AFB8" s="411"/>
      <c r="AFC8" s="411"/>
      <c r="AFD8" s="411"/>
      <c r="AFE8" s="411"/>
      <c r="AFF8" s="411"/>
      <c r="AFG8" s="411"/>
      <c r="AFH8" s="411"/>
      <c r="AFI8" s="411"/>
      <c r="AFJ8" s="411"/>
      <c r="AFK8" s="411"/>
      <c r="AFL8" s="411"/>
      <c r="AFM8" s="411"/>
      <c r="AFN8" s="411"/>
      <c r="AFO8" s="411"/>
      <c r="AFP8" s="411"/>
      <c r="AFQ8" s="411"/>
      <c r="AFR8" s="411"/>
      <c r="AFS8" s="411"/>
      <c r="AFT8" s="411"/>
      <c r="AFU8" s="411"/>
      <c r="AFV8" s="411"/>
      <c r="AFW8" s="411"/>
      <c r="AFX8" s="411"/>
      <c r="AFY8" s="411"/>
      <c r="AFZ8" s="411"/>
      <c r="AGA8" s="411"/>
      <c r="AGB8" s="411"/>
      <c r="AGC8" s="411"/>
      <c r="AGD8" s="411"/>
      <c r="AGE8" s="411"/>
      <c r="AGF8" s="411"/>
      <c r="AGG8" s="411"/>
      <c r="AGH8" s="411"/>
      <c r="AGI8" s="411"/>
      <c r="AGJ8" s="411"/>
      <c r="AGK8" s="411"/>
      <c r="AGL8" s="411"/>
      <c r="AGM8" s="411"/>
      <c r="AGN8" s="411"/>
      <c r="AGO8" s="411"/>
      <c r="AGP8" s="411"/>
      <c r="AGQ8" s="411"/>
      <c r="AGR8" s="411"/>
      <c r="AGS8" s="411"/>
      <c r="AGT8" s="411"/>
      <c r="AGU8" s="411"/>
      <c r="AGV8" s="411"/>
      <c r="AGW8" s="411"/>
      <c r="AGX8" s="411"/>
      <c r="AGY8" s="411"/>
      <c r="AGZ8" s="411"/>
      <c r="AHA8" s="411"/>
      <c r="AHB8" s="411"/>
      <c r="AHC8" s="411"/>
      <c r="AHD8" s="411"/>
      <c r="AHE8" s="411"/>
      <c r="AHF8" s="411"/>
      <c r="AHG8" s="411"/>
      <c r="AHH8" s="411"/>
      <c r="AHI8" s="411"/>
      <c r="AHJ8" s="411"/>
      <c r="AHK8" s="411"/>
      <c r="AHL8" s="411"/>
      <c r="AHM8" s="411"/>
      <c r="AHN8" s="411"/>
      <c r="AHO8" s="411"/>
      <c r="AHP8" s="411"/>
      <c r="AHQ8" s="411"/>
      <c r="AHR8" s="411"/>
      <c r="AHS8" s="411"/>
      <c r="AHT8" s="411"/>
      <c r="AHU8" s="411"/>
      <c r="AHV8" s="411"/>
      <c r="AHW8" s="411"/>
      <c r="AHX8" s="411"/>
      <c r="AHY8" s="411"/>
      <c r="AHZ8" s="411"/>
      <c r="AIA8" s="411"/>
      <c r="AIB8" s="411"/>
      <c r="AIC8" s="411"/>
      <c r="AID8" s="411"/>
      <c r="AIE8" s="411"/>
      <c r="AIF8" s="411"/>
      <c r="AIG8" s="411"/>
      <c r="AIH8" s="411"/>
      <c r="AII8" s="411"/>
      <c r="AIJ8" s="411"/>
      <c r="AIK8" s="411"/>
      <c r="AIL8" s="411"/>
      <c r="AIM8" s="411"/>
      <c r="AIN8" s="411"/>
      <c r="AIO8" s="411"/>
      <c r="AIP8" s="411"/>
      <c r="AIQ8" s="411"/>
      <c r="AIR8" s="411"/>
      <c r="AIS8" s="411"/>
      <c r="AIT8" s="411"/>
      <c r="AIU8" s="411"/>
      <c r="AIV8" s="411"/>
      <c r="AIW8" s="411"/>
      <c r="AIX8" s="411"/>
      <c r="AIY8" s="411"/>
      <c r="AIZ8" s="411"/>
      <c r="AJA8" s="411"/>
      <c r="AJB8" s="411"/>
      <c r="AJC8" s="411"/>
      <c r="AJD8" s="411"/>
      <c r="AJE8" s="411"/>
      <c r="AJF8" s="411"/>
      <c r="AJG8" s="411"/>
      <c r="AJH8" s="411"/>
      <c r="AJI8" s="411"/>
      <c r="AJJ8" s="411"/>
      <c r="AJK8" s="411"/>
      <c r="AJL8" s="411"/>
      <c r="AJM8" s="411"/>
      <c r="AJN8" s="411"/>
      <c r="AJO8" s="411"/>
      <c r="AJP8" s="411"/>
      <c r="AJQ8" s="411"/>
      <c r="AJR8" s="411"/>
      <c r="AJS8" s="411"/>
      <c r="AJT8" s="411"/>
      <c r="AJU8" s="411"/>
      <c r="AJV8" s="411"/>
      <c r="AJW8" s="411"/>
      <c r="AJX8" s="411"/>
      <c r="AJY8" s="411"/>
      <c r="AJZ8" s="411"/>
      <c r="AKA8" s="411"/>
      <c r="AKB8" s="411"/>
      <c r="AKC8" s="411"/>
      <c r="AKD8" s="411"/>
      <c r="AKE8" s="411"/>
      <c r="AKF8" s="411"/>
      <c r="AKG8" s="411"/>
      <c r="AKH8" s="411"/>
      <c r="AKI8" s="411"/>
      <c r="AKJ8" s="411"/>
      <c r="AKK8" s="411"/>
      <c r="AKL8" s="411"/>
      <c r="AKM8" s="411"/>
      <c r="AKN8" s="411"/>
      <c r="AKO8" s="411"/>
      <c r="AKP8" s="411"/>
      <c r="AKQ8" s="411"/>
      <c r="AKR8" s="411"/>
      <c r="AKS8" s="411"/>
      <c r="AKT8" s="411"/>
    </row>
    <row r="9">
      <c r="A9" s="411" t="s">
        <v>23</v>
      </c>
      <c r="B9" s="411"/>
      <c r="C9" s="411"/>
      <c r="D9" s="411"/>
      <c r="E9" s="411"/>
      <c r="F9" s="411"/>
      <c r="G9" s="411"/>
      <c r="H9" s="411"/>
      <c r="I9" s="411"/>
      <c r="J9" s="411"/>
      <c r="K9" s="411">
        <v>-80.11</v>
      </c>
      <c r="L9" s="411">
        <v>117.98</v>
      </c>
      <c r="M9" s="411">
        <v>22.55</v>
      </c>
      <c r="N9" s="411">
        <v>-14.2</v>
      </c>
      <c r="O9" s="411">
        <v>-11.72</v>
      </c>
      <c r="P9" s="411">
        <v>122.74</v>
      </c>
      <c r="Q9" s="411">
        <v>16.33</v>
      </c>
      <c r="R9" s="411">
        <v>-94.88</v>
      </c>
      <c r="S9" s="411">
        <v>-58.42</v>
      </c>
      <c r="T9" s="411">
        <v>-26.1</v>
      </c>
      <c r="U9" s="411">
        <v>138.41</v>
      </c>
      <c r="V9" s="411">
        <v>-42.18</v>
      </c>
      <c r="W9" s="411">
        <v>129.48</v>
      </c>
      <c r="X9" s="411">
        <v>-153.83</v>
      </c>
      <c r="Y9" s="411">
        <v>235.14</v>
      </c>
      <c r="Z9" s="411"/>
      <c r="AA9" s="411"/>
      <c r="AB9" s="411"/>
      <c r="AC9" s="411"/>
      <c r="AD9" s="411"/>
      <c r="AE9" s="411"/>
      <c r="AF9" s="411"/>
      <c r="AG9" s="411"/>
      <c r="AH9" s="411"/>
      <c r="AI9" s="411"/>
      <c r="AJ9" s="411"/>
      <c r="AK9" s="411"/>
      <c r="AL9" s="411"/>
      <c r="AM9" s="411"/>
      <c r="AN9" s="411"/>
      <c r="AO9" s="411"/>
      <c r="AP9" s="411"/>
      <c r="AQ9" s="411"/>
      <c r="AR9" s="411"/>
      <c r="AS9" s="411"/>
      <c r="AT9" s="411"/>
      <c r="AU9" s="411"/>
      <c r="AV9" s="411"/>
      <c r="AW9" s="411"/>
      <c r="AX9" s="411"/>
      <c r="AY9" s="411"/>
      <c r="AZ9" s="411"/>
      <c r="BA9" s="411"/>
      <c r="BB9" s="411"/>
      <c r="BC9" s="411"/>
      <c r="BD9" s="411"/>
      <c r="BE9" s="411"/>
      <c r="BF9" s="411"/>
      <c r="BG9" s="411"/>
      <c r="BH9" s="411"/>
      <c r="BI9" s="411"/>
      <c r="BJ9" s="411"/>
      <c r="BK9" s="411"/>
      <c r="BL9" s="411"/>
      <c r="BM9" s="411"/>
      <c r="BN9" s="411"/>
      <c r="BO9" s="411"/>
      <c r="BP9" s="411"/>
      <c r="BQ9" s="411"/>
      <c r="BR9" s="411"/>
      <c r="BS9" s="411"/>
      <c r="BT9" s="411"/>
      <c r="BU9" s="411"/>
      <c r="BV9" s="411"/>
      <c r="BW9" s="411"/>
      <c r="BX9" s="411"/>
      <c r="BY9" s="411"/>
      <c r="BZ9" s="411"/>
      <c r="CA9" s="411"/>
      <c r="CB9" s="411"/>
      <c r="CC9" s="411"/>
      <c r="CD9" s="411"/>
      <c r="CE9" s="411"/>
      <c r="CF9" s="411"/>
      <c r="CG9" s="411"/>
      <c r="CH9" s="411"/>
      <c r="CI9" s="411"/>
      <c r="CJ9" s="411"/>
      <c r="CK9" s="411"/>
      <c r="CL9" s="411"/>
      <c r="CM9" s="411"/>
      <c r="CN9" s="411"/>
      <c r="CO9" s="411"/>
      <c r="CP9" s="411"/>
      <c r="CQ9" s="411"/>
      <c r="CR9" s="411"/>
      <c r="CS9" s="411"/>
      <c r="CT9" s="411"/>
      <c r="CU9" s="411"/>
      <c r="CV9" s="411"/>
      <c r="CW9" s="411"/>
      <c r="CX9" s="411"/>
      <c r="CY9" s="411"/>
      <c r="CZ9" s="411"/>
      <c r="DA9" s="411"/>
      <c r="DB9" s="411"/>
      <c r="DC9" s="411"/>
      <c r="DD9" s="411"/>
      <c r="DE9" s="411"/>
      <c r="DF9" s="411"/>
      <c r="DG9" s="411"/>
      <c r="DH9" s="411"/>
      <c r="DI9" s="411"/>
      <c r="DJ9" s="411"/>
      <c r="DK9" s="411"/>
      <c r="DL9" s="411"/>
      <c r="DM9" s="411"/>
      <c r="DN9" s="411"/>
      <c r="DO9" s="411"/>
      <c r="DP9" s="411"/>
      <c r="DQ9" s="411"/>
      <c r="DR9" s="411"/>
      <c r="DS9" s="411"/>
      <c r="DT9" s="411"/>
      <c r="DU9" s="411"/>
      <c r="DV9" s="411"/>
      <c r="DW9" s="411"/>
      <c r="DX9" s="411"/>
      <c r="DY9" s="411"/>
      <c r="DZ9" s="411"/>
      <c r="EA9" s="411"/>
      <c r="EB9" s="411"/>
      <c r="EC9" s="411"/>
      <c r="ED9" s="411"/>
      <c r="EE9" s="411"/>
      <c r="EF9" s="411"/>
      <c r="EG9" s="411"/>
      <c r="EH9" s="411"/>
      <c r="EI9" s="411"/>
      <c r="EJ9" s="411"/>
      <c r="EK9" s="411"/>
      <c r="EL9" s="411"/>
      <c r="EM9" s="411"/>
      <c r="EN9" s="411"/>
      <c r="EO9" s="411"/>
      <c r="EP9" s="411"/>
      <c r="EQ9" s="411"/>
      <c r="ER9" s="411"/>
      <c r="ES9" s="411"/>
      <c r="ET9" s="411"/>
      <c r="EU9" s="411"/>
      <c r="EV9" s="411"/>
      <c r="EW9" s="411"/>
      <c r="EX9" s="411"/>
      <c r="EY9" s="411"/>
      <c r="EZ9" s="411"/>
      <c r="FA9" s="411"/>
      <c r="FB9" s="411"/>
      <c r="FC9" s="411"/>
      <c r="FD9" s="411"/>
      <c r="FE9" s="411"/>
      <c r="FF9" s="411"/>
      <c r="FG9" s="411"/>
      <c r="FH9" s="411"/>
      <c r="FI9" s="411"/>
      <c r="FJ9" s="411"/>
      <c r="FK9" s="411"/>
      <c r="FL9" s="411"/>
      <c r="FM9" s="411"/>
      <c r="FN9" s="411"/>
      <c r="FO9" s="411"/>
      <c r="FP9" s="411"/>
      <c r="FQ9" s="411"/>
      <c r="FR9" s="411"/>
      <c r="FS9" s="411"/>
      <c r="FT9" s="411"/>
      <c r="FU9" s="411"/>
      <c r="FV9" s="411"/>
      <c r="FW9" s="411"/>
      <c r="FX9" s="411"/>
      <c r="FY9" s="411"/>
      <c r="FZ9" s="411"/>
      <c r="GA9" s="411"/>
      <c r="GB9" s="411"/>
      <c r="GC9" s="411"/>
      <c r="GD9" s="411"/>
      <c r="GE9" s="411"/>
      <c r="GF9" s="411"/>
      <c r="GG9" s="411"/>
      <c r="GH9" s="411"/>
      <c r="GI9" s="411"/>
      <c r="GJ9" s="411"/>
      <c r="GK9" s="411"/>
      <c r="GL9" s="411"/>
      <c r="GM9" s="411"/>
      <c r="GN9" s="411"/>
      <c r="GO9" s="411"/>
      <c r="GP9" s="411"/>
      <c r="GQ9" s="411"/>
      <c r="GR9" s="411"/>
      <c r="GS9" s="411"/>
      <c r="GT9" s="411"/>
      <c r="GU9" s="411"/>
      <c r="GV9" s="411"/>
      <c r="GW9" s="411"/>
      <c r="GX9" s="411"/>
      <c r="GY9" s="411"/>
      <c r="GZ9" s="411"/>
      <c r="HA9" s="411"/>
      <c r="HB9" s="411"/>
      <c r="HC9" s="411"/>
      <c r="HD9" s="411"/>
      <c r="HE9" s="411"/>
      <c r="HF9" s="411"/>
      <c r="HG9" s="411"/>
      <c r="HH9" s="411"/>
      <c r="HI9" s="411"/>
      <c r="HJ9" s="411"/>
      <c r="HK9" s="411"/>
      <c r="HL9" s="411"/>
      <c r="HM9" s="411"/>
      <c r="HN9" s="411"/>
      <c r="HO9" s="411"/>
      <c r="HP9" s="411"/>
      <c r="HQ9" s="411"/>
      <c r="HR9" s="411"/>
      <c r="HS9" s="411"/>
      <c r="HT9" s="411"/>
      <c r="HU9" s="411"/>
      <c r="HV9" s="411"/>
      <c r="HW9" s="411"/>
      <c r="HX9" s="411"/>
      <c r="HY9" s="411"/>
      <c r="HZ9" s="411"/>
      <c r="IA9" s="411"/>
      <c r="IB9" s="411"/>
      <c r="IC9" s="411"/>
      <c r="ID9" s="411"/>
      <c r="IE9" s="411"/>
      <c r="IF9" s="411"/>
      <c r="IG9" s="411"/>
      <c r="IH9" s="411"/>
      <c r="II9" s="411"/>
      <c r="IJ9" s="411"/>
      <c r="IK9" s="411"/>
      <c r="IL9" s="411"/>
      <c r="IM9" s="411"/>
      <c r="IN9" s="411"/>
      <c r="IO9" s="411"/>
      <c r="IP9" s="411"/>
      <c r="IQ9" s="411"/>
      <c r="IR9" s="411"/>
      <c r="IS9" s="411"/>
      <c r="IT9" s="411"/>
      <c r="IU9" s="411"/>
      <c r="IV9" s="411"/>
      <c r="IW9" s="411"/>
      <c r="IX9" s="411"/>
      <c r="IY9" s="411"/>
      <c r="IZ9" s="411"/>
      <c r="JA9" s="411"/>
      <c r="JB9" s="411"/>
      <c r="JC9" s="411"/>
      <c r="JD9" s="411"/>
      <c r="JE9" s="411"/>
      <c r="JF9" s="411"/>
      <c r="JG9" s="411"/>
      <c r="JH9" s="411"/>
      <c r="JI9" s="411"/>
      <c r="JJ9" s="411"/>
      <c r="JK9" s="411"/>
      <c r="JL9" s="411"/>
      <c r="JM9" s="411"/>
      <c r="JN9" s="411"/>
      <c r="JO9" s="411"/>
      <c r="JP9" s="411"/>
      <c r="JQ9" s="411"/>
      <c r="JR9" s="411"/>
      <c r="JS9" s="411"/>
      <c r="JT9" s="411"/>
      <c r="JU9" s="411"/>
      <c r="JV9" s="411"/>
      <c r="JW9" s="411"/>
      <c r="JX9" s="411"/>
      <c r="JY9" s="411"/>
      <c r="JZ9" s="411"/>
      <c r="KA9" s="411"/>
      <c r="KB9" s="411"/>
      <c r="KC9" s="411"/>
      <c r="KD9" s="411"/>
      <c r="KE9" s="411"/>
      <c r="KF9" s="411"/>
      <c r="KG9" s="411"/>
      <c r="KH9" s="411"/>
      <c r="KI9" s="411"/>
      <c r="KJ9" s="411"/>
      <c r="KK9" s="411"/>
      <c r="KL9" s="411"/>
      <c r="KM9" s="411"/>
      <c r="KN9" s="411"/>
      <c r="KO9" s="411"/>
      <c r="KP9" s="411"/>
      <c r="KQ9" s="411"/>
      <c r="KR9" s="411"/>
      <c r="KS9" s="411"/>
      <c r="KT9" s="411"/>
      <c r="KU9" s="411"/>
      <c r="KV9" s="411"/>
      <c r="KW9" s="411"/>
      <c r="KX9" s="411"/>
      <c r="KY9" s="411"/>
      <c r="KZ9" s="411"/>
      <c r="LA9" s="411"/>
      <c r="LB9" s="411"/>
      <c r="LC9" s="411"/>
      <c r="LD9" s="411"/>
      <c r="LE9" s="411"/>
      <c r="LF9" s="411"/>
      <c r="LG9" s="411"/>
      <c r="LH9" s="411"/>
      <c r="LI9" s="411"/>
      <c r="LJ9" s="411"/>
      <c r="LK9" s="411"/>
      <c r="LL9" s="411"/>
      <c r="LM9" s="411"/>
      <c r="LN9" s="411"/>
      <c r="LO9" s="411"/>
      <c r="LP9" s="411"/>
      <c r="LQ9" s="411"/>
      <c r="LR9" s="411"/>
      <c r="LS9" s="411"/>
      <c r="LT9" s="411"/>
      <c r="LU9" s="411"/>
      <c r="LV9" s="411"/>
      <c r="LW9" s="411"/>
      <c r="LX9" s="411"/>
      <c r="LY9" s="411"/>
      <c r="LZ9" s="411"/>
      <c r="MA9" s="411"/>
      <c r="MB9" s="411"/>
      <c r="MC9" s="411"/>
      <c r="MD9" s="411"/>
      <c r="ME9" s="411"/>
      <c r="MF9" s="411"/>
      <c r="MG9" s="411"/>
      <c r="MH9" s="411"/>
      <c r="MI9" s="411"/>
      <c r="MJ9" s="411"/>
      <c r="MK9" s="411"/>
      <c r="ML9" s="411"/>
      <c r="MM9" s="411"/>
      <c r="MN9" s="411"/>
      <c r="MO9" s="411"/>
      <c r="MP9" s="411"/>
      <c r="MQ9" s="411"/>
      <c r="MR9" s="411"/>
      <c r="MS9" s="411"/>
      <c r="MT9" s="411"/>
      <c r="MU9" s="411"/>
      <c r="MV9" s="411"/>
      <c r="MW9" s="411"/>
      <c r="MX9" s="411"/>
      <c r="MY9" s="411"/>
      <c r="MZ9" s="411"/>
      <c r="NA9" s="411"/>
      <c r="NB9" s="411"/>
      <c r="NC9" s="411"/>
      <c r="ND9" s="411"/>
      <c r="NE9" s="411"/>
      <c r="NF9" s="411"/>
      <c r="NG9" s="411"/>
      <c r="NH9" s="411"/>
      <c r="NI9" s="411"/>
      <c r="NJ9" s="411"/>
      <c r="NK9" s="411"/>
      <c r="NL9" s="411"/>
      <c r="NM9" s="411"/>
      <c r="NN9" s="411"/>
      <c r="NO9" s="411"/>
      <c r="NP9" s="411"/>
      <c r="NQ9" s="411"/>
      <c r="NR9" s="411"/>
      <c r="NS9" s="411"/>
      <c r="NT9" s="411"/>
      <c r="NU9" s="411"/>
      <c r="NV9" s="411"/>
      <c r="NW9" s="411"/>
      <c r="NX9" s="411"/>
      <c r="NY9" s="411"/>
      <c r="NZ9" s="411"/>
      <c r="OA9" s="411"/>
      <c r="OB9" s="411"/>
      <c r="OC9" s="411"/>
      <c r="OD9" s="411"/>
      <c r="OE9" s="411"/>
      <c r="OF9" s="411"/>
      <c r="OG9" s="411"/>
      <c r="OH9" s="411"/>
      <c r="OI9" s="411"/>
      <c r="OJ9" s="411"/>
      <c r="OK9" s="411"/>
      <c r="OL9" s="411"/>
      <c r="OM9" s="411"/>
      <c r="ON9" s="411"/>
      <c r="OO9" s="411"/>
      <c r="OP9" s="411"/>
      <c r="OQ9" s="411"/>
      <c r="OR9" s="411"/>
      <c r="OS9" s="411"/>
      <c r="OT9" s="411"/>
      <c r="OU9" s="411"/>
      <c r="OV9" s="411"/>
      <c r="OW9" s="411"/>
      <c r="OX9" s="411"/>
      <c r="OY9" s="411"/>
      <c r="OZ9" s="411"/>
      <c r="PA9" s="411"/>
      <c r="PB9" s="411"/>
      <c r="PC9" s="411"/>
      <c r="PD9" s="411"/>
      <c r="PE9" s="411"/>
      <c r="PF9" s="411"/>
      <c r="PG9" s="411"/>
      <c r="PH9" s="411"/>
      <c r="PI9" s="411"/>
      <c r="PJ9" s="411"/>
      <c r="PK9" s="411"/>
      <c r="PL9" s="411"/>
      <c r="PM9" s="411"/>
      <c r="PN9" s="411"/>
      <c r="PO9" s="411"/>
      <c r="PP9" s="411"/>
      <c r="PQ9" s="411"/>
      <c r="PR9" s="411"/>
      <c r="PS9" s="411"/>
      <c r="PT9" s="411"/>
      <c r="PU9" s="411"/>
      <c r="PV9" s="411"/>
      <c r="PW9" s="411"/>
      <c r="PX9" s="411"/>
      <c r="PY9" s="411"/>
      <c r="PZ9" s="411"/>
      <c r="QA9" s="411"/>
      <c r="QB9" s="411"/>
      <c r="QC9" s="411"/>
      <c r="QD9" s="411"/>
      <c r="QE9" s="411"/>
      <c r="QF9" s="411"/>
      <c r="QG9" s="411"/>
      <c r="QH9" s="411"/>
      <c r="QI9" s="411"/>
      <c r="QJ9" s="411"/>
      <c r="QK9" s="411"/>
      <c r="QL9" s="411"/>
      <c r="QM9" s="411"/>
      <c r="QN9" s="411"/>
      <c r="QO9" s="411"/>
      <c r="QP9" s="411"/>
      <c r="QQ9" s="411"/>
      <c r="QR9" s="411"/>
      <c r="QS9" s="411"/>
      <c r="QT9" s="411"/>
      <c r="QU9" s="411"/>
      <c r="QV9" s="411"/>
      <c r="QW9" s="411"/>
      <c r="QX9" s="411"/>
      <c r="QY9" s="411"/>
      <c r="QZ9" s="411"/>
      <c r="RA9" s="411"/>
      <c r="RB9" s="411"/>
      <c r="RC9" s="411"/>
      <c r="RD9" s="411"/>
      <c r="RE9" s="411"/>
      <c r="RF9" s="411"/>
      <c r="RG9" s="411"/>
      <c r="RH9" s="411"/>
      <c r="RI9" s="411"/>
      <c r="RJ9" s="411"/>
      <c r="RK9" s="411"/>
      <c r="RL9" s="411"/>
      <c r="RM9" s="411"/>
      <c r="RN9" s="411"/>
      <c r="RO9" s="411"/>
      <c r="RP9" s="411"/>
      <c r="RQ9" s="411"/>
      <c r="RR9" s="411"/>
      <c r="RS9" s="411"/>
      <c r="RT9" s="411"/>
      <c r="RU9" s="411"/>
      <c r="RV9" s="411"/>
      <c r="RW9" s="411"/>
      <c r="RX9" s="411"/>
      <c r="RY9" s="411"/>
      <c r="RZ9" s="411"/>
      <c r="SA9" s="411"/>
      <c r="SB9" s="411"/>
      <c r="SC9" s="411"/>
      <c r="SD9" s="411"/>
      <c r="SE9" s="411"/>
      <c r="SF9" s="411"/>
      <c r="SG9" s="411"/>
      <c r="SH9" s="411"/>
      <c r="SI9" s="411"/>
      <c r="SJ9" s="411"/>
      <c r="SK9" s="411"/>
      <c r="SL9" s="411"/>
      <c r="SM9" s="411"/>
      <c r="SN9" s="411"/>
      <c r="SO9" s="411"/>
      <c r="SP9" s="411"/>
      <c r="SQ9" s="411"/>
      <c r="SR9" s="411"/>
      <c r="SS9" s="411"/>
      <c r="ST9" s="411"/>
      <c r="SU9" s="411"/>
      <c r="SV9" s="411"/>
      <c r="SW9" s="411"/>
      <c r="SX9" s="411"/>
      <c r="SY9" s="411"/>
      <c r="SZ9" s="411"/>
      <c r="TA9" s="411"/>
      <c r="TB9" s="411"/>
      <c r="TC9" s="411"/>
      <c r="TD9" s="411"/>
      <c r="TE9" s="411"/>
      <c r="TF9" s="411"/>
      <c r="TG9" s="411"/>
      <c r="TH9" s="411"/>
      <c r="TI9" s="411"/>
      <c r="TJ9" s="411"/>
      <c r="TK9" s="411"/>
      <c r="TL9" s="411"/>
      <c r="TM9" s="411"/>
      <c r="TN9" s="411"/>
      <c r="TO9" s="411"/>
      <c r="TP9" s="411"/>
      <c r="TQ9" s="411"/>
      <c r="TR9" s="411"/>
      <c r="TS9" s="411"/>
      <c r="TT9" s="411"/>
      <c r="TU9" s="411"/>
      <c r="TV9" s="411"/>
      <c r="TW9" s="411"/>
      <c r="TX9" s="411"/>
      <c r="TY9" s="411"/>
      <c r="TZ9" s="411"/>
      <c r="UA9" s="411"/>
      <c r="UB9" s="411"/>
      <c r="UC9" s="411"/>
      <c r="UD9" s="411"/>
      <c r="UE9" s="411"/>
      <c r="UF9" s="411"/>
      <c r="UG9" s="411"/>
      <c r="UH9" s="411"/>
      <c r="UI9" s="411"/>
      <c r="UJ9" s="411"/>
      <c r="UK9" s="411"/>
      <c r="UL9" s="411"/>
      <c r="UM9" s="411"/>
      <c r="UN9" s="411"/>
      <c r="UO9" s="411"/>
      <c r="UP9" s="411"/>
      <c r="UQ9" s="411"/>
      <c r="UR9" s="411"/>
      <c r="US9" s="411"/>
      <c r="UT9" s="411"/>
      <c r="UU9" s="411"/>
      <c r="UV9" s="411"/>
      <c r="UW9" s="411"/>
      <c r="UX9" s="411"/>
      <c r="UY9" s="411"/>
      <c r="UZ9" s="411"/>
      <c r="VA9" s="411"/>
      <c r="VB9" s="411"/>
      <c r="VC9" s="411"/>
      <c r="VD9" s="411"/>
      <c r="VE9" s="411"/>
      <c r="VF9" s="411"/>
      <c r="VG9" s="411"/>
      <c r="VH9" s="411"/>
      <c r="VI9" s="411"/>
      <c r="VJ9" s="411"/>
      <c r="VK9" s="411"/>
      <c r="VL9" s="411"/>
      <c r="VM9" s="411"/>
      <c r="VN9" s="411"/>
      <c r="VO9" s="411"/>
      <c r="VP9" s="411"/>
      <c r="VQ9" s="411"/>
      <c r="VR9" s="411"/>
      <c r="VS9" s="411"/>
      <c r="VT9" s="411"/>
      <c r="VU9" s="411"/>
      <c r="VV9" s="411"/>
      <c r="VW9" s="411"/>
      <c r="VX9" s="411"/>
      <c r="VY9" s="411"/>
      <c r="VZ9" s="411"/>
      <c r="WA9" s="411"/>
      <c r="WB9" s="411"/>
      <c r="WC9" s="411"/>
      <c r="WD9" s="411"/>
      <c r="WE9" s="411"/>
      <c r="WF9" s="411"/>
      <c r="WG9" s="411"/>
      <c r="WH9" s="411"/>
      <c r="WI9" s="411"/>
      <c r="WJ9" s="411"/>
      <c r="WK9" s="411"/>
      <c r="WL9" s="411"/>
      <c r="WM9" s="411"/>
      <c r="WN9" s="411"/>
      <c r="WO9" s="411"/>
      <c r="WP9" s="411"/>
      <c r="WQ9" s="411"/>
      <c r="WR9" s="411"/>
      <c r="WS9" s="411"/>
      <c r="WT9" s="411"/>
      <c r="WU9" s="411"/>
      <c r="WV9" s="411"/>
      <c r="WW9" s="411"/>
      <c r="WX9" s="411"/>
      <c r="WY9" s="411"/>
      <c r="WZ9" s="411"/>
      <c r="XA9" s="411"/>
      <c r="XB9" s="411"/>
      <c r="XC9" s="411"/>
      <c r="XD9" s="411"/>
      <c r="XE9" s="411"/>
      <c r="XF9" s="411"/>
      <c r="XG9" s="411"/>
      <c r="XH9" s="411"/>
      <c r="XI9" s="411"/>
      <c r="XJ9" s="411"/>
      <c r="XK9" s="411"/>
      <c r="XL9" s="411"/>
      <c r="XM9" s="411"/>
      <c r="XN9" s="411"/>
      <c r="XO9" s="411"/>
      <c r="XP9" s="411"/>
      <c r="XQ9" s="411"/>
      <c r="XR9" s="411"/>
      <c r="XS9" s="411"/>
      <c r="XT9" s="411"/>
      <c r="XU9" s="411"/>
      <c r="XV9" s="411"/>
      <c r="XW9" s="411"/>
      <c r="XX9" s="411"/>
      <c r="XY9" s="411"/>
      <c r="XZ9" s="411"/>
      <c r="YA9" s="411"/>
      <c r="YB9" s="411"/>
      <c r="YC9" s="411"/>
      <c r="YD9" s="411"/>
      <c r="YE9" s="411"/>
      <c r="YF9" s="411"/>
      <c r="YG9" s="411"/>
      <c r="YH9" s="411"/>
      <c r="YI9" s="411"/>
      <c r="YJ9" s="411"/>
      <c r="YK9" s="411"/>
      <c r="YL9" s="411"/>
      <c r="YM9" s="411"/>
      <c r="YN9" s="411"/>
      <c r="YO9" s="411"/>
      <c r="YP9" s="411"/>
      <c r="YQ9" s="411"/>
      <c r="YR9" s="411"/>
      <c r="YS9" s="411"/>
      <c r="YT9" s="411"/>
      <c r="YU9" s="411"/>
      <c r="YV9" s="411"/>
      <c r="YW9" s="411"/>
      <c r="YX9" s="411"/>
      <c r="YY9" s="411"/>
      <c r="YZ9" s="411"/>
      <c r="ZA9" s="411"/>
      <c r="ZB9" s="411"/>
      <c r="ZC9" s="411"/>
      <c r="ZD9" s="411"/>
      <c r="ZE9" s="411"/>
      <c r="ZF9" s="411"/>
      <c r="ZG9" s="411"/>
      <c r="ZH9" s="411"/>
      <c r="ZI9" s="411"/>
      <c r="ZJ9" s="411"/>
      <c r="ZK9" s="411"/>
      <c r="ZL9" s="411"/>
      <c r="ZM9" s="411"/>
      <c r="ZN9" s="411"/>
      <c r="ZO9" s="411"/>
      <c r="ZP9" s="411"/>
      <c r="ZQ9" s="411"/>
      <c r="ZR9" s="411"/>
      <c r="ZS9" s="411"/>
      <c r="ZT9" s="411"/>
      <c r="ZU9" s="411"/>
      <c r="ZV9" s="411"/>
      <c r="ZW9" s="411"/>
      <c r="ZX9" s="411"/>
      <c r="ZY9" s="411"/>
      <c r="ZZ9" s="411"/>
      <c r="AAA9" s="411"/>
      <c r="AAB9" s="411"/>
      <c r="AAC9" s="411"/>
      <c r="AAD9" s="411"/>
      <c r="AAE9" s="411"/>
      <c r="AAF9" s="411"/>
      <c r="AAG9" s="411"/>
      <c r="AAH9" s="411"/>
      <c r="AAI9" s="411"/>
      <c r="AAJ9" s="411"/>
      <c r="AAK9" s="411"/>
      <c r="AAL9" s="411"/>
      <c r="AAM9" s="411"/>
      <c r="AAN9" s="411"/>
      <c r="AAO9" s="411"/>
      <c r="AAP9" s="411"/>
      <c r="AAQ9" s="411"/>
      <c r="AAR9" s="411"/>
      <c r="AAS9" s="411"/>
      <c r="AAT9" s="411"/>
      <c r="AAU9" s="411"/>
      <c r="AAV9" s="411"/>
      <c r="AAW9" s="411"/>
      <c r="AAX9" s="411"/>
      <c r="AAY9" s="411"/>
      <c r="AAZ9" s="411"/>
      <c r="ABA9" s="411"/>
      <c r="ABB9" s="411"/>
      <c r="ABC9" s="411"/>
      <c r="ABD9" s="411"/>
      <c r="ABE9" s="411"/>
      <c r="ABF9" s="411"/>
      <c r="ABG9" s="411"/>
      <c r="ABH9" s="411"/>
      <c r="ABI9" s="411"/>
      <c r="ABJ9" s="411"/>
      <c r="ABK9" s="411"/>
      <c r="ABL9" s="411"/>
      <c r="ABM9" s="411"/>
      <c r="ABN9" s="411"/>
      <c r="ABO9" s="411"/>
      <c r="ABP9" s="411"/>
      <c r="ABQ9" s="411"/>
      <c r="ABR9" s="411"/>
      <c r="ABS9" s="411"/>
      <c r="ABT9" s="411"/>
      <c r="ABU9" s="411"/>
      <c r="ABV9" s="411"/>
      <c r="ABW9" s="411"/>
      <c r="ABX9" s="411"/>
      <c r="ABY9" s="411"/>
      <c r="ABZ9" s="411"/>
      <c r="ACA9" s="411"/>
      <c r="ACB9" s="411"/>
      <c r="ACC9" s="411"/>
      <c r="ACD9" s="411"/>
      <c r="ACE9" s="411"/>
      <c r="ACF9" s="411"/>
      <c r="ACG9" s="411"/>
      <c r="ACH9" s="411"/>
      <c r="ACI9" s="411"/>
      <c r="ACJ9" s="411"/>
      <c r="ACK9" s="411"/>
      <c r="ACL9" s="411"/>
      <c r="ACM9" s="411"/>
      <c r="ACN9" s="411"/>
      <c r="ACO9" s="411"/>
      <c r="ACP9" s="411"/>
      <c r="ACQ9" s="411"/>
      <c r="ACR9" s="411"/>
      <c r="ACS9" s="411"/>
      <c r="ACT9" s="411"/>
      <c r="ACU9" s="411"/>
      <c r="ACV9" s="411"/>
      <c r="ACW9" s="411"/>
      <c r="ACX9" s="411"/>
      <c r="ACY9" s="411"/>
      <c r="ACZ9" s="411"/>
      <c r="ADA9" s="411"/>
      <c r="ADB9" s="411"/>
      <c r="ADC9" s="411"/>
      <c r="ADD9" s="411"/>
      <c r="ADE9" s="411"/>
      <c r="ADF9" s="411"/>
      <c r="ADG9" s="411"/>
      <c r="ADH9" s="411"/>
      <c r="ADI9" s="411"/>
      <c r="ADJ9" s="411"/>
      <c r="ADK9" s="411"/>
      <c r="ADL9" s="411"/>
      <c r="ADM9" s="411"/>
      <c r="ADN9" s="411"/>
      <c r="ADO9" s="411"/>
      <c r="ADP9" s="411"/>
      <c r="ADQ9" s="411"/>
      <c r="ADR9" s="411"/>
      <c r="ADS9" s="411"/>
      <c r="ADT9" s="411"/>
      <c r="ADU9" s="411"/>
      <c r="ADV9" s="411"/>
      <c r="ADW9" s="411"/>
      <c r="ADX9" s="411"/>
      <c r="ADY9" s="411"/>
      <c r="ADZ9" s="411"/>
      <c r="AEA9" s="411"/>
      <c r="AEB9" s="411"/>
      <c r="AEC9" s="411"/>
      <c r="AED9" s="411"/>
      <c r="AEE9" s="411"/>
      <c r="AEF9" s="411"/>
      <c r="AEG9" s="411"/>
      <c r="AEH9" s="411"/>
      <c r="AEI9" s="411"/>
      <c r="AEJ9" s="411"/>
      <c r="AEK9" s="411"/>
      <c r="AEL9" s="411"/>
      <c r="AEM9" s="411"/>
      <c r="AEN9" s="411"/>
      <c r="AEO9" s="411"/>
      <c r="AEP9" s="411"/>
      <c r="AEQ9" s="411"/>
      <c r="AER9" s="411"/>
      <c r="AES9" s="411"/>
      <c r="AET9" s="411"/>
      <c r="AEU9" s="411"/>
      <c r="AEV9" s="411"/>
      <c r="AEW9" s="411"/>
      <c r="AEX9" s="411"/>
      <c r="AEY9" s="411"/>
      <c r="AEZ9" s="411"/>
      <c r="AFA9" s="411"/>
      <c r="AFB9" s="411"/>
      <c r="AFC9" s="411"/>
      <c r="AFD9" s="411"/>
      <c r="AFE9" s="411"/>
      <c r="AFF9" s="411"/>
      <c r="AFG9" s="411"/>
      <c r="AFH9" s="411"/>
      <c r="AFI9" s="411"/>
      <c r="AFJ9" s="411"/>
      <c r="AFK9" s="411"/>
      <c r="AFL9" s="411"/>
      <c r="AFM9" s="411"/>
      <c r="AFN9" s="411"/>
      <c r="AFO9" s="411"/>
      <c r="AFP9" s="411"/>
      <c r="AFQ9" s="411"/>
      <c r="AFR9" s="411"/>
      <c r="AFS9" s="411"/>
      <c r="AFT9" s="411"/>
      <c r="AFU9" s="411"/>
      <c r="AFV9" s="411"/>
      <c r="AFW9" s="411"/>
      <c r="AFX9" s="411"/>
      <c r="AFY9" s="411"/>
      <c r="AFZ9" s="411"/>
      <c r="AGA9" s="411"/>
      <c r="AGB9" s="411"/>
      <c r="AGC9" s="411"/>
      <c r="AGD9" s="411"/>
      <c r="AGE9" s="411"/>
      <c r="AGF9" s="411"/>
      <c r="AGG9" s="411"/>
      <c r="AGH9" s="411"/>
      <c r="AGI9" s="411"/>
      <c r="AGJ9" s="411"/>
      <c r="AGK9" s="411"/>
      <c r="AGL9" s="411"/>
      <c r="AGM9" s="411"/>
      <c r="AGN9" s="411"/>
      <c r="AGO9" s="411"/>
      <c r="AGP9" s="411"/>
      <c r="AGQ9" s="411"/>
      <c r="AGR9" s="411"/>
      <c r="AGS9" s="411"/>
      <c r="AGT9" s="411"/>
      <c r="AGU9" s="411"/>
      <c r="AGV9" s="411"/>
      <c r="AGW9" s="411"/>
      <c r="AGX9" s="411"/>
      <c r="AGY9" s="411"/>
      <c r="AGZ9" s="411"/>
      <c r="AHA9" s="411"/>
      <c r="AHB9" s="411"/>
      <c r="AHC9" s="411"/>
      <c r="AHD9" s="411"/>
      <c r="AHE9" s="411"/>
      <c r="AHF9" s="411"/>
      <c r="AHG9" s="411"/>
      <c r="AHH9" s="411"/>
      <c r="AHI9" s="411"/>
      <c r="AHJ9" s="411"/>
      <c r="AHK9" s="411"/>
      <c r="AHL9" s="411"/>
      <c r="AHM9" s="411"/>
      <c r="AHN9" s="411"/>
      <c r="AHO9" s="411"/>
      <c r="AHP9" s="411"/>
      <c r="AHQ9" s="411"/>
      <c r="AHR9" s="411"/>
      <c r="AHS9" s="411"/>
      <c r="AHT9" s="411"/>
      <c r="AHU9" s="411"/>
      <c r="AHV9" s="411"/>
      <c r="AHW9" s="411"/>
      <c r="AHX9" s="411"/>
      <c r="AHY9" s="411"/>
      <c r="AHZ9" s="411"/>
      <c r="AIA9" s="411"/>
      <c r="AIB9" s="411"/>
      <c r="AIC9" s="411"/>
      <c r="AID9" s="411"/>
      <c r="AIE9" s="411"/>
      <c r="AIF9" s="411"/>
      <c r="AIG9" s="411"/>
      <c r="AIH9" s="411"/>
      <c r="AII9" s="411"/>
      <c r="AIJ9" s="411"/>
      <c r="AIK9" s="411"/>
      <c r="AIL9" s="411"/>
      <c r="AIM9" s="411"/>
      <c r="AIN9" s="411"/>
      <c r="AIO9" s="411"/>
      <c r="AIP9" s="411"/>
      <c r="AIQ9" s="411"/>
      <c r="AIR9" s="411"/>
      <c r="AIS9" s="411"/>
      <c r="AIT9" s="411"/>
      <c r="AIU9" s="411"/>
      <c r="AIV9" s="411"/>
      <c r="AIW9" s="411"/>
      <c r="AIX9" s="411"/>
      <c r="AIY9" s="411"/>
      <c r="AIZ9" s="411"/>
      <c r="AJA9" s="411"/>
      <c r="AJB9" s="411"/>
      <c r="AJC9" s="411"/>
      <c r="AJD9" s="411"/>
      <c r="AJE9" s="411"/>
      <c r="AJF9" s="411"/>
      <c r="AJG9" s="411"/>
      <c r="AJH9" s="411"/>
      <c r="AJI9" s="411"/>
      <c r="AJJ9" s="411"/>
      <c r="AJK9" s="411"/>
      <c r="AJL9" s="411"/>
      <c r="AJM9" s="411"/>
      <c r="AJN9" s="411"/>
      <c r="AJO9" s="411"/>
      <c r="AJP9" s="411"/>
      <c r="AJQ9" s="411"/>
      <c r="AJR9" s="411"/>
      <c r="AJS9" s="411"/>
      <c r="AJT9" s="411"/>
      <c r="AJU9" s="411"/>
      <c r="AJV9" s="411"/>
      <c r="AJW9" s="411"/>
      <c r="AJX9" s="411"/>
      <c r="AJY9" s="411"/>
      <c r="AJZ9" s="411"/>
      <c r="AKA9" s="411"/>
      <c r="AKB9" s="411"/>
      <c r="AKC9" s="411"/>
      <c r="AKD9" s="411"/>
      <c r="AKE9" s="411"/>
      <c r="AKF9" s="411"/>
      <c r="AKG9" s="411"/>
      <c r="AKH9" s="411"/>
      <c r="AKI9" s="411"/>
      <c r="AKJ9" s="411"/>
      <c r="AKK9" s="411"/>
      <c r="AKL9" s="411"/>
      <c r="AKM9" s="411"/>
      <c r="AKN9" s="411"/>
      <c r="AKO9" s="411"/>
      <c r="AKP9" s="411"/>
      <c r="AKQ9" s="411"/>
      <c r="AKR9" s="411"/>
      <c r="AKS9" s="411"/>
      <c r="AKT9" s="411"/>
    </row>
    <row r="10">
      <c r="A10" s="411" t="s">
        <v>121</v>
      </c>
      <c r="B10" s="411"/>
      <c r="C10" s="411"/>
      <c r="D10" s="411"/>
      <c r="E10" s="411"/>
      <c r="F10" s="411"/>
      <c r="G10" s="411"/>
      <c r="H10" s="411"/>
      <c r="I10" s="411"/>
      <c r="J10" s="411"/>
      <c r="K10" s="411"/>
      <c r="L10" s="411"/>
      <c r="M10" s="411"/>
      <c r="N10" s="411"/>
      <c r="O10" s="411"/>
      <c r="P10" s="411"/>
      <c r="Q10" s="411"/>
      <c r="R10" s="411"/>
      <c r="S10" s="411"/>
      <c r="T10" s="411"/>
      <c r="U10" s="411"/>
      <c r="V10" s="411"/>
      <c r="W10" s="411"/>
      <c r="X10" s="411"/>
      <c r="Y10" s="411"/>
      <c r="Z10" s="411"/>
      <c r="AA10" s="411"/>
      <c r="AB10" s="411"/>
      <c r="AC10" s="411"/>
      <c r="AD10" s="411"/>
      <c r="AE10" s="411"/>
      <c r="AF10" s="411"/>
      <c r="AG10" s="411"/>
      <c r="AH10" s="411"/>
      <c r="AI10" s="411"/>
      <c r="AJ10" s="411"/>
      <c r="AK10" s="411"/>
      <c r="AL10" s="411"/>
      <c r="AM10" s="411"/>
      <c r="AN10" s="411"/>
      <c r="AO10" s="411"/>
      <c r="AP10" s="411"/>
      <c r="AQ10" s="411"/>
      <c r="AR10" s="411"/>
      <c r="AS10" s="411"/>
      <c r="AT10" s="411"/>
      <c r="AU10" s="411"/>
      <c r="AV10" s="411"/>
      <c r="AW10" s="411"/>
      <c r="AX10" s="411"/>
      <c r="AY10" s="411"/>
      <c r="AZ10" s="411"/>
      <c r="BA10" s="411"/>
      <c r="BB10" s="411"/>
      <c r="BC10" s="411"/>
      <c r="BD10" s="411"/>
      <c r="BE10" s="411"/>
      <c r="BF10" s="411"/>
      <c r="BG10" s="411"/>
      <c r="BH10" s="411"/>
      <c r="BI10" s="411">
        <v>-289.6</v>
      </c>
      <c r="BJ10" s="411">
        <v>60.3</v>
      </c>
      <c r="BK10" s="411">
        <v>223.55</v>
      </c>
      <c r="BL10" s="411">
        <v>131.18</v>
      </c>
      <c r="BM10" s="411">
        <v>-42.34</v>
      </c>
      <c r="BN10" s="411">
        <v>143.69</v>
      </c>
      <c r="BO10" s="411">
        <v>146.84</v>
      </c>
      <c r="BP10" s="411">
        <v>183.39</v>
      </c>
      <c r="BQ10" s="411">
        <v>-121.71</v>
      </c>
      <c r="BR10" s="411">
        <v>131.07</v>
      </c>
      <c r="BS10" s="411">
        <v>174.43</v>
      </c>
      <c r="BT10" s="411">
        <v>46.75</v>
      </c>
      <c r="BU10" s="411">
        <v>0.0</v>
      </c>
      <c r="BV10" s="411"/>
      <c r="BW10" s="411"/>
      <c r="BX10" s="411"/>
      <c r="BY10" s="411"/>
      <c r="BZ10" s="411"/>
      <c r="CA10" s="411"/>
      <c r="CB10" s="411"/>
      <c r="CC10" s="411"/>
      <c r="CD10" s="411"/>
      <c r="CE10" s="411"/>
      <c r="CF10" s="411"/>
      <c r="CG10" s="411"/>
      <c r="CH10" s="411"/>
      <c r="CI10" s="411"/>
      <c r="CJ10" s="411"/>
      <c r="CK10" s="411"/>
      <c r="CL10" s="411"/>
      <c r="CM10" s="411"/>
      <c r="CN10" s="411"/>
      <c r="CO10" s="411"/>
      <c r="CP10" s="411"/>
      <c r="CQ10" s="411"/>
      <c r="CR10" s="411"/>
      <c r="CS10" s="411"/>
      <c r="CT10" s="411"/>
      <c r="CU10" s="411"/>
      <c r="CV10" s="411"/>
      <c r="CW10" s="411"/>
      <c r="CX10" s="411"/>
      <c r="CY10" s="411"/>
      <c r="CZ10" s="411"/>
      <c r="DA10" s="411"/>
      <c r="DB10" s="411"/>
      <c r="DC10" s="411"/>
      <c r="DD10" s="411"/>
      <c r="DE10" s="411"/>
      <c r="DF10" s="411"/>
      <c r="DG10" s="411"/>
      <c r="DH10" s="411"/>
      <c r="DI10" s="411"/>
      <c r="DJ10" s="411"/>
      <c r="DK10" s="411"/>
      <c r="DL10" s="411"/>
      <c r="DM10" s="411"/>
      <c r="DN10" s="411"/>
      <c r="DO10" s="411"/>
      <c r="DP10" s="411"/>
      <c r="DQ10" s="411"/>
      <c r="DR10" s="411"/>
      <c r="DS10" s="411"/>
      <c r="DT10" s="411"/>
      <c r="DU10" s="411"/>
      <c r="DV10" s="411"/>
      <c r="DW10" s="411"/>
      <c r="DX10" s="411"/>
      <c r="DY10" s="411"/>
      <c r="DZ10" s="411"/>
      <c r="EA10" s="411"/>
      <c r="EB10" s="411"/>
      <c r="EC10" s="411"/>
      <c r="ED10" s="411"/>
      <c r="EE10" s="411"/>
      <c r="EF10" s="411"/>
      <c r="EG10" s="411"/>
      <c r="EH10" s="411"/>
      <c r="EI10" s="411"/>
      <c r="EJ10" s="411"/>
      <c r="EK10" s="411"/>
      <c r="EL10" s="411"/>
      <c r="EM10" s="411"/>
      <c r="EN10" s="411"/>
      <c r="EO10" s="411"/>
      <c r="EP10" s="411"/>
      <c r="EQ10" s="411"/>
      <c r="ER10" s="411"/>
      <c r="ES10" s="411"/>
      <c r="ET10" s="411"/>
      <c r="EU10" s="411"/>
      <c r="EV10" s="411"/>
      <c r="EW10" s="411"/>
      <c r="EX10" s="411"/>
      <c r="EY10" s="411"/>
      <c r="EZ10" s="411"/>
      <c r="FA10" s="411"/>
      <c r="FB10" s="411"/>
      <c r="FC10" s="411"/>
      <c r="FD10" s="411"/>
      <c r="FE10" s="411"/>
      <c r="FF10" s="411"/>
      <c r="FG10" s="411"/>
      <c r="FH10" s="411"/>
      <c r="FI10" s="411"/>
      <c r="FJ10" s="411"/>
      <c r="FK10" s="411"/>
      <c r="FL10" s="411"/>
      <c r="FM10" s="411"/>
      <c r="FN10" s="411"/>
      <c r="FO10" s="411"/>
      <c r="FP10" s="411"/>
      <c r="FQ10" s="411"/>
      <c r="FR10" s="411"/>
      <c r="FS10" s="411"/>
      <c r="FT10" s="411"/>
      <c r="FU10" s="411"/>
      <c r="FV10" s="411"/>
      <c r="FW10" s="411"/>
      <c r="FX10" s="411"/>
      <c r="FY10" s="411"/>
      <c r="FZ10" s="411"/>
      <c r="GA10" s="411"/>
      <c r="GB10" s="411"/>
      <c r="GC10" s="411"/>
      <c r="GD10" s="411"/>
      <c r="GE10" s="411"/>
      <c r="GF10" s="411"/>
      <c r="GG10" s="411"/>
      <c r="GH10" s="411"/>
      <c r="GI10" s="411"/>
      <c r="GJ10" s="411"/>
      <c r="GK10" s="411"/>
      <c r="GL10" s="411"/>
      <c r="GM10" s="411"/>
      <c r="GN10" s="411"/>
      <c r="GO10" s="411"/>
      <c r="GP10" s="411"/>
      <c r="GQ10" s="411"/>
      <c r="GR10" s="411"/>
      <c r="GS10" s="411"/>
      <c r="GT10" s="411"/>
      <c r="GU10" s="411"/>
      <c r="GV10" s="411"/>
      <c r="GW10" s="411"/>
      <c r="GX10" s="411"/>
      <c r="GY10" s="411"/>
      <c r="GZ10" s="411"/>
      <c r="HA10" s="411"/>
      <c r="HB10" s="411"/>
      <c r="HC10" s="411"/>
      <c r="HD10" s="411"/>
      <c r="HE10" s="411"/>
      <c r="HF10" s="411"/>
      <c r="HG10" s="411"/>
      <c r="HH10" s="411"/>
      <c r="HI10" s="411"/>
      <c r="HJ10" s="411"/>
      <c r="HK10" s="411"/>
      <c r="HL10" s="411"/>
      <c r="HM10" s="411"/>
      <c r="HN10" s="411"/>
      <c r="HO10" s="411"/>
      <c r="HP10" s="411"/>
      <c r="HQ10" s="411"/>
      <c r="HR10" s="411"/>
      <c r="HS10" s="411"/>
      <c r="HT10" s="411"/>
      <c r="HU10" s="411"/>
      <c r="HV10" s="411"/>
      <c r="HW10" s="411"/>
      <c r="HX10" s="411"/>
      <c r="HY10" s="411"/>
      <c r="HZ10" s="411"/>
      <c r="IA10" s="411"/>
      <c r="IB10" s="411"/>
      <c r="IC10" s="411"/>
      <c r="ID10" s="411"/>
      <c r="IE10" s="411"/>
      <c r="IF10" s="411"/>
      <c r="IG10" s="411"/>
      <c r="IH10" s="411"/>
      <c r="II10" s="411"/>
      <c r="IJ10" s="411"/>
      <c r="IK10" s="411"/>
      <c r="IL10" s="411"/>
      <c r="IM10" s="411"/>
      <c r="IN10" s="411"/>
      <c r="IO10" s="411"/>
      <c r="IP10" s="411"/>
      <c r="IQ10" s="411"/>
      <c r="IR10" s="411"/>
      <c r="IS10" s="411"/>
      <c r="IT10" s="411"/>
      <c r="IU10" s="411"/>
      <c r="IV10" s="411"/>
      <c r="IW10" s="411"/>
      <c r="IX10" s="411"/>
      <c r="IY10" s="411"/>
      <c r="IZ10" s="411"/>
      <c r="JA10" s="411"/>
      <c r="JB10" s="411"/>
      <c r="JC10" s="411"/>
      <c r="JD10" s="411"/>
      <c r="JE10" s="411"/>
      <c r="JF10" s="411"/>
      <c r="JG10" s="411"/>
      <c r="JH10" s="411"/>
      <c r="JI10" s="411"/>
      <c r="JJ10" s="411"/>
      <c r="JK10" s="411"/>
      <c r="JL10" s="411"/>
      <c r="JM10" s="411"/>
      <c r="JN10" s="411"/>
      <c r="JO10" s="411"/>
      <c r="JP10" s="411"/>
      <c r="JQ10" s="411"/>
      <c r="JR10" s="411"/>
      <c r="JS10" s="411"/>
      <c r="JT10" s="411"/>
      <c r="JU10" s="411"/>
      <c r="JV10" s="411"/>
      <c r="JW10" s="411"/>
      <c r="JX10" s="411"/>
      <c r="JY10" s="411"/>
      <c r="JZ10" s="411"/>
      <c r="KA10" s="411"/>
      <c r="KB10" s="411"/>
      <c r="KC10" s="411"/>
      <c r="KD10" s="411"/>
      <c r="KE10" s="411"/>
      <c r="KF10" s="411"/>
      <c r="KG10" s="411"/>
      <c r="KH10" s="411"/>
      <c r="KI10" s="411"/>
      <c r="KJ10" s="411"/>
      <c r="KK10" s="411"/>
      <c r="KL10" s="411"/>
      <c r="KM10" s="411"/>
      <c r="KN10" s="411"/>
      <c r="KO10" s="411"/>
      <c r="KP10" s="411"/>
      <c r="KQ10" s="411"/>
      <c r="KR10" s="411"/>
      <c r="KS10" s="411"/>
      <c r="KT10" s="411"/>
      <c r="KU10" s="411"/>
      <c r="KV10" s="411"/>
      <c r="KW10" s="411"/>
      <c r="KX10" s="411"/>
      <c r="KY10" s="411"/>
      <c r="KZ10" s="411"/>
      <c r="LA10" s="411"/>
      <c r="LB10" s="411"/>
      <c r="LC10" s="411"/>
      <c r="LD10" s="411"/>
      <c r="LE10" s="411"/>
      <c r="LF10" s="411"/>
      <c r="LG10" s="411"/>
      <c r="LH10" s="411"/>
      <c r="LI10" s="411"/>
      <c r="LJ10" s="411"/>
      <c r="LK10" s="411"/>
      <c r="LL10" s="411"/>
      <c r="LM10" s="411"/>
      <c r="LN10" s="411"/>
      <c r="LO10" s="411"/>
      <c r="LP10" s="411"/>
      <c r="LQ10" s="411"/>
      <c r="LR10" s="411"/>
      <c r="LS10" s="411"/>
      <c r="LT10" s="411"/>
      <c r="LU10" s="411"/>
      <c r="LV10" s="411"/>
      <c r="LW10" s="411"/>
      <c r="LX10" s="411"/>
      <c r="LY10" s="411"/>
      <c r="LZ10" s="411"/>
      <c r="MA10" s="411"/>
      <c r="MB10" s="411"/>
      <c r="MC10" s="411"/>
      <c r="MD10" s="411"/>
      <c r="ME10" s="411"/>
      <c r="MF10" s="411"/>
      <c r="MG10" s="411"/>
      <c r="MH10" s="411"/>
      <c r="MI10" s="411"/>
      <c r="MJ10" s="411"/>
      <c r="MK10" s="411"/>
      <c r="ML10" s="411"/>
      <c r="MM10" s="411"/>
      <c r="MN10" s="411"/>
      <c r="MO10" s="411"/>
      <c r="MP10" s="411"/>
      <c r="MQ10" s="411"/>
      <c r="MR10" s="411"/>
      <c r="MS10" s="411"/>
      <c r="MT10" s="411"/>
      <c r="MU10" s="411"/>
      <c r="MV10" s="411"/>
      <c r="MW10" s="411"/>
      <c r="MX10" s="411"/>
      <c r="MY10" s="411"/>
      <c r="MZ10" s="411"/>
      <c r="NA10" s="411"/>
      <c r="NB10" s="411"/>
      <c r="NC10" s="411"/>
      <c r="ND10" s="411"/>
      <c r="NE10" s="411"/>
      <c r="NF10" s="411"/>
      <c r="NG10" s="411"/>
      <c r="NH10" s="411"/>
      <c r="NI10" s="411"/>
      <c r="NJ10" s="411"/>
      <c r="NK10" s="411"/>
      <c r="NL10" s="411"/>
      <c r="NM10" s="411"/>
      <c r="NN10" s="411"/>
      <c r="NO10" s="411"/>
      <c r="NP10" s="411"/>
      <c r="NQ10" s="411"/>
      <c r="NR10" s="411"/>
      <c r="NS10" s="411"/>
      <c r="NT10" s="411"/>
      <c r="NU10" s="411"/>
      <c r="NV10" s="411"/>
      <c r="NW10" s="411"/>
      <c r="NX10" s="411"/>
      <c r="NY10" s="411"/>
      <c r="NZ10" s="411"/>
      <c r="OA10" s="411"/>
      <c r="OB10" s="411"/>
      <c r="OC10" s="411"/>
      <c r="OD10" s="411"/>
      <c r="OE10" s="411"/>
      <c r="OF10" s="411"/>
      <c r="OG10" s="411"/>
      <c r="OH10" s="411"/>
      <c r="OI10" s="411"/>
      <c r="OJ10" s="411"/>
      <c r="OK10" s="411"/>
      <c r="OL10" s="411"/>
      <c r="OM10" s="411"/>
      <c r="ON10" s="411"/>
      <c r="OO10" s="411"/>
      <c r="OP10" s="411"/>
      <c r="OQ10" s="411"/>
      <c r="OR10" s="411"/>
      <c r="OS10" s="411"/>
      <c r="OT10" s="411"/>
      <c r="OU10" s="411"/>
      <c r="OV10" s="411"/>
      <c r="OW10" s="411"/>
      <c r="OX10" s="411"/>
      <c r="OY10" s="411"/>
      <c r="OZ10" s="411"/>
      <c r="PA10" s="411"/>
      <c r="PB10" s="411"/>
      <c r="PC10" s="411"/>
      <c r="PD10" s="411"/>
      <c r="PE10" s="411"/>
      <c r="PF10" s="411"/>
      <c r="PG10" s="411"/>
      <c r="PH10" s="411"/>
      <c r="PI10" s="411"/>
      <c r="PJ10" s="411"/>
      <c r="PK10" s="411"/>
      <c r="PL10" s="411"/>
      <c r="PM10" s="411"/>
      <c r="PN10" s="411"/>
      <c r="PO10" s="411"/>
      <c r="PP10" s="411"/>
      <c r="PQ10" s="411"/>
      <c r="PR10" s="411"/>
      <c r="PS10" s="411"/>
      <c r="PT10" s="411"/>
      <c r="PU10" s="411"/>
      <c r="PV10" s="411"/>
      <c r="PW10" s="411"/>
      <c r="PX10" s="411"/>
      <c r="PY10" s="411"/>
      <c r="PZ10" s="411"/>
      <c r="QA10" s="411"/>
      <c r="QB10" s="411"/>
      <c r="QC10" s="411"/>
      <c r="QD10" s="411"/>
      <c r="QE10" s="411"/>
      <c r="QF10" s="411"/>
      <c r="QG10" s="411"/>
      <c r="QH10" s="411"/>
      <c r="QI10" s="411"/>
      <c r="QJ10" s="411"/>
      <c r="QK10" s="411"/>
      <c r="QL10" s="411"/>
      <c r="QM10" s="411"/>
      <c r="QN10" s="411"/>
      <c r="QO10" s="411"/>
      <c r="QP10" s="411"/>
      <c r="QQ10" s="411"/>
      <c r="QR10" s="411"/>
      <c r="QS10" s="411"/>
      <c r="QT10" s="411"/>
      <c r="QU10" s="411"/>
      <c r="QV10" s="411"/>
      <c r="QW10" s="411"/>
      <c r="QX10" s="411"/>
      <c r="QY10" s="411"/>
      <c r="QZ10" s="411"/>
      <c r="RA10" s="411"/>
      <c r="RB10" s="411"/>
      <c r="RC10" s="411"/>
      <c r="RD10" s="411"/>
      <c r="RE10" s="411"/>
      <c r="RF10" s="411"/>
      <c r="RG10" s="411"/>
      <c r="RH10" s="411"/>
      <c r="RI10" s="411"/>
      <c r="RJ10" s="411"/>
      <c r="RK10" s="411"/>
      <c r="RL10" s="411"/>
      <c r="RM10" s="411"/>
      <c r="RN10" s="411"/>
      <c r="RO10" s="411"/>
      <c r="RP10" s="411"/>
      <c r="RQ10" s="411"/>
      <c r="RR10" s="411"/>
      <c r="RS10" s="411"/>
      <c r="RT10" s="411"/>
      <c r="RU10" s="411"/>
      <c r="RV10" s="411"/>
      <c r="RW10" s="411"/>
      <c r="RX10" s="411"/>
      <c r="RY10" s="411"/>
      <c r="RZ10" s="411"/>
      <c r="SA10" s="411"/>
      <c r="SB10" s="411"/>
      <c r="SC10" s="411"/>
      <c r="SD10" s="411"/>
      <c r="SE10" s="411"/>
      <c r="SF10" s="411"/>
      <c r="SG10" s="411"/>
      <c r="SH10" s="411"/>
      <c r="SI10" s="411"/>
      <c r="SJ10" s="411"/>
      <c r="SK10" s="411"/>
      <c r="SL10" s="411"/>
      <c r="SM10" s="411"/>
      <c r="SN10" s="411"/>
      <c r="SO10" s="411"/>
      <c r="SP10" s="411"/>
      <c r="SQ10" s="411"/>
      <c r="SR10" s="411"/>
      <c r="SS10" s="411"/>
      <c r="ST10" s="411"/>
      <c r="SU10" s="411"/>
      <c r="SV10" s="411"/>
      <c r="SW10" s="411"/>
      <c r="SX10" s="411"/>
      <c r="SY10" s="411"/>
      <c r="SZ10" s="411"/>
      <c r="TA10" s="411"/>
      <c r="TB10" s="411"/>
      <c r="TC10" s="411"/>
      <c r="TD10" s="411"/>
      <c r="TE10" s="411"/>
      <c r="TF10" s="411"/>
      <c r="TG10" s="411"/>
      <c r="TH10" s="411"/>
      <c r="TI10" s="411"/>
      <c r="TJ10" s="411"/>
      <c r="TK10" s="411"/>
      <c r="TL10" s="411"/>
      <c r="TM10" s="411"/>
      <c r="TN10" s="411"/>
      <c r="TO10" s="411"/>
      <c r="TP10" s="411"/>
      <c r="TQ10" s="411"/>
      <c r="TR10" s="411"/>
      <c r="TS10" s="411"/>
      <c r="TT10" s="411"/>
      <c r="TU10" s="411"/>
      <c r="TV10" s="411"/>
      <c r="TW10" s="411"/>
      <c r="TX10" s="411"/>
      <c r="TY10" s="411"/>
      <c r="TZ10" s="411"/>
      <c r="UA10" s="411"/>
      <c r="UB10" s="411"/>
      <c r="UC10" s="411"/>
      <c r="UD10" s="411"/>
      <c r="UE10" s="411"/>
      <c r="UF10" s="411"/>
      <c r="UG10" s="411"/>
      <c r="UH10" s="411"/>
      <c r="UI10" s="411"/>
      <c r="UJ10" s="411"/>
      <c r="UK10" s="411"/>
      <c r="UL10" s="411"/>
      <c r="UM10" s="411"/>
      <c r="UN10" s="411"/>
      <c r="UO10" s="411"/>
      <c r="UP10" s="411"/>
      <c r="UQ10" s="411"/>
      <c r="UR10" s="411"/>
      <c r="US10" s="411"/>
      <c r="UT10" s="411"/>
      <c r="UU10" s="411"/>
      <c r="UV10" s="411"/>
      <c r="UW10" s="411"/>
      <c r="UX10" s="411"/>
      <c r="UY10" s="411"/>
      <c r="UZ10" s="411"/>
      <c r="VA10" s="411"/>
      <c r="VB10" s="411"/>
      <c r="VC10" s="411"/>
      <c r="VD10" s="411"/>
      <c r="VE10" s="411"/>
      <c r="VF10" s="411"/>
      <c r="VG10" s="411"/>
      <c r="VH10" s="411"/>
      <c r="VI10" s="411"/>
      <c r="VJ10" s="411"/>
      <c r="VK10" s="411"/>
      <c r="VL10" s="411"/>
      <c r="VM10" s="411"/>
      <c r="VN10" s="411"/>
      <c r="VO10" s="411"/>
      <c r="VP10" s="411"/>
      <c r="VQ10" s="411"/>
      <c r="VR10" s="411"/>
      <c r="VS10" s="411"/>
      <c r="VT10" s="411"/>
      <c r="VU10" s="411"/>
      <c r="VV10" s="411"/>
      <c r="VW10" s="411"/>
      <c r="VX10" s="411"/>
      <c r="VY10" s="411"/>
      <c r="VZ10" s="411"/>
      <c r="WA10" s="411"/>
      <c r="WB10" s="411"/>
      <c r="WC10" s="411"/>
      <c r="WD10" s="411"/>
      <c r="WE10" s="411"/>
      <c r="WF10" s="411"/>
      <c r="WG10" s="411"/>
      <c r="WH10" s="411"/>
      <c r="WI10" s="411"/>
      <c r="WJ10" s="411"/>
      <c r="WK10" s="411"/>
      <c r="WL10" s="411"/>
      <c r="WM10" s="411"/>
      <c r="WN10" s="411"/>
      <c r="WO10" s="411"/>
      <c r="WP10" s="411"/>
      <c r="WQ10" s="411"/>
      <c r="WR10" s="411"/>
      <c r="WS10" s="411"/>
      <c r="WT10" s="411"/>
      <c r="WU10" s="411"/>
      <c r="WV10" s="411"/>
      <c r="WW10" s="411"/>
      <c r="WX10" s="411"/>
      <c r="WY10" s="411"/>
      <c r="WZ10" s="411"/>
      <c r="XA10" s="411"/>
      <c r="XB10" s="411"/>
      <c r="XC10" s="411"/>
      <c r="XD10" s="411"/>
      <c r="XE10" s="411"/>
      <c r="XF10" s="411"/>
      <c r="XG10" s="411"/>
      <c r="XH10" s="411"/>
      <c r="XI10" s="411"/>
      <c r="XJ10" s="411"/>
      <c r="XK10" s="411"/>
      <c r="XL10" s="411"/>
      <c r="XM10" s="411"/>
      <c r="XN10" s="411"/>
      <c r="XO10" s="411"/>
      <c r="XP10" s="411"/>
      <c r="XQ10" s="411"/>
      <c r="XR10" s="411"/>
      <c r="XS10" s="411"/>
      <c r="XT10" s="411"/>
      <c r="XU10" s="411"/>
      <c r="XV10" s="411"/>
      <c r="XW10" s="411"/>
      <c r="XX10" s="411"/>
      <c r="XY10" s="411"/>
      <c r="XZ10" s="411"/>
      <c r="YA10" s="411"/>
      <c r="YB10" s="411"/>
      <c r="YC10" s="411"/>
      <c r="YD10" s="411"/>
      <c r="YE10" s="411"/>
      <c r="YF10" s="411"/>
      <c r="YG10" s="411"/>
      <c r="YH10" s="411"/>
      <c r="YI10" s="411"/>
      <c r="YJ10" s="411"/>
      <c r="YK10" s="411"/>
      <c r="YL10" s="411"/>
      <c r="YM10" s="411"/>
      <c r="YN10" s="411"/>
      <c r="YO10" s="411"/>
      <c r="YP10" s="411"/>
      <c r="YQ10" s="411"/>
      <c r="YR10" s="411"/>
      <c r="YS10" s="411"/>
      <c r="YT10" s="411"/>
      <c r="YU10" s="411"/>
      <c r="YV10" s="411"/>
      <c r="YW10" s="411"/>
      <c r="YX10" s="411"/>
      <c r="YY10" s="411"/>
      <c r="YZ10" s="411"/>
      <c r="ZA10" s="411"/>
      <c r="ZB10" s="411"/>
      <c r="ZC10" s="411"/>
      <c r="ZD10" s="411"/>
      <c r="ZE10" s="411"/>
      <c r="ZF10" s="411"/>
      <c r="ZG10" s="411"/>
      <c r="ZH10" s="411"/>
      <c r="ZI10" s="411"/>
      <c r="ZJ10" s="411"/>
      <c r="ZK10" s="411"/>
      <c r="ZL10" s="411"/>
      <c r="ZM10" s="411"/>
      <c r="ZN10" s="411"/>
      <c r="ZO10" s="411"/>
      <c r="ZP10" s="411"/>
      <c r="ZQ10" s="411"/>
      <c r="ZR10" s="411"/>
      <c r="ZS10" s="411"/>
      <c r="ZT10" s="411"/>
      <c r="ZU10" s="411"/>
      <c r="ZV10" s="411"/>
      <c r="ZW10" s="411"/>
      <c r="ZX10" s="411"/>
      <c r="ZY10" s="411"/>
      <c r="ZZ10" s="411"/>
      <c r="AAA10" s="411"/>
      <c r="AAB10" s="411"/>
      <c r="AAC10" s="411"/>
      <c r="AAD10" s="411"/>
      <c r="AAE10" s="411"/>
      <c r="AAF10" s="411"/>
      <c r="AAG10" s="411"/>
      <c r="AAH10" s="411"/>
      <c r="AAI10" s="411"/>
      <c r="AAJ10" s="411"/>
      <c r="AAK10" s="411"/>
      <c r="AAL10" s="411"/>
      <c r="AAM10" s="411"/>
      <c r="AAN10" s="411"/>
      <c r="AAO10" s="411"/>
      <c r="AAP10" s="411"/>
      <c r="AAQ10" s="411"/>
      <c r="AAR10" s="411"/>
      <c r="AAS10" s="411"/>
      <c r="AAT10" s="411"/>
      <c r="AAU10" s="411"/>
      <c r="AAV10" s="411"/>
      <c r="AAW10" s="411"/>
      <c r="AAX10" s="411"/>
      <c r="AAY10" s="411"/>
      <c r="AAZ10" s="411"/>
      <c r="ABA10" s="411"/>
      <c r="ABB10" s="411"/>
      <c r="ABC10" s="411"/>
      <c r="ABD10" s="411"/>
      <c r="ABE10" s="411"/>
      <c r="ABF10" s="411"/>
      <c r="ABG10" s="411"/>
      <c r="ABH10" s="411"/>
      <c r="ABI10" s="411"/>
      <c r="ABJ10" s="411"/>
      <c r="ABK10" s="411"/>
      <c r="ABL10" s="411"/>
      <c r="ABM10" s="411"/>
      <c r="ABN10" s="411"/>
      <c r="ABO10" s="411"/>
      <c r="ABP10" s="411"/>
      <c r="ABQ10" s="411"/>
      <c r="ABR10" s="411"/>
      <c r="ABS10" s="411"/>
      <c r="ABT10" s="411"/>
      <c r="ABU10" s="411"/>
      <c r="ABV10" s="411"/>
      <c r="ABW10" s="411"/>
      <c r="ABX10" s="411"/>
      <c r="ABY10" s="411"/>
      <c r="ABZ10" s="411"/>
      <c r="ACA10" s="411"/>
      <c r="ACB10" s="411"/>
      <c r="ACC10" s="411"/>
      <c r="ACD10" s="411"/>
      <c r="ACE10" s="411"/>
      <c r="ACF10" s="411"/>
      <c r="ACG10" s="411"/>
      <c r="ACH10" s="411"/>
      <c r="ACI10" s="411"/>
      <c r="ACJ10" s="411"/>
      <c r="ACK10" s="411"/>
      <c r="ACL10" s="411"/>
      <c r="ACM10" s="411"/>
      <c r="ACN10" s="411"/>
      <c r="ACO10" s="411"/>
      <c r="ACP10" s="411"/>
      <c r="ACQ10" s="411"/>
      <c r="ACR10" s="411"/>
      <c r="ACS10" s="411"/>
      <c r="ACT10" s="411"/>
      <c r="ACU10" s="411"/>
      <c r="ACV10" s="411"/>
      <c r="ACW10" s="411"/>
      <c r="ACX10" s="411"/>
      <c r="ACY10" s="411"/>
      <c r="ACZ10" s="411"/>
      <c r="ADA10" s="411"/>
      <c r="ADB10" s="411"/>
      <c r="ADC10" s="411"/>
      <c r="ADD10" s="411"/>
      <c r="ADE10" s="411"/>
      <c r="ADF10" s="411"/>
      <c r="ADG10" s="411"/>
      <c r="ADH10" s="411"/>
      <c r="ADI10" s="411"/>
      <c r="ADJ10" s="411"/>
      <c r="ADK10" s="411"/>
      <c r="ADL10" s="411"/>
      <c r="ADM10" s="411"/>
      <c r="ADN10" s="411"/>
      <c r="ADO10" s="411"/>
      <c r="ADP10" s="411"/>
      <c r="ADQ10" s="411"/>
      <c r="ADR10" s="411"/>
      <c r="ADS10" s="411"/>
      <c r="ADT10" s="411"/>
      <c r="ADU10" s="411"/>
      <c r="ADV10" s="411"/>
      <c r="ADW10" s="411"/>
      <c r="ADX10" s="411"/>
      <c r="ADY10" s="411"/>
      <c r="ADZ10" s="411"/>
      <c r="AEA10" s="411"/>
      <c r="AEB10" s="411"/>
      <c r="AEC10" s="411"/>
      <c r="AED10" s="411"/>
      <c r="AEE10" s="411"/>
      <c r="AEF10" s="411"/>
      <c r="AEG10" s="411"/>
      <c r="AEH10" s="411"/>
      <c r="AEI10" s="411"/>
      <c r="AEJ10" s="411"/>
      <c r="AEK10" s="411"/>
      <c r="AEL10" s="411"/>
      <c r="AEM10" s="411"/>
      <c r="AEN10" s="411"/>
      <c r="AEO10" s="411"/>
      <c r="AEP10" s="411"/>
      <c r="AEQ10" s="411"/>
      <c r="AER10" s="411"/>
      <c r="AES10" s="411"/>
      <c r="AET10" s="411"/>
      <c r="AEU10" s="411"/>
      <c r="AEV10" s="411"/>
      <c r="AEW10" s="411"/>
      <c r="AEX10" s="411"/>
      <c r="AEY10" s="411"/>
      <c r="AEZ10" s="411"/>
      <c r="AFA10" s="411"/>
      <c r="AFB10" s="411"/>
      <c r="AFC10" s="411"/>
      <c r="AFD10" s="411"/>
      <c r="AFE10" s="411"/>
      <c r="AFF10" s="411"/>
      <c r="AFG10" s="411"/>
      <c r="AFH10" s="411"/>
      <c r="AFI10" s="411"/>
      <c r="AFJ10" s="411"/>
      <c r="AFK10" s="411"/>
      <c r="AFL10" s="411"/>
      <c r="AFM10" s="411"/>
      <c r="AFN10" s="411"/>
      <c r="AFO10" s="411"/>
      <c r="AFP10" s="411"/>
      <c r="AFQ10" s="411"/>
      <c r="AFR10" s="411"/>
      <c r="AFS10" s="411"/>
      <c r="AFT10" s="411"/>
      <c r="AFU10" s="411"/>
      <c r="AFV10" s="411"/>
      <c r="AFW10" s="411"/>
      <c r="AFX10" s="411"/>
      <c r="AFY10" s="411"/>
      <c r="AFZ10" s="411"/>
      <c r="AGA10" s="411"/>
      <c r="AGB10" s="411"/>
      <c r="AGC10" s="411"/>
      <c r="AGD10" s="411"/>
      <c r="AGE10" s="411"/>
      <c r="AGF10" s="411"/>
      <c r="AGG10" s="411"/>
      <c r="AGH10" s="411"/>
      <c r="AGI10" s="411"/>
      <c r="AGJ10" s="411"/>
      <c r="AGK10" s="411"/>
      <c r="AGL10" s="411"/>
      <c r="AGM10" s="411"/>
      <c r="AGN10" s="411"/>
      <c r="AGO10" s="411"/>
      <c r="AGP10" s="411"/>
      <c r="AGQ10" s="411"/>
      <c r="AGR10" s="411"/>
      <c r="AGS10" s="411"/>
      <c r="AGT10" s="411"/>
      <c r="AGU10" s="411"/>
      <c r="AGV10" s="411"/>
      <c r="AGW10" s="411"/>
      <c r="AGX10" s="411"/>
      <c r="AGY10" s="411"/>
      <c r="AGZ10" s="411"/>
      <c r="AHA10" s="411"/>
      <c r="AHB10" s="411"/>
      <c r="AHC10" s="411"/>
      <c r="AHD10" s="411"/>
      <c r="AHE10" s="411"/>
      <c r="AHF10" s="411"/>
      <c r="AHG10" s="411"/>
      <c r="AHH10" s="411"/>
      <c r="AHI10" s="411"/>
      <c r="AHJ10" s="411"/>
      <c r="AHK10" s="411"/>
      <c r="AHL10" s="411"/>
      <c r="AHM10" s="411"/>
      <c r="AHN10" s="411"/>
      <c r="AHO10" s="411"/>
      <c r="AHP10" s="411"/>
      <c r="AHQ10" s="411"/>
      <c r="AHR10" s="411"/>
      <c r="AHS10" s="411"/>
      <c r="AHT10" s="411"/>
      <c r="AHU10" s="411"/>
      <c r="AHV10" s="411"/>
      <c r="AHW10" s="411"/>
      <c r="AHX10" s="411"/>
      <c r="AHY10" s="411"/>
      <c r="AHZ10" s="411"/>
      <c r="AIA10" s="411"/>
      <c r="AIB10" s="411"/>
      <c r="AIC10" s="411"/>
      <c r="AID10" s="411"/>
      <c r="AIE10" s="411"/>
      <c r="AIF10" s="411"/>
      <c r="AIG10" s="411"/>
      <c r="AIH10" s="411"/>
      <c r="AII10" s="411"/>
      <c r="AIJ10" s="411"/>
      <c r="AIK10" s="411"/>
      <c r="AIL10" s="411"/>
      <c r="AIM10" s="411"/>
      <c r="AIN10" s="411"/>
      <c r="AIO10" s="411"/>
      <c r="AIP10" s="411"/>
      <c r="AIQ10" s="411"/>
      <c r="AIR10" s="411"/>
      <c r="AIS10" s="411"/>
      <c r="AIT10" s="411"/>
      <c r="AIU10" s="411"/>
      <c r="AIV10" s="411"/>
      <c r="AIW10" s="411"/>
      <c r="AIX10" s="411"/>
      <c r="AIY10" s="411"/>
      <c r="AIZ10" s="411"/>
      <c r="AJA10" s="411"/>
      <c r="AJB10" s="411"/>
      <c r="AJC10" s="411"/>
      <c r="AJD10" s="411"/>
      <c r="AJE10" s="411"/>
      <c r="AJF10" s="411"/>
      <c r="AJG10" s="411"/>
      <c r="AJH10" s="411"/>
      <c r="AJI10" s="411"/>
      <c r="AJJ10" s="411"/>
      <c r="AJK10" s="411"/>
      <c r="AJL10" s="411"/>
      <c r="AJM10" s="411"/>
      <c r="AJN10" s="411"/>
      <c r="AJO10" s="411"/>
      <c r="AJP10" s="411"/>
      <c r="AJQ10" s="411"/>
      <c r="AJR10" s="411"/>
      <c r="AJS10" s="411"/>
      <c r="AJT10" s="411"/>
      <c r="AJU10" s="411"/>
      <c r="AJV10" s="411"/>
      <c r="AJW10" s="411"/>
      <c r="AJX10" s="411"/>
      <c r="AJY10" s="411"/>
      <c r="AJZ10" s="411"/>
      <c r="AKA10" s="411"/>
      <c r="AKB10" s="411"/>
      <c r="AKC10" s="411"/>
      <c r="AKD10" s="411"/>
      <c r="AKE10" s="411"/>
      <c r="AKF10" s="411"/>
      <c r="AKG10" s="411"/>
      <c r="AKH10" s="411"/>
      <c r="AKI10" s="411"/>
      <c r="AKJ10" s="411"/>
      <c r="AKK10" s="411"/>
      <c r="AKL10" s="411"/>
      <c r="AKM10" s="411"/>
      <c r="AKN10" s="411"/>
      <c r="AKO10" s="411"/>
      <c r="AKP10" s="411"/>
      <c r="AKQ10" s="411"/>
      <c r="AKR10" s="411"/>
      <c r="AKS10" s="411"/>
      <c r="AKT10" s="411"/>
    </row>
    <row r="11">
      <c r="A11" s="411" t="s">
        <v>126</v>
      </c>
      <c r="B11" s="411"/>
      <c r="C11" s="411"/>
      <c r="D11" s="411"/>
      <c r="E11" s="411"/>
      <c r="F11" s="411"/>
      <c r="G11" s="411"/>
      <c r="H11" s="411"/>
      <c r="I11" s="411"/>
      <c r="J11" s="411"/>
      <c r="K11" s="411"/>
      <c r="L11" s="411"/>
      <c r="M11" s="411"/>
      <c r="N11" s="411"/>
      <c r="O11" s="411"/>
      <c r="P11" s="411"/>
      <c r="Q11" s="411"/>
      <c r="R11" s="411"/>
      <c r="S11" s="411"/>
      <c r="T11" s="411"/>
      <c r="U11" s="411"/>
      <c r="V11" s="411"/>
      <c r="W11" s="411"/>
      <c r="X11" s="411"/>
      <c r="Y11" s="411"/>
      <c r="Z11" s="411"/>
      <c r="AA11" s="411"/>
      <c r="AB11" s="411"/>
      <c r="AC11" s="411"/>
      <c r="AD11" s="411"/>
      <c r="AE11" s="411"/>
      <c r="AF11" s="411"/>
      <c r="AG11" s="411"/>
      <c r="AH11" s="411"/>
      <c r="AI11" s="411"/>
      <c r="AJ11" s="411"/>
      <c r="AK11" s="411"/>
      <c r="AL11" s="411"/>
      <c r="AM11" s="411"/>
      <c r="AN11" s="411"/>
      <c r="AO11" s="411"/>
      <c r="AP11" s="411"/>
      <c r="AQ11" s="411"/>
      <c r="AR11" s="411"/>
      <c r="AS11" s="411"/>
      <c r="AT11" s="411"/>
      <c r="AU11" s="411"/>
      <c r="AV11" s="411"/>
      <c r="AW11" s="411"/>
      <c r="AX11" s="411"/>
      <c r="AY11" s="411"/>
      <c r="AZ11" s="411"/>
      <c r="BA11" s="411"/>
      <c r="BB11" s="411"/>
      <c r="BC11" s="411"/>
      <c r="BD11" s="411"/>
      <c r="BE11" s="411"/>
      <c r="BF11" s="411"/>
      <c r="BG11" s="411"/>
      <c r="BH11" s="411"/>
      <c r="BI11" s="411"/>
      <c r="BJ11" s="411"/>
      <c r="BK11" s="411"/>
      <c r="BL11" s="411"/>
      <c r="BM11" s="411"/>
      <c r="BN11" s="411"/>
      <c r="BO11" s="411"/>
      <c r="BP11" s="411"/>
      <c r="BQ11" s="411"/>
      <c r="BR11" s="411"/>
      <c r="BS11" s="411"/>
      <c r="BT11" s="411"/>
      <c r="BU11" s="411">
        <v>-54.87</v>
      </c>
      <c r="BV11" s="411">
        <v>-150.12</v>
      </c>
      <c r="BW11" s="411">
        <v>209.25</v>
      </c>
      <c r="BX11" s="411">
        <v>-32.81</v>
      </c>
      <c r="BY11" s="411">
        <v>-185.79</v>
      </c>
      <c r="BZ11" s="411">
        <v>7.74</v>
      </c>
      <c r="CA11" s="411"/>
      <c r="CB11" s="411"/>
      <c r="CC11" s="411"/>
      <c r="CD11" s="411"/>
      <c r="CE11" s="411"/>
      <c r="CF11" s="411"/>
      <c r="CG11" s="411"/>
      <c r="CH11" s="411"/>
      <c r="CI11" s="411"/>
      <c r="CJ11" s="411"/>
      <c r="CK11" s="411"/>
      <c r="CL11" s="411"/>
      <c r="CM11" s="411"/>
      <c r="CN11" s="411"/>
      <c r="CO11" s="411"/>
      <c r="CP11" s="411"/>
      <c r="CQ11" s="411"/>
      <c r="CR11" s="411"/>
      <c r="CS11" s="411"/>
      <c r="CT11" s="411"/>
      <c r="CU11" s="411"/>
      <c r="CV11" s="411"/>
      <c r="CW11" s="411"/>
      <c r="CX11" s="411"/>
      <c r="CY11" s="411"/>
      <c r="CZ11" s="411"/>
      <c r="DA11" s="411"/>
      <c r="DB11" s="411"/>
      <c r="DC11" s="411"/>
      <c r="DD11" s="411"/>
      <c r="DE11" s="411"/>
      <c r="DF11" s="411"/>
      <c r="DG11" s="411"/>
      <c r="DH11" s="411"/>
      <c r="DI11" s="411"/>
      <c r="DJ11" s="411"/>
      <c r="DK11" s="411"/>
      <c r="DL11" s="411"/>
      <c r="DM11" s="411"/>
      <c r="DN11" s="411"/>
      <c r="DO11" s="411"/>
      <c r="DP11" s="411"/>
      <c r="DQ11" s="411"/>
      <c r="DR11" s="411"/>
      <c r="DS11" s="411"/>
      <c r="DT11" s="411"/>
      <c r="DU11" s="411"/>
      <c r="DV11" s="411"/>
      <c r="DW11" s="411"/>
      <c r="DX11" s="411"/>
      <c r="DY11" s="411"/>
      <c r="DZ11" s="411"/>
      <c r="EA11" s="411"/>
      <c r="EB11" s="411"/>
      <c r="EC11" s="411"/>
      <c r="ED11" s="411"/>
      <c r="EE11" s="411"/>
      <c r="EF11" s="411"/>
      <c r="EG11" s="411"/>
      <c r="EH11" s="411"/>
      <c r="EI11" s="411"/>
      <c r="EJ11" s="411"/>
      <c r="EK11" s="411"/>
      <c r="EL11" s="411"/>
      <c r="EM11" s="411"/>
      <c r="EN11" s="411"/>
      <c r="EO11" s="411"/>
      <c r="EP11" s="411"/>
      <c r="EQ11" s="411"/>
      <c r="ER11" s="411"/>
      <c r="ES11" s="411"/>
      <c r="ET11" s="411"/>
      <c r="EU11" s="411"/>
      <c r="EV11" s="411"/>
      <c r="EW11" s="411"/>
      <c r="EX11" s="411"/>
      <c r="EY11" s="411"/>
      <c r="EZ11" s="411"/>
      <c r="FA11" s="411"/>
      <c r="FB11" s="411"/>
      <c r="FC11" s="411"/>
      <c r="FD11" s="411"/>
      <c r="FE11" s="411"/>
      <c r="FF11" s="411"/>
      <c r="FG11" s="411"/>
      <c r="FH11" s="411"/>
      <c r="FI11" s="411"/>
      <c r="FJ11" s="411"/>
      <c r="FK11" s="411"/>
      <c r="FL11" s="411"/>
      <c r="FM11" s="411"/>
      <c r="FN11" s="411"/>
      <c r="FO11" s="411"/>
      <c r="FP11" s="411"/>
      <c r="FQ11" s="411"/>
      <c r="FR11" s="411"/>
      <c r="FS11" s="411"/>
      <c r="FT11" s="411"/>
      <c r="FU11" s="411"/>
      <c r="FV11" s="411"/>
      <c r="FW11" s="411"/>
      <c r="FX11" s="411"/>
      <c r="FY11" s="411"/>
      <c r="FZ11" s="411"/>
      <c r="GA11" s="411"/>
      <c r="GB11" s="411"/>
      <c r="GC11" s="411"/>
      <c r="GD11" s="411"/>
      <c r="GE11" s="411"/>
      <c r="GF11" s="411"/>
      <c r="GG11" s="411"/>
      <c r="GH11" s="411"/>
      <c r="GI11" s="411"/>
      <c r="GJ11" s="411"/>
      <c r="GK11" s="411"/>
      <c r="GL11" s="411"/>
      <c r="GM11" s="411"/>
      <c r="GN11" s="411"/>
      <c r="GO11" s="411"/>
      <c r="GP11" s="411"/>
      <c r="GQ11" s="411"/>
      <c r="GR11" s="411"/>
      <c r="GS11" s="411"/>
      <c r="GT11" s="411"/>
      <c r="GU11" s="411"/>
      <c r="GV11" s="411"/>
      <c r="GW11" s="411"/>
      <c r="GX11" s="411"/>
      <c r="GY11" s="411"/>
      <c r="GZ11" s="411"/>
      <c r="HA11" s="411"/>
      <c r="HB11" s="411"/>
      <c r="HC11" s="411"/>
      <c r="HD11" s="411"/>
      <c r="HE11" s="411"/>
      <c r="HF11" s="411"/>
      <c r="HG11" s="411"/>
      <c r="HH11" s="411"/>
      <c r="HI11" s="411"/>
      <c r="HJ11" s="411"/>
      <c r="HK11" s="411"/>
      <c r="HL11" s="411"/>
      <c r="HM11" s="411"/>
      <c r="HN11" s="411"/>
      <c r="HO11" s="411"/>
      <c r="HP11" s="411"/>
      <c r="HQ11" s="411"/>
      <c r="HR11" s="411"/>
      <c r="HS11" s="411"/>
      <c r="HT11" s="411"/>
      <c r="HU11" s="411"/>
      <c r="HV11" s="411"/>
      <c r="HW11" s="411"/>
      <c r="HX11" s="411"/>
      <c r="HY11" s="411"/>
      <c r="HZ11" s="411"/>
      <c r="IA11" s="411"/>
      <c r="IB11" s="411"/>
      <c r="IC11" s="411"/>
      <c r="ID11" s="411"/>
      <c r="IE11" s="411"/>
      <c r="IF11" s="411"/>
      <c r="IG11" s="411"/>
      <c r="IH11" s="411"/>
      <c r="II11" s="411"/>
      <c r="IJ11" s="411"/>
      <c r="IK11" s="411"/>
      <c r="IL11" s="411"/>
      <c r="IM11" s="411"/>
      <c r="IN11" s="411"/>
      <c r="IO11" s="411"/>
      <c r="IP11" s="411"/>
      <c r="IQ11" s="411"/>
      <c r="IR11" s="411"/>
      <c r="IS11" s="411"/>
      <c r="IT11" s="411"/>
      <c r="IU11" s="411"/>
      <c r="IV11" s="411"/>
      <c r="IW11" s="411"/>
      <c r="IX11" s="411"/>
      <c r="IY11" s="411"/>
      <c r="IZ11" s="411"/>
      <c r="JA11" s="411"/>
      <c r="JB11" s="411"/>
      <c r="JC11" s="411"/>
      <c r="JD11" s="411"/>
      <c r="JE11" s="411"/>
      <c r="JF11" s="411"/>
      <c r="JG11" s="411"/>
      <c r="JH11" s="411"/>
      <c r="JI11" s="411"/>
      <c r="JJ11" s="411"/>
      <c r="JK11" s="411"/>
      <c r="JL11" s="411"/>
      <c r="JM11" s="411"/>
      <c r="JN11" s="411"/>
      <c r="JO11" s="411"/>
      <c r="JP11" s="411"/>
      <c r="JQ11" s="411"/>
      <c r="JR11" s="411"/>
      <c r="JS11" s="411"/>
      <c r="JT11" s="411"/>
      <c r="JU11" s="411"/>
      <c r="JV11" s="411"/>
      <c r="JW11" s="411"/>
      <c r="JX11" s="411"/>
      <c r="JY11" s="411"/>
      <c r="JZ11" s="411"/>
      <c r="KA11" s="411"/>
      <c r="KB11" s="411"/>
      <c r="KC11" s="411"/>
      <c r="KD11" s="411"/>
      <c r="KE11" s="411"/>
      <c r="KF11" s="411"/>
      <c r="KG11" s="411"/>
      <c r="KH11" s="411"/>
      <c r="KI11" s="411"/>
      <c r="KJ11" s="411"/>
      <c r="KK11" s="411"/>
      <c r="KL11" s="411"/>
      <c r="KM11" s="411"/>
      <c r="KN11" s="411"/>
      <c r="KO11" s="411"/>
      <c r="KP11" s="411"/>
      <c r="KQ11" s="411"/>
      <c r="KR11" s="411"/>
      <c r="KS11" s="411"/>
      <c r="KT11" s="411"/>
      <c r="KU11" s="411"/>
      <c r="KV11" s="411"/>
      <c r="KW11" s="411"/>
      <c r="KX11" s="411"/>
      <c r="KY11" s="411"/>
      <c r="KZ11" s="411"/>
      <c r="LA11" s="411"/>
      <c r="LB11" s="411"/>
      <c r="LC11" s="411"/>
      <c r="LD11" s="411"/>
      <c r="LE11" s="411"/>
      <c r="LF11" s="411"/>
      <c r="LG11" s="411"/>
      <c r="LH11" s="411"/>
      <c r="LI11" s="411"/>
      <c r="LJ11" s="411"/>
      <c r="LK11" s="411"/>
      <c r="LL11" s="411"/>
      <c r="LM11" s="411"/>
      <c r="LN11" s="411"/>
      <c r="LO11" s="411"/>
      <c r="LP11" s="411"/>
      <c r="LQ11" s="411"/>
      <c r="LR11" s="411"/>
      <c r="LS11" s="411"/>
      <c r="LT11" s="411"/>
      <c r="LU11" s="411"/>
      <c r="LV11" s="411"/>
      <c r="LW11" s="411"/>
      <c r="LX11" s="411"/>
      <c r="LY11" s="411"/>
      <c r="LZ11" s="411"/>
      <c r="MA11" s="411"/>
      <c r="MB11" s="411"/>
      <c r="MC11" s="411"/>
      <c r="MD11" s="411"/>
      <c r="ME11" s="411"/>
      <c r="MF11" s="411"/>
      <c r="MG11" s="411"/>
      <c r="MH11" s="411"/>
      <c r="MI11" s="411"/>
      <c r="MJ11" s="411"/>
      <c r="MK11" s="411"/>
      <c r="ML11" s="411"/>
      <c r="MM11" s="411"/>
      <c r="MN11" s="411"/>
      <c r="MO11" s="411"/>
      <c r="MP11" s="411"/>
      <c r="MQ11" s="411"/>
      <c r="MR11" s="411"/>
      <c r="MS11" s="411"/>
      <c r="MT11" s="411"/>
      <c r="MU11" s="411"/>
      <c r="MV11" s="411"/>
      <c r="MW11" s="411"/>
      <c r="MX11" s="411"/>
      <c r="MY11" s="411"/>
      <c r="MZ11" s="411"/>
      <c r="NA11" s="411"/>
      <c r="NB11" s="411"/>
      <c r="NC11" s="411"/>
      <c r="ND11" s="411"/>
      <c r="NE11" s="411"/>
      <c r="NF11" s="411"/>
      <c r="NG11" s="411"/>
      <c r="NH11" s="411"/>
      <c r="NI11" s="411"/>
      <c r="NJ11" s="411"/>
      <c r="NK11" s="411"/>
      <c r="NL11" s="411"/>
      <c r="NM11" s="411"/>
      <c r="NN11" s="411"/>
      <c r="NO11" s="411"/>
      <c r="NP11" s="411"/>
      <c r="NQ11" s="411"/>
      <c r="NR11" s="411"/>
      <c r="NS11" s="411"/>
      <c r="NT11" s="411"/>
      <c r="NU11" s="411"/>
      <c r="NV11" s="411"/>
      <c r="NW11" s="411"/>
      <c r="NX11" s="411"/>
      <c r="NY11" s="411"/>
      <c r="NZ11" s="411"/>
      <c r="OA11" s="411"/>
      <c r="OB11" s="411"/>
      <c r="OC11" s="411"/>
      <c r="OD11" s="411"/>
      <c r="OE11" s="411"/>
      <c r="OF11" s="411"/>
      <c r="OG11" s="411"/>
      <c r="OH11" s="411"/>
      <c r="OI11" s="411"/>
      <c r="OJ11" s="411"/>
      <c r="OK11" s="411"/>
      <c r="OL11" s="411"/>
      <c r="OM11" s="411"/>
      <c r="ON11" s="411"/>
      <c r="OO11" s="411"/>
      <c r="OP11" s="411"/>
      <c r="OQ11" s="411"/>
      <c r="OR11" s="411"/>
      <c r="OS11" s="411"/>
      <c r="OT11" s="411"/>
      <c r="OU11" s="411"/>
      <c r="OV11" s="411"/>
      <c r="OW11" s="411"/>
      <c r="OX11" s="411"/>
      <c r="OY11" s="411"/>
      <c r="OZ11" s="411"/>
      <c r="PA11" s="411"/>
      <c r="PB11" s="411"/>
      <c r="PC11" s="411"/>
      <c r="PD11" s="411"/>
      <c r="PE11" s="411"/>
      <c r="PF11" s="411"/>
      <c r="PG11" s="411"/>
      <c r="PH11" s="411"/>
      <c r="PI11" s="411"/>
      <c r="PJ11" s="411"/>
      <c r="PK11" s="411"/>
      <c r="PL11" s="411"/>
      <c r="PM11" s="411"/>
      <c r="PN11" s="411"/>
      <c r="PO11" s="411"/>
      <c r="PP11" s="411"/>
      <c r="PQ11" s="411"/>
      <c r="PR11" s="411"/>
      <c r="PS11" s="411"/>
      <c r="PT11" s="411"/>
      <c r="PU11" s="411"/>
      <c r="PV11" s="411"/>
      <c r="PW11" s="411"/>
      <c r="PX11" s="411"/>
      <c r="PY11" s="411"/>
      <c r="PZ11" s="411"/>
      <c r="QA11" s="411"/>
      <c r="QB11" s="411"/>
      <c r="QC11" s="411"/>
      <c r="QD11" s="411"/>
      <c r="QE11" s="411"/>
      <c r="QF11" s="411"/>
      <c r="QG11" s="411"/>
      <c r="QH11" s="411"/>
      <c r="QI11" s="411"/>
      <c r="QJ11" s="411"/>
      <c r="QK11" s="411"/>
      <c r="QL11" s="411"/>
      <c r="QM11" s="411"/>
      <c r="QN11" s="411"/>
      <c r="QO11" s="411"/>
      <c r="QP11" s="411"/>
      <c r="QQ11" s="411"/>
      <c r="QR11" s="411"/>
      <c r="QS11" s="411"/>
      <c r="QT11" s="411"/>
      <c r="QU11" s="411"/>
      <c r="QV11" s="411"/>
      <c r="QW11" s="411"/>
      <c r="QX11" s="411"/>
      <c r="QY11" s="411"/>
      <c r="QZ11" s="411"/>
      <c r="RA11" s="411"/>
      <c r="RB11" s="411"/>
      <c r="RC11" s="411"/>
      <c r="RD11" s="411"/>
      <c r="RE11" s="411"/>
      <c r="RF11" s="411"/>
      <c r="RG11" s="411"/>
      <c r="RH11" s="411"/>
      <c r="RI11" s="411"/>
      <c r="RJ11" s="411"/>
      <c r="RK11" s="411"/>
      <c r="RL11" s="411"/>
      <c r="RM11" s="411"/>
      <c r="RN11" s="411"/>
      <c r="RO11" s="411"/>
      <c r="RP11" s="411"/>
      <c r="RQ11" s="411"/>
      <c r="RR11" s="411"/>
      <c r="RS11" s="411"/>
      <c r="RT11" s="411"/>
      <c r="RU11" s="411"/>
      <c r="RV11" s="411"/>
      <c r="RW11" s="411"/>
      <c r="RX11" s="411"/>
      <c r="RY11" s="411"/>
      <c r="RZ11" s="411"/>
      <c r="SA11" s="411"/>
      <c r="SB11" s="411"/>
      <c r="SC11" s="411"/>
      <c r="SD11" s="411"/>
      <c r="SE11" s="411"/>
      <c r="SF11" s="411"/>
      <c r="SG11" s="411"/>
      <c r="SH11" s="411"/>
      <c r="SI11" s="411"/>
      <c r="SJ11" s="411"/>
      <c r="SK11" s="411"/>
      <c r="SL11" s="411"/>
      <c r="SM11" s="411"/>
      <c r="SN11" s="411"/>
      <c r="SO11" s="411"/>
      <c r="SP11" s="411"/>
      <c r="SQ11" s="411"/>
      <c r="SR11" s="411"/>
      <c r="SS11" s="411"/>
      <c r="ST11" s="411"/>
      <c r="SU11" s="411"/>
      <c r="SV11" s="411"/>
      <c r="SW11" s="411"/>
      <c r="SX11" s="411"/>
      <c r="SY11" s="411"/>
      <c r="SZ11" s="411"/>
      <c r="TA11" s="411"/>
      <c r="TB11" s="411"/>
      <c r="TC11" s="411"/>
      <c r="TD11" s="411"/>
      <c r="TE11" s="411"/>
      <c r="TF11" s="411"/>
      <c r="TG11" s="411"/>
      <c r="TH11" s="411"/>
      <c r="TI11" s="411"/>
      <c r="TJ11" s="411"/>
      <c r="TK11" s="411"/>
      <c r="TL11" s="411"/>
      <c r="TM11" s="411"/>
      <c r="TN11" s="411"/>
      <c r="TO11" s="411"/>
      <c r="TP11" s="411"/>
      <c r="TQ11" s="411"/>
      <c r="TR11" s="411"/>
      <c r="TS11" s="411"/>
      <c r="TT11" s="411"/>
      <c r="TU11" s="411"/>
      <c r="TV11" s="411"/>
      <c r="TW11" s="411"/>
      <c r="TX11" s="411"/>
      <c r="TY11" s="411"/>
      <c r="TZ11" s="411"/>
      <c r="UA11" s="411"/>
      <c r="UB11" s="411"/>
      <c r="UC11" s="411"/>
      <c r="UD11" s="411"/>
      <c r="UE11" s="411"/>
      <c r="UF11" s="411"/>
      <c r="UG11" s="411"/>
      <c r="UH11" s="411"/>
      <c r="UI11" s="411"/>
      <c r="UJ11" s="411"/>
      <c r="UK11" s="411"/>
      <c r="UL11" s="411"/>
      <c r="UM11" s="411"/>
      <c r="UN11" s="411"/>
      <c r="UO11" s="411"/>
      <c r="UP11" s="411"/>
      <c r="UQ11" s="411"/>
      <c r="UR11" s="411"/>
      <c r="US11" s="411"/>
      <c r="UT11" s="411"/>
      <c r="UU11" s="411"/>
      <c r="UV11" s="411"/>
      <c r="UW11" s="411"/>
      <c r="UX11" s="411"/>
      <c r="UY11" s="411"/>
      <c r="UZ11" s="411"/>
      <c r="VA11" s="411"/>
      <c r="VB11" s="411"/>
      <c r="VC11" s="411"/>
      <c r="VD11" s="411"/>
      <c r="VE11" s="411"/>
      <c r="VF11" s="411"/>
      <c r="VG11" s="411"/>
      <c r="VH11" s="411"/>
      <c r="VI11" s="411"/>
      <c r="VJ11" s="411"/>
      <c r="VK11" s="411"/>
      <c r="VL11" s="411"/>
      <c r="VM11" s="411"/>
      <c r="VN11" s="411"/>
      <c r="VO11" s="411"/>
      <c r="VP11" s="411"/>
      <c r="VQ11" s="411"/>
      <c r="VR11" s="411"/>
      <c r="VS11" s="411"/>
      <c r="VT11" s="411"/>
      <c r="VU11" s="411"/>
      <c r="VV11" s="411"/>
      <c r="VW11" s="411"/>
      <c r="VX11" s="411"/>
      <c r="VY11" s="411"/>
      <c r="VZ11" s="411"/>
      <c r="WA11" s="411"/>
      <c r="WB11" s="411"/>
      <c r="WC11" s="411"/>
      <c r="WD11" s="411"/>
      <c r="WE11" s="411"/>
      <c r="WF11" s="411"/>
      <c r="WG11" s="411"/>
      <c r="WH11" s="411"/>
      <c r="WI11" s="411"/>
      <c r="WJ11" s="411"/>
      <c r="WK11" s="411"/>
      <c r="WL11" s="411"/>
      <c r="WM11" s="411"/>
      <c r="WN11" s="411"/>
      <c r="WO11" s="411"/>
      <c r="WP11" s="411"/>
      <c r="WQ11" s="411"/>
      <c r="WR11" s="411"/>
      <c r="WS11" s="411"/>
      <c r="WT11" s="411"/>
      <c r="WU11" s="411"/>
      <c r="WV11" s="411"/>
      <c r="WW11" s="411"/>
      <c r="WX11" s="411"/>
      <c r="WY11" s="411"/>
      <c r="WZ11" s="411"/>
      <c r="XA11" s="411"/>
      <c r="XB11" s="411"/>
      <c r="XC11" s="411"/>
      <c r="XD11" s="411"/>
      <c r="XE11" s="411"/>
      <c r="XF11" s="411"/>
      <c r="XG11" s="411"/>
      <c r="XH11" s="411"/>
      <c r="XI11" s="411"/>
      <c r="XJ11" s="411"/>
      <c r="XK11" s="411"/>
      <c r="XL11" s="411"/>
      <c r="XM11" s="411"/>
      <c r="XN11" s="411"/>
      <c r="XO11" s="411"/>
      <c r="XP11" s="411"/>
      <c r="XQ11" s="411"/>
      <c r="XR11" s="411"/>
      <c r="XS11" s="411"/>
      <c r="XT11" s="411"/>
      <c r="XU11" s="411"/>
      <c r="XV11" s="411"/>
      <c r="XW11" s="411"/>
      <c r="XX11" s="411"/>
      <c r="XY11" s="411"/>
      <c r="XZ11" s="411"/>
      <c r="YA11" s="411"/>
      <c r="YB11" s="411"/>
      <c r="YC11" s="411"/>
      <c r="YD11" s="411"/>
      <c r="YE11" s="411"/>
      <c r="YF11" s="411"/>
      <c r="YG11" s="411"/>
      <c r="YH11" s="411"/>
      <c r="YI11" s="411"/>
      <c r="YJ11" s="411"/>
      <c r="YK11" s="411"/>
      <c r="YL11" s="411"/>
      <c r="YM11" s="411"/>
      <c r="YN11" s="411"/>
      <c r="YO11" s="411"/>
      <c r="YP11" s="411"/>
      <c r="YQ11" s="411"/>
      <c r="YR11" s="411"/>
      <c r="YS11" s="411"/>
      <c r="YT11" s="411"/>
      <c r="YU11" s="411"/>
      <c r="YV11" s="411"/>
      <c r="YW11" s="411"/>
      <c r="YX11" s="411"/>
      <c r="YY11" s="411"/>
      <c r="YZ11" s="411"/>
      <c r="ZA11" s="411"/>
      <c r="ZB11" s="411"/>
      <c r="ZC11" s="411"/>
      <c r="ZD11" s="411"/>
      <c r="ZE11" s="411"/>
      <c r="ZF11" s="411"/>
      <c r="ZG11" s="411"/>
      <c r="ZH11" s="411"/>
      <c r="ZI11" s="411"/>
      <c r="ZJ11" s="411"/>
      <c r="ZK11" s="411"/>
      <c r="ZL11" s="411"/>
      <c r="ZM11" s="411"/>
      <c r="ZN11" s="411"/>
      <c r="ZO11" s="411"/>
      <c r="ZP11" s="411"/>
      <c r="ZQ11" s="411"/>
      <c r="ZR11" s="411"/>
      <c r="ZS11" s="411"/>
      <c r="ZT11" s="411"/>
      <c r="ZU11" s="411"/>
      <c r="ZV11" s="411"/>
      <c r="ZW11" s="411"/>
      <c r="ZX11" s="411"/>
      <c r="ZY11" s="411"/>
      <c r="ZZ11" s="411"/>
      <c r="AAA11" s="411"/>
      <c r="AAB11" s="411"/>
      <c r="AAC11" s="411"/>
      <c r="AAD11" s="411"/>
      <c r="AAE11" s="411"/>
      <c r="AAF11" s="411"/>
      <c r="AAG11" s="411"/>
      <c r="AAH11" s="411"/>
      <c r="AAI11" s="411"/>
      <c r="AAJ11" s="411"/>
      <c r="AAK11" s="411"/>
      <c r="AAL11" s="411"/>
      <c r="AAM11" s="411"/>
      <c r="AAN11" s="411"/>
      <c r="AAO11" s="411"/>
      <c r="AAP11" s="411"/>
      <c r="AAQ11" s="411"/>
      <c r="AAR11" s="411"/>
      <c r="AAS11" s="411"/>
      <c r="AAT11" s="411"/>
      <c r="AAU11" s="411"/>
      <c r="AAV11" s="411"/>
      <c r="AAW11" s="411"/>
      <c r="AAX11" s="411"/>
      <c r="AAY11" s="411"/>
      <c r="AAZ11" s="411"/>
      <c r="ABA11" s="411"/>
      <c r="ABB11" s="411"/>
      <c r="ABC11" s="411"/>
      <c r="ABD11" s="411"/>
      <c r="ABE11" s="411"/>
      <c r="ABF11" s="411"/>
      <c r="ABG11" s="411"/>
      <c r="ABH11" s="411"/>
      <c r="ABI11" s="411"/>
      <c r="ABJ11" s="411"/>
      <c r="ABK11" s="411"/>
      <c r="ABL11" s="411"/>
      <c r="ABM11" s="411"/>
      <c r="ABN11" s="411"/>
      <c r="ABO11" s="411"/>
      <c r="ABP11" s="411"/>
      <c r="ABQ11" s="411"/>
      <c r="ABR11" s="411"/>
      <c r="ABS11" s="411"/>
      <c r="ABT11" s="411"/>
      <c r="ABU11" s="411"/>
      <c r="ABV11" s="411"/>
      <c r="ABW11" s="411"/>
      <c r="ABX11" s="411"/>
      <c r="ABY11" s="411"/>
      <c r="ABZ11" s="411"/>
      <c r="ACA11" s="411"/>
      <c r="ACB11" s="411"/>
      <c r="ACC11" s="411"/>
      <c r="ACD11" s="411"/>
      <c r="ACE11" s="411"/>
      <c r="ACF11" s="411"/>
      <c r="ACG11" s="411"/>
      <c r="ACH11" s="411"/>
      <c r="ACI11" s="411"/>
      <c r="ACJ11" s="411"/>
      <c r="ACK11" s="411"/>
      <c r="ACL11" s="411"/>
      <c r="ACM11" s="411"/>
      <c r="ACN11" s="411"/>
      <c r="ACO11" s="411"/>
      <c r="ACP11" s="411"/>
      <c r="ACQ11" s="411"/>
      <c r="ACR11" s="411"/>
      <c r="ACS11" s="411"/>
      <c r="ACT11" s="411"/>
      <c r="ACU11" s="411"/>
      <c r="ACV11" s="411"/>
      <c r="ACW11" s="411"/>
      <c r="ACX11" s="411"/>
      <c r="ACY11" s="411"/>
      <c r="ACZ11" s="411"/>
      <c r="ADA11" s="411"/>
      <c r="ADB11" s="411"/>
      <c r="ADC11" s="411"/>
      <c r="ADD11" s="411"/>
      <c r="ADE11" s="411"/>
      <c r="ADF11" s="411"/>
      <c r="ADG11" s="411"/>
      <c r="ADH11" s="411"/>
      <c r="ADI11" s="411"/>
      <c r="ADJ11" s="411"/>
      <c r="ADK11" s="411"/>
      <c r="ADL11" s="411"/>
      <c r="ADM11" s="411"/>
      <c r="ADN11" s="411"/>
      <c r="ADO11" s="411"/>
      <c r="ADP11" s="411"/>
      <c r="ADQ11" s="411"/>
      <c r="ADR11" s="411"/>
      <c r="ADS11" s="411"/>
      <c r="ADT11" s="411"/>
      <c r="ADU11" s="411"/>
      <c r="ADV11" s="411"/>
      <c r="ADW11" s="411"/>
      <c r="ADX11" s="411"/>
      <c r="ADY11" s="411"/>
      <c r="ADZ11" s="411"/>
      <c r="AEA11" s="411"/>
      <c r="AEB11" s="411"/>
      <c r="AEC11" s="411"/>
      <c r="AED11" s="411"/>
      <c r="AEE11" s="411"/>
      <c r="AEF11" s="411"/>
      <c r="AEG11" s="411"/>
      <c r="AEH11" s="411"/>
      <c r="AEI11" s="411"/>
      <c r="AEJ11" s="411"/>
      <c r="AEK11" s="411"/>
      <c r="AEL11" s="411"/>
      <c r="AEM11" s="411"/>
      <c r="AEN11" s="411"/>
      <c r="AEO11" s="411"/>
      <c r="AEP11" s="411"/>
      <c r="AEQ11" s="411"/>
      <c r="AER11" s="411"/>
      <c r="AES11" s="411"/>
      <c r="AET11" s="411"/>
      <c r="AEU11" s="411"/>
      <c r="AEV11" s="411"/>
      <c r="AEW11" s="411"/>
      <c r="AEX11" s="411"/>
      <c r="AEY11" s="411"/>
      <c r="AEZ11" s="411"/>
      <c r="AFA11" s="411"/>
      <c r="AFB11" s="411"/>
      <c r="AFC11" s="411"/>
      <c r="AFD11" s="411"/>
      <c r="AFE11" s="411"/>
      <c r="AFF11" s="411"/>
      <c r="AFG11" s="411"/>
      <c r="AFH11" s="411"/>
      <c r="AFI11" s="411"/>
      <c r="AFJ11" s="411"/>
      <c r="AFK11" s="411"/>
      <c r="AFL11" s="411"/>
      <c r="AFM11" s="411"/>
      <c r="AFN11" s="411"/>
      <c r="AFO11" s="411"/>
      <c r="AFP11" s="411"/>
      <c r="AFQ11" s="411"/>
      <c r="AFR11" s="411"/>
      <c r="AFS11" s="411"/>
      <c r="AFT11" s="411"/>
      <c r="AFU11" s="411"/>
      <c r="AFV11" s="411"/>
      <c r="AFW11" s="411"/>
      <c r="AFX11" s="411"/>
      <c r="AFY11" s="411"/>
      <c r="AFZ11" s="411"/>
      <c r="AGA11" s="411"/>
      <c r="AGB11" s="411"/>
      <c r="AGC11" s="411"/>
      <c r="AGD11" s="411"/>
      <c r="AGE11" s="411"/>
      <c r="AGF11" s="411"/>
      <c r="AGG11" s="411"/>
      <c r="AGH11" s="411"/>
      <c r="AGI11" s="411"/>
      <c r="AGJ11" s="411"/>
      <c r="AGK11" s="411"/>
      <c r="AGL11" s="411"/>
      <c r="AGM11" s="411"/>
      <c r="AGN11" s="411"/>
      <c r="AGO11" s="411"/>
      <c r="AGP11" s="411"/>
      <c r="AGQ11" s="411"/>
      <c r="AGR11" s="411"/>
      <c r="AGS11" s="411"/>
      <c r="AGT11" s="411"/>
      <c r="AGU11" s="411"/>
      <c r="AGV11" s="411"/>
      <c r="AGW11" s="411"/>
      <c r="AGX11" s="411"/>
      <c r="AGY11" s="411"/>
      <c r="AGZ11" s="411"/>
      <c r="AHA11" s="411"/>
      <c r="AHB11" s="411"/>
      <c r="AHC11" s="411"/>
      <c r="AHD11" s="411"/>
      <c r="AHE11" s="411"/>
      <c r="AHF11" s="411"/>
      <c r="AHG11" s="411"/>
      <c r="AHH11" s="411"/>
      <c r="AHI11" s="411"/>
      <c r="AHJ11" s="411"/>
      <c r="AHK11" s="411"/>
      <c r="AHL11" s="411"/>
      <c r="AHM11" s="411"/>
      <c r="AHN11" s="411"/>
      <c r="AHO11" s="411"/>
      <c r="AHP11" s="411"/>
      <c r="AHQ11" s="411"/>
      <c r="AHR11" s="411"/>
      <c r="AHS11" s="411"/>
      <c r="AHT11" s="411"/>
      <c r="AHU11" s="411"/>
      <c r="AHV11" s="411"/>
      <c r="AHW11" s="411"/>
      <c r="AHX11" s="411"/>
      <c r="AHY11" s="411"/>
      <c r="AHZ11" s="411"/>
      <c r="AIA11" s="411"/>
      <c r="AIB11" s="411"/>
      <c r="AIC11" s="411"/>
      <c r="AID11" s="411"/>
      <c r="AIE11" s="411"/>
      <c r="AIF11" s="411"/>
      <c r="AIG11" s="411"/>
      <c r="AIH11" s="411"/>
      <c r="AII11" s="411"/>
      <c r="AIJ11" s="411"/>
      <c r="AIK11" s="411"/>
      <c r="AIL11" s="411"/>
      <c r="AIM11" s="411"/>
      <c r="AIN11" s="411"/>
      <c r="AIO11" s="411"/>
      <c r="AIP11" s="411"/>
      <c r="AIQ11" s="411"/>
      <c r="AIR11" s="411"/>
      <c r="AIS11" s="411"/>
      <c r="AIT11" s="411"/>
      <c r="AIU11" s="411"/>
      <c r="AIV11" s="411"/>
      <c r="AIW11" s="411"/>
      <c r="AIX11" s="411"/>
      <c r="AIY11" s="411"/>
      <c r="AIZ11" s="411"/>
      <c r="AJA11" s="411"/>
      <c r="AJB11" s="411"/>
      <c r="AJC11" s="411"/>
      <c r="AJD11" s="411"/>
      <c r="AJE11" s="411"/>
      <c r="AJF11" s="411"/>
      <c r="AJG11" s="411"/>
      <c r="AJH11" s="411"/>
      <c r="AJI11" s="411"/>
      <c r="AJJ11" s="411"/>
      <c r="AJK11" s="411"/>
      <c r="AJL11" s="411"/>
      <c r="AJM11" s="411"/>
      <c r="AJN11" s="411"/>
      <c r="AJO11" s="411"/>
      <c r="AJP11" s="411"/>
      <c r="AJQ11" s="411"/>
      <c r="AJR11" s="411"/>
      <c r="AJS11" s="411"/>
      <c r="AJT11" s="411"/>
      <c r="AJU11" s="411"/>
      <c r="AJV11" s="411"/>
      <c r="AJW11" s="411"/>
      <c r="AJX11" s="411"/>
      <c r="AJY11" s="411"/>
      <c r="AJZ11" s="411"/>
      <c r="AKA11" s="411"/>
      <c r="AKB11" s="411"/>
      <c r="AKC11" s="411"/>
      <c r="AKD11" s="411"/>
      <c r="AKE11" s="411"/>
      <c r="AKF11" s="411"/>
      <c r="AKG11" s="411"/>
      <c r="AKH11" s="411"/>
      <c r="AKI11" s="411"/>
      <c r="AKJ11" s="411"/>
      <c r="AKK11" s="411"/>
      <c r="AKL11" s="411"/>
      <c r="AKM11" s="411"/>
      <c r="AKN11" s="411"/>
      <c r="AKO11" s="411"/>
      <c r="AKP11" s="411"/>
      <c r="AKQ11" s="411"/>
      <c r="AKR11" s="411"/>
      <c r="AKS11" s="411"/>
      <c r="AKT11" s="411"/>
    </row>
    <row r="12">
      <c r="A12" s="411" t="s">
        <v>165</v>
      </c>
      <c r="B12" s="411"/>
      <c r="C12" s="411"/>
      <c r="D12" s="411"/>
      <c r="E12" s="411"/>
      <c r="F12" s="411"/>
      <c r="G12" s="411"/>
      <c r="H12" s="411"/>
      <c r="I12" s="411"/>
      <c r="J12" s="411"/>
      <c r="K12" s="411"/>
      <c r="L12" s="411"/>
      <c r="M12" s="411"/>
      <c r="N12" s="411"/>
      <c r="O12" s="411"/>
      <c r="P12" s="411"/>
      <c r="Q12" s="568"/>
      <c r="R12" s="411"/>
      <c r="S12" s="411"/>
      <c r="T12" s="411"/>
      <c r="U12" s="411"/>
      <c r="V12" s="411"/>
      <c r="W12" s="411"/>
      <c r="X12" s="411"/>
      <c r="Y12" s="411"/>
      <c r="Z12" s="411"/>
      <c r="AA12" s="411"/>
      <c r="AB12" s="411"/>
      <c r="AC12" s="411"/>
      <c r="AD12" s="411"/>
      <c r="AE12" s="411"/>
      <c r="AF12" s="411"/>
      <c r="AG12" s="411"/>
      <c r="AH12" s="411"/>
      <c r="AI12" s="411"/>
      <c r="AJ12" s="411"/>
      <c r="AK12" s="411"/>
      <c r="AL12" s="411"/>
      <c r="AM12" s="411"/>
      <c r="AN12" s="411"/>
      <c r="AO12" s="411"/>
      <c r="AP12" s="411"/>
      <c r="AQ12" s="411"/>
      <c r="AR12" s="411"/>
      <c r="AS12" s="411"/>
      <c r="AT12" s="411"/>
      <c r="AU12" s="411"/>
      <c r="AV12" s="411"/>
      <c r="AW12" s="411"/>
      <c r="AX12" s="411"/>
      <c r="AY12" s="411"/>
      <c r="AZ12" s="411"/>
      <c r="BA12" s="411"/>
      <c r="BB12" s="411"/>
      <c r="BC12" s="411"/>
      <c r="BD12" s="411"/>
      <c r="BE12" s="411"/>
      <c r="BF12" s="411"/>
      <c r="BG12" s="411"/>
      <c r="BH12" s="411"/>
      <c r="BI12" s="411"/>
      <c r="BJ12" s="411"/>
      <c r="BK12" s="411"/>
      <c r="BL12" s="411"/>
      <c r="BM12" s="411"/>
      <c r="BN12" s="411"/>
      <c r="BO12" s="411"/>
      <c r="BP12" s="411"/>
      <c r="BQ12" s="411"/>
      <c r="BR12" s="411"/>
      <c r="BS12" s="411"/>
      <c r="BT12" s="411"/>
      <c r="BU12" s="411"/>
      <c r="BV12" s="411"/>
      <c r="BW12" s="411"/>
      <c r="BX12" s="411"/>
      <c r="BY12" s="411"/>
      <c r="BZ12" s="411"/>
      <c r="CA12" s="411"/>
      <c r="CB12" s="411"/>
      <c r="CC12" s="411"/>
      <c r="CD12" s="411"/>
      <c r="CE12" s="411"/>
      <c r="CF12" s="411"/>
      <c r="CG12" s="411"/>
      <c r="CH12" s="411"/>
      <c r="CI12" s="411"/>
      <c r="CJ12" s="411"/>
      <c r="CK12" s="411"/>
      <c r="CL12" s="411"/>
      <c r="CM12" s="411"/>
      <c r="CN12" s="411"/>
      <c r="CO12" s="411"/>
      <c r="CP12" s="411"/>
      <c r="CQ12" s="411"/>
      <c r="CR12" s="411"/>
      <c r="CS12" s="411"/>
      <c r="CT12" s="411"/>
      <c r="CU12" s="411"/>
      <c r="CV12" s="411"/>
      <c r="CW12" s="411"/>
      <c r="CX12" s="411"/>
      <c r="CY12" s="411"/>
      <c r="CZ12" s="411"/>
      <c r="DA12" s="411"/>
      <c r="DB12" s="411"/>
      <c r="DC12" s="411"/>
      <c r="DD12" s="411"/>
      <c r="DE12" s="411"/>
      <c r="DF12" s="411"/>
      <c r="DG12" s="411"/>
      <c r="DH12" s="411"/>
      <c r="DI12" s="411">
        <v>24.1</v>
      </c>
      <c r="DJ12" s="411">
        <v>-14.638</v>
      </c>
      <c r="DK12" s="411">
        <v>100.52</v>
      </c>
      <c r="DL12" s="411">
        <v>-155.11</v>
      </c>
      <c r="DM12" s="411">
        <v>-25.85</v>
      </c>
      <c r="DN12" s="411"/>
      <c r="DO12" s="411"/>
      <c r="DP12" s="411"/>
      <c r="DQ12" s="411"/>
      <c r="DR12" s="411"/>
      <c r="DS12" s="411"/>
      <c r="DT12" s="411"/>
      <c r="DU12" s="411"/>
      <c r="DV12" s="411"/>
      <c r="DW12" s="411"/>
      <c r="DX12" s="411"/>
      <c r="DY12" s="411"/>
      <c r="DZ12" s="411"/>
      <c r="EA12" s="411"/>
      <c r="EB12" s="411"/>
      <c r="EC12" s="411"/>
      <c r="ED12" s="411"/>
      <c r="EE12" s="411"/>
      <c r="EF12" s="411"/>
      <c r="EG12" s="411"/>
      <c r="EH12" s="411"/>
      <c r="EI12" s="411"/>
      <c r="EJ12" s="411"/>
      <c r="EK12" s="411"/>
      <c r="EL12" s="411"/>
      <c r="EM12" s="411"/>
      <c r="EN12" s="411"/>
      <c r="EO12" s="411"/>
      <c r="EP12" s="411"/>
      <c r="EQ12" s="411"/>
      <c r="ER12" s="411"/>
      <c r="ES12" s="411"/>
      <c r="ET12" s="411"/>
      <c r="EU12" s="411"/>
      <c r="EV12" s="411"/>
      <c r="EW12" s="411"/>
      <c r="EX12" s="411"/>
      <c r="EY12" s="411"/>
      <c r="EZ12" s="411"/>
      <c r="FA12" s="411"/>
      <c r="FB12" s="411"/>
      <c r="FC12" s="411"/>
      <c r="FD12" s="411"/>
      <c r="FE12" s="411"/>
      <c r="FF12" s="411"/>
      <c r="FG12" s="411"/>
      <c r="FH12" s="411"/>
      <c r="FI12" s="411"/>
      <c r="FJ12" s="411"/>
      <c r="FK12" s="411"/>
      <c r="FL12" s="411"/>
      <c r="FM12" s="411"/>
      <c r="FN12" s="411"/>
      <c r="FO12" s="411"/>
      <c r="FP12" s="411"/>
      <c r="FQ12" s="411"/>
      <c r="FR12" s="411"/>
      <c r="FS12" s="411"/>
      <c r="FT12" s="411"/>
      <c r="FU12" s="411"/>
      <c r="FV12" s="411"/>
      <c r="FW12" s="411"/>
      <c r="FX12" s="411"/>
      <c r="FY12" s="411"/>
      <c r="FZ12" s="411"/>
      <c r="GA12" s="411"/>
      <c r="GB12" s="411"/>
      <c r="GC12" s="411"/>
      <c r="GD12" s="411"/>
      <c r="GE12" s="411"/>
      <c r="GF12" s="411"/>
      <c r="GG12" s="411"/>
      <c r="GH12" s="411"/>
      <c r="GI12" s="411"/>
      <c r="GJ12" s="411"/>
      <c r="GK12" s="411"/>
      <c r="GL12" s="411"/>
      <c r="GM12" s="411"/>
      <c r="GN12" s="411"/>
      <c r="GO12" s="411"/>
      <c r="GP12" s="411"/>
      <c r="GQ12" s="411"/>
      <c r="GR12" s="411"/>
      <c r="GS12" s="411"/>
      <c r="GT12" s="411"/>
      <c r="GU12" s="411"/>
      <c r="GV12" s="411"/>
      <c r="GW12" s="411"/>
      <c r="GX12" s="411"/>
      <c r="GY12" s="411"/>
      <c r="GZ12" s="411"/>
      <c r="HA12" s="411"/>
      <c r="HB12" s="411"/>
      <c r="HC12" s="411"/>
      <c r="HD12" s="411"/>
      <c r="HE12" s="411"/>
      <c r="HF12" s="411"/>
      <c r="HG12" s="411"/>
      <c r="HH12" s="411"/>
      <c r="HI12" s="411"/>
      <c r="HJ12" s="411"/>
      <c r="HK12" s="411"/>
      <c r="HL12" s="411"/>
      <c r="HM12" s="411"/>
      <c r="HN12" s="411"/>
      <c r="HO12" s="411"/>
      <c r="HP12" s="411"/>
      <c r="HQ12" s="411"/>
      <c r="HR12" s="411"/>
      <c r="HS12" s="411"/>
      <c r="HT12" s="411"/>
      <c r="HU12" s="411"/>
      <c r="HV12" s="411"/>
      <c r="HW12" s="411"/>
      <c r="HX12" s="411"/>
      <c r="HY12" s="411"/>
      <c r="HZ12" s="411"/>
      <c r="IA12" s="411"/>
      <c r="IB12" s="411"/>
      <c r="IC12" s="411"/>
      <c r="ID12" s="411"/>
      <c r="IE12" s="411"/>
      <c r="IF12" s="411"/>
      <c r="IG12" s="411"/>
      <c r="IH12" s="411"/>
      <c r="II12" s="411"/>
      <c r="IJ12" s="411"/>
      <c r="IK12" s="411"/>
      <c r="IL12" s="411"/>
      <c r="IM12" s="411"/>
      <c r="IN12" s="411"/>
      <c r="IO12" s="411"/>
      <c r="IP12" s="411"/>
      <c r="IQ12" s="411"/>
      <c r="IR12" s="411"/>
      <c r="IS12" s="411"/>
      <c r="IT12" s="411"/>
      <c r="IU12" s="411"/>
      <c r="IV12" s="411"/>
      <c r="IW12" s="411"/>
      <c r="IX12" s="411"/>
      <c r="IY12" s="411"/>
      <c r="IZ12" s="411"/>
      <c r="JA12" s="411"/>
      <c r="JB12" s="411"/>
      <c r="JC12" s="411"/>
      <c r="JD12" s="411"/>
      <c r="JE12" s="411"/>
      <c r="JF12" s="411"/>
      <c r="JG12" s="411"/>
      <c r="JH12" s="411"/>
      <c r="JI12" s="411"/>
      <c r="JJ12" s="411"/>
      <c r="JK12" s="411"/>
      <c r="JL12" s="411"/>
      <c r="JM12" s="411"/>
      <c r="JN12" s="411"/>
      <c r="JO12" s="411"/>
      <c r="JP12" s="411"/>
      <c r="JQ12" s="411"/>
      <c r="JR12" s="411"/>
      <c r="JS12" s="411"/>
      <c r="JT12" s="411"/>
      <c r="JU12" s="411"/>
      <c r="JV12" s="411"/>
      <c r="JW12" s="411"/>
      <c r="JX12" s="411"/>
      <c r="JY12" s="411"/>
      <c r="JZ12" s="411"/>
      <c r="KA12" s="411"/>
      <c r="KB12" s="411"/>
      <c r="KC12" s="411"/>
      <c r="KD12" s="411"/>
      <c r="KE12" s="411"/>
      <c r="KF12" s="411"/>
      <c r="KG12" s="411"/>
      <c r="KH12" s="411"/>
      <c r="KI12" s="411"/>
      <c r="KJ12" s="411"/>
      <c r="KK12" s="411"/>
      <c r="KL12" s="411"/>
      <c r="KM12" s="411"/>
      <c r="KN12" s="411"/>
      <c r="KO12" s="411"/>
      <c r="KP12" s="411"/>
      <c r="KQ12" s="411"/>
      <c r="KR12" s="411"/>
      <c r="KS12" s="411"/>
      <c r="KT12" s="411"/>
      <c r="KU12" s="411"/>
      <c r="KV12" s="411"/>
      <c r="KW12" s="411"/>
      <c r="KX12" s="411"/>
      <c r="KY12" s="411"/>
      <c r="KZ12" s="411"/>
      <c r="LA12" s="411"/>
      <c r="LB12" s="411"/>
      <c r="LC12" s="411"/>
      <c r="LD12" s="411"/>
      <c r="LE12" s="411"/>
      <c r="LF12" s="411"/>
      <c r="LG12" s="411"/>
      <c r="LH12" s="411"/>
      <c r="LI12" s="411"/>
      <c r="LJ12" s="411"/>
      <c r="LK12" s="411"/>
      <c r="LL12" s="411"/>
      <c r="LM12" s="411"/>
      <c r="LN12" s="411"/>
      <c r="LO12" s="411"/>
      <c r="LP12" s="411"/>
      <c r="LQ12" s="411"/>
      <c r="LR12" s="411"/>
      <c r="LS12" s="411"/>
      <c r="LT12" s="411"/>
      <c r="LU12" s="411"/>
      <c r="LV12" s="411"/>
      <c r="LW12" s="411"/>
      <c r="LX12" s="411"/>
      <c r="LY12" s="411"/>
      <c r="LZ12" s="411"/>
      <c r="MA12" s="411"/>
      <c r="MB12" s="411"/>
      <c r="MC12" s="411"/>
      <c r="MD12" s="411"/>
      <c r="ME12" s="411"/>
      <c r="MF12" s="411"/>
      <c r="MG12" s="411"/>
      <c r="MH12" s="411"/>
      <c r="MI12" s="411"/>
      <c r="MJ12" s="411"/>
      <c r="MK12" s="411"/>
      <c r="ML12" s="411"/>
      <c r="MM12" s="411"/>
      <c r="MN12" s="411"/>
      <c r="MO12" s="411"/>
      <c r="MP12" s="411"/>
      <c r="MQ12" s="411"/>
      <c r="MR12" s="411"/>
      <c r="MS12" s="411"/>
      <c r="MT12" s="411"/>
      <c r="MU12" s="411"/>
      <c r="MV12" s="411"/>
      <c r="MW12" s="411"/>
      <c r="MX12" s="411"/>
      <c r="MY12" s="411"/>
      <c r="MZ12" s="411"/>
      <c r="NA12" s="411"/>
      <c r="NB12" s="411"/>
      <c r="NC12" s="411"/>
      <c r="ND12" s="411"/>
      <c r="NE12" s="411"/>
      <c r="NF12" s="411"/>
      <c r="NG12" s="411"/>
      <c r="NH12" s="411"/>
      <c r="NI12" s="411"/>
      <c r="NJ12" s="411"/>
      <c r="NK12" s="411"/>
      <c r="NL12" s="411"/>
      <c r="NM12" s="411"/>
      <c r="NN12" s="411"/>
      <c r="NO12" s="411"/>
      <c r="NP12" s="411"/>
      <c r="NQ12" s="411"/>
      <c r="NR12" s="411"/>
      <c r="NS12" s="411"/>
      <c r="NT12" s="411"/>
      <c r="NU12" s="411"/>
      <c r="NV12" s="411"/>
      <c r="NW12" s="411"/>
      <c r="NX12" s="411"/>
      <c r="NY12" s="411"/>
      <c r="NZ12" s="411"/>
      <c r="OA12" s="411"/>
      <c r="OB12" s="411"/>
      <c r="OC12" s="411"/>
      <c r="OD12" s="411"/>
      <c r="OE12" s="411"/>
      <c r="OF12" s="411"/>
      <c r="OG12" s="411"/>
      <c r="OH12" s="411"/>
      <c r="OI12" s="411"/>
      <c r="OJ12" s="411"/>
      <c r="OK12" s="411"/>
      <c r="OL12" s="411"/>
      <c r="OM12" s="411"/>
      <c r="ON12" s="411"/>
      <c r="OO12" s="411"/>
      <c r="OP12" s="411"/>
      <c r="OQ12" s="411"/>
      <c r="OR12" s="411"/>
      <c r="OS12" s="411"/>
      <c r="OT12" s="411"/>
      <c r="OU12" s="411"/>
      <c r="OV12" s="411"/>
      <c r="OW12" s="411"/>
      <c r="OX12" s="411"/>
      <c r="OY12" s="411"/>
      <c r="OZ12" s="411"/>
      <c r="PA12" s="411"/>
      <c r="PB12" s="411"/>
      <c r="PC12" s="411"/>
      <c r="PD12" s="411"/>
      <c r="PE12" s="411"/>
      <c r="PF12" s="411"/>
      <c r="PG12" s="411"/>
      <c r="PH12" s="411"/>
      <c r="PI12" s="411"/>
      <c r="PJ12" s="411"/>
      <c r="PK12" s="411"/>
      <c r="PL12" s="411"/>
      <c r="PM12" s="411"/>
      <c r="PN12" s="411"/>
      <c r="PO12" s="411"/>
      <c r="PP12" s="411"/>
      <c r="PQ12" s="411"/>
      <c r="PR12" s="411"/>
      <c r="PS12" s="411"/>
      <c r="PT12" s="411"/>
      <c r="PU12" s="411"/>
      <c r="PV12" s="411"/>
      <c r="PW12" s="411"/>
      <c r="PX12" s="411"/>
      <c r="PY12" s="411"/>
      <c r="PZ12" s="411"/>
      <c r="QA12" s="411"/>
      <c r="QB12" s="411"/>
      <c r="QC12" s="411"/>
      <c r="QD12" s="411"/>
      <c r="QE12" s="411"/>
      <c r="QF12" s="411"/>
      <c r="QG12" s="411"/>
      <c r="QH12" s="411"/>
      <c r="QI12" s="411"/>
      <c r="QJ12" s="411"/>
      <c r="QK12" s="411"/>
      <c r="QL12" s="411"/>
      <c r="QM12" s="411"/>
      <c r="QN12" s="411"/>
      <c r="QO12" s="411"/>
      <c r="QP12" s="411"/>
      <c r="QQ12" s="411"/>
      <c r="QR12" s="411"/>
      <c r="QS12" s="411"/>
      <c r="QT12" s="411"/>
      <c r="QU12" s="411"/>
      <c r="QV12" s="411"/>
      <c r="QW12" s="411"/>
      <c r="QX12" s="411"/>
      <c r="QY12" s="411"/>
      <c r="QZ12" s="411"/>
      <c r="RA12" s="411"/>
      <c r="RB12" s="411"/>
      <c r="RC12" s="411"/>
      <c r="RD12" s="411"/>
      <c r="RE12" s="411"/>
      <c r="RF12" s="411"/>
      <c r="RG12" s="411"/>
      <c r="RH12" s="411"/>
      <c r="RI12" s="411"/>
      <c r="RJ12" s="411"/>
      <c r="RK12" s="411"/>
      <c r="RL12" s="411"/>
      <c r="RM12" s="411"/>
      <c r="RN12" s="411"/>
      <c r="RO12" s="411"/>
      <c r="RP12" s="411"/>
      <c r="RQ12" s="411"/>
      <c r="RR12" s="411"/>
      <c r="RS12" s="411"/>
      <c r="RT12" s="411"/>
      <c r="RU12" s="411"/>
      <c r="RV12" s="411"/>
      <c r="RW12" s="411"/>
      <c r="RX12" s="411"/>
      <c r="RY12" s="411"/>
      <c r="RZ12" s="411"/>
      <c r="SA12" s="411"/>
      <c r="SB12" s="411"/>
      <c r="SC12" s="411"/>
      <c r="SD12" s="411"/>
      <c r="SE12" s="411"/>
      <c r="SF12" s="411"/>
      <c r="SG12" s="411"/>
      <c r="SH12" s="411"/>
      <c r="SI12" s="411"/>
      <c r="SJ12" s="411"/>
      <c r="SK12" s="411"/>
      <c r="SL12" s="411"/>
      <c r="SM12" s="411"/>
      <c r="SN12" s="411"/>
      <c r="SO12" s="411"/>
      <c r="SP12" s="411"/>
      <c r="SQ12" s="411"/>
      <c r="SR12" s="411"/>
      <c r="SS12" s="411"/>
      <c r="ST12" s="411"/>
      <c r="SU12" s="411"/>
      <c r="SV12" s="411"/>
      <c r="SW12" s="411"/>
      <c r="SX12" s="411"/>
      <c r="SY12" s="411"/>
      <c r="SZ12" s="411"/>
      <c r="TA12" s="411"/>
      <c r="TB12" s="411"/>
      <c r="TC12" s="411"/>
      <c r="TD12" s="411"/>
      <c r="TE12" s="411"/>
      <c r="TF12" s="411"/>
      <c r="TG12" s="411"/>
      <c r="TH12" s="411"/>
      <c r="TI12" s="411"/>
      <c r="TJ12" s="411"/>
      <c r="TK12" s="411"/>
      <c r="TL12" s="411"/>
      <c r="TM12" s="411"/>
      <c r="TN12" s="411"/>
      <c r="TO12" s="411"/>
      <c r="TP12" s="411"/>
      <c r="TQ12" s="411"/>
      <c r="TR12" s="411"/>
      <c r="TS12" s="411"/>
      <c r="TT12" s="411"/>
      <c r="TU12" s="411"/>
      <c r="TV12" s="411"/>
      <c r="TW12" s="411"/>
      <c r="TX12" s="411"/>
      <c r="TY12" s="411"/>
      <c r="TZ12" s="411"/>
      <c r="UA12" s="411"/>
      <c r="UB12" s="411"/>
      <c r="UC12" s="411"/>
      <c r="UD12" s="411"/>
      <c r="UE12" s="411"/>
      <c r="UF12" s="411"/>
      <c r="UG12" s="411"/>
      <c r="UH12" s="411"/>
      <c r="UI12" s="411"/>
      <c r="UJ12" s="411"/>
      <c r="UK12" s="411"/>
      <c r="UL12" s="411"/>
      <c r="UM12" s="411"/>
      <c r="UN12" s="411"/>
      <c r="UO12" s="411"/>
      <c r="UP12" s="411"/>
      <c r="UQ12" s="411"/>
      <c r="UR12" s="411"/>
      <c r="US12" s="411"/>
      <c r="UT12" s="411"/>
      <c r="UU12" s="411"/>
      <c r="UV12" s="411"/>
      <c r="UW12" s="411"/>
      <c r="UX12" s="411"/>
      <c r="UY12" s="411"/>
      <c r="UZ12" s="411"/>
      <c r="VA12" s="411"/>
      <c r="VB12" s="411"/>
      <c r="VC12" s="411"/>
      <c r="VD12" s="411"/>
      <c r="VE12" s="411"/>
      <c r="VF12" s="411"/>
      <c r="VG12" s="411"/>
      <c r="VH12" s="411"/>
      <c r="VI12" s="411"/>
      <c r="VJ12" s="411"/>
      <c r="VK12" s="411"/>
      <c r="VL12" s="411"/>
      <c r="VM12" s="411"/>
      <c r="VN12" s="411"/>
      <c r="VO12" s="411"/>
      <c r="VP12" s="411"/>
      <c r="VQ12" s="411"/>
      <c r="VR12" s="411"/>
      <c r="VS12" s="411"/>
      <c r="VT12" s="411"/>
      <c r="VU12" s="411"/>
      <c r="VV12" s="411"/>
      <c r="VW12" s="411"/>
      <c r="VX12" s="411"/>
      <c r="VY12" s="411"/>
      <c r="VZ12" s="411"/>
      <c r="WA12" s="411"/>
      <c r="WB12" s="411"/>
      <c r="WC12" s="411"/>
      <c r="WD12" s="411"/>
      <c r="WE12" s="411"/>
      <c r="WF12" s="411"/>
      <c r="WG12" s="411"/>
      <c r="WH12" s="411"/>
      <c r="WI12" s="411"/>
      <c r="WJ12" s="411"/>
      <c r="WK12" s="411"/>
      <c r="WL12" s="411"/>
      <c r="WM12" s="411"/>
      <c r="WN12" s="411"/>
      <c r="WO12" s="411"/>
      <c r="WP12" s="411"/>
      <c r="WQ12" s="411"/>
      <c r="WR12" s="411"/>
      <c r="WS12" s="411"/>
      <c r="WT12" s="411"/>
      <c r="WU12" s="411"/>
      <c r="WV12" s="411"/>
      <c r="WW12" s="411"/>
      <c r="WX12" s="411"/>
      <c r="WY12" s="411"/>
      <c r="WZ12" s="411"/>
      <c r="XA12" s="411"/>
      <c r="XB12" s="411"/>
      <c r="XC12" s="411"/>
      <c r="XD12" s="411"/>
      <c r="XE12" s="411"/>
      <c r="XF12" s="411"/>
      <c r="XG12" s="411"/>
      <c r="XH12" s="411"/>
      <c r="XI12" s="411"/>
      <c r="XJ12" s="411"/>
      <c r="XK12" s="411"/>
      <c r="XL12" s="411"/>
      <c r="XM12" s="411"/>
      <c r="XN12" s="411"/>
      <c r="XO12" s="411"/>
      <c r="XP12" s="411"/>
      <c r="XQ12" s="411"/>
      <c r="XR12" s="411"/>
      <c r="XS12" s="411"/>
      <c r="XT12" s="411"/>
      <c r="XU12" s="411"/>
      <c r="XV12" s="411"/>
      <c r="XW12" s="411"/>
      <c r="XX12" s="411"/>
      <c r="XY12" s="411"/>
      <c r="XZ12" s="411"/>
      <c r="YA12" s="411"/>
      <c r="YB12" s="411"/>
      <c r="YC12" s="411"/>
      <c r="YD12" s="411"/>
      <c r="YE12" s="411"/>
      <c r="YF12" s="411"/>
      <c r="YG12" s="411"/>
      <c r="YH12" s="411"/>
      <c r="YI12" s="411"/>
      <c r="YJ12" s="411"/>
      <c r="YK12" s="411"/>
      <c r="YL12" s="411"/>
      <c r="YM12" s="411"/>
      <c r="YN12" s="411"/>
      <c r="YO12" s="411"/>
      <c r="YP12" s="411"/>
      <c r="YQ12" s="411"/>
      <c r="YR12" s="411"/>
      <c r="YS12" s="411"/>
      <c r="YT12" s="411"/>
      <c r="YU12" s="411"/>
      <c r="YV12" s="411"/>
      <c r="YW12" s="411"/>
      <c r="YX12" s="411"/>
      <c r="YY12" s="411"/>
      <c r="YZ12" s="411"/>
      <c r="ZA12" s="411"/>
      <c r="ZB12" s="411"/>
      <c r="ZC12" s="411"/>
      <c r="ZD12" s="411"/>
      <c r="ZE12" s="411"/>
      <c r="ZF12" s="411"/>
      <c r="ZG12" s="411"/>
      <c r="ZH12" s="411"/>
      <c r="ZI12" s="411"/>
      <c r="ZJ12" s="411"/>
      <c r="ZK12" s="411"/>
      <c r="ZL12" s="411"/>
      <c r="ZM12" s="411"/>
      <c r="ZN12" s="411"/>
      <c r="ZO12" s="411"/>
      <c r="ZP12" s="411"/>
      <c r="ZQ12" s="411"/>
      <c r="ZR12" s="411"/>
      <c r="ZS12" s="411"/>
      <c r="ZT12" s="411"/>
      <c r="ZU12" s="411"/>
      <c r="ZV12" s="411"/>
      <c r="ZW12" s="411"/>
      <c r="ZX12" s="411"/>
      <c r="ZY12" s="411"/>
      <c r="ZZ12" s="411"/>
      <c r="AAA12" s="411"/>
      <c r="AAB12" s="411"/>
      <c r="AAC12" s="411"/>
      <c r="AAD12" s="411"/>
      <c r="AAE12" s="411"/>
      <c r="AAF12" s="411"/>
      <c r="AAG12" s="411"/>
      <c r="AAH12" s="411"/>
      <c r="AAI12" s="411"/>
      <c r="AAJ12" s="411"/>
      <c r="AAK12" s="411"/>
      <c r="AAL12" s="411"/>
      <c r="AAM12" s="411"/>
      <c r="AAN12" s="411"/>
      <c r="AAO12" s="411"/>
      <c r="AAP12" s="411"/>
      <c r="AAQ12" s="411"/>
      <c r="AAR12" s="411"/>
      <c r="AAS12" s="411"/>
      <c r="AAT12" s="411"/>
      <c r="AAU12" s="411"/>
      <c r="AAV12" s="411"/>
      <c r="AAW12" s="411"/>
      <c r="AAX12" s="411"/>
      <c r="AAY12" s="411"/>
      <c r="AAZ12" s="411"/>
      <c r="ABA12" s="411"/>
      <c r="ABB12" s="411"/>
      <c r="ABC12" s="411"/>
      <c r="ABD12" s="411"/>
      <c r="ABE12" s="411"/>
      <c r="ABF12" s="411"/>
      <c r="ABG12" s="411"/>
      <c r="ABH12" s="411"/>
      <c r="ABI12" s="411"/>
      <c r="ABJ12" s="411"/>
      <c r="ABK12" s="411"/>
      <c r="ABL12" s="411"/>
      <c r="ABM12" s="411"/>
      <c r="ABN12" s="411"/>
      <c r="ABO12" s="411"/>
      <c r="ABP12" s="411"/>
      <c r="ABQ12" s="411"/>
      <c r="ABR12" s="411"/>
      <c r="ABS12" s="411"/>
      <c r="ABT12" s="411"/>
      <c r="ABU12" s="411"/>
      <c r="ABV12" s="411"/>
      <c r="ABW12" s="411"/>
      <c r="ABX12" s="411"/>
      <c r="ABY12" s="411"/>
      <c r="ABZ12" s="411"/>
      <c r="ACA12" s="411"/>
      <c r="ACB12" s="411"/>
      <c r="ACC12" s="411"/>
      <c r="ACD12" s="411"/>
      <c r="ACE12" s="411"/>
      <c r="ACF12" s="411"/>
      <c r="ACG12" s="411"/>
      <c r="ACH12" s="411"/>
      <c r="ACI12" s="411"/>
      <c r="ACJ12" s="411"/>
      <c r="ACK12" s="411"/>
      <c r="ACL12" s="411"/>
      <c r="ACM12" s="411"/>
      <c r="ACN12" s="411"/>
      <c r="ACO12" s="411"/>
      <c r="ACP12" s="411"/>
      <c r="ACQ12" s="411"/>
      <c r="ACR12" s="411"/>
      <c r="ACS12" s="411"/>
      <c r="ACT12" s="411"/>
      <c r="ACU12" s="411"/>
      <c r="ACV12" s="411"/>
      <c r="ACW12" s="411"/>
      <c r="ACX12" s="411"/>
      <c r="ACY12" s="411"/>
      <c r="ACZ12" s="411"/>
      <c r="ADA12" s="411"/>
      <c r="ADB12" s="411"/>
      <c r="ADC12" s="411"/>
      <c r="ADD12" s="411"/>
      <c r="ADE12" s="411"/>
      <c r="ADF12" s="411"/>
      <c r="ADG12" s="411"/>
      <c r="ADH12" s="411"/>
      <c r="ADI12" s="411"/>
      <c r="ADJ12" s="411"/>
      <c r="ADK12" s="411"/>
      <c r="ADL12" s="411"/>
      <c r="ADM12" s="411"/>
      <c r="ADN12" s="411"/>
      <c r="ADO12" s="411"/>
      <c r="ADP12" s="411"/>
      <c r="ADQ12" s="411"/>
      <c r="ADR12" s="411"/>
      <c r="ADS12" s="411"/>
      <c r="ADT12" s="411"/>
      <c r="ADU12" s="411"/>
      <c r="ADV12" s="411"/>
      <c r="ADW12" s="411"/>
      <c r="ADX12" s="411"/>
      <c r="ADY12" s="411"/>
      <c r="ADZ12" s="411"/>
      <c r="AEA12" s="411"/>
      <c r="AEB12" s="411"/>
      <c r="AEC12" s="411"/>
      <c r="AED12" s="411"/>
      <c r="AEE12" s="411"/>
      <c r="AEF12" s="411"/>
      <c r="AEG12" s="411"/>
      <c r="AEH12" s="411"/>
      <c r="AEI12" s="411"/>
      <c r="AEJ12" s="411"/>
      <c r="AEK12" s="411"/>
      <c r="AEL12" s="411"/>
      <c r="AEM12" s="411"/>
      <c r="AEN12" s="411"/>
      <c r="AEO12" s="411"/>
      <c r="AEP12" s="411"/>
      <c r="AEQ12" s="411"/>
      <c r="AER12" s="411"/>
      <c r="AES12" s="411"/>
      <c r="AET12" s="411"/>
      <c r="AEU12" s="411"/>
      <c r="AEV12" s="411"/>
      <c r="AEW12" s="411"/>
      <c r="AEX12" s="411"/>
      <c r="AEY12" s="411"/>
      <c r="AEZ12" s="411"/>
      <c r="AFA12" s="411"/>
      <c r="AFB12" s="411"/>
      <c r="AFC12" s="411"/>
      <c r="AFD12" s="411"/>
      <c r="AFE12" s="411"/>
      <c r="AFF12" s="411"/>
      <c r="AFG12" s="411"/>
      <c r="AFH12" s="411"/>
      <c r="AFI12" s="411"/>
      <c r="AFJ12" s="411"/>
      <c r="AFK12" s="411"/>
      <c r="AFL12" s="411"/>
      <c r="AFM12" s="411"/>
      <c r="AFN12" s="411"/>
      <c r="AFO12" s="411"/>
      <c r="AFP12" s="411"/>
      <c r="AFQ12" s="411"/>
      <c r="AFR12" s="411"/>
      <c r="AFS12" s="411"/>
      <c r="AFT12" s="411"/>
      <c r="AFU12" s="411"/>
      <c r="AFV12" s="411"/>
      <c r="AFW12" s="411"/>
      <c r="AFX12" s="411"/>
      <c r="AFY12" s="411"/>
      <c r="AFZ12" s="411"/>
      <c r="AGA12" s="411"/>
      <c r="AGB12" s="411"/>
      <c r="AGC12" s="411"/>
      <c r="AGD12" s="411"/>
      <c r="AGE12" s="411"/>
      <c r="AGF12" s="411"/>
      <c r="AGG12" s="411"/>
      <c r="AGH12" s="411"/>
      <c r="AGI12" s="411"/>
      <c r="AGJ12" s="411"/>
      <c r="AGK12" s="411"/>
      <c r="AGL12" s="411"/>
      <c r="AGM12" s="411"/>
      <c r="AGN12" s="411"/>
      <c r="AGO12" s="411"/>
      <c r="AGP12" s="411"/>
      <c r="AGQ12" s="411"/>
      <c r="AGR12" s="411"/>
      <c r="AGS12" s="411"/>
      <c r="AGT12" s="411"/>
      <c r="AGU12" s="411"/>
      <c r="AGV12" s="411"/>
      <c r="AGW12" s="411"/>
      <c r="AGX12" s="411"/>
      <c r="AGY12" s="411"/>
      <c r="AGZ12" s="411"/>
      <c r="AHA12" s="411"/>
      <c r="AHB12" s="411"/>
      <c r="AHC12" s="411"/>
      <c r="AHD12" s="411"/>
      <c r="AHE12" s="411"/>
      <c r="AHF12" s="411"/>
      <c r="AHG12" s="411"/>
      <c r="AHH12" s="411"/>
      <c r="AHI12" s="411"/>
      <c r="AHJ12" s="411"/>
      <c r="AHK12" s="411"/>
      <c r="AHL12" s="411"/>
      <c r="AHM12" s="411"/>
      <c r="AHN12" s="411"/>
      <c r="AHO12" s="411"/>
      <c r="AHP12" s="411"/>
      <c r="AHQ12" s="411"/>
      <c r="AHR12" s="411"/>
      <c r="AHS12" s="411"/>
      <c r="AHT12" s="411"/>
      <c r="AHU12" s="411"/>
      <c r="AHV12" s="411"/>
      <c r="AHW12" s="411"/>
      <c r="AHX12" s="411"/>
      <c r="AHY12" s="411"/>
      <c r="AHZ12" s="411"/>
      <c r="AIA12" s="411"/>
      <c r="AIB12" s="411"/>
      <c r="AIC12" s="411"/>
      <c r="AID12" s="411"/>
      <c r="AIE12" s="411"/>
      <c r="AIF12" s="411"/>
      <c r="AIG12" s="411"/>
      <c r="AIH12" s="411"/>
      <c r="AII12" s="411"/>
      <c r="AIJ12" s="411"/>
      <c r="AIK12" s="411"/>
      <c r="AIL12" s="411"/>
      <c r="AIM12" s="411"/>
      <c r="AIN12" s="411"/>
      <c r="AIO12" s="411"/>
      <c r="AIP12" s="411"/>
      <c r="AIQ12" s="411"/>
      <c r="AIR12" s="411"/>
      <c r="AIS12" s="411"/>
      <c r="AIT12" s="411"/>
      <c r="AIU12" s="411"/>
      <c r="AIV12" s="411"/>
      <c r="AIW12" s="411"/>
      <c r="AIX12" s="411"/>
      <c r="AIY12" s="411"/>
      <c r="AIZ12" s="411"/>
      <c r="AJA12" s="411"/>
      <c r="AJB12" s="411"/>
      <c r="AJC12" s="411"/>
      <c r="AJD12" s="411"/>
      <c r="AJE12" s="411"/>
      <c r="AJF12" s="411"/>
      <c r="AJG12" s="411"/>
      <c r="AJH12" s="411"/>
      <c r="AJI12" s="411"/>
      <c r="AJJ12" s="411"/>
      <c r="AJK12" s="411"/>
      <c r="AJL12" s="411"/>
      <c r="AJM12" s="411"/>
      <c r="AJN12" s="411"/>
      <c r="AJO12" s="411"/>
      <c r="AJP12" s="411"/>
      <c r="AJQ12" s="411"/>
      <c r="AJR12" s="411"/>
      <c r="AJS12" s="411"/>
      <c r="AJT12" s="411"/>
      <c r="AJU12" s="411"/>
      <c r="AJV12" s="411"/>
      <c r="AJW12" s="411"/>
      <c r="AJX12" s="411"/>
      <c r="AJY12" s="411"/>
      <c r="AJZ12" s="411"/>
      <c r="AKA12" s="411"/>
      <c r="AKB12" s="411"/>
      <c r="AKC12" s="411"/>
      <c r="AKD12" s="411"/>
      <c r="AKE12" s="411"/>
      <c r="AKF12" s="411"/>
      <c r="AKG12" s="411"/>
      <c r="AKH12" s="411"/>
      <c r="AKI12" s="411"/>
      <c r="AKJ12" s="411"/>
      <c r="AKK12" s="411"/>
      <c r="AKL12" s="411"/>
      <c r="AKM12" s="411"/>
      <c r="AKN12" s="411"/>
      <c r="AKO12" s="411"/>
      <c r="AKP12" s="411"/>
      <c r="AKQ12" s="411"/>
      <c r="AKR12" s="411"/>
      <c r="AKS12" s="411"/>
      <c r="AKT12" s="411"/>
    </row>
    <row r="13">
      <c r="A13" s="411" t="s">
        <v>32</v>
      </c>
      <c r="B13" s="411"/>
      <c r="C13" s="411"/>
      <c r="D13" s="411"/>
      <c r="E13" s="411"/>
      <c r="F13" s="411"/>
      <c r="G13" s="411"/>
      <c r="H13" s="411"/>
      <c r="I13" s="411"/>
      <c r="J13" s="411"/>
      <c r="K13" s="411">
        <v>38.70999908447266</v>
      </c>
      <c r="L13" s="411">
        <v>39.31999969482422</v>
      </c>
      <c r="M13" s="411">
        <v>38.70000076293945</v>
      </c>
      <c r="N13" s="411">
        <v>38.38999938964844</v>
      </c>
      <c r="O13" s="411">
        <v>38.63999938964844</v>
      </c>
      <c r="P13" s="411">
        <v>38.61000061035156</v>
      </c>
      <c r="Q13" s="411">
        <v>39.97000122070312</v>
      </c>
      <c r="R13" s="537"/>
      <c r="S13" s="537"/>
      <c r="T13" s="411"/>
      <c r="U13" s="411"/>
      <c r="V13" s="411"/>
      <c r="W13" s="411"/>
      <c r="X13" s="411"/>
      <c r="Y13" s="411"/>
      <c r="Z13" s="411"/>
      <c r="AA13" s="411"/>
      <c r="AB13" s="411"/>
      <c r="AC13" s="411"/>
      <c r="AD13" s="411"/>
      <c r="AE13" s="411"/>
      <c r="AF13" s="411"/>
      <c r="AG13" s="411"/>
      <c r="AH13" s="411"/>
      <c r="AI13" s="411"/>
      <c r="AJ13" s="411"/>
      <c r="AK13" s="411"/>
      <c r="AL13" s="411"/>
      <c r="AM13" s="411"/>
      <c r="AN13" s="411"/>
      <c r="AO13" s="411"/>
      <c r="AP13" s="411"/>
      <c r="AQ13" s="411"/>
      <c r="AR13" s="411"/>
      <c r="AS13" s="411"/>
      <c r="AT13" s="411"/>
      <c r="AU13" s="411"/>
      <c r="AV13" s="411"/>
      <c r="AW13" s="411"/>
      <c r="AX13" s="411"/>
      <c r="AY13" s="411"/>
      <c r="AZ13" s="411"/>
      <c r="BA13" s="411"/>
      <c r="BB13" s="411"/>
      <c r="BC13" s="411"/>
      <c r="BD13" s="411"/>
      <c r="BE13" s="411"/>
      <c r="BF13" s="411"/>
      <c r="BG13" s="411"/>
      <c r="BH13" s="411"/>
      <c r="BI13" s="411"/>
      <c r="BJ13" s="411"/>
      <c r="BK13" s="411"/>
      <c r="BL13" s="411"/>
      <c r="BM13" s="411"/>
      <c r="BN13" s="411"/>
      <c r="BO13" s="411"/>
      <c r="BP13" s="411"/>
      <c r="BQ13" s="411"/>
      <c r="BR13" s="411"/>
      <c r="BS13" s="411"/>
      <c r="BT13" s="411"/>
      <c r="BU13" s="411"/>
      <c r="BV13" s="411"/>
      <c r="BW13" s="411"/>
      <c r="BX13" s="411"/>
      <c r="BY13" s="411"/>
      <c r="BZ13" s="411"/>
      <c r="CA13" s="411"/>
      <c r="CB13" s="411"/>
      <c r="CC13" s="411"/>
      <c r="CD13" s="411"/>
      <c r="CE13" s="411"/>
      <c r="CF13" s="411"/>
      <c r="CG13" s="411"/>
      <c r="CH13" s="411"/>
      <c r="CI13" s="411"/>
      <c r="CJ13" s="411"/>
      <c r="CK13" s="411"/>
      <c r="CL13" s="411"/>
      <c r="CM13" s="411"/>
      <c r="CN13" s="411"/>
      <c r="CO13" s="411"/>
      <c r="CP13" s="411"/>
      <c r="CQ13" s="411"/>
      <c r="CR13" s="411"/>
      <c r="CS13" s="411"/>
      <c r="CT13" s="411"/>
      <c r="CU13" s="411"/>
      <c r="CV13" s="411"/>
      <c r="CW13" s="411"/>
      <c r="CX13" s="411"/>
      <c r="CY13" s="411"/>
      <c r="CZ13" s="411"/>
      <c r="DA13" s="411"/>
      <c r="DB13" s="411"/>
      <c r="DC13" s="411"/>
      <c r="DD13" s="411"/>
      <c r="DE13" s="411"/>
      <c r="DF13" s="411"/>
      <c r="DG13" s="411"/>
      <c r="DH13" s="411"/>
      <c r="DI13" s="411"/>
      <c r="DJ13" s="411"/>
      <c r="DK13" s="411"/>
      <c r="DL13" s="411"/>
      <c r="DM13" s="411"/>
      <c r="DN13" s="411"/>
      <c r="DO13" s="411"/>
      <c r="DP13" s="411"/>
      <c r="DQ13" s="411"/>
      <c r="DR13" s="411"/>
      <c r="DS13" s="411"/>
      <c r="DT13" s="411"/>
      <c r="DU13" s="411"/>
      <c r="DV13" s="411"/>
      <c r="DW13" s="411"/>
      <c r="DX13" s="411"/>
      <c r="DY13" s="411"/>
      <c r="DZ13" s="411"/>
      <c r="EA13" s="411"/>
      <c r="EB13" s="411"/>
      <c r="EC13" s="411"/>
      <c r="ED13" s="411"/>
      <c r="EE13" s="411"/>
      <c r="EF13" s="411"/>
      <c r="EG13" s="411"/>
      <c r="EH13" s="411"/>
      <c r="EI13" s="411"/>
      <c r="EJ13" s="411"/>
      <c r="EK13" s="411"/>
      <c r="EL13" s="411"/>
      <c r="EM13" s="411"/>
      <c r="EN13" s="411"/>
      <c r="EO13" s="411"/>
      <c r="EP13" s="411"/>
      <c r="EQ13" s="411"/>
      <c r="ER13" s="411"/>
      <c r="ES13" s="411"/>
      <c r="ET13" s="411"/>
      <c r="EU13" s="411"/>
      <c r="EV13" s="411"/>
      <c r="EW13" s="411"/>
      <c r="EX13" s="411"/>
      <c r="EY13" s="411"/>
      <c r="EZ13" s="411"/>
      <c r="FA13" s="411"/>
      <c r="FB13" s="411"/>
      <c r="FC13" s="411"/>
      <c r="FD13" s="411"/>
      <c r="FE13" s="411"/>
      <c r="FF13" s="411"/>
      <c r="FG13" s="411"/>
      <c r="FH13" s="411"/>
      <c r="FI13" s="411"/>
      <c r="FJ13" s="411"/>
      <c r="FK13" s="411"/>
      <c r="FL13" s="411"/>
      <c r="FM13" s="411"/>
      <c r="FN13" s="411"/>
      <c r="FO13" s="411"/>
      <c r="FP13" s="411"/>
      <c r="FQ13" s="411"/>
      <c r="FR13" s="411"/>
      <c r="FS13" s="411"/>
      <c r="FT13" s="411"/>
      <c r="FU13" s="411"/>
      <c r="FV13" s="411"/>
      <c r="FW13" s="411"/>
      <c r="FX13" s="411"/>
      <c r="FY13" s="411"/>
      <c r="FZ13" s="411"/>
      <c r="GA13" s="411"/>
      <c r="GB13" s="411"/>
      <c r="GC13" s="411"/>
      <c r="GD13" s="411"/>
      <c r="GE13" s="411"/>
      <c r="GF13" s="411"/>
      <c r="GG13" s="411"/>
      <c r="GH13" s="411"/>
      <c r="GI13" s="411"/>
      <c r="GJ13" s="411"/>
      <c r="GK13" s="411"/>
      <c r="GL13" s="411"/>
      <c r="GM13" s="411"/>
      <c r="GN13" s="411"/>
      <c r="GO13" s="411"/>
      <c r="GP13" s="411"/>
      <c r="GQ13" s="411"/>
      <c r="GR13" s="411"/>
      <c r="GS13" s="411"/>
      <c r="GT13" s="411"/>
      <c r="GU13" s="411"/>
      <c r="GV13" s="411"/>
      <c r="GW13" s="411"/>
      <c r="GX13" s="411"/>
      <c r="GY13" s="411"/>
      <c r="GZ13" s="411"/>
      <c r="HA13" s="411"/>
      <c r="HB13" s="411"/>
      <c r="HC13" s="411"/>
      <c r="HD13" s="411"/>
      <c r="HE13" s="411"/>
      <c r="HF13" s="411"/>
      <c r="HG13" s="411"/>
      <c r="HH13" s="411"/>
      <c r="HI13" s="411"/>
      <c r="HJ13" s="411"/>
      <c r="HK13" s="411"/>
      <c r="HL13" s="411"/>
      <c r="HM13" s="411"/>
      <c r="HN13" s="411"/>
      <c r="HO13" s="411"/>
      <c r="HP13" s="411"/>
      <c r="HQ13" s="411"/>
      <c r="HR13" s="411"/>
      <c r="HS13" s="411"/>
      <c r="HT13" s="411"/>
      <c r="HU13" s="411"/>
      <c r="HV13" s="411"/>
      <c r="HW13" s="411"/>
      <c r="HX13" s="411"/>
      <c r="HY13" s="411"/>
      <c r="HZ13" s="411"/>
      <c r="IA13" s="411"/>
      <c r="IB13" s="411"/>
      <c r="IC13" s="411"/>
      <c r="ID13" s="411"/>
      <c r="IE13" s="411"/>
      <c r="IF13" s="411"/>
      <c r="IG13" s="411"/>
      <c r="IH13" s="411"/>
      <c r="II13" s="411"/>
      <c r="IJ13" s="411"/>
      <c r="IK13" s="411"/>
      <c r="IL13" s="411"/>
      <c r="IM13" s="411"/>
      <c r="IN13" s="411"/>
      <c r="IO13" s="411"/>
      <c r="IP13" s="411"/>
      <c r="IQ13" s="411"/>
      <c r="IR13" s="411"/>
      <c r="IS13" s="411"/>
      <c r="IT13" s="411"/>
      <c r="IU13" s="411"/>
      <c r="IV13" s="411"/>
      <c r="IW13" s="411"/>
      <c r="IX13" s="411"/>
      <c r="IY13" s="411"/>
      <c r="IZ13" s="411"/>
      <c r="JA13" s="411"/>
      <c r="JB13" s="411"/>
      <c r="JC13" s="411"/>
      <c r="JD13" s="411"/>
      <c r="JE13" s="411"/>
      <c r="JF13" s="411"/>
      <c r="JG13" s="411"/>
      <c r="JH13" s="411"/>
      <c r="JI13" s="411"/>
      <c r="JJ13" s="411"/>
      <c r="JK13" s="411"/>
      <c r="JL13" s="411"/>
      <c r="JM13" s="411"/>
      <c r="JN13" s="411"/>
      <c r="JO13" s="411"/>
      <c r="JP13" s="411"/>
      <c r="JQ13" s="411"/>
      <c r="JR13" s="411"/>
      <c r="JS13" s="411"/>
      <c r="JT13" s="411"/>
      <c r="JU13" s="411"/>
      <c r="JV13" s="411"/>
      <c r="JW13" s="411"/>
      <c r="JX13" s="411"/>
      <c r="JY13" s="411"/>
      <c r="JZ13" s="411"/>
      <c r="KA13" s="411"/>
      <c r="KB13" s="411"/>
      <c r="KC13" s="411"/>
      <c r="KD13" s="411"/>
      <c r="KE13" s="411"/>
      <c r="KF13" s="411"/>
      <c r="KG13" s="411"/>
      <c r="KH13" s="411"/>
      <c r="KI13" s="411"/>
      <c r="KJ13" s="411"/>
      <c r="KK13" s="411"/>
      <c r="KL13" s="411"/>
      <c r="KM13" s="411"/>
      <c r="KN13" s="411"/>
      <c r="KO13" s="411"/>
      <c r="KP13" s="411"/>
      <c r="KQ13" s="411"/>
      <c r="KR13" s="411"/>
      <c r="KS13" s="411"/>
      <c r="KT13" s="411"/>
      <c r="KU13" s="411"/>
      <c r="KV13" s="411"/>
      <c r="KW13" s="411"/>
      <c r="KX13" s="411"/>
      <c r="KY13" s="411"/>
      <c r="KZ13" s="411"/>
      <c r="LA13" s="411"/>
      <c r="LB13" s="411"/>
      <c r="LC13" s="411"/>
      <c r="LD13" s="411"/>
      <c r="LE13" s="411"/>
      <c r="LF13" s="411"/>
      <c r="LG13" s="411"/>
      <c r="LH13" s="411"/>
      <c r="LI13" s="411"/>
      <c r="LJ13" s="411"/>
      <c r="LK13" s="411"/>
      <c r="LL13" s="411"/>
      <c r="LM13" s="411"/>
      <c r="LN13" s="411"/>
      <c r="LO13" s="411"/>
      <c r="LP13" s="411"/>
      <c r="LQ13" s="411"/>
      <c r="LR13" s="411"/>
      <c r="LS13" s="411"/>
      <c r="LT13" s="411"/>
      <c r="LU13" s="411"/>
      <c r="LV13" s="411"/>
      <c r="LW13" s="411"/>
      <c r="LX13" s="411"/>
      <c r="LY13" s="411"/>
      <c r="LZ13" s="411"/>
      <c r="MA13" s="411"/>
      <c r="MB13" s="411"/>
      <c r="MC13" s="411"/>
      <c r="MD13" s="411"/>
      <c r="ME13" s="411"/>
      <c r="MF13" s="411"/>
      <c r="MG13" s="411"/>
      <c r="MH13" s="411"/>
      <c r="MI13" s="411"/>
      <c r="MJ13" s="411"/>
      <c r="MK13" s="411"/>
      <c r="ML13" s="411"/>
      <c r="MM13" s="411"/>
      <c r="MN13" s="411"/>
      <c r="MO13" s="411"/>
      <c r="MP13" s="411"/>
      <c r="MQ13" s="411"/>
      <c r="MR13" s="411"/>
      <c r="MS13" s="411"/>
      <c r="MT13" s="411"/>
      <c r="MU13" s="411"/>
      <c r="MV13" s="411"/>
      <c r="MW13" s="411"/>
      <c r="MX13" s="411"/>
      <c r="MY13" s="411"/>
      <c r="MZ13" s="411"/>
      <c r="NA13" s="411"/>
      <c r="NB13" s="411"/>
      <c r="NC13" s="411"/>
      <c r="ND13" s="411"/>
      <c r="NE13" s="411"/>
      <c r="NF13" s="411"/>
      <c r="NG13" s="411"/>
      <c r="NH13" s="411"/>
      <c r="NI13" s="411"/>
      <c r="NJ13" s="411"/>
      <c r="NK13" s="411"/>
      <c r="NL13" s="411"/>
      <c r="NM13" s="411"/>
      <c r="NN13" s="411"/>
      <c r="NO13" s="411"/>
      <c r="NP13" s="411"/>
      <c r="NQ13" s="411"/>
      <c r="NR13" s="411"/>
      <c r="NS13" s="411"/>
      <c r="NT13" s="411"/>
      <c r="NU13" s="411"/>
      <c r="NV13" s="411"/>
      <c r="NW13" s="411"/>
      <c r="NX13" s="411"/>
      <c r="NY13" s="411"/>
      <c r="NZ13" s="411"/>
      <c r="OA13" s="411"/>
      <c r="OB13" s="411"/>
      <c r="OC13" s="411"/>
      <c r="OD13" s="411"/>
      <c r="OE13" s="411"/>
      <c r="OF13" s="411"/>
      <c r="OG13" s="411"/>
      <c r="OH13" s="411"/>
      <c r="OI13" s="411"/>
      <c r="OJ13" s="411"/>
      <c r="OK13" s="411"/>
      <c r="OL13" s="411"/>
      <c r="OM13" s="411"/>
      <c r="ON13" s="411"/>
      <c r="OO13" s="411"/>
      <c r="OP13" s="411"/>
      <c r="OQ13" s="411"/>
      <c r="OR13" s="411"/>
      <c r="OS13" s="411"/>
      <c r="OT13" s="411"/>
      <c r="OU13" s="411"/>
      <c r="OV13" s="411"/>
      <c r="OW13" s="411"/>
      <c r="OX13" s="411"/>
      <c r="OY13" s="411"/>
      <c r="OZ13" s="411"/>
      <c r="PA13" s="411"/>
      <c r="PB13" s="411"/>
      <c r="PC13" s="411"/>
      <c r="PD13" s="411"/>
      <c r="PE13" s="411"/>
      <c r="PF13" s="411"/>
      <c r="PG13" s="411"/>
      <c r="PH13" s="411"/>
      <c r="PI13" s="411"/>
      <c r="PJ13" s="411"/>
      <c r="PK13" s="411"/>
      <c r="PL13" s="411"/>
      <c r="PM13" s="411"/>
      <c r="PN13" s="411"/>
      <c r="PO13" s="411"/>
      <c r="PP13" s="411"/>
      <c r="PQ13" s="411"/>
      <c r="PR13" s="411"/>
      <c r="PS13" s="411"/>
      <c r="PT13" s="411"/>
      <c r="PU13" s="411"/>
      <c r="PV13" s="411"/>
      <c r="PW13" s="411"/>
      <c r="PX13" s="411"/>
      <c r="PY13" s="411"/>
      <c r="PZ13" s="411"/>
      <c r="QA13" s="411"/>
      <c r="QB13" s="411"/>
      <c r="QC13" s="411"/>
      <c r="QD13" s="411"/>
      <c r="QE13" s="411"/>
      <c r="QF13" s="411"/>
      <c r="QG13" s="411"/>
      <c r="QH13" s="411"/>
      <c r="QI13" s="411"/>
      <c r="QJ13" s="411"/>
      <c r="QK13" s="411"/>
      <c r="QL13" s="411"/>
      <c r="QM13" s="411"/>
      <c r="QN13" s="411"/>
      <c r="QO13" s="411"/>
      <c r="QP13" s="411"/>
      <c r="QQ13" s="411"/>
      <c r="QR13" s="411"/>
      <c r="QS13" s="411"/>
      <c r="QT13" s="411"/>
      <c r="QU13" s="411"/>
      <c r="QV13" s="411"/>
      <c r="QW13" s="411"/>
      <c r="QX13" s="411"/>
      <c r="QY13" s="411"/>
      <c r="QZ13" s="411"/>
      <c r="RA13" s="411"/>
      <c r="RB13" s="411"/>
      <c r="RC13" s="411"/>
      <c r="RD13" s="411"/>
      <c r="RE13" s="411"/>
      <c r="RF13" s="411"/>
      <c r="RG13" s="411"/>
      <c r="RH13" s="411"/>
      <c r="RI13" s="411"/>
      <c r="RJ13" s="411"/>
      <c r="RK13" s="411"/>
      <c r="RL13" s="411"/>
      <c r="RM13" s="411"/>
      <c r="RN13" s="411"/>
      <c r="RO13" s="411"/>
      <c r="RP13" s="411"/>
      <c r="RQ13" s="411"/>
      <c r="RR13" s="411"/>
      <c r="RS13" s="411"/>
      <c r="RT13" s="411"/>
      <c r="RU13" s="411"/>
      <c r="RV13" s="411"/>
      <c r="RW13" s="411"/>
      <c r="RX13" s="411"/>
      <c r="RY13" s="411"/>
      <c r="RZ13" s="411"/>
      <c r="SA13" s="411"/>
      <c r="SB13" s="411"/>
      <c r="SC13" s="411"/>
      <c r="SD13" s="411"/>
      <c r="SE13" s="411"/>
      <c r="SF13" s="411"/>
      <c r="SG13" s="411"/>
      <c r="SH13" s="411"/>
      <c r="SI13" s="411"/>
      <c r="SJ13" s="411"/>
      <c r="SK13" s="411"/>
      <c r="SL13" s="411"/>
      <c r="SM13" s="411"/>
      <c r="SN13" s="411"/>
      <c r="SO13" s="411"/>
      <c r="SP13" s="411"/>
      <c r="SQ13" s="411"/>
      <c r="SR13" s="411"/>
      <c r="SS13" s="411"/>
      <c r="ST13" s="411"/>
      <c r="SU13" s="411"/>
      <c r="SV13" s="411"/>
      <c r="SW13" s="411"/>
      <c r="SX13" s="411"/>
      <c r="SY13" s="411"/>
      <c r="SZ13" s="411"/>
      <c r="TA13" s="411"/>
      <c r="TB13" s="411"/>
      <c r="TC13" s="411"/>
      <c r="TD13" s="411"/>
      <c r="TE13" s="411"/>
      <c r="TF13" s="411"/>
      <c r="TG13" s="411"/>
      <c r="TH13" s="411"/>
      <c r="TI13" s="411"/>
      <c r="TJ13" s="411"/>
      <c r="TK13" s="411"/>
      <c r="TL13" s="411"/>
      <c r="TM13" s="411"/>
      <c r="TN13" s="411"/>
      <c r="TO13" s="411"/>
      <c r="TP13" s="411"/>
      <c r="TQ13" s="411"/>
      <c r="TR13" s="411"/>
      <c r="TS13" s="411"/>
      <c r="TT13" s="411"/>
      <c r="TU13" s="411"/>
      <c r="TV13" s="411"/>
      <c r="TW13" s="411"/>
      <c r="TX13" s="411"/>
      <c r="TY13" s="411"/>
      <c r="TZ13" s="411"/>
      <c r="UA13" s="411"/>
      <c r="UB13" s="411"/>
      <c r="UC13" s="411"/>
      <c r="UD13" s="411"/>
      <c r="UE13" s="411"/>
      <c r="UF13" s="411"/>
      <c r="UG13" s="411"/>
      <c r="UH13" s="411"/>
      <c r="UI13" s="411"/>
      <c r="UJ13" s="411"/>
      <c r="UK13" s="411"/>
      <c r="UL13" s="411"/>
      <c r="UM13" s="411"/>
      <c r="UN13" s="411"/>
      <c r="UO13" s="411"/>
      <c r="UP13" s="411"/>
      <c r="UQ13" s="411"/>
      <c r="UR13" s="411"/>
      <c r="US13" s="411"/>
      <c r="UT13" s="411"/>
      <c r="UU13" s="411"/>
      <c r="UV13" s="411"/>
      <c r="UW13" s="411"/>
      <c r="UX13" s="411"/>
      <c r="UY13" s="411"/>
      <c r="UZ13" s="411"/>
      <c r="VA13" s="411"/>
      <c r="VB13" s="411"/>
      <c r="VC13" s="411"/>
      <c r="VD13" s="411"/>
      <c r="VE13" s="411"/>
      <c r="VF13" s="411"/>
      <c r="VG13" s="411"/>
      <c r="VH13" s="411"/>
      <c r="VI13" s="411"/>
      <c r="VJ13" s="411"/>
      <c r="VK13" s="411"/>
      <c r="VL13" s="411"/>
      <c r="VM13" s="411"/>
      <c r="VN13" s="411"/>
      <c r="VO13" s="411"/>
      <c r="VP13" s="411"/>
      <c r="VQ13" s="411"/>
      <c r="VR13" s="411"/>
      <c r="VS13" s="411"/>
      <c r="VT13" s="411"/>
      <c r="VU13" s="411"/>
      <c r="VV13" s="411"/>
      <c r="VW13" s="411"/>
      <c r="VX13" s="411"/>
      <c r="VY13" s="411"/>
      <c r="VZ13" s="411"/>
      <c r="WA13" s="411"/>
      <c r="WB13" s="411"/>
      <c r="WC13" s="411"/>
      <c r="WD13" s="411"/>
      <c r="WE13" s="411"/>
      <c r="WF13" s="411"/>
      <c r="WG13" s="411"/>
      <c r="WH13" s="411"/>
      <c r="WI13" s="411"/>
      <c r="WJ13" s="411"/>
      <c r="WK13" s="411"/>
      <c r="WL13" s="411"/>
      <c r="WM13" s="411"/>
      <c r="WN13" s="411"/>
      <c r="WO13" s="411"/>
      <c r="WP13" s="411"/>
      <c r="WQ13" s="411"/>
      <c r="WR13" s="411"/>
      <c r="WS13" s="411"/>
      <c r="WT13" s="411"/>
      <c r="WU13" s="411"/>
      <c r="WV13" s="411"/>
      <c r="WW13" s="411"/>
      <c r="WX13" s="411"/>
      <c r="WY13" s="411"/>
      <c r="WZ13" s="411"/>
      <c r="XA13" s="411"/>
      <c r="XB13" s="411"/>
      <c r="XC13" s="411"/>
      <c r="XD13" s="411"/>
      <c r="XE13" s="411"/>
      <c r="XF13" s="411"/>
      <c r="XG13" s="411"/>
      <c r="XH13" s="411"/>
      <c r="XI13" s="411"/>
      <c r="XJ13" s="411"/>
      <c r="XK13" s="411"/>
      <c r="XL13" s="411"/>
      <c r="XM13" s="411"/>
      <c r="XN13" s="411"/>
      <c r="XO13" s="411"/>
      <c r="XP13" s="411"/>
      <c r="XQ13" s="411"/>
      <c r="XR13" s="411"/>
      <c r="XS13" s="411"/>
      <c r="XT13" s="411"/>
      <c r="XU13" s="411"/>
      <c r="XV13" s="411"/>
      <c r="XW13" s="411"/>
      <c r="XX13" s="411"/>
      <c r="XY13" s="411"/>
      <c r="XZ13" s="411"/>
      <c r="YA13" s="411"/>
      <c r="YB13" s="411"/>
      <c r="YC13" s="411"/>
      <c r="YD13" s="411"/>
      <c r="YE13" s="411"/>
      <c r="YF13" s="411"/>
      <c r="YG13" s="411"/>
      <c r="YH13" s="411"/>
      <c r="YI13" s="411"/>
      <c r="YJ13" s="411"/>
      <c r="YK13" s="411"/>
      <c r="YL13" s="411"/>
      <c r="YM13" s="411"/>
      <c r="YN13" s="411"/>
      <c r="YO13" s="411"/>
      <c r="YP13" s="411"/>
      <c r="YQ13" s="411"/>
      <c r="YR13" s="411"/>
      <c r="YS13" s="411"/>
      <c r="YT13" s="411"/>
      <c r="YU13" s="411"/>
      <c r="YV13" s="411"/>
      <c r="YW13" s="411"/>
      <c r="YX13" s="411"/>
      <c r="YY13" s="411"/>
      <c r="YZ13" s="411"/>
      <c r="ZA13" s="411"/>
      <c r="ZB13" s="411"/>
      <c r="ZC13" s="411"/>
      <c r="ZD13" s="411"/>
      <c r="ZE13" s="411"/>
      <c r="ZF13" s="411"/>
      <c r="ZG13" s="411"/>
      <c r="ZH13" s="411"/>
      <c r="ZI13" s="411"/>
      <c r="ZJ13" s="411"/>
      <c r="ZK13" s="411"/>
      <c r="ZL13" s="411"/>
      <c r="ZM13" s="411"/>
      <c r="ZN13" s="411"/>
      <c r="ZO13" s="411"/>
      <c r="ZP13" s="411"/>
      <c r="ZQ13" s="411"/>
      <c r="ZR13" s="411"/>
      <c r="ZS13" s="411"/>
      <c r="ZT13" s="411"/>
      <c r="ZU13" s="411"/>
      <c r="ZV13" s="411"/>
      <c r="ZW13" s="411"/>
      <c r="ZX13" s="411"/>
      <c r="ZY13" s="411"/>
      <c r="ZZ13" s="411"/>
      <c r="AAA13" s="411"/>
      <c r="AAB13" s="411"/>
      <c r="AAC13" s="411"/>
      <c r="AAD13" s="411"/>
      <c r="AAE13" s="411"/>
      <c r="AAF13" s="411"/>
      <c r="AAG13" s="411"/>
      <c r="AAH13" s="411"/>
      <c r="AAI13" s="411"/>
      <c r="AAJ13" s="411"/>
      <c r="AAK13" s="411"/>
      <c r="AAL13" s="411"/>
      <c r="AAM13" s="411"/>
      <c r="AAN13" s="411"/>
      <c r="AAO13" s="411"/>
      <c r="AAP13" s="411"/>
      <c r="AAQ13" s="411"/>
      <c r="AAR13" s="411"/>
      <c r="AAS13" s="411"/>
      <c r="AAT13" s="411"/>
      <c r="AAU13" s="411"/>
      <c r="AAV13" s="411"/>
      <c r="AAW13" s="411"/>
      <c r="AAX13" s="411"/>
      <c r="AAY13" s="411"/>
      <c r="AAZ13" s="411"/>
      <c r="ABA13" s="411"/>
      <c r="ABB13" s="411"/>
      <c r="ABC13" s="411"/>
      <c r="ABD13" s="411"/>
      <c r="ABE13" s="411"/>
      <c r="ABF13" s="411"/>
      <c r="ABG13" s="411"/>
      <c r="ABH13" s="411"/>
      <c r="ABI13" s="411"/>
      <c r="ABJ13" s="411"/>
      <c r="ABK13" s="411"/>
      <c r="ABL13" s="411"/>
      <c r="ABM13" s="411"/>
      <c r="ABN13" s="411"/>
      <c r="ABO13" s="411"/>
      <c r="ABP13" s="411"/>
      <c r="ABQ13" s="411"/>
      <c r="ABR13" s="411"/>
      <c r="ABS13" s="411"/>
      <c r="ABT13" s="411"/>
      <c r="ABU13" s="411"/>
      <c r="ABV13" s="411"/>
      <c r="ABW13" s="411"/>
      <c r="ABX13" s="411"/>
      <c r="ABY13" s="411"/>
      <c r="ABZ13" s="411"/>
      <c r="ACA13" s="411"/>
      <c r="ACB13" s="411"/>
      <c r="ACC13" s="411"/>
      <c r="ACD13" s="411"/>
      <c r="ACE13" s="411"/>
      <c r="ACF13" s="411"/>
      <c r="ACG13" s="411"/>
      <c r="ACH13" s="411"/>
      <c r="ACI13" s="411"/>
      <c r="ACJ13" s="411"/>
      <c r="ACK13" s="411"/>
      <c r="ACL13" s="411"/>
      <c r="ACM13" s="411"/>
      <c r="ACN13" s="411"/>
      <c r="ACO13" s="411"/>
      <c r="ACP13" s="411"/>
      <c r="ACQ13" s="411"/>
      <c r="ACR13" s="411"/>
      <c r="ACS13" s="411"/>
      <c r="ACT13" s="411"/>
      <c r="ACU13" s="411"/>
      <c r="ACV13" s="411"/>
      <c r="ACW13" s="411"/>
      <c r="ACX13" s="411"/>
      <c r="ACY13" s="411"/>
      <c r="ACZ13" s="411"/>
      <c r="ADA13" s="411"/>
      <c r="ADB13" s="411"/>
      <c r="ADC13" s="411"/>
      <c r="ADD13" s="411"/>
      <c r="ADE13" s="411"/>
      <c r="ADF13" s="411"/>
      <c r="ADG13" s="411"/>
      <c r="ADH13" s="411"/>
      <c r="ADI13" s="411"/>
      <c r="ADJ13" s="411"/>
      <c r="ADK13" s="411"/>
      <c r="ADL13" s="411"/>
      <c r="ADM13" s="411"/>
      <c r="ADN13" s="411"/>
      <c r="ADO13" s="411"/>
      <c r="ADP13" s="411"/>
      <c r="ADQ13" s="411"/>
      <c r="ADR13" s="411"/>
      <c r="ADS13" s="411"/>
      <c r="ADT13" s="411"/>
      <c r="ADU13" s="411"/>
      <c r="ADV13" s="411"/>
      <c r="ADW13" s="411"/>
      <c r="ADX13" s="411"/>
      <c r="ADY13" s="411"/>
      <c r="ADZ13" s="411"/>
      <c r="AEA13" s="411"/>
      <c r="AEB13" s="411"/>
      <c r="AEC13" s="411"/>
      <c r="AED13" s="411"/>
      <c r="AEE13" s="411"/>
      <c r="AEF13" s="411"/>
      <c r="AEG13" s="411"/>
      <c r="AEH13" s="411"/>
      <c r="AEI13" s="411"/>
      <c r="AEJ13" s="411"/>
      <c r="AEK13" s="411"/>
      <c r="AEL13" s="411"/>
      <c r="AEM13" s="411"/>
      <c r="AEN13" s="411"/>
      <c r="AEO13" s="411"/>
      <c r="AEP13" s="411"/>
      <c r="AEQ13" s="411"/>
      <c r="AER13" s="411"/>
      <c r="AES13" s="411"/>
      <c r="AET13" s="411"/>
      <c r="AEU13" s="411"/>
      <c r="AEV13" s="411"/>
      <c r="AEW13" s="411"/>
      <c r="AEX13" s="411"/>
      <c r="AEY13" s="411"/>
      <c r="AEZ13" s="411"/>
      <c r="AFA13" s="411"/>
      <c r="AFB13" s="411"/>
      <c r="AFC13" s="411"/>
      <c r="AFD13" s="411"/>
      <c r="AFE13" s="411"/>
      <c r="AFF13" s="411"/>
      <c r="AFG13" s="411"/>
      <c r="AFH13" s="411"/>
      <c r="AFI13" s="411"/>
      <c r="AFJ13" s="411"/>
      <c r="AFK13" s="411"/>
      <c r="AFL13" s="411"/>
      <c r="AFM13" s="411"/>
      <c r="AFN13" s="411"/>
      <c r="AFO13" s="411"/>
      <c r="AFP13" s="411"/>
      <c r="AFQ13" s="411"/>
      <c r="AFR13" s="411"/>
      <c r="AFS13" s="411"/>
      <c r="AFT13" s="411"/>
      <c r="AFU13" s="411"/>
      <c r="AFV13" s="411"/>
      <c r="AFW13" s="411"/>
      <c r="AFX13" s="411"/>
      <c r="AFY13" s="411"/>
      <c r="AFZ13" s="411"/>
      <c r="AGA13" s="411"/>
      <c r="AGB13" s="411"/>
      <c r="AGC13" s="411"/>
      <c r="AGD13" s="411"/>
      <c r="AGE13" s="411"/>
      <c r="AGF13" s="411"/>
      <c r="AGG13" s="411"/>
      <c r="AGH13" s="411"/>
      <c r="AGI13" s="411"/>
      <c r="AGJ13" s="411"/>
      <c r="AGK13" s="411"/>
      <c r="AGL13" s="411"/>
      <c r="AGM13" s="411"/>
      <c r="AGN13" s="411"/>
      <c r="AGO13" s="411"/>
      <c r="AGP13" s="411"/>
      <c r="AGQ13" s="411"/>
      <c r="AGR13" s="411"/>
      <c r="AGS13" s="411"/>
      <c r="AGT13" s="411"/>
      <c r="AGU13" s="411"/>
      <c r="AGV13" s="411"/>
      <c r="AGW13" s="411"/>
      <c r="AGX13" s="411"/>
      <c r="AGY13" s="411"/>
      <c r="AGZ13" s="411"/>
      <c r="AHA13" s="411"/>
      <c r="AHB13" s="411"/>
      <c r="AHC13" s="411"/>
      <c r="AHD13" s="411"/>
      <c r="AHE13" s="411"/>
      <c r="AHF13" s="411"/>
      <c r="AHG13" s="411"/>
      <c r="AHH13" s="411"/>
      <c r="AHI13" s="411"/>
      <c r="AHJ13" s="411"/>
      <c r="AHK13" s="411"/>
      <c r="AHL13" s="411"/>
      <c r="AHM13" s="411"/>
      <c r="AHN13" s="411"/>
      <c r="AHO13" s="411"/>
      <c r="AHP13" s="411"/>
      <c r="AHQ13" s="411"/>
      <c r="AHR13" s="411"/>
      <c r="AHS13" s="411"/>
      <c r="AHT13" s="411"/>
      <c r="AHU13" s="411"/>
      <c r="AHV13" s="411"/>
      <c r="AHW13" s="411"/>
      <c r="AHX13" s="411"/>
      <c r="AHY13" s="411"/>
      <c r="AHZ13" s="411"/>
      <c r="AIA13" s="411"/>
      <c r="AIB13" s="411"/>
      <c r="AIC13" s="411"/>
      <c r="AID13" s="411"/>
      <c r="AIE13" s="411"/>
      <c r="AIF13" s="411"/>
      <c r="AIG13" s="411"/>
      <c r="AIH13" s="411"/>
      <c r="AII13" s="411"/>
      <c r="AIJ13" s="411"/>
      <c r="AIK13" s="411"/>
      <c r="AIL13" s="411"/>
      <c r="AIM13" s="411"/>
      <c r="AIN13" s="411"/>
      <c r="AIO13" s="411"/>
      <c r="AIP13" s="411"/>
      <c r="AIQ13" s="411"/>
      <c r="AIR13" s="411"/>
      <c r="AIS13" s="411"/>
      <c r="AIT13" s="411"/>
      <c r="AIU13" s="411"/>
      <c r="AIV13" s="411"/>
      <c r="AIW13" s="411"/>
      <c r="AIX13" s="411"/>
      <c r="AIY13" s="411"/>
      <c r="AIZ13" s="411"/>
      <c r="AJA13" s="411"/>
      <c r="AJB13" s="411"/>
      <c r="AJC13" s="411"/>
      <c r="AJD13" s="411"/>
      <c r="AJE13" s="411"/>
      <c r="AJF13" s="411"/>
      <c r="AJG13" s="411"/>
      <c r="AJH13" s="411"/>
      <c r="AJI13" s="411"/>
      <c r="AJJ13" s="411"/>
      <c r="AJK13" s="411"/>
      <c r="AJL13" s="411"/>
      <c r="AJM13" s="411"/>
      <c r="AJN13" s="411"/>
      <c r="AJO13" s="411"/>
      <c r="AJP13" s="411"/>
      <c r="AJQ13" s="411"/>
      <c r="AJR13" s="411"/>
      <c r="AJS13" s="411"/>
      <c r="AJT13" s="411"/>
      <c r="AJU13" s="411"/>
      <c r="AJV13" s="411"/>
      <c r="AJW13" s="411"/>
      <c r="AJX13" s="411"/>
      <c r="AJY13" s="411"/>
      <c r="AJZ13" s="411"/>
      <c r="AKA13" s="411"/>
      <c r="AKB13" s="411"/>
      <c r="AKC13" s="411"/>
      <c r="AKD13" s="411"/>
      <c r="AKE13" s="411"/>
      <c r="AKF13" s="411"/>
      <c r="AKG13" s="411"/>
      <c r="AKH13" s="411"/>
      <c r="AKI13" s="411"/>
      <c r="AKJ13" s="411"/>
      <c r="AKK13" s="411"/>
      <c r="AKL13" s="411"/>
      <c r="AKM13" s="411"/>
      <c r="AKN13" s="411"/>
      <c r="AKO13" s="411"/>
      <c r="AKP13" s="411"/>
      <c r="AKQ13" s="411"/>
      <c r="AKR13" s="411"/>
      <c r="AKS13" s="411"/>
      <c r="AKT13" s="411"/>
    </row>
    <row r="14">
      <c r="A14" s="411" t="s">
        <v>107</v>
      </c>
      <c r="B14" s="411"/>
      <c r="C14" s="411"/>
      <c r="D14" s="411"/>
      <c r="E14" s="411"/>
      <c r="F14" s="411"/>
      <c r="G14" s="411"/>
      <c r="H14" s="411"/>
      <c r="I14" s="411"/>
      <c r="J14" s="411"/>
      <c r="K14" s="411"/>
      <c r="L14" s="411"/>
      <c r="M14" s="411"/>
      <c r="N14" s="411"/>
      <c r="O14" s="411"/>
      <c r="P14" s="411"/>
      <c r="Q14" s="411"/>
      <c r="R14" s="411"/>
      <c r="S14" s="411"/>
      <c r="T14" s="411"/>
      <c r="U14" s="411"/>
      <c r="V14" s="411"/>
      <c r="W14" s="411"/>
      <c r="X14" s="411"/>
      <c r="Y14" s="411"/>
      <c r="Z14" s="411"/>
      <c r="AA14" s="411"/>
      <c r="AB14" s="411"/>
      <c r="AC14" s="411"/>
      <c r="AD14" s="411"/>
      <c r="AE14" s="411"/>
      <c r="AF14" s="411"/>
      <c r="AG14" s="411"/>
      <c r="AH14" s="411"/>
      <c r="AI14" s="411"/>
      <c r="AJ14" s="411"/>
      <c r="AK14" s="411"/>
      <c r="AL14" s="411"/>
      <c r="AM14" s="411"/>
      <c r="AN14" s="411">
        <v>22.5</v>
      </c>
      <c r="AO14" s="411">
        <v>23.05999946594238</v>
      </c>
      <c r="AP14" s="411">
        <v>22.76000022888184</v>
      </c>
      <c r="AQ14" s="411">
        <v>22.93000030517578</v>
      </c>
      <c r="AR14" s="411">
        <v>22.64999961853027</v>
      </c>
      <c r="AS14" s="411">
        <v>22.39999961853027</v>
      </c>
      <c r="AT14" s="411">
        <v>21.94000053405762</v>
      </c>
      <c r="AU14" s="411">
        <v>22.15999984741211</v>
      </c>
      <c r="AV14" s="411">
        <v>22.61000061035156</v>
      </c>
      <c r="AW14" s="411">
        <v>22.61</v>
      </c>
      <c r="AX14" s="411">
        <v>22.55999946594238</v>
      </c>
      <c r="AY14" s="411">
        <v>22.6200008392334</v>
      </c>
      <c r="AZ14" s="411">
        <v>22.84</v>
      </c>
      <c r="BA14" s="411"/>
      <c r="BB14" s="411"/>
      <c r="BC14" s="411"/>
      <c r="BD14" s="411"/>
      <c r="BE14" s="411"/>
      <c r="BF14" s="411"/>
      <c r="BG14" s="411"/>
      <c r="BH14" s="411"/>
      <c r="BI14" s="411"/>
      <c r="BJ14" s="411"/>
      <c r="BK14" s="411"/>
      <c r="BL14" s="411"/>
      <c r="BM14" s="411"/>
      <c r="BN14" s="411"/>
      <c r="BO14" s="411"/>
      <c r="BP14" s="411"/>
      <c r="BQ14" s="411"/>
      <c r="BR14" s="411"/>
      <c r="BS14" s="411"/>
      <c r="BT14" s="411"/>
      <c r="BU14" s="411"/>
      <c r="BV14" s="411"/>
      <c r="BW14" s="411"/>
      <c r="BX14" s="411"/>
      <c r="BY14" s="411"/>
      <c r="BZ14" s="411"/>
      <c r="CA14" s="411"/>
      <c r="CB14" s="411"/>
      <c r="CC14" s="411"/>
      <c r="CD14" s="411"/>
      <c r="CE14" s="411"/>
      <c r="CF14" s="411"/>
      <c r="CG14" s="411"/>
      <c r="CH14" s="411"/>
      <c r="CI14" s="411"/>
      <c r="CJ14" s="411"/>
      <c r="CK14" s="411"/>
      <c r="CL14" s="411"/>
      <c r="CM14" s="411"/>
      <c r="CN14" s="411"/>
      <c r="CO14" s="411"/>
      <c r="CP14" s="411"/>
      <c r="CQ14" s="411"/>
      <c r="CR14" s="411"/>
      <c r="CS14" s="411"/>
      <c r="CT14" s="411"/>
      <c r="CU14" s="411"/>
      <c r="CV14" s="411"/>
      <c r="CW14" s="411"/>
      <c r="CX14" s="411"/>
      <c r="CY14" s="411"/>
      <c r="CZ14" s="411"/>
      <c r="DA14" s="411"/>
      <c r="DB14" s="411"/>
      <c r="DC14" s="411"/>
      <c r="DD14" s="411"/>
      <c r="DE14" s="411"/>
      <c r="DF14" s="411"/>
      <c r="DG14" s="411"/>
      <c r="DH14" s="411"/>
      <c r="DI14" s="411"/>
      <c r="DJ14" s="411"/>
      <c r="DK14" s="411"/>
      <c r="DL14" s="411"/>
      <c r="DM14" s="411"/>
      <c r="DN14" s="411"/>
      <c r="DO14" s="411"/>
      <c r="DP14" s="411"/>
      <c r="DQ14" s="411"/>
      <c r="DR14" s="411"/>
      <c r="DS14" s="411"/>
      <c r="DT14" s="411"/>
      <c r="DU14" s="411"/>
      <c r="DV14" s="411"/>
      <c r="DW14" s="411"/>
      <c r="DX14" s="411"/>
      <c r="DY14" s="411"/>
      <c r="DZ14" s="411"/>
      <c r="EA14" s="411"/>
      <c r="EB14" s="411"/>
      <c r="EC14" s="411"/>
      <c r="ED14" s="411"/>
      <c r="EE14" s="411"/>
      <c r="EF14" s="411"/>
      <c r="EG14" s="411"/>
      <c r="EH14" s="411"/>
      <c r="EI14" s="411"/>
      <c r="EJ14" s="411"/>
      <c r="EK14" s="411"/>
      <c r="EL14" s="411"/>
      <c r="EM14" s="411"/>
      <c r="EN14" s="411"/>
      <c r="EO14" s="411"/>
      <c r="EP14" s="411"/>
      <c r="EQ14" s="411"/>
      <c r="ER14" s="411"/>
      <c r="ES14" s="411"/>
      <c r="ET14" s="411"/>
      <c r="EU14" s="411"/>
      <c r="EV14" s="411"/>
      <c r="EW14" s="411"/>
      <c r="EX14" s="411"/>
      <c r="EY14" s="411"/>
      <c r="EZ14" s="411"/>
      <c r="FA14" s="411"/>
      <c r="FB14" s="411"/>
      <c r="FC14" s="411"/>
      <c r="FD14" s="411"/>
      <c r="FE14" s="411"/>
      <c r="FF14" s="411"/>
      <c r="FG14" s="411"/>
      <c r="FH14" s="411"/>
      <c r="FI14" s="411"/>
      <c r="FJ14" s="411"/>
      <c r="FK14" s="411"/>
      <c r="FL14" s="411"/>
      <c r="FM14" s="411"/>
      <c r="FN14" s="411"/>
      <c r="FO14" s="411"/>
      <c r="FP14" s="411"/>
      <c r="FQ14" s="411"/>
      <c r="FR14" s="411"/>
      <c r="FS14" s="411"/>
      <c r="FT14" s="411"/>
      <c r="FU14" s="411"/>
      <c r="FV14" s="411"/>
      <c r="FW14" s="411"/>
      <c r="FX14" s="411"/>
      <c r="FY14" s="411"/>
      <c r="FZ14" s="411"/>
      <c r="GA14" s="411"/>
      <c r="GB14" s="411"/>
      <c r="GC14" s="411"/>
      <c r="GD14" s="411"/>
      <c r="GE14" s="411"/>
      <c r="GF14" s="411"/>
      <c r="GG14" s="411"/>
      <c r="GH14" s="411"/>
      <c r="GI14" s="411"/>
      <c r="GJ14" s="411"/>
      <c r="GK14" s="411"/>
      <c r="GL14" s="411"/>
      <c r="GM14" s="411"/>
      <c r="GN14" s="411"/>
      <c r="GO14" s="411"/>
      <c r="GP14" s="411"/>
      <c r="GQ14" s="411"/>
      <c r="GR14" s="411"/>
      <c r="GS14" s="411"/>
      <c r="GT14" s="411"/>
      <c r="GU14" s="411"/>
      <c r="GV14" s="411"/>
      <c r="GW14" s="411"/>
      <c r="GX14" s="411"/>
      <c r="GY14" s="411"/>
      <c r="GZ14" s="411"/>
      <c r="HA14" s="411"/>
      <c r="HB14" s="411"/>
      <c r="HC14" s="411"/>
      <c r="HD14" s="411"/>
      <c r="HE14" s="411"/>
      <c r="HF14" s="411"/>
      <c r="HG14" s="411"/>
      <c r="HH14" s="411"/>
      <c r="HI14" s="411"/>
      <c r="HJ14" s="411"/>
      <c r="HK14" s="411"/>
      <c r="HL14" s="411"/>
      <c r="HM14" s="411"/>
      <c r="HN14" s="411"/>
      <c r="HO14" s="411"/>
      <c r="HP14" s="411"/>
      <c r="HQ14" s="411"/>
      <c r="HR14" s="411"/>
      <c r="HS14" s="411"/>
      <c r="HT14" s="411"/>
      <c r="HU14" s="411"/>
      <c r="HV14" s="411"/>
      <c r="HW14" s="411"/>
      <c r="HX14" s="411"/>
      <c r="HY14" s="411"/>
      <c r="HZ14" s="411"/>
      <c r="IA14" s="411"/>
      <c r="IB14" s="411"/>
      <c r="IC14" s="411"/>
      <c r="ID14" s="411"/>
      <c r="IE14" s="411"/>
      <c r="IF14" s="411"/>
      <c r="IG14" s="411"/>
      <c r="IH14" s="411"/>
      <c r="II14" s="411"/>
      <c r="IJ14" s="411"/>
      <c r="IK14" s="411"/>
      <c r="IL14" s="411"/>
      <c r="IM14" s="411"/>
      <c r="IN14" s="411"/>
      <c r="IO14" s="411"/>
      <c r="IP14" s="411"/>
      <c r="IQ14" s="411"/>
      <c r="IR14" s="411"/>
      <c r="IS14" s="411"/>
      <c r="IT14" s="411"/>
      <c r="IU14" s="411"/>
      <c r="IV14" s="411"/>
      <c r="IW14" s="411"/>
      <c r="IX14" s="411"/>
      <c r="IY14" s="411"/>
      <c r="IZ14" s="411"/>
      <c r="JA14" s="411"/>
      <c r="JB14" s="411"/>
      <c r="JC14" s="411"/>
      <c r="JD14" s="411"/>
      <c r="JE14" s="411"/>
      <c r="JF14" s="411"/>
      <c r="JG14" s="411"/>
      <c r="JH14" s="411"/>
      <c r="JI14" s="411"/>
      <c r="JJ14" s="411"/>
      <c r="JK14" s="411"/>
      <c r="JL14" s="411"/>
      <c r="JM14" s="411"/>
      <c r="JN14" s="411"/>
      <c r="JO14" s="411"/>
      <c r="JP14" s="411"/>
      <c r="JQ14" s="411"/>
      <c r="JR14" s="411"/>
      <c r="JS14" s="411"/>
      <c r="JT14" s="411"/>
      <c r="JU14" s="411"/>
      <c r="JV14" s="411"/>
      <c r="JW14" s="411"/>
      <c r="JX14" s="411"/>
      <c r="JY14" s="411"/>
      <c r="JZ14" s="411"/>
      <c r="KA14" s="411"/>
      <c r="KB14" s="411"/>
      <c r="KC14" s="411"/>
      <c r="KD14" s="411"/>
      <c r="KE14" s="411"/>
      <c r="KF14" s="411"/>
      <c r="KG14" s="411"/>
      <c r="KH14" s="411"/>
      <c r="KI14" s="411"/>
      <c r="KJ14" s="411"/>
      <c r="KK14" s="411"/>
      <c r="KL14" s="411"/>
      <c r="KM14" s="411"/>
      <c r="KN14" s="411"/>
      <c r="KO14" s="411"/>
      <c r="KP14" s="411"/>
      <c r="KQ14" s="411"/>
      <c r="KR14" s="411"/>
      <c r="KS14" s="411"/>
      <c r="KT14" s="411"/>
      <c r="KU14" s="411"/>
      <c r="KV14" s="411"/>
      <c r="KW14" s="411"/>
      <c r="KX14" s="411"/>
      <c r="KY14" s="411"/>
      <c r="KZ14" s="411"/>
      <c r="LA14" s="411"/>
      <c r="LB14" s="411"/>
      <c r="LC14" s="411"/>
      <c r="LD14" s="411"/>
      <c r="LE14" s="411"/>
      <c r="LF14" s="411"/>
      <c r="LG14" s="411"/>
      <c r="LH14" s="411"/>
      <c r="LI14" s="411"/>
      <c r="LJ14" s="411"/>
      <c r="LK14" s="411"/>
      <c r="LL14" s="411"/>
      <c r="LM14" s="411"/>
      <c r="LN14" s="411"/>
      <c r="LO14" s="411"/>
      <c r="LP14" s="411"/>
      <c r="LQ14" s="411"/>
      <c r="LR14" s="411"/>
      <c r="LS14" s="411"/>
      <c r="LT14" s="411"/>
      <c r="LU14" s="411"/>
      <c r="LV14" s="411"/>
      <c r="LW14" s="411"/>
      <c r="LX14" s="411"/>
      <c r="LY14" s="411"/>
      <c r="LZ14" s="411"/>
      <c r="MA14" s="411"/>
      <c r="MB14" s="411"/>
      <c r="MC14" s="411"/>
      <c r="MD14" s="411"/>
      <c r="ME14" s="411"/>
      <c r="MF14" s="411"/>
      <c r="MG14" s="411"/>
      <c r="MH14" s="411"/>
      <c r="MI14" s="411"/>
      <c r="MJ14" s="411"/>
      <c r="MK14" s="411"/>
      <c r="ML14" s="411"/>
      <c r="MM14" s="411"/>
      <c r="MN14" s="411"/>
      <c r="MO14" s="411"/>
      <c r="MP14" s="411"/>
      <c r="MQ14" s="411"/>
      <c r="MR14" s="411"/>
      <c r="MS14" s="411"/>
      <c r="MT14" s="411"/>
      <c r="MU14" s="411"/>
      <c r="MV14" s="411"/>
      <c r="MW14" s="411"/>
      <c r="MX14" s="411"/>
      <c r="MY14" s="411"/>
      <c r="MZ14" s="411"/>
      <c r="NA14" s="411"/>
      <c r="NB14" s="411"/>
      <c r="NC14" s="411"/>
      <c r="ND14" s="411"/>
      <c r="NE14" s="411"/>
      <c r="NF14" s="411"/>
      <c r="NG14" s="411"/>
      <c r="NH14" s="411"/>
      <c r="NI14" s="411"/>
      <c r="NJ14" s="411"/>
      <c r="NK14" s="411"/>
      <c r="NL14" s="411"/>
      <c r="NM14" s="411"/>
      <c r="NN14" s="411"/>
      <c r="NO14" s="411"/>
      <c r="NP14" s="411"/>
      <c r="NQ14" s="411"/>
      <c r="NR14" s="411"/>
      <c r="NS14" s="411"/>
      <c r="NT14" s="411"/>
      <c r="NU14" s="411"/>
      <c r="NV14" s="411"/>
      <c r="NW14" s="411"/>
      <c r="NX14" s="411"/>
      <c r="NY14" s="411"/>
      <c r="NZ14" s="411"/>
      <c r="OA14" s="411"/>
      <c r="OB14" s="411"/>
      <c r="OC14" s="411"/>
      <c r="OD14" s="411"/>
      <c r="OE14" s="411"/>
      <c r="OF14" s="411"/>
      <c r="OG14" s="411"/>
      <c r="OH14" s="411"/>
      <c r="OI14" s="411"/>
      <c r="OJ14" s="411"/>
      <c r="OK14" s="411"/>
      <c r="OL14" s="411"/>
      <c r="OM14" s="411"/>
      <c r="ON14" s="411"/>
      <c r="OO14" s="411"/>
      <c r="OP14" s="411"/>
      <c r="OQ14" s="411"/>
      <c r="OR14" s="411"/>
      <c r="OS14" s="411"/>
      <c r="OT14" s="411"/>
      <c r="OU14" s="411"/>
      <c r="OV14" s="411"/>
      <c r="OW14" s="411"/>
      <c r="OX14" s="411"/>
      <c r="OY14" s="411"/>
      <c r="OZ14" s="411"/>
      <c r="PA14" s="411"/>
      <c r="PB14" s="411"/>
      <c r="PC14" s="411"/>
      <c r="PD14" s="411"/>
      <c r="PE14" s="411"/>
      <c r="PF14" s="411"/>
      <c r="PG14" s="411"/>
      <c r="PH14" s="411"/>
      <c r="PI14" s="411"/>
      <c r="PJ14" s="411"/>
      <c r="PK14" s="411"/>
      <c r="PL14" s="411"/>
      <c r="PM14" s="411"/>
      <c r="PN14" s="411"/>
      <c r="PO14" s="411"/>
      <c r="PP14" s="411"/>
      <c r="PQ14" s="411"/>
      <c r="PR14" s="411"/>
      <c r="PS14" s="411"/>
      <c r="PT14" s="411"/>
      <c r="PU14" s="411"/>
      <c r="PV14" s="411"/>
      <c r="PW14" s="411"/>
      <c r="PX14" s="411"/>
      <c r="PY14" s="411"/>
      <c r="PZ14" s="411"/>
      <c r="QA14" s="411"/>
      <c r="QB14" s="411"/>
      <c r="QC14" s="411"/>
      <c r="QD14" s="411"/>
      <c r="QE14" s="411"/>
      <c r="QF14" s="411"/>
      <c r="QG14" s="411"/>
      <c r="QH14" s="411"/>
      <c r="QI14" s="411"/>
      <c r="QJ14" s="411"/>
      <c r="QK14" s="411"/>
      <c r="QL14" s="411"/>
      <c r="QM14" s="411"/>
      <c r="QN14" s="411"/>
      <c r="QO14" s="411"/>
      <c r="QP14" s="411"/>
      <c r="QQ14" s="411"/>
      <c r="QR14" s="411"/>
      <c r="QS14" s="411"/>
      <c r="QT14" s="411"/>
      <c r="QU14" s="411"/>
      <c r="QV14" s="411"/>
      <c r="QW14" s="411"/>
      <c r="QX14" s="411"/>
      <c r="QY14" s="411"/>
      <c r="QZ14" s="411"/>
      <c r="RA14" s="411"/>
      <c r="RB14" s="411"/>
      <c r="RC14" s="411"/>
      <c r="RD14" s="411"/>
      <c r="RE14" s="411"/>
      <c r="RF14" s="411"/>
      <c r="RG14" s="411"/>
      <c r="RH14" s="411"/>
      <c r="RI14" s="411"/>
      <c r="RJ14" s="411"/>
      <c r="RK14" s="411"/>
      <c r="RL14" s="411"/>
      <c r="RM14" s="411"/>
      <c r="RN14" s="411"/>
      <c r="RO14" s="411"/>
      <c r="RP14" s="411"/>
      <c r="RQ14" s="411"/>
      <c r="RR14" s="411"/>
      <c r="RS14" s="411"/>
      <c r="RT14" s="411"/>
      <c r="RU14" s="411"/>
      <c r="RV14" s="411"/>
      <c r="RW14" s="411"/>
      <c r="RX14" s="411"/>
      <c r="RY14" s="411"/>
      <c r="RZ14" s="411"/>
      <c r="SA14" s="411"/>
      <c r="SB14" s="411"/>
      <c r="SC14" s="411"/>
      <c r="SD14" s="411"/>
      <c r="SE14" s="411"/>
      <c r="SF14" s="411"/>
      <c r="SG14" s="411"/>
      <c r="SH14" s="411"/>
      <c r="SI14" s="411"/>
      <c r="SJ14" s="411"/>
      <c r="SK14" s="411"/>
      <c r="SL14" s="411"/>
      <c r="SM14" s="411"/>
      <c r="SN14" s="411"/>
      <c r="SO14" s="411"/>
      <c r="SP14" s="411"/>
      <c r="SQ14" s="411"/>
      <c r="SR14" s="411"/>
      <c r="SS14" s="411"/>
      <c r="ST14" s="411"/>
      <c r="SU14" s="411"/>
      <c r="SV14" s="411"/>
      <c r="SW14" s="411"/>
      <c r="SX14" s="411"/>
      <c r="SY14" s="411"/>
      <c r="SZ14" s="411"/>
      <c r="TA14" s="411"/>
      <c r="TB14" s="411"/>
      <c r="TC14" s="411"/>
      <c r="TD14" s="411"/>
      <c r="TE14" s="411"/>
      <c r="TF14" s="411"/>
      <c r="TG14" s="411"/>
      <c r="TH14" s="411"/>
      <c r="TI14" s="411"/>
      <c r="TJ14" s="411"/>
      <c r="TK14" s="411"/>
      <c r="TL14" s="411"/>
      <c r="TM14" s="411"/>
      <c r="TN14" s="411"/>
      <c r="TO14" s="411"/>
      <c r="TP14" s="411"/>
      <c r="TQ14" s="411"/>
      <c r="TR14" s="411"/>
      <c r="TS14" s="411"/>
      <c r="TT14" s="411"/>
      <c r="TU14" s="411"/>
      <c r="TV14" s="411"/>
      <c r="TW14" s="411"/>
      <c r="TX14" s="411"/>
      <c r="TY14" s="411"/>
      <c r="TZ14" s="411"/>
      <c r="UA14" s="411"/>
      <c r="UB14" s="411"/>
      <c r="UC14" s="411"/>
      <c r="UD14" s="411"/>
      <c r="UE14" s="411"/>
      <c r="UF14" s="411"/>
      <c r="UG14" s="411"/>
      <c r="UH14" s="411"/>
      <c r="UI14" s="411"/>
      <c r="UJ14" s="411"/>
      <c r="UK14" s="411"/>
      <c r="UL14" s="411"/>
      <c r="UM14" s="411"/>
      <c r="UN14" s="411"/>
      <c r="UO14" s="411"/>
      <c r="UP14" s="411"/>
      <c r="UQ14" s="411"/>
      <c r="UR14" s="411"/>
      <c r="US14" s="411"/>
      <c r="UT14" s="411"/>
      <c r="UU14" s="411"/>
      <c r="UV14" s="411"/>
      <c r="UW14" s="411"/>
      <c r="UX14" s="411"/>
      <c r="UY14" s="411"/>
      <c r="UZ14" s="411"/>
      <c r="VA14" s="411"/>
      <c r="VB14" s="411"/>
      <c r="VC14" s="411"/>
      <c r="VD14" s="411"/>
      <c r="VE14" s="411"/>
      <c r="VF14" s="411"/>
      <c r="VG14" s="411"/>
      <c r="VH14" s="411"/>
      <c r="VI14" s="411"/>
      <c r="VJ14" s="411"/>
      <c r="VK14" s="411"/>
      <c r="VL14" s="411"/>
      <c r="VM14" s="411"/>
      <c r="VN14" s="411"/>
      <c r="VO14" s="411"/>
      <c r="VP14" s="411"/>
      <c r="VQ14" s="411"/>
      <c r="VR14" s="411"/>
      <c r="VS14" s="411"/>
      <c r="VT14" s="411"/>
      <c r="VU14" s="411"/>
      <c r="VV14" s="411"/>
      <c r="VW14" s="411"/>
      <c r="VX14" s="411"/>
      <c r="VY14" s="411"/>
      <c r="VZ14" s="411"/>
      <c r="WA14" s="411"/>
      <c r="WB14" s="411"/>
      <c r="WC14" s="411"/>
      <c r="WD14" s="411"/>
      <c r="WE14" s="411"/>
      <c r="WF14" s="411"/>
      <c r="WG14" s="411"/>
      <c r="WH14" s="411"/>
      <c r="WI14" s="411"/>
      <c r="WJ14" s="411"/>
      <c r="WK14" s="411"/>
      <c r="WL14" s="411"/>
      <c r="WM14" s="411"/>
      <c r="WN14" s="411"/>
      <c r="WO14" s="411"/>
      <c r="WP14" s="411"/>
      <c r="WQ14" s="411"/>
      <c r="WR14" s="411"/>
      <c r="WS14" s="411"/>
      <c r="WT14" s="411"/>
      <c r="WU14" s="411"/>
      <c r="WV14" s="411"/>
      <c r="WW14" s="411"/>
      <c r="WX14" s="411"/>
      <c r="WY14" s="411"/>
      <c r="WZ14" s="411"/>
      <c r="XA14" s="411"/>
      <c r="XB14" s="411"/>
      <c r="XC14" s="411"/>
      <c r="XD14" s="411"/>
      <c r="XE14" s="411"/>
      <c r="XF14" s="411"/>
      <c r="XG14" s="411"/>
      <c r="XH14" s="411"/>
      <c r="XI14" s="411"/>
      <c r="XJ14" s="411"/>
      <c r="XK14" s="411"/>
      <c r="XL14" s="411"/>
      <c r="XM14" s="411"/>
      <c r="XN14" s="411"/>
      <c r="XO14" s="411"/>
      <c r="XP14" s="411"/>
      <c r="XQ14" s="411"/>
      <c r="XR14" s="411"/>
      <c r="XS14" s="411"/>
      <c r="XT14" s="411"/>
      <c r="XU14" s="411"/>
      <c r="XV14" s="411"/>
      <c r="XW14" s="411"/>
      <c r="XX14" s="411"/>
      <c r="XY14" s="411"/>
      <c r="XZ14" s="411"/>
      <c r="YA14" s="411"/>
      <c r="YB14" s="411"/>
      <c r="YC14" s="411"/>
      <c r="YD14" s="411"/>
      <c r="YE14" s="411"/>
      <c r="YF14" s="411"/>
      <c r="YG14" s="411"/>
      <c r="YH14" s="411"/>
      <c r="YI14" s="411"/>
      <c r="YJ14" s="411"/>
      <c r="YK14" s="411"/>
      <c r="YL14" s="411"/>
      <c r="YM14" s="411"/>
      <c r="YN14" s="411"/>
      <c r="YO14" s="411"/>
      <c r="YP14" s="411"/>
      <c r="YQ14" s="411"/>
      <c r="YR14" s="411"/>
      <c r="YS14" s="411"/>
      <c r="YT14" s="411"/>
      <c r="YU14" s="411"/>
      <c r="YV14" s="411"/>
      <c r="YW14" s="411"/>
      <c r="YX14" s="411"/>
      <c r="YY14" s="411"/>
      <c r="YZ14" s="411"/>
      <c r="ZA14" s="411"/>
      <c r="ZB14" s="411"/>
      <c r="ZC14" s="411"/>
      <c r="ZD14" s="411"/>
      <c r="ZE14" s="411"/>
      <c r="ZF14" s="411"/>
      <c r="ZG14" s="411"/>
      <c r="ZH14" s="411"/>
      <c r="ZI14" s="411"/>
      <c r="ZJ14" s="411"/>
      <c r="ZK14" s="411"/>
      <c r="ZL14" s="411"/>
      <c r="ZM14" s="411"/>
      <c r="ZN14" s="411"/>
      <c r="ZO14" s="411"/>
      <c r="ZP14" s="411"/>
      <c r="ZQ14" s="411"/>
      <c r="ZR14" s="411"/>
      <c r="ZS14" s="411"/>
      <c r="ZT14" s="411"/>
      <c r="ZU14" s="411"/>
      <c r="ZV14" s="411"/>
      <c r="ZW14" s="411"/>
      <c r="ZX14" s="411"/>
      <c r="ZY14" s="411"/>
      <c r="ZZ14" s="411"/>
      <c r="AAA14" s="411"/>
      <c r="AAB14" s="411"/>
      <c r="AAC14" s="411"/>
      <c r="AAD14" s="411"/>
      <c r="AAE14" s="411"/>
      <c r="AAF14" s="411"/>
      <c r="AAG14" s="411"/>
      <c r="AAH14" s="411"/>
      <c r="AAI14" s="411"/>
      <c r="AAJ14" s="411"/>
      <c r="AAK14" s="411"/>
      <c r="AAL14" s="411"/>
      <c r="AAM14" s="411"/>
      <c r="AAN14" s="411"/>
      <c r="AAO14" s="411"/>
      <c r="AAP14" s="411"/>
      <c r="AAQ14" s="411"/>
      <c r="AAR14" s="411"/>
      <c r="AAS14" s="411"/>
      <c r="AAT14" s="411"/>
      <c r="AAU14" s="411"/>
      <c r="AAV14" s="411"/>
      <c r="AAW14" s="411"/>
      <c r="AAX14" s="411"/>
      <c r="AAY14" s="411"/>
      <c r="AAZ14" s="411"/>
      <c r="ABA14" s="411"/>
      <c r="ABB14" s="411"/>
      <c r="ABC14" s="411"/>
      <c r="ABD14" s="411"/>
      <c r="ABE14" s="411"/>
      <c r="ABF14" s="411"/>
      <c r="ABG14" s="411"/>
      <c r="ABH14" s="411"/>
      <c r="ABI14" s="411"/>
      <c r="ABJ14" s="411"/>
      <c r="ABK14" s="411"/>
      <c r="ABL14" s="411"/>
      <c r="ABM14" s="411"/>
      <c r="ABN14" s="411"/>
      <c r="ABO14" s="411"/>
      <c r="ABP14" s="411"/>
      <c r="ABQ14" s="411"/>
      <c r="ABR14" s="411"/>
      <c r="ABS14" s="411"/>
      <c r="ABT14" s="411"/>
      <c r="ABU14" s="411"/>
      <c r="ABV14" s="411"/>
      <c r="ABW14" s="411"/>
      <c r="ABX14" s="411"/>
      <c r="ABY14" s="411"/>
      <c r="ABZ14" s="411"/>
      <c r="ACA14" s="411"/>
      <c r="ACB14" s="411"/>
      <c r="ACC14" s="411"/>
      <c r="ACD14" s="411"/>
      <c r="ACE14" s="411"/>
      <c r="ACF14" s="411"/>
      <c r="ACG14" s="411"/>
      <c r="ACH14" s="411"/>
      <c r="ACI14" s="411"/>
      <c r="ACJ14" s="411"/>
      <c r="ACK14" s="411"/>
      <c r="ACL14" s="411"/>
      <c r="ACM14" s="411"/>
      <c r="ACN14" s="411"/>
      <c r="ACO14" s="411"/>
      <c r="ACP14" s="411"/>
      <c r="ACQ14" s="411"/>
      <c r="ACR14" s="411"/>
      <c r="ACS14" s="411"/>
      <c r="ACT14" s="411"/>
      <c r="ACU14" s="411"/>
      <c r="ACV14" s="411"/>
      <c r="ACW14" s="411"/>
      <c r="ACX14" s="411"/>
      <c r="ACY14" s="411"/>
      <c r="ACZ14" s="411"/>
      <c r="ADA14" s="411"/>
      <c r="ADB14" s="411"/>
      <c r="ADC14" s="411"/>
      <c r="ADD14" s="411"/>
      <c r="ADE14" s="411"/>
      <c r="ADF14" s="411"/>
      <c r="ADG14" s="411"/>
      <c r="ADH14" s="411"/>
      <c r="ADI14" s="411"/>
      <c r="ADJ14" s="411"/>
      <c r="ADK14" s="411"/>
      <c r="ADL14" s="411"/>
      <c r="ADM14" s="411"/>
      <c r="ADN14" s="411"/>
      <c r="ADO14" s="411"/>
      <c r="ADP14" s="411"/>
      <c r="ADQ14" s="411"/>
      <c r="ADR14" s="411"/>
      <c r="ADS14" s="411"/>
      <c r="ADT14" s="411"/>
      <c r="ADU14" s="411"/>
      <c r="ADV14" s="411"/>
      <c r="ADW14" s="411"/>
      <c r="ADX14" s="411"/>
      <c r="ADY14" s="411"/>
      <c r="ADZ14" s="411"/>
      <c r="AEA14" s="411"/>
      <c r="AEB14" s="411"/>
      <c r="AEC14" s="411"/>
      <c r="AED14" s="411"/>
      <c r="AEE14" s="411"/>
      <c r="AEF14" s="411"/>
      <c r="AEG14" s="411"/>
      <c r="AEH14" s="411"/>
      <c r="AEI14" s="411"/>
      <c r="AEJ14" s="411"/>
      <c r="AEK14" s="411"/>
      <c r="AEL14" s="411"/>
      <c r="AEM14" s="411"/>
      <c r="AEN14" s="411"/>
      <c r="AEO14" s="411"/>
      <c r="AEP14" s="411"/>
      <c r="AEQ14" s="411"/>
      <c r="AER14" s="411"/>
      <c r="AES14" s="411"/>
      <c r="AET14" s="411"/>
      <c r="AEU14" s="411"/>
      <c r="AEV14" s="411"/>
      <c r="AEW14" s="411"/>
      <c r="AEX14" s="411"/>
      <c r="AEY14" s="411"/>
      <c r="AEZ14" s="411"/>
      <c r="AFA14" s="411"/>
      <c r="AFB14" s="411"/>
      <c r="AFC14" s="411"/>
      <c r="AFD14" s="411"/>
      <c r="AFE14" s="411"/>
      <c r="AFF14" s="411"/>
      <c r="AFG14" s="411"/>
      <c r="AFH14" s="411"/>
      <c r="AFI14" s="411"/>
      <c r="AFJ14" s="411"/>
      <c r="AFK14" s="411"/>
      <c r="AFL14" s="411"/>
      <c r="AFM14" s="411"/>
      <c r="AFN14" s="411"/>
      <c r="AFO14" s="411"/>
      <c r="AFP14" s="411"/>
      <c r="AFQ14" s="411"/>
      <c r="AFR14" s="411"/>
      <c r="AFS14" s="411"/>
      <c r="AFT14" s="411"/>
      <c r="AFU14" s="411"/>
      <c r="AFV14" s="411"/>
      <c r="AFW14" s="411"/>
      <c r="AFX14" s="411"/>
      <c r="AFY14" s="411"/>
      <c r="AFZ14" s="411"/>
      <c r="AGA14" s="411"/>
      <c r="AGB14" s="411"/>
      <c r="AGC14" s="411"/>
      <c r="AGD14" s="411"/>
      <c r="AGE14" s="411"/>
      <c r="AGF14" s="411"/>
      <c r="AGG14" s="411"/>
      <c r="AGH14" s="411"/>
      <c r="AGI14" s="411"/>
      <c r="AGJ14" s="411"/>
      <c r="AGK14" s="411"/>
      <c r="AGL14" s="411"/>
      <c r="AGM14" s="411"/>
      <c r="AGN14" s="411"/>
      <c r="AGO14" s="411"/>
      <c r="AGP14" s="411"/>
      <c r="AGQ14" s="411"/>
      <c r="AGR14" s="411"/>
      <c r="AGS14" s="411"/>
      <c r="AGT14" s="411"/>
      <c r="AGU14" s="411"/>
      <c r="AGV14" s="411"/>
      <c r="AGW14" s="411"/>
      <c r="AGX14" s="411"/>
      <c r="AGY14" s="411"/>
      <c r="AGZ14" s="411"/>
      <c r="AHA14" s="411"/>
      <c r="AHB14" s="411"/>
      <c r="AHC14" s="411"/>
      <c r="AHD14" s="411"/>
      <c r="AHE14" s="411"/>
      <c r="AHF14" s="411"/>
      <c r="AHG14" s="411"/>
      <c r="AHH14" s="411"/>
      <c r="AHI14" s="411"/>
      <c r="AHJ14" s="411"/>
      <c r="AHK14" s="411"/>
      <c r="AHL14" s="411"/>
      <c r="AHM14" s="411"/>
      <c r="AHN14" s="411"/>
      <c r="AHO14" s="411"/>
      <c r="AHP14" s="411"/>
      <c r="AHQ14" s="411"/>
      <c r="AHR14" s="411"/>
      <c r="AHS14" s="411"/>
      <c r="AHT14" s="411"/>
      <c r="AHU14" s="411"/>
      <c r="AHV14" s="411"/>
      <c r="AHW14" s="411"/>
      <c r="AHX14" s="411"/>
      <c r="AHY14" s="411"/>
      <c r="AHZ14" s="411"/>
      <c r="AIA14" s="411"/>
      <c r="AIB14" s="411"/>
      <c r="AIC14" s="411"/>
      <c r="AID14" s="411"/>
      <c r="AIE14" s="411"/>
      <c r="AIF14" s="411"/>
      <c r="AIG14" s="411"/>
      <c r="AIH14" s="411"/>
      <c r="AII14" s="411"/>
      <c r="AIJ14" s="411"/>
      <c r="AIK14" s="411"/>
      <c r="AIL14" s="411"/>
      <c r="AIM14" s="411"/>
      <c r="AIN14" s="411"/>
      <c r="AIO14" s="411"/>
      <c r="AIP14" s="411"/>
      <c r="AIQ14" s="411"/>
      <c r="AIR14" s="411"/>
      <c r="AIS14" s="411"/>
      <c r="AIT14" s="411"/>
      <c r="AIU14" s="411"/>
      <c r="AIV14" s="411"/>
      <c r="AIW14" s="411"/>
      <c r="AIX14" s="411"/>
      <c r="AIY14" s="411"/>
      <c r="AIZ14" s="411"/>
      <c r="AJA14" s="411"/>
      <c r="AJB14" s="411"/>
      <c r="AJC14" s="411"/>
      <c r="AJD14" s="411"/>
      <c r="AJE14" s="411"/>
      <c r="AJF14" s="411"/>
      <c r="AJG14" s="411"/>
      <c r="AJH14" s="411"/>
      <c r="AJI14" s="411"/>
      <c r="AJJ14" s="411"/>
      <c r="AJK14" s="411"/>
      <c r="AJL14" s="411"/>
      <c r="AJM14" s="411"/>
      <c r="AJN14" s="411"/>
      <c r="AJO14" s="411"/>
      <c r="AJP14" s="411"/>
      <c r="AJQ14" s="411"/>
      <c r="AJR14" s="411"/>
      <c r="AJS14" s="411"/>
      <c r="AJT14" s="411"/>
      <c r="AJU14" s="411"/>
      <c r="AJV14" s="411"/>
      <c r="AJW14" s="411"/>
      <c r="AJX14" s="411"/>
      <c r="AJY14" s="411"/>
      <c r="AJZ14" s="411"/>
      <c r="AKA14" s="411"/>
      <c r="AKB14" s="411"/>
      <c r="AKC14" s="411"/>
      <c r="AKD14" s="411"/>
      <c r="AKE14" s="411"/>
      <c r="AKF14" s="411"/>
      <c r="AKG14" s="411"/>
      <c r="AKH14" s="411"/>
      <c r="AKI14" s="411"/>
      <c r="AKJ14" s="411"/>
      <c r="AKK14" s="411"/>
      <c r="AKL14" s="411"/>
      <c r="AKM14" s="411"/>
      <c r="AKN14" s="411"/>
      <c r="AKO14" s="411"/>
      <c r="AKP14" s="411"/>
      <c r="AKQ14" s="411"/>
      <c r="AKR14" s="411"/>
      <c r="AKS14" s="411"/>
      <c r="AKT14" s="411"/>
    </row>
    <row r="15">
      <c r="A15" s="411" t="s">
        <v>159</v>
      </c>
      <c r="B15" s="411"/>
      <c r="C15" s="411"/>
      <c r="D15" s="411"/>
      <c r="E15" s="411"/>
      <c r="F15" s="411"/>
      <c r="G15" s="411"/>
      <c r="H15" s="411"/>
      <c r="I15" s="411"/>
      <c r="J15" s="411"/>
      <c r="K15" s="411"/>
      <c r="L15" s="411"/>
      <c r="M15" s="411"/>
      <c r="N15" s="411"/>
      <c r="O15" s="411"/>
      <c r="P15" s="411"/>
      <c r="Q15" s="411"/>
      <c r="R15" s="411"/>
      <c r="S15" s="411"/>
      <c r="T15" s="411"/>
      <c r="U15" s="411"/>
      <c r="V15" s="537"/>
      <c r="W15" s="411"/>
      <c r="X15" s="411"/>
      <c r="Y15" s="411"/>
      <c r="Z15" s="568"/>
      <c r="AA15" s="411"/>
      <c r="AB15" s="411"/>
      <c r="AC15" s="411"/>
      <c r="AD15" s="411"/>
      <c r="AE15" s="411"/>
      <c r="AF15" s="411"/>
      <c r="AG15" s="411"/>
      <c r="AH15" s="411"/>
      <c r="AI15" s="411"/>
      <c r="AJ15" s="411"/>
      <c r="AK15" s="411"/>
      <c r="AL15" s="411"/>
      <c r="AM15" s="411"/>
      <c r="AN15" s="411"/>
      <c r="AO15" s="411"/>
      <c r="AP15" s="411"/>
      <c r="AQ15" s="411"/>
      <c r="AR15" s="411"/>
      <c r="AS15" s="411"/>
      <c r="AT15" s="411"/>
      <c r="AU15" s="411"/>
      <c r="AV15" s="411"/>
      <c r="AW15" s="411"/>
      <c r="AX15" s="411"/>
      <c r="AY15" s="411"/>
      <c r="AZ15" s="411"/>
      <c r="BA15" s="411"/>
      <c r="BB15" s="411"/>
      <c r="BC15" s="411"/>
      <c r="BD15" s="411"/>
      <c r="BE15" s="411"/>
      <c r="BF15" s="411"/>
      <c r="BG15" s="411"/>
      <c r="BH15" s="411"/>
      <c r="BI15" s="411"/>
      <c r="BJ15" s="411"/>
      <c r="BK15" s="411"/>
      <c r="BL15" s="411"/>
      <c r="BM15" s="411"/>
      <c r="BN15" s="411"/>
      <c r="BO15" s="411"/>
      <c r="BP15" s="411"/>
      <c r="BQ15" s="411"/>
      <c r="BR15" s="411"/>
      <c r="BS15" s="411"/>
      <c r="BT15" s="411"/>
      <c r="BU15" s="411"/>
      <c r="BV15" s="411"/>
      <c r="BW15" s="411"/>
      <c r="BX15" s="411"/>
      <c r="BY15" s="411"/>
      <c r="BZ15" s="411"/>
      <c r="CA15" s="411"/>
      <c r="CB15" s="411"/>
      <c r="CC15" s="411"/>
      <c r="CD15" s="411"/>
      <c r="CE15" s="411"/>
      <c r="CF15" s="411"/>
      <c r="CG15" s="411"/>
      <c r="CH15" s="411"/>
      <c r="CI15" s="411"/>
      <c r="CJ15" s="411"/>
      <c r="CK15" s="411"/>
      <c r="CL15" s="411"/>
      <c r="CM15" s="411"/>
      <c r="CN15" s="411"/>
      <c r="CO15" s="411"/>
      <c r="CP15" s="411"/>
      <c r="CQ15" s="411"/>
      <c r="CR15" s="411"/>
      <c r="CS15" s="411"/>
      <c r="CT15" s="411"/>
      <c r="CU15" s="411"/>
      <c r="CV15" s="411"/>
      <c r="CW15" s="411"/>
      <c r="CX15" s="411"/>
      <c r="CY15" s="411"/>
      <c r="CZ15" s="411"/>
      <c r="DA15" s="411"/>
      <c r="DB15" s="411"/>
      <c r="DC15" s="411"/>
      <c r="DD15" s="411"/>
      <c r="DE15" s="411"/>
      <c r="DF15" s="411"/>
      <c r="DG15" s="411"/>
      <c r="DH15" s="411"/>
      <c r="DI15" s="411">
        <v>0.11</v>
      </c>
      <c r="DJ15" s="411">
        <v>0.91</v>
      </c>
      <c r="DK15" s="411">
        <v>2.24</v>
      </c>
      <c r="DL15" s="411">
        <v>-6.8</v>
      </c>
      <c r="DM15" s="411">
        <v>-0.63</v>
      </c>
      <c r="DN15" s="411"/>
      <c r="DO15" s="411"/>
      <c r="DP15" s="411"/>
      <c r="DQ15" s="411"/>
      <c r="DR15" s="411"/>
      <c r="DS15" s="411"/>
      <c r="DT15" s="411"/>
      <c r="DU15" s="411"/>
      <c r="DV15" s="411"/>
      <c r="DW15" s="411"/>
      <c r="DX15" s="411"/>
      <c r="DY15" s="411"/>
      <c r="DZ15" s="411"/>
      <c r="EA15" s="411"/>
      <c r="EB15" s="411"/>
      <c r="EC15" s="411"/>
      <c r="ED15" s="411"/>
      <c r="EE15" s="411"/>
      <c r="EF15" s="411"/>
      <c r="EG15" s="411"/>
      <c r="EH15" s="411"/>
      <c r="EI15" s="411"/>
      <c r="EJ15" s="411"/>
      <c r="EK15" s="411"/>
      <c r="EL15" s="411"/>
      <c r="EM15" s="411"/>
      <c r="EN15" s="411"/>
      <c r="EO15" s="411"/>
      <c r="EP15" s="411"/>
      <c r="EQ15" s="411"/>
      <c r="ER15" s="411"/>
      <c r="ES15" s="411"/>
      <c r="ET15" s="411"/>
      <c r="EU15" s="411"/>
      <c r="EV15" s="411"/>
      <c r="EW15" s="411"/>
      <c r="EX15" s="411"/>
      <c r="EY15" s="411"/>
      <c r="EZ15" s="411"/>
      <c r="FA15" s="411"/>
      <c r="FB15" s="411"/>
      <c r="FC15" s="411"/>
      <c r="FD15" s="411"/>
      <c r="FE15" s="411"/>
      <c r="FF15" s="411"/>
      <c r="FG15" s="411"/>
      <c r="FH15" s="411"/>
      <c r="FI15" s="411"/>
      <c r="FJ15" s="411"/>
      <c r="FK15" s="411"/>
      <c r="FL15" s="411"/>
      <c r="FM15" s="411"/>
      <c r="FN15" s="411"/>
      <c r="FO15" s="411"/>
      <c r="FP15" s="411"/>
      <c r="FQ15" s="411"/>
      <c r="FR15" s="411"/>
      <c r="FS15" s="411"/>
      <c r="FT15" s="411"/>
      <c r="FU15" s="411"/>
      <c r="FV15" s="411"/>
      <c r="FW15" s="411"/>
      <c r="FX15" s="411"/>
      <c r="FY15" s="411"/>
      <c r="FZ15" s="411"/>
      <c r="GA15" s="411"/>
      <c r="GB15" s="411"/>
      <c r="GC15" s="411"/>
      <c r="GD15" s="411"/>
      <c r="GE15" s="411"/>
      <c r="GF15" s="411"/>
      <c r="GG15" s="411"/>
      <c r="GH15" s="411"/>
      <c r="GI15" s="411"/>
      <c r="GJ15" s="411"/>
      <c r="GK15" s="411"/>
      <c r="GL15" s="411"/>
      <c r="GM15" s="411"/>
      <c r="GN15" s="411"/>
      <c r="GO15" s="411"/>
      <c r="GP15" s="411"/>
      <c r="GQ15" s="411"/>
      <c r="GR15" s="411"/>
      <c r="GS15" s="411"/>
      <c r="GT15" s="411"/>
      <c r="GU15" s="411"/>
      <c r="GV15" s="411"/>
      <c r="GW15" s="411"/>
      <c r="GX15" s="411"/>
      <c r="GY15" s="411"/>
      <c r="GZ15" s="411"/>
      <c r="HA15" s="411"/>
      <c r="HB15" s="411"/>
      <c r="HC15" s="411"/>
      <c r="HD15" s="411"/>
      <c r="HE15" s="411"/>
      <c r="HF15" s="411"/>
      <c r="HG15" s="411"/>
      <c r="HH15" s="411"/>
      <c r="HI15" s="411"/>
      <c r="HJ15" s="411"/>
      <c r="HK15" s="411"/>
      <c r="HL15" s="411"/>
      <c r="HM15" s="411"/>
      <c r="HN15" s="411"/>
      <c r="HO15" s="411"/>
      <c r="HP15" s="411"/>
      <c r="HQ15" s="411"/>
      <c r="HR15" s="411"/>
      <c r="HS15" s="411"/>
      <c r="HT15" s="411"/>
      <c r="HU15" s="411"/>
      <c r="HV15" s="411"/>
      <c r="HW15" s="411"/>
      <c r="HX15" s="411"/>
      <c r="HY15" s="411"/>
      <c r="HZ15" s="411"/>
      <c r="IA15" s="411"/>
      <c r="IB15" s="411"/>
      <c r="IC15" s="411"/>
      <c r="ID15" s="411"/>
      <c r="IE15" s="411"/>
      <c r="IF15" s="411"/>
      <c r="IG15" s="411"/>
      <c r="IH15" s="411"/>
      <c r="II15" s="411"/>
      <c r="IJ15" s="411"/>
      <c r="IK15" s="411"/>
      <c r="IL15" s="411"/>
      <c r="IM15" s="411"/>
      <c r="IN15" s="411"/>
      <c r="IO15" s="411"/>
      <c r="IP15" s="411"/>
      <c r="IQ15" s="411"/>
      <c r="IR15" s="411"/>
      <c r="IS15" s="411"/>
      <c r="IT15" s="411"/>
      <c r="IU15" s="411"/>
      <c r="IV15" s="411"/>
      <c r="IW15" s="411"/>
      <c r="IX15" s="411"/>
      <c r="IY15" s="411"/>
      <c r="IZ15" s="411"/>
      <c r="JA15" s="411"/>
      <c r="JB15" s="411"/>
      <c r="JC15" s="411"/>
      <c r="JD15" s="411"/>
      <c r="JE15" s="411"/>
      <c r="JF15" s="411"/>
      <c r="JG15" s="411"/>
      <c r="JH15" s="411"/>
      <c r="JI15" s="411"/>
      <c r="JJ15" s="411"/>
      <c r="JK15" s="411"/>
      <c r="JL15" s="411"/>
      <c r="JM15" s="411"/>
      <c r="JN15" s="411"/>
      <c r="JO15" s="411"/>
      <c r="JP15" s="411"/>
      <c r="JQ15" s="411"/>
      <c r="JR15" s="411"/>
      <c r="JS15" s="411"/>
      <c r="JT15" s="411"/>
      <c r="JU15" s="411"/>
      <c r="JV15" s="411"/>
      <c r="JW15" s="411"/>
      <c r="JX15" s="411"/>
      <c r="JY15" s="411"/>
      <c r="JZ15" s="411"/>
      <c r="KA15" s="411"/>
      <c r="KB15" s="411"/>
      <c r="KC15" s="411"/>
      <c r="KD15" s="411"/>
      <c r="KE15" s="411"/>
      <c r="KF15" s="411"/>
      <c r="KG15" s="411"/>
      <c r="KH15" s="411"/>
      <c r="KI15" s="411"/>
      <c r="KJ15" s="411"/>
      <c r="KK15" s="411"/>
      <c r="KL15" s="411"/>
      <c r="KM15" s="411"/>
      <c r="KN15" s="411"/>
      <c r="KO15" s="411"/>
      <c r="KP15" s="411"/>
      <c r="KQ15" s="411"/>
      <c r="KR15" s="411"/>
      <c r="KS15" s="411"/>
      <c r="KT15" s="411"/>
      <c r="KU15" s="411"/>
      <c r="KV15" s="411"/>
      <c r="KW15" s="411"/>
      <c r="KX15" s="411"/>
      <c r="KY15" s="411"/>
      <c r="KZ15" s="411"/>
      <c r="LA15" s="411"/>
      <c r="LB15" s="411"/>
      <c r="LC15" s="411"/>
      <c r="LD15" s="411"/>
      <c r="LE15" s="411"/>
      <c r="LF15" s="411"/>
      <c r="LG15" s="411"/>
      <c r="LH15" s="411"/>
      <c r="LI15" s="411"/>
      <c r="LJ15" s="411"/>
      <c r="LK15" s="411"/>
      <c r="LL15" s="411"/>
      <c r="LM15" s="411"/>
      <c r="LN15" s="411"/>
      <c r="LO15" s="411"/>
      <c r="LP15" s="411"/>
      <c r="LQ15" s="411"/>
      <c r="LR15" s="411"/>
      <c r="LS15" s="411"/>
      <c r="LT15" s="411"/>
      <c r="LU15" s="411"/>
      <c r="LV15" s="411"/>
      <c r="LW15" s="411"/>
      <c r="LX15" s="411"/>
      <c r="LY15" s="411"/>
      <c r="LZ15" s="411"/>
      <c r="MA15" s="411"/>
      <c r="MB15" s="411"/>
      <c r="MC15" s="411"/>
      <c r="MD15" s="411"/>
      <c r="ME15" s="411"/>
      <c r="MF15" s="411"/>
      <c r="MG15" s="411"/>
      <c r="MH15" s="411"/>
      <c r="MI15" s="411"/>
      <c r="MJ15" s="411"/>
      <c r="MK15" s="411"/>
      <c r="ML15" s="411"/>
      <c r="MM15" s="411"/>
      <c r="MN15" s="411"/>
      <c r="MO15" s="411"/>
      <c r="MP15" s="411"/>
      <c r="MQ15" s="411"/>
      <c r="MR15" s="411"/>
      <c r="MS15" s="411"/>
      <c r="MT15" s="411"/>
      <c r="MU15" s="411"/>
      <c r="MV15" s="411"/>
      <c r="MW15" s="411"/>
      <c r="MX15" s="411"/>
      <c r="MY15" s="411"/>
      <c r="MZ15" s="411"/>
      <c r="NA15" s="411"/>
      <c r="NB15" s="411"/>
      <c r="NC15" s="411"/>
      <c r="ND15" s="411"/>
      <c r="NE15" s="411"/>
      <c r="NF15" s="411"/>
      <c r="NG15" s="411"/>
      <c r="NH15" s="411"/>
      <c r="NI15" s="411"/>
      <c r="NJ15" s="411"/>
      <c r="NK15" s="411"/>
      <c r="NL15" s="411"/>
      <c r="NM15" s="411"/>
      <c r="NN15" s="411"/>
      <c r="NO15" s="411"/>
      <c r="NP15" s="411"/>
      <c r="NQ15" s="411"/>
      <c r="NR15" s="411"/>
      <c r="NS15" s="411"/>
      <c r="NT15" s="411"/>
      <c r="NU15" s="411"/>
      <c r="NV15" s="411"/>
      <c r="NW15" s="411"/>
      <c r="NX15" s="411"/>
      <c r="NY15" s="411"/>
      <c r="NZ15" s="411"/>
      <c r="OA15" s="411"/>
      <c r="OB15" s="411"/>
      <c r="OC15" s="411"/>
      <c r="OD15" s="411"/>
      <c r="OE15" s="411"/>
      <c r="OF15" s="411"/>
      <c r="OG15" s="411"/>
      <c r="OH15" s="411"/>
      <c r="OI15" s="411"/>
      <c r="OJ15" s="411"/>
      <c r="OK15" s="411"/>
      <c r="OL15" s="411"/>
      <c r="OM15" s="411"/>
      <c r="ON15" s="411"/>
      <c r="OO15" s="411"/>
      <c r="OP15" s="411"/>
      <c r="OQ15" s="411"/>
      <c r="OR15" s="411"/>
      <c r="OS15" s="411"/>
      <c r="OT15" s="411"/>
      <c r="OU15" s="411"/>
      <c r="OV15" s="411"/>
      <c r="OW15" s="411"/>
      <c r="OX15" s="411"/>
      <c r="OY15" s="411"/>
      <c r="OZ15" s="411"/>
      <c r="PA15" s="411"/>
      <c r="PB15" s="411"/>
      <c r="PC15" s="411"/>
      <c r="PD15" s="411"/>
      <c r="PE15" s="411"/>
      <c r="PF15" s="411"/>
      <c r="PG15" s="411"/>
      <c r="PH15" s="411"/>
      <c r="PI15" s="411"/>
      <c r="PJ15" s="411"/>
      <c r="PK15" s="411"/>
      <c r="PL15" s="411"/>
      <c r="PM15" s="411"/>
      <c r="PN15" s="411"/>
      <c r="PO15" s="411"/>
      <c r="PP15" s="411"/>
      <c r="PQ15" s="411"/>
      <c r="PR15" s="411"/>
      <c r="PS15" s="411"/>
      <c r="PT15" s="411"/>
      <c r="PU15" s="411"/>
      <c r="PV15" s="411"/>
      <c r="PW15" s="411"/>
      <c r="PX15" s="411"/>
      <c r="PY15" s="411"/>
      <c r="PZ15" s="411"/>
      <c r="QA15" s="411"/>
      <c r="QB15" s="411"/>
      <c r="QC15" s="411"/>
      <c r="QD15" s="411"/>
      <c r="QE15" s="411"/>
      <c r="QF15" s="411"/>
      <c r="QG15" s="411"/>
      <c r="QH15" s="411"/>
      <c r="QI15" s="411"/>
      <c r="QJ15" s="411"/>
      <c r="QK15" s="411"/>
      <c r="QL15" s="411"/>
      <c r="QM15" s="411"/>
      <c r="QN15" s="411"/>
      <c r="QO15" s="411"/>
      <c r="QP15" s="411"/>
      <c r="QQ15" s="411"/>
      <c r="QR15" s="411"/>
      <c r="QS15" s="411"/>
      <c r="QT15" s="411"/>
      <c r="QU15" s="411"/>
      <c r="QV15" s="411"/>
      <c r="QW15" s="411"/>
      <c r="QX15" s="411"/>
      <c r="QY15" s="411"/>
      <c r="QZ15" s="411"/>
      <c r="RA15" s="411"/>
      <c r="RB15" s="411"/>
      <c r="RC15" s="411"/>
      <c r="RD15" s="411"/>
      <c r="RE15" s="411"/>
      <c r="RF15" s="411"/>
      <c r="RG15" s="411"/>
      <c r="RH15" s="411"/>
      <c r="RI15" s="411"/>
      <c r="RJ15" s="411"/>
      <c r="RK15" s="411"/>
      <c r="RL15" s="411"/>
      <c r="RM15" s="411"/>
      <c r="RN15" s="411"/>
      <c r="RO15" s="411"/>
      <c r="RP15" s="411"/>
      <c r="RQ15" s="411"/>
      <c r="RR15" s="411"/>
      <c r="RS15" s="411"/>
      <c r="RT15" s="411"/>
      <c r="RU15" s="411"/>
      <c r="RV15" s="411"/>
      <c r="RW15" s="411"/>
      <c r="RX15" s="411"/>
      <c r="RY15" s="411"/>
      <c r="RZ15" s="411"/>
      <c r="SA15" s="411"/>
      <c r="SB15" s="411"/>
      <c r="SC15" s="411"/>
      <c r="SD15" s="411"/>
      <c r="SE15" s="411"/>
      <c r="SF15" s="411"/>
      <c r="SG15" s="411"/>
      <c r="SH15" s="411"/>
      <c r="SI15" s="411"/>
      <c r="SJ15" s="411"/>
      <c r="SK15" s="411"/>
      <c r="SL15" s="411"/>
      <c r="SM15" s="411"/>
      <c r="SN15" s="411"/>
      <c r="SO15" s="411"/>
      <c r="SP15" s="411"/>
      <c r="SQ15" s="411"/>
      <c r="SR15" s="411"/>
      <c r="SS15" s="411"/>
      <c r="ST15" s="411"/>
      <c r="SU15" s="411"/>
      <c r="SV15" s="411"/>
      <c r="SW15" s="411"/>
      <c r="SX15" s="411"/>
      <c r="SY15" s="411"/>
      <c r="SZ15" s="411"/>
      <c r="TA15" s="411"/>
      <c r="TB15" s="411"/>
      <c r="TC15" s="411"/>
      <c r="TD15" s="411"/>
      <c r="TE15" s="411"/>
      <c r="TF15" s="411"/>
      <c r="TG15" s="411"/>
      <c r="TH15" s="411"/>
      <c r="TI15" s="411"/>
      <c r="TJ15" s="411"/>
      <c r="TK15" s="411"/>
      <c r="TL15" s="411"/>
      <c r="TM15" s="411"/>
      <c r="TN15" s="411"/>
      <c r="TO15" s="411"/>
      <c r="TP15" s="411"/>
      <c r="TQ15" s="411"/>
      <c r="TR15" s="411"/>
      <c r="TS15" s="411"/>
      <c r="TT15" s="411"/>
      <c r="TU15" s="411"/>
      <c r="TV15" s="411"/>
      <c r="TW15" s="411"/>
      <c r="TX15" s="411"/>
      <c r="TY15" s="411"/>
      <c r="TZ15" s="411"/>
      <c r="UA15" s="411"/>
      <c r="UB15" s="411"/>
      <c r="UC15" s="411"/>
      <c r="UD15" s="411"/>
      <c r="UE15" s="411"/>
      <c r="UF15" s="411"/>
      <c r="UG15" s="411"/>
      <c r="UH15" s="411"/>
      <c r="UI15" s="411"/>
      <c r="UJ15" s="411"/>
      <c r="UK15" s="411"/>
      <c r="UL15" s="411"/>
      <c r="UM15" s="411"/>
      <c r="UN15" s="411"/>
      <c r="UO15" s="411"/>
      <c r="UP15" s="411"/>
      <c r="UQ15" s="411"/>
      <c r="UR15" s="411"/>
      <c r="US15" s="411"/>
      <c r="UT15" s="411"/>
      <c r="UU15" s="411"/>
      <c r="UV15" s="411"/>
      <c r="UW15" s="411"/>
      <c r="UX15" s="411"/>
      <c r="UY15" s="411"/>
      <c r="UZ15" s="411"/>
      <c r="VA15" s="411"/>
      <c r="VB15" s="411"/>
      <c r="VC15" s="411"/>
      <c r="VD15" s="411"/>
      <c r="VE15" s="411"/>
      <c r="VF15" s="411"/>
      <c r="VG15" s="411"/>
      <c r="VH15" s="411"/>
      <c r="VI15" s="411"/>
      <c r="VJ15" s="411"/>
      <c r="VK15" s="411"/>
      <c r="VL15" s="411"/>
      <c r="VM15" s="411"/>
      <c r="VN15" s="411"/>
      <c r="VO15" s="411"/>
      <c r="VP15" s="411"/>
      <c r="VQ15" s="411"/>
      <c r="VR15" s="411"/>
      <c r="VS15" s="411"/>
      <c r="VT15" s="411"/>
      <c r="VU15" s="411"/>
      <c r="VV15" s="411"/>
      <c r="VW15" s="411"/>
      <c r="VX15" s="411"/>
      <c r="VY15" s="411"/>
      <c r="VZ15" s="411"/>
      <c r="WA15" s="411"/>
      <c r="WB15" s="411"/>
      <c r="WC15" s="411"/>
      <c r="WD15" s="411"/>
      <c r="WE15" s="411"/>
      <c r="WF15" s="411"/>
      <c r="WG15" s="411"/>
      <c r="WH15" s="411"/>
      <c r="WI15" s="411"/>
      <c r="WJ15" s="411"/>
      <c r="WK15" s="411"/>
      <c r="WL15" s="411"/>
      <c r="WM15" s="411"/>
      <c r="WN15" s="411"/>
      <c r="WO15" s="411"/>
      <c r="WP15" s="411"/>
      <c r="WQ15" s="411"/>
      <c r="WR15" s="411"/>
      <c r="WS15" s="411"/>
      <c r="WT15" s="411"/>
      <c r="WU15" s="411"/>
      <c r="WV15" s="411"/>
      <c r="WW15" s="411"/>
      <c r="WX15" s="411"/>
      <c r="WY15" s="411"/>
      <c r="WZ15" s="411"/>
      <c r="XA15" s="411"/>
      <c r="XB15" s="411"/>
      <c r="XC15" s="411"/>
      <c r="XD15" s="411"/>
      <c r="XE15" s="411"/>
      <c r="XF15" s="411"/>
      <c r="XG15" s="411"/>
      <c r="XH15" s="411"/>
      <c r="XI15" s="411"/>
      <c r="XJ15" s="411"/>
      <c r="XK15" s="411"/>
      <c r="XL15" s="411"/>
      <c r="XM15" s="411"/>
      <c r="XN15" s="411"/>
      <c r="XO15" s="411"/>
      <c r="XP15" s="411"/>
      <c r="XQ15" s="411"/>
      <c r="XR15" s="411"/>
      <c r="XS15" s="411"/>
      <c r="XT15" s="411"/>
      <c r="XU15" s="411"/>
      <c r="XV15" s="411"/>
      <c r="XW15" s="411"/>
      <c r="XX15" s="411"/>
      <c r="XY15" s="411"/>
      <c r="XZ15" s="411"/>
      <c r="YA15" s="411"/>
      <c r="YB15" s="411"/>
      <c r="YC15" s="411"/>
      <c r="YD15" s="411"/>
      <c r="YE15" s="411"/>
      <c r="YF15" s="411"/>
      <c r="YG15" s="411"/>
      <c r="YH15" s="411"/>
      <c r="YI15" s="411"/>
      <c r="YJ15" s="411"/>
      <c r="YK15" s="411"/>
      <c r="YL15" s="411"/>
      <c r="YM15" s="411"/>
      <c r="YN15" s="411"/>
      <c r="YO15" s="411"/>
      <c r="YP15" s="411"/>
      <c r="YQ15" s="411"/>
      <c r="YR15" s="411"/>
      <c r="YS15" s="411"/>
      <c r="YT15" s="411"/>
      <c r="YU15" s="411"/>
      <c r="YV15" s="411"/>
      <c r="YW15" s="411"/>
      <c r="YX15" s="411"/>
      <c r="YY15" s="411"/>
      <c r="YZ15" s="411"/>
      <c r="ZA15" s="411"/>
      <c r="ZB15" s="411"/>
      <c r="ZC15" s="411"/>
      <c r="ZD15" s="411"/>
      <c r="ZE15" s="411"/>
      <c r="ZF15" s="411"/>
      <c r="ZG15" s="411"/>
      <c r="ZH15" s="411"/>
      <c r="ZI15" s="411"/>
      <c r="ZJ15" s="411"/>
      <c r="ZK15" s="411"/>
      <c r="ZL15" s="411"/>
      <c r="ZM15" s="411"/>
      <c r="ZN15" s="411"/>
      <c r="ZO15" s="411"/>
      <c r="ZP15" s="411"/>
      <c r="ZQ15" s="411"/>
      <c r="ZR15" s="411"/>
      <c r="ZS15" s="411"/>
      <c r="ZT15" s="411"/>
      <c r="ZU15" s="411"/>
      <c r="ZV15" s="411"/>
      <c r="ZW15" s="411"/>
      <c r="ZX15" s="411"/>
      <c r="ZY15" s="411"/>
      <c r="ZZ15" s="411"/>
      <c r="AAA15" s="411"/>
      <c r="AAB15" s="411"/>
      <c r="AAC15" s="411"/>
      <c r="AAD15" s="411"/>
      <c r="AAE15" s="411"/>
      <c r="AAF15" s="411"/>
      <c r="AAG15" s="411"/>
      <c r="AAH15" s="411"/>
      <c r="AAI15" s="411"/>
      <c r="AAJ15" s="411"/>
      <c r="AAK15" s="411"/>
      <c r="AAL15" s="411"/>
      <c r="AAM15" s="411"/>
      <c r="AAN15" s="411"/>
      <c r="AAO15" s="411"/>
      <c r="AAP15" s="411"/>
      <c r="AAQ15" s="411"/>
      <c r="AAR15" s="411"/>
      <c r="AAS15" s="411"/>
      <c r="AAT15" s="411"/>
      <c r="AAU15" s="411"/>
      <c r="AAV15" s="411"/>
      <c r="AAW15" s="411"/>
      <c r="AAX15" s="411"/>
      <c r="AAY15" s="411"/>
      <c r="AAZ15" s="411"/>
      <c r="ABA15" s="411"/>
      <c r="ABB15" s="411"/>
      <c r="ABC15" s="411"/>
      <c r="ABD15" s="411"/>
      <c r="ABE15" s="411"/>
      <c r="ABF15" s="411"/>
      <c r="ABG15" s="411"/>
      <c r="ABH15" s="411"/>
      <c r="ABI15" s="411"/>
      <c r="ABJ15" s="411"/>
      <c r="ABK15" s="411"/>
      <c r="ABL15" s="411"/>
      <c r="ABM15" s="411"/>
      <c r="ABN15" s="411"/>
      <c r="ABO15" s="411"/>
      <c r="ABP15" s="411"/>
      <c r="ABQ15" s="411"/>
      <c r="ABR15" s="411"/>
      <c r="ABS15" s="411"/>
      <c r="ABT15" s="411"/>
      <c r="ABU15" s="411"/>
      <c r="ABV15" s="411"/>
      <c r="ABW15" s="411"/>
      <c r="ABX15" s="411"/>
      <c r="ABY15" s="411"/>
      <c r="ABZ15" s="411"/>
      <c r="ACA15" s="411"/>
      <c r="ACB15" s="411"/>
      <c r="ACC15" s="411"/>
      <c r="ACD15" s="411"/>
      <c r="ACE15" s="411"/>
      <c r="ACF15" s="411"/>
      <c r="ACG15" s="411"/>
      <c r="ACH15" s="411"/>
      <c r="ACI15" s="411"/>
      <c r="ACJ15" s="411"/>
      <c r="ACK15" s="411"/>
      <c r="ACL15" s="411"/>
      <c r="ACM15" s="411"/>
      <c r="ACN15" s="411"/>
      <c r="ACO15" s="411"/>
      <c r="ACP15" s="411"/>
      <c r="ACQ15" s="411"/>
      <c r="ACR15" s="411"/>
      <c r="ACS15" s="411"/>
      <c r="ACT15" s="411"/>
      <c r="ACU15" s="411"/>
      <c r="ACV15" s="411"/>
      <c r="ACW15" s="411"/>
      <c r="ACX15" s="411"/>
      <c r="ACY15" s="411"/>
      <c r="ACZ15" s="411"/>
      <c r="ADA15" s="411"/>
      <c r="ADB15" s="411"/>
      <c r="ADC15" s="411"/>
      <c r="ADD15" s="411"/>
      <c r="ADE15" s="411"/>
      <c r="ADF15" s="411"/>
      <c r="ADG15" s="411"/>
      <c r="ADH15" s="411"/>
      <c r="ADI15" s="411"/>
      <c r="ADJ15" s="411"/>
      <c r="ADK15" s="411"/>
      <c r="ADL15" s="411"/>
      <c r="ADM15" s="411"/>
      <c r="ADN15" s="411"/>
      <c r="ADO15" s="411"/>
      <c r="ADP15" s="411"/>
      <c r="ADQ15" s="411"/>
      <c r="ADR15" s="411"/>
      <c r="ADS15" s="411"/>
      <c r="ADT15" s="411"/>
      <c r="ADU15" s="411"/>
      <c r="ADV15" s="411"/>
      <c r="ADW15" s="411"/>
      <c r="ADX15" s="411"/>
      <c r="ADY15" s="411"/>
      <c r="ADZ15" s="411"/>
      <c r="AEA15" s="411"/>
      <c r="AEB15" s="411"/>
      <c r="AEC15" s="411"/>
      <c r="AED15" s="411"/>
      <c r="AEE15" s="411"/>
      <c r="AEF15" s="411"/>
      <c r="AEG15" s="411"/>
      <c r="AEH15" s="411"/>
      <c r="AEI15" s="411"/>
      <c r="AEJ15" s="411"/>
      <c r="AEK15" s="411"/>
      <c r="AEL15" s="411"/>
      <c r="AEM15" s="411"/>
      <c r="AEN15" s="411"/>
      <c r="AEO15" s="411"/>
      <c r="AEP15" s="411"/>
      <c r="AEQ15" s="411"/>
      <c r="AER15" s="411"/>
      <c r="AES15" s="411"/>
      <c r="AET15" s="411"/>
      <c r="AEU15" s="411"/>
      <c r="AEV15" s="411"/>
      <c r="AEW15" s="411"/>
      <c r="AEX15" s="411"/>
      <c r="AEY15" s="411"/>
      <c r="AEZ15" s="411"/>
      <c r="AFA15" s="411"/>
      <c r="AFB15" s="411"/>
      <c r="AFC15" s="411"/>
      <c r="AFD15" s="411"/>
      <c r="AFE15" s="411"/>
      <c r="AFF15" s="411"/>
      <c r="AFG15" s="411"/>
      <c r="AFH15" s="411"/>
      <c r="AFI15" s="411"/>
      <c r="AFJ15" s="411"/>
      <c r="AFK15" s="411"/>
      <c r="AFL15" s="411"/>
      <c r="AFM15" s="411"/>
      <c r="AFN15" s="411"/>
      <c r="AFO15" s="411"/>
      <c r="AFP15" s="411"/>
      <c r="AFQ15" s="411"/>
      <c r="AFR15" s="411"/>
      <c r="AFS15" s="411"/>
      <c r="AFT15" s="411"/>
      <c r="AFU15" s="411"/>
      <c r="AFV15" s="411"/>
      <c r="AFW15" s="411"/>
      <c r="AFX15" s="411"/>
      <c r="AFY15" s="411"/>
      <c r="AFZ15" s="411"/>
      <c r="AGA15" s="411"/>
      <c r="AGB15" s="411"/>
      <c r="AGC15" s="411"/>
      <c r="AGD15" s="411"/>
      <c r="AGE15" s="411"/>
      <c r="AGF15" s="411"/>
      <c r="AGG15" s="411"/>
      <c r="AGH15" s="411"/>
      <c r="AGI15" s="411"/>
      <c r="AGJ15" s="411"/>
      <c r="AGK15" s="411"/>
      <c r="AGL15" s="411"/>
      <c r="AGM15" s="411"/>
      <c r="AGN15" s="411"/>
      <c r="AGO15" s="411"/>
      <c r="AGP15" s="411"/>
      <c r="AGQ15" s="411"/>
      <c r="AGR15" s="411"/>
      <c r="AGS15" s="411"/>
      <c r="AGT15" s="411"/>
      <c r="AGU15" s="411"/>
      <c r="AGV15" s="411"/>
      <c r="AGW15" s="411"/>
      <c r="AGX15" s="411"/>
      <c r="AGY15" s="411"/>
      <c r="AGZ15" s="411"/>
      <c r="AHA15" s="411"/>
      <c r="AHB15" s="411"/>
      <c r="AHC15" s="411"/>
      <c r="AHD15" s="411"/>
      <c r="AHE15" s="411"/>
      <c r="AHF15" s="411"/>
      <c r="AHG15" s="411"/>
      <c r="AHH15" s="411"/>
      <c r="AHI15" s="411"/>
      <c r="AHJ15" s="411"/>
      <c r="AHK15" s="411"/>
      <c r="AHL15" s="411"/>
      <c r="AHM15" s="411"/>
      <c r="AHN15" s="411"/>
      <c r="AHO15" s="411"/>
      <c r="AHP15" s="411"/>
      <c r="AHQ15" s="411"/>
      <c r="AHR15" s="411"/>
      <c r="AHS15" s="411"/>
      <c r="AHT15" s="411"/>
      <c r="AHU15" s="411"/>
      <c r="AHV15" s="411"/>
      <c r="AHW15" s="411"/>
      <c r="AHX15" s="411"/>
      <c r="AHY15" s="411"/>
      <c r="AHZ15" s="411"/>
      <c r="AIA15" s="411"/>
      <c r="AIB15" s="411"/>
      <c r="AIC15" s="411"/>
      <c r="AID15" s="411"/>
      <c r="AIE15" s="411"/>
      <c r="AIF15" s="411"/>
      <c r="AIG15" s="411"/>
      <c r="AIH15" s="411"/>
      <c r="AII15" s="411"/>
      <c r="AIJ15" s="411"/>
      <c r="AIK15" s="411"/>
      <c r="AIL15" s="411"/>
      <c r="AIM15" s="411"/>
      <c r="AIN15" s="411"/>
      <c r="AIO15" s="411"/>
      <c r="AIP15" s="411"/>
      <c r="AIQ15" s="411"/>
      <c r="AIR15" s="411"/>
      <c r="AIS15" s="411"/>
      <c r="AIT15" s="411"/>
      <c r="AIU15" s="411"/>
      <c r="AIV15" s="411"/>
      <c r="AIW15" s="411"/>
      <c r="AIX15" s="411"/>
      <c r="AIY15" s="411"/>
      <c r="AIZ15" s="411"/>
      <c r="AJA15" s="411"/>
      <c r="AJB15" s="411"/>
      <c r="AJC15" s="411"/>
      <c r="AJD15" s="411"/>
      <c r="AJE15" s="411"/>
      <c r="AJF15" s="411"/>
      <c r="AJG15" s="411"/>
      <c r="AJH15" s="411"/>
      <c r="AJI15" s="411"/>
      <c r="AJJ15" s="411"/>
      <c r="AJK15" s="411"/>
      <c r="AJL15" s="411"/>
      <c r="AJM15" s="411"/>
      <c r="AJN15" s="411"/>
      <c r="AJO15" s="411"/>
      <c r="AJP15" s="411"/>
      <c r="AJQ15" s="411"/>
      <c r="AJR15" s="411"/>
      <c r="AJS15" s="411"/>
      <c r="AJT15" s="411"/>
      <c r="AJU15" s="411"/>
      <c r="AJV15" s="411"/>
      <c r="AJW15" s="411"/>
      <c r="AJX15" s="411"/>
      <c r="AJY15" s="411"/>
      <c r="AJZ15" s="411"/>
      <c r="AKA15" s="411"/>
      <c r="AKB15" s="411"/>
      <c r="AKC15" s="411"/>
      <c r="AKD15" s="411"/>
      <c r="AKE15" s="411"/>
      <c r="AKF15" s="411"/>
      <c r="AKG15" s="411"/>
      <c r="AKH15" s="411"/>
      <c r="AKI15" s="411"/>
      <c r="AKJ15" s="411"/>
      <c r="AKK15" s="411"/>
      <c r="AKL15" s="411"/>
      <c r="AKM15" s="411"/>
      <c r="AKN15" s="411"/>
      <c r="AKO15" s="411"/>
      <c r="AKP15" s="411"/>
      <c r="AKQ15" s="411"/>
      <c r="AKR15" s="411"/>
      <c r="AKS15" s="411"/>
      <c r="AKT15" s="411"/>
    </row>
    <row r="16">
      <c r="A16" s="411" t="s">
        <v>17</v>
      </c>
      <c r="B16" s="411"/>
      <c r="C16" s="411"/>
      <c r="D16" s="411"/>
      <c r="E16" s="411"/>
      <c r="F16" s="411"/>
      <c r="G16" s="411"/>
      <c r="H16" s="411"/>
      <c r="I16" s="411"/>
      <c r="J16" s="411"/>
      <c r="K16" s="411"/>
      <c r="L16" s="411"/>
      <c r="M16" s="411"/>
      <c r="N16" s="411"/>
      <c r="O16" s="411"/>
      <c r="P16" s="411"/>
      <c r="Q16" s="411"/>
      <c r="R16" s="411"/>
      <c r="S16" s="411"/>
      <c r="T16" s="411"/>
      <c r="U16" s="411"/>
      <c r="V16" s="411"/>
      <c r="W16" s="411"/>
      <c r="X16" s="411"/>
      <c r="Y16" s="411"/>
      <c r="Z16" s="411"/>
      <c r="AA16" s="411"/>
      <c r="AB16" s="411"/>
      <c r="AC16" s="411"/>
      <c r="AD16" s="411"/>
      <c r="AE16" s="411"/>
      <c r="AF16" s="411"/>
      <c r="AG16" s="411"/>
      <c r="AH16" s="411"/>
      <c r="AI16" s="411"/>
      <c r="AJ16" s="411"/>
      <c r="AK16" s="411"/>
      <c r="AL16" s="411"/>
      <c r="AM16" s="411"/>
      <c r="AN16" s="411"/>
      <c r="AO16" s="411"/>
      <c r="AP16" s="411"/>
      <c r="AQ16" s="411"/>
      <c r="AR16" s="411"/>
      <c r="AS16" s="411"/>
      <c r="AT16" s="411"/>
      <c r="AU16" s="411"/>
      <c r="AV16" s="411"/>
      <c r="AW16" s="411"/>
      <c r="AX16" s="411"/>
      <c r="AY16" s="411"/>
      <c r="AZ16" s="411"/>
      <c r="BA16" s="411"/>
      <c r="BB16" s="411"/>
      <c r="BC16" s="411"/>
      <c r="BD16" s="411"/>
      <c r="BE16" s="411"/>
      <c r="BF16" s="411"/>
      <c r="BG16" s="411"/>
      <c r="BH16" s="411"/>
      <c r="BI16" s="411"/>
      <c r="BJ16" s="411"/>
      <c r="BK16" s="411"/>
      <c r="BL16" s="411"/>
      <c r="BM16" s="411"/>
      <c r="BN16" s="411"/>
      <c r="BO16" s="411"/>
      <c r="BP16" s="411"/>
      <c r="BQ16" s="411"/>
      <c r="BR16" s="411"/>
      <c r="BS16" s="411"/>
      <c r="BT16" s="411"/>
      <c r="BU16" s="411"/>
      <c r="BV16" s="411"/>
      <c r="BW16" s="411"/>
      <c r="BX16" s="411"/>
      <c r="BY16" s="411"/>
      <c r="BZ16" s="411"/>
      <c r="CA16" s="411"/>
      <c r="CB16" s="411"/>
      <c r="CC16" s="411"/>
      <c r="CD16" s="411"/>
      <c r="CE16" s="411"/>
      <c r="CF16" s="411"/>
      <c r="CG16" s="411"/>
      <c r="CH16" s="411"/>
      <c r="CI16" s="411"/>
      <c r="CJ16" s="411"/>
      <c r="CK16" s="411"/>
      <c r="CL16" s="411"/>
      <c r="CM16" s="411"/>
      <c r="CN16" s="411"/>
      <c r="CO16" s="411"/>
      <c r="CP16" s="411"/>
      <c r="CQ16" s="411"/>
      <c r="CR16" s="411"/>
      <c r="CS16" s="411"/>
      <c r="CT16" s="411"/>
      <c r="CU16" s="411"/>
      <c r="CV16" s="411"/>
      <c r="CW16" s="411"/>
      <c r="CX16" s="411"/>
      <c r="CY16" s="411"/>
      <c r="CZ16" s="411"/>
      <c r="DA16" s="411"/>
      <c r="DB16" s="411"/>
      <c r="DC16" s="411"/>
      <c r="DD16" s="411"/>
      <c r="DE16" s="411"/>
      <c r="DF16" s="411"/>
      <c r="DG16" s="411"/>
      <c r="DH16" s="411"/>
      <c r="DI16" s="411"/>
      <c r="DJ16" s="411"/>
      <c r="DK16" s="411"/>
      <c r="DL16" s="411"/>
      <c r="DM16" s="411">
        <v>-63.9</v>
      </c>
      <c r="DN16" s="411"/>
      <c r="DO16" s="411"/>
      <c r="DP16" s="411"/>
      <c r="DQ16" s="411"/>
      <c r="DR16" s="411"/>
      <c r="DS16" s="411"/>
      <c r="DT16" s="411"/>
      <c r="DU16" s="411"/>
      <c r="DV16" s="411"/>
      <c r="DW16" s="411"/>
      <c r="DX16" s="411"/>
      <c r="DY16" s="411"/>
      <c r="DZ16" s="411"/>
      <c r="EA16" s="411"/>
      <c r="EB16" s="411"/>
      <c r="EC16" s="411"/>
      <c r="ED16" s="411"/>
      <c r="EE16" s="411"/>
      <c r="EF16" s="411"/>
      <c r="EG16" s="411"/>
      <c r="EH16" s="411"/>
      <c r="EI16" s="411"/>
      <c r="EJ16" s="411"/>
      <c r="EK16" s="411"/>
      <c r="EL16" s="411"/>
      <c r="EM16" s="411"/>
      <c r="EN16" s="411"/>
      <c r="EO16" s="411"/>
      <c r="EP16" s="411"/>
      <c r="EQ16" s="411"/>
      <c r="ER16" s="411"/>
      <c r="ES16" s="411"/>
      <c r="ET16" s="411"/>
      <c r="EU16" s="411"/>
      <c r="EV16" s="411"/>
      <c r="EW16" s="411"/>
      <c r="EX16" s="411"/>
      <c r="EY16" s="411"/>
      <c r="EZ16" s="411"/>
      <c r="FA16" s="411"/>
      <c r="FB16" s="411"/>
      <c r="FC16" s="411"/>
      <c r="FD16" s="411"/>
      <c r="FE16" s="411"/>
      <c r="FF16" s="411"/>
      <c r="FG16" s="411"/>
      <c r="FH16" s="411"/>
      <c r="FI16" s="411"/>
      <c r="FJ16" s="411"/>
      <c r="FK16" s="411"/>
      <c r="FL16" s="411"/>
      <c r="FM16" s="411"/>
      <c r="FN16" s="411"/>
      <c r="FO16" s="411"/>
      <c r="FP16" s="411"/>
      <c r="FQ16" s="411"/>
      <c r="FR16" s="411"/>
      <c r="FS16" s="411"/>
      <c r="FT16" s="411"/>
      <c r="FU16" s="411"/>
      <c r="FV16" s="411"/>
      <c r="FW16" s="411"/>
      <c r="FX16" s="411"/>
      <c r="FY16" s="411"/>
      <c r="FZ16" s="411"/>
      <c r="GA16" s="411"/>
      <c r="GB16" s="411"/>
      <c r="GC16" s="411"/>
      <c r="GD16" s="411"/>
      <c r="GE16" s="411"/>
      <c r="GF16" s="411"/>
      <c r="GG16" s="411"/>
      <c r="GH16" s="411"/>
      <c r="GI16" s="411"/>
      <c r="GJ16" s="411"/>
      <c r="GK16" s="411"/>
      <c r="GL16" s="411"/>
      <c r="GM16" s="411"/>
      <c r="GN16" s="411"/>
      <c r="GO16" s="411"/>
      <c r="GP16" s="411"/>
      <c r="GQ16" s="411"/>
      <c r="GR16" s="411"/>
      <c r="GS16" s="411"/>
      <c r="GT16" s="411"/>
      <c r="GU16" s="411"/>
      <c r="GV16" s="411"/>
      <c r="GW16" s="411"/>
      <c r="GX16" s="411"/>
      <c r="GY16" s="411"/>
      <c r="GZ16" s="411"/>
      <c r="HA16" s="411"/>
      <c r="HB16" s="411"/>
      <c r="HC16" s="411"/>
      <c r="HD16" s="411"/>
      <c r="HE16" s="411"/>
      <c r="HF16" s="411"/>
      <c r="HG16" s="411"/>
      <c r="HH16" s="411"/>
      <c r="HI16" s="411"/>
      <c r="HJ16" s="411"/>
      <c r="HK16" s="411"/>
      <c r="HL16" s="411"/>
      <c r="HM16" s="411"/>
      <c r="HN16" s="411"/>
      <c r="HO16" s="411"/>
      <c r="HP16" s="411"/>
      <c r="HQ16" s="411"/>
      <c r="HR16" s="411"/>
      <c r="HS16" s="411"/>
      <c r="HT16" s="411"/>
      <c r="HU16" s="411"/>
      <c r="HV16" s="411"/>
      <c r="HW16" s="411"/>
      <c r="HX16" s="411"/>
      <c r="HY16" s="411"/>
      <c r="HZ16" s="411"/>
      <c r="IA16" s="411"/>
      <c r="IB16" s="411"/>
      <c r="IC16" s="411"/>
      <c r="ID16" s="411"/>
      <c r="IE16" s="411"/>
      <c r="IF16" s="411"/>
      <c r="IG16" s="411"/>
      <c r="IH16" s="411"/>
      <c r="II16" s="411"/>
      <c r="IJ16" s="411"/>
      <c r="IK16" s="411"/>
      <c r="IL16" s="411"/>
      <c r="IM16" s="411"/>
      <c r="IN16" s="411"/>
      <c r="IO16" s="411"/>
      <c r="IP16" s="411"/>
      <c r="IQ16" s="411"/>
      <c r="IR16" s="411"/>
      <c r="IS16" s="411"/>
      <c r="IT16" s="411"/>
      <c r="IU16" s="411"/>
      <c r="IV16" s="411"/>
      <c r="IW16" s="411"/>
      <c r="IX16" s="411"/>
      <c r="IY16" s="411"/>
      <c r="IZ16" s="411"/>
      <c r="JA16" s="411"/>
      <c r="JB16" s="411"/>
      <c r="JC16" s="411"/>
      <c r="JD16" s="411"/>
      <c r="JE16" s="411"/>
      <c r="JF16" s="411"/>
      <c r="JG16" s="411"/>
      <c r="JH16" s="411"/>
      <c r="JI16" s="411"/>
      <c r="JJ16" s="411"/>
      <c r="JK16" s="411"/>
      <c r="JL16" s="411"/>
      <c r="JM16" s="411"/>
      <c r="JN16" s="411"/>
      <c r="JO16" s="411"/>
      <c r="JP16" s="411"/>
      <c r="JQ16" s="411"/>
      <c r="JR16" s="411"/>
      <c r="JS16" s="411"/>
      <c r="JT16" s="411"/>
      <c r="JU16" s="411"/>
      <c r="JV16" s="411"/>
      <c r="JW16" s="411"/>
      <c r="JX16" s="411"/>
      <c r="JY16" s="411"/>
      <c r="JZ16" s="411"/>
      <c r="KA16" s="411"/>
      <c r="KB16" s="411"/>
      <c r="KC16" s="411"/>
      <c r="KD16" s="411"/>
      <c r="KE16" s="411"/>
      <c r="KF16" s="411"/>
      <c r="KG16" s="411"/>
      <c r="KH16" s="411"/>
      <c r="KI16" s="411"/>
      <c r="KJ16" s="411"/>
      <c r="KK16" s="411"/>
      <c r="KL16" s="411"/>
      <c r="KM16" s="411"/>
      <c r="KN16" s="411"/>
      <c r="KO16" s="411"/>
      <c r="KP16" s="411"/>
      <c r="KQ16" s="411"/>
      <c r="KR16" s="411"/>
      <c r="KS16" s="411"/>
      <c r="KT16" s="411"/>
      <c r="KU16" s="411"/>
      <c r="KV16" s="411"/>
      <c r="KW16" s="411"/>
      <c r="KX16" s="411"/>
      <c r="KY16" s="411"/>
      <c r="KZ16" s="411"/>
      <c r="LA16" s="411"/>
      <c r="LB16" s="411"/>
      <c r="LC16" s="411"/>
      <c r="LD16" s="411"/>
      <c r="LE16" s="411"/>
      <c r="LF16" s="411"/>
      <c r="LG16" s="411"/>
      <c r="LH16" s="411"/>
      <c r="LI16" s="411"/>
      <c r="LJ16" s="411"/>
      <c r="LK16" s="411"/>
      <c r="LL16" s="411"/>
      <c r="LM16" s="411"/>
      <c r="LN16" s="411"/>
      <c r="LO16" s="411"/>
      <c r="LP16" s="411"/>
      <c r="LQ16" s="411"/>
      <c r="LR16" s="411"/>
      <c r="LS16" s="411"/>
      <c r="LT16" s="411"/>
      <c r="LU16" s="411"/>
      <c r="LV16" s="411"/>
      <c r="LW16" s="411"/>
      <c r="LX16" s="411"/>
      <c r="LY16" s="411"/>
      <c r="LZ16" s="411"/>
      <c r="MA16" s="411"/>
      <c r="MB16" s="411"/>
      <c r="MC16" s="411"/>
      <c r="MD16" s="411"/>
      <c r="ME16" s="411"/>
      <c r="MF16" s="411"/>
      <c r="MG16" s="411"/>
      <c r="MH16" s="411"/>
      <c r="MI16" s="411"/>
      <c r="MJ16" s="411"/>
      <c r="MK16" s="411"/>
      <c r="ML16" s="411"/>
      <c r="MM16" s="411"/>
      <c r="MN16" s="411"/>
      <c r="MO16" s="411"/>
      <c r="MP16" s="411"/>
      <c r="MQ16" s="411"/>
      <c r="MR16" s="411"/>
      <c r="MS16" s="411"/>
      <c r="MT16" s="411"/>
      <c r="MU16" s="411"/>
      <c r="MV16" s="411"/>
      <c r="MW16" s="411"/>
      <c r="MX16" s="411"/>
      <c r="MY16" s="411"/>
      <c r="MZ16" s="411"/>
      <c r="NA16" s="411"/>
      <c r="NB16" s="411"/>
      <c r="NC16" s="411"/>
      <c r="ND16" s="411"/>
      <c r="NE16" s="411"/>
      <c r="NF16" s="411"/>
      <c r="NG16" s="411"/>
      <c r="NH16" s="411"/>
      <c r="NI16" s="411"/>
      <c r="NJ16" s="411"/>
      <c r="NK16" s="411"/>
      <c r="NL16" s="411"/>
      <c r="NM16" s="411"/>
      <c r="NN16" s="411"/>
      <c r="NO16" s="411"/>
      <c r="NP16" s="411"/>
      <c r="NQ16" s="411"/>
      <c r="NR16" s="411"/>
      <c r="NS16" s="411"/>
      <c r="NT16" s="411"/>
      <c r="NU16" s="411"/>
      <c r="NV16" s="411"/>
      <c r="NW16" s="411"/>
      <c r="NX16" s="411"/>
      <c r="NY16" s="411"/>
      <c r="NZ16" s="411"/>
      <c r="OA16" s="411"/>
      <c r="OB16" s="411"/>
      <c r="OC16" s="411"/>
      <c r="OD16" s="411"/>
      <c r="OE16" s="411"/>
      <c r="OF16" s="411"/>
      <c r="OG16" s="411"/>
      <c r="OH16" s="411"/>
      <c r="OI16" s="411"/>
      <c r="OJ16" s="411"/>
      <c r="OK16" s="411"/>
      <c r="OL16" s="411"/>
      <c r="OM16" s="411"/>
      <c r="ON16" s="411"/>
      <c r="OO16" s="411"/>
      <c r="OP16" s="411"/>
      <c r="OQ16" s="411"/>
      <c r="OR16" s="411"/>
      <c r="OS16" s="411"/>
      <c r="OT16" s="411"/>
      <c r="OU16" s="411"/>
      <c r="OV16" s="411"/>
      <c r="OW16" s="411"/>
      <c r="OX16" s="411"/>
      <c r="OY16" s="411"/>
      <c r="OZ16" s="411"/>
      <c r="PA16" s="411"/>
      <c r="PB16" s="411"/>
      <c r="PC16" s="411"/>
      <c r="PD16" s="411"/>
      <c r="PE16" s="411"/>
      <c r="PF16" s="411"/>
      <c r="PG16" s="411"/>
      <c r="PH16" s="411"/>
      <c r="PI16" s="411"/>
      <c r="PJ16" s="411"/>
      <c r="PK16" s="411"/>
      <c r="PL16" s="411"/>
      <c r="PM16" s="411"/>
      <c r="PN16" s="411"/>
      <c r="PO16" s="411"/>
      <c r="PP16" s="411"/>
      <c r="PQ16" s="411"/>
      <c r="PR16" s="411"/>
      <c r="PS16" s="411"/>
      <c r="PT16" s="411"/>
      <c r="PU16" s="411"/>
      <c r="PV16" s="411"/>
      <c r="PW16" s="411"/>
      <c r="PX16" s="411"/>
      <c r="PY16" s="411"/>
      <c r="PZ16" s="411"/>
      <c r="QA16" s="411"/>
      <c r="QB16" s="411"/>
      <c r="QC16" s="411"/>
      <c r="QD16" s="411"/>
      <c r="QE16" s="411"/>
      <c r="QF16" s="411"/>
      <c r="QG16" s="411"/>
      <c r="QH16" s="411"/>
      <c r="QI16" s="411"/>
      <c r="QJ16" s="411"/>
      <c r="QK16" s="411"/>
      <c r="QL16" s="411"/>
      <c r="QM16" s="411"/>
      <c r="QN16" s="411"/>
      <c r="QO16" s="411"/>
      <c r="QP16" s="411"/>
      <c r="QQ16" s="411"/>
      <c r="QR16" s="411"/>
      <c r="QS16" s="411"/>
      <c r="QT16" s="411"/>
      <c r="QU16" s="411"/>
      <c r="QV16" s="411"/>
      <c r="QW16" s="411"/>
      <c r="QX16" s="411"/>
      <c r="QY16" s="411"/>
      <c r="QZ16" s="411"/>
      <c r="RA16" s="411"/>
      <c r="RB16" s="411"/>
      <c r="RC16" s="411"/>
      <c r="RD16" s="411"/>
      <c r="RE16" s="411"/>
      <c r="RF16" s="411"/>
      <c r="RG16" s="411"/>
      <c r="RH16" s="411"/>
      <c r="RI16" s="411"/>
      <c r="RJ16" s="411"/>
      <c r="RK16" s="411"/>
      <c r="RL16" s="411"/>
      <c r="RM16" s="411"/>
      <c r="RN16" s="411"/>
      <c r="RO16" s="411"/>
      <c r="RP16" s="411"/>
      <c r="RQ16" s="411"/>
      <c r="RR16" s="411"/>
      <c r="RS16" s="411"/>
      <c r="RT16" s="411"/>
      <c r="RU16" s="411"/>
      <c r="RV16" s="411"/>
      <c r="RW16" s="411"/>
      <c r="RX16" s="411"/>
      <c r="RY16" s="411"/>
      <c r="RZ16" s="411"/>
      <c r="SA16" s="411"/>
      <c r="SB16" s="411"/>
      <c r="SC16" s="411"/>
      <c r="SD16" s="411"/>
      <c r="SE16" s="411"/>
      <c r="SF16" s="411"/>
      <c r="SG16" s="411"/>
      <c r="SH16" s="411"/>
      <c r="SI16" s="411"/>
      <c r="SJ16" s="411"/>
      <c r="SK16" s="411"/>
      <c r="SL16" s="411"/>
      <c r="SM16" s="411"/>
      <c r="SN16" s="411"/>
      <c r="SO16" s="411"/>
      <c r="SP16" s="411"/>
      <c r="SQ16" s="411"/>
      <c r="SR16" s="411"/>
      <c r="SS16" s="411"/>
      <c r="ST16" s="411"/>
      <c r="SU16" s="411"/>
      <c r="SV16" s="411"/>
      <c r="SW16" s="411"/>
      <c r="SX16" s="411"/>
      <c r="SY16" s="411"/>
      <c r="SZ16" s="411"/>
      <c r="TA16" s="411"/>
      <c r="TB16" s="411"/>
      <c r="TC16" s="411"/>
      <c r="TD16" s="411"/>
      <c r="TE16" s="411"/>
      <c r="TF16" s="411"/>
      <c r="TG16" s="411"/>
      <c r="TH16" s="411"/>
      <c r="TI16" s="411"/>
      <c r="TJ16" s="411"/>
      <c r="TK16" s="411"/>
      <c r="TL16" s="411"/>
      <c r="TM16" s="411"/>
      <c r="TN16" s="411"/>
      <c r="TO16" s="411"/>
      <c r="TP16" s="411"/>
      <c r="TQ16" s="411"/>
      <c r="TR16" s="411"/>
      <c r="TS16" s="411"/>
      <c r="TT16" s="411"/>
      <c r="TU16" s="411"/>
      <c r="TV16" s="411"/>
      <c r="TW16" s="411"/>
      <c r="TX16" s="411"/>
      <c r="TY16" s="411"/>
      <c r="TZ16" s="411"/>
      <c r="UA16" s="411"/>
      <c r="UB16" s="411"/>
      <c r="UC16" s="411"/>
      <c r="UD16" s="411"/>
      <c r="UE16" s="411"/>
      <c r="UF16" s="411"/>
      <c r="UG16" s="411"/>
      <c r="UH16" s="411"/>
      <c r="UI16" s="411"/>
      <c r="UJ16" s="411"/>
      <c r="UK16" s="411"/>
      <c r="UL16" s="411"/>
      <c r="UM16" s="411"/>
      <c r="UN16" s="411"/>
      <c r="UO16" s="411"/>
      <c r="UP16" s="411"/>
      <c r="UQ16" s="411"/>
      <c r="UR16" s="411"/>
      <c r="US16" s="411"/>
      <c r="UT16" s="411"/>
      <c r="UU16" s="411"/>
      <c r="UV16" s="411"/>
      <c r="UW16" s="411"/>
      <c r="UX16" s="411"/>
      <c r="UY16" s="411"/>
      <c r="UZ16" s="411"/>
      <c r="VA16" s="411"/>
      <c r="VB16" s="411"/>
      <c r="VC16" s="411"/>
      <c r="VD16" s="411"/>
      <c r="VE16" s="411"/>
      <c r="VF16" s="411"/>
      <c r="VG16" s="411"/>
      <c r="VH16" s="411"/>
      <c r="VI16" s="411"/>
      <c r="VJ16" s="411"/>
      <c r="VK16" s="411"/>
      <c r="VL16" s="411"/>
      <c r="VM16" s="411"/>
      <c r="VN16" s="411"/>
      <c r="VO16" s="411"/>
      <c r="VP16" s="411"/>
      <c r="VQ16" s="411"/>
      <c r="VR16" s="411"/>
      <c r="VS16" s="411"/>
      <c r="VT16" s="411"/>
      <c r="VU16" s="411"/>
      <c r="VV16" s="411"/>
      <c r="VW16" s="411"/>
      <c r="VX16" s="411"/>
      <c r="VY16" s="411"/>
      <c r="VZ16" s="411"/>
      <c r="WA16" s="411"/>
      <c r="WB16" s="411"/>
      <c r="WC16" s="411"/>
      <c r="WD16" s="411"/>
      <c r="WE16" s="411"/>
      <c r="WF16" s="411"/>
      <c r="WG16" s="411"/>
      <c r="WH16" s="411"/>
      <c r="WI16" s="411"/>
      <c r="WJ16" s="411"/>
      <c r="WK16" s="411"/>
      <c r="WL16" s="411"/>
      <c r="WM16" s="411"/>
      <c r="WN16" s="411"/>
      <c r="WO16" s="411"/>
      <c r="WP16" s="411"/>
      <c r="WQ16" s="411"/>
      <c r="WR16" s="411"/>
      <c r="WS16" s="411"/>
      <c r="WT16" s="411"/>
      <c r="WU16" s="411"/>
      <c r="WV16" s="411"/>
      <c r="WW16" s="411"/>
      <c r="WX16" s="411"/>
      <c r="WY16" s="411"/>
      <c r="WZ16" s="411"/>
      <c r="XA16" s="411"/>
      <c r="XB16" s="411"/>
      <c r="XC16" s="411"/>
      <c r="XD16" s="411"/>
      <c r="XE16" s="411"/>
      <c r="XF16" s="411"/>
      <c r="XG16" s="411"/>
      <c r="XH16" s="411"/>
      <c r="XI16" s="411"/>
      <c r="XJ16" s="411"/>
      <c r="XK16" s="411"/>
      <c r="XL16" s="411"/>
      <c r="XM16" s="411"/>
      <c r="XN16" s="411"/>
      <c r="XO16" s="411"/>
      <c r="XP16" s="411"/>
      <c r="XQ16" s="411"/>
      <c r="XR16" s="411"/>
      <c r="XS16" s="411"/>
      <c r="XT16" s="411"/>
      <c r="XU16" s="411"/>
      <c r="XV16" s="411"/>
      <c r="XW16" s="411"/>
      <c r="XX16" s="411"/>
      <c r="XY16" s="411"/>
      <c r="XZ16" s="411"/>
      <c r="YA16" s="411"/>
      <c r="YB16" s="411"/>
      <c r="YC16" s="411"/>
      <c r="YD16" s="411"/>
      <c r="YE16" s="411"/>
      <c r="YF16" s="411"/>
      <c r="YG16" s="411"/>
      <c r="YH16" s="411"/>
      <c r="YI16" s="411"/>
      <c r="YJ16" s="411"/>
      <c r="YK16" s="411"/>
      <c r="YL16" s="411"/>
      <c r="YM16" s="411"/>
      <c r="YN16" s="411"/>
      <c r="YO16" s="411"/>
      <c r="YP16" s="411"/>
      <c r="YQ16" s="411"/>
      <c r="YR16" s="411"/>
      <c r="YS16" s="411"/>
      <c r="YT16" s="411"/>
      <c r="YU16" s="411"/>
      <c r="YV16" s="411"/>
      <c r="YW16" s="411"/>
      <c r="YX16" s="411"/>
      <c r="YY16" s="411"/>
      <c r="YZ16" s="411"/>
      <c r="ZA16" s="411"/>
      <c r="ZB16" s="411"/>
      <c r="ZC16" s="411"/>
      <c r="ZD16" s="411"/>
      <c r="ZE16" s="411"/>
      <c r="ZF16" s="411"/>
      <c r="ZG16" s="411"/>
      <c r="ZH16" s="411"/>
      <c r="ZI16" s="411"/>
      <c r="ZJ16" s="411"/>
      <c r="ZK16" s="411"/>
      <c r="ZL16" s="411"/>
      <c r="ZM16" s="411"/>
      <c r="ZN16" s="411"/>
      <c r="ZO16" s="411"/>
      <c r="ZP16" s="411"/>
      <c r="ZQ16" s="411"/>
      <c r="ZR16" s="411"/>
      <c r="ZS16" s="411"/>
      <c r="ZT16" s="411"/>
      <c r="ZU16" s="411"/>
      <c r="ZV16" s="411"/>
      <c r="ZW16" s="411"/>
      <c r="ZX16" s="411"/>
      <c r="ZY16" s="411"/>
      <c r="ZZ16" s="411"/>
      <c r="AAA16" s="411"/>
      <c r="AAB16" s="411"/>
      <c r="AAC16" s="411"/>
      <c r="AAD16" s="411"/>
      <c r="AAE16" s="411"/>
      <c r="AAF16" s="411"/>
      <c r="AAG16" s="411"/>
      <c r="AAH16" s="411"/>
      <c r="AAI16" s="411"/>
      <c r="AAJ16" s="411"/>
      <c r="AAK16" s="411"/>
      <c r="AAL16" s="411"/>
      <c r="AAM16" s="411"/>
      <c r="AAN16" s="411"/>
      <c r="AAO16" s="411"/>
      <c r="AAP16" s="411"/>
      <c r="AAQ16" s="411"/>
      <c r="AAR16" s="411"/>
      <c r="AAS16" s="411"/>
      <c r="AAT16" s="411"/>
      <c r="AAU16" s="411"/>
      <c r="AAV16" s="411"/>
      <c r="AAW16" s="411"/>
      <c r="AAX16" s="411"/>
      <c r="AAY16" s="411"/>
      <c r="AAZ16" s="411"/>
      <c r="ABA16" s="411"/>
      <c r="ABB16" s="411"/>
      <c r="ABC16" s="411"/>
      <c r="ABD16" s="411"/>
      <c r="ABE16" s="411"/>
      <c r="ABF16" s="411"/>
      <c r="ABG16" s="411"/>
      <c r="ABH16" s="411"/>
      <c r="ABI16" s="411"/>
      <c r="ABJ16" s="411"/>
      <c r="ABK16" s="411"/>
      <c r="ABL16" s="411"/>
      <c r="ABM16" s="411"/>
      <c r="ABN16" s="411"/>
      <c r="ABO16" s="411"/>
      <c r="ABP16" s="411"/>
      <c r="ABQ16" s="411"/>
      <c r="ABR16" s="411"/>
      <c r="ABS16" s="411"/>
      <c r="ABT16" s="411"/>
      <c r="ABU16" s="411"/>
      <c r="ABV16" s="411"/>
      <c r="ABW16" s="411"/>
      <c r="ABX16" s="411"/>
      <c r="ABY16" s="411"/>
      <c r="ABZ16" s="411"/>
      <c r="ACA16" s="411"/>
      <c r="ACB16" s="411"/>
      <c r="ACC16" s="411"/>
      <c r="ACD16" s="411"/>
      <c r="ACE16" s="411"/>
      <c r="ACF16" s="411"/>
      <c r="ACG16" s="411"/>
      <c r="ACH16" s="411"/>
      <c r="ACI16" s="411"/>
      <c r="ACJ16" s="411"/>
      <c r="ACK16" s="411"/>
      <c r="ACL16" s="411"/>
      <c r="ACM16" s="411"/>
      <c r="ACN16" s="411"/>
      <c r="ACO16" s="411"/>
      <c r="ACP16" s="411"/>
      <c r="ACQ16" s="411"/>
      <c r="ACR16" s="411"/>
      <c r="ACS16" s="411"/>
      <c r="ACT16" s="411"/>
      <c r="ACU16" s="411"/>
      <c r="ACV16" s="411"/>
      <c r="ACW16" s="411"/>
      <c r="ACX16" s="411"/>
      <c r="ACY16" s="411"/>
      <c r="ACZ16" s="411"/>
      <c r="ADA16" s="411"/>
      <c r="ADB16" s="411"/>
      <c r="ADC16" s="411"/>
      <c r="ADD16" s="411"/>
      <c r="ADE16" s="411"/>
      <c r="ADF16" s="411"/>
      <c r="ADG16" s="411"/>
      <c r="ADH16" s="411"/>
      <c r="ADI16" s="411"/>
      <c r="ADJ16" s="411"/>
      <c r="ADK16" s="411"/>
      <c r="ADL16" s="411"/>
      <c r="ADM16" s="411"/>
      <c r="ADN16" s="411"/>
      <c r="ADO16" s="411"/>
      <c r="ADP16" s="411"/>
      <c r="ADQ16" s="411"/>
      <c r="ADR16" s="411"/>
      <c r="ADS16" s="411"/>
      <c r="ADT16" s="411"/>
      <c r="ADU16" s="411"/>
      <c r="ADV16" s="411"/>
      <c r="ADW16" s="411"/>
      <c r="ADX16" s="411"/>
      <c r="ADY16" s="411"/>
      <c r="ADZ16" s="411"/>
      <c r="AEA16" s="411"/>
      <c r="AEB16" s="411"/>
      <c r="AEC16" s="411"/>
      <c r="AED16" s="411"/>
      <c r="AEE16" s="411"/>
      <c r="AEF16" s="411"/>
      <c r="AEG16" s="411"/>
      <c r="AEH16" s="411"/>
      <c r="AEI16" s="411"/>
      <c r="AEJ16" s="411"/>
      <c r="AEK16" s="411"/>
      <c r="AEL16" s="411"/>
      <c r="AEM16" s="411"/>
      <c r="AEN16" s="411"/>
      <c r="AEO16" s="411"/>
      <c r="AEP16" s="411"/>
      <c r="AEQ16" s="411"/>
      <c r="AER16" s="411"/>
      <c r="AES16" s="411"/>
      <c r="AET16" s="411"/>
      <c r="AEU16" s="411"/>
      <c r="AEV16" s="411"/>
      <c r="AEW16" s="411"/>
      <c r="AEX16" s="411"/>
      <c r="AEY16" s="411"/>
      <c r="AEZ16" s="411"/>
      <c r="AFA16" s="411"/>
      <c r="AFB16" s="411"/>
      <c r="AFC16" s="411"/>
      <c r="AFD16" s="411"/>
      <c r="AFE16" s="411"/>
      <c r="AFF16" s="411"/>
      <c r="AFG16" s="411"/>
      <c r="AFH16" s="411"/>
      <c r="AFI16" s="411"/>
      <c r="AFJ16" s="411"/>
      <c r="AFK16" s="411"/>
      <c r="AFL16" s="411"/>
      <c r="AFM16" s="411"/>
      <c r="AFN16" s="411"/>
      <c r="AFO16" s="411"/>
      <c r="AFP16" s="411"/>
      <c r="AFQ16" s="411"/>
      <c r="AFR16" s="411"/>
      <c r="AFS16" s="411"/>
      <c r="AFT16" s="411"/>
      <c r="AFU16" s="411"/>
      <c r="AFV16" s="411"/>
      <c r="AFW16" s="411"/>
      <c r="AFX16" s="411"/>
      <c r="AFY16" s="411"/>
      <c r="AFZ16" s="411"/>
      <c r="AGA16" s="411"/>
      <c r="AGB16" s="411"/>
      <c r="AGC16" s="411"/>
      <c r="AGD16" s="411"/>
      <c r="AGE16" s="411"/>
      <c r="AGF16" s="411"/>
      <c r="AGG16" s="411"/>
      <c r="AGH16" s="411"/>
      <c r="AGI16" s="411"/>
      <c r="AGJ16" s="411"/>
      <c r="AGK16" s="411"/>
      <c r="AGL16" s="411"/>
      <c r="AGM16" s="411"/>
      <c r="AGN16" s="411"/>
      <c r="AGO16" s="411"/>
      <c r="AGP16" s="411"/>
      <c r="AGQ16" s="411"/>
      <c r="AGR16" s="411"/>
      <c r="AGS16" s="411"/>
      <c r="AGT16" s="411"/>
      <c r="AGU16" s="411"/>
      <c r="AGV16" s="411"/>
      <c r="AGW16" s="411"/>
      <c r="AGX16" s="411"/>
      <c r="AGY16" s="411"/>
      <c r="AGZ16" s="411"/>
      <c r="AHA16" s="411"/>
      <c r="AHB16" s="411"/>
      <c r="AHC16" s="411"/>
      <c r="AHD16" s="411"/>
      <c r="AHE16" s="411"/>
      <c r="AHF16" s="411"/>
      <c r="AHG16" s="411"/>
      <c r="AHH16" s="411"/>
      <c r="AHI16" s="411"/>
      <c r="AHJ16" s="411"/>
      <c r="AHK16" s="411"/>
      <c r="AHL16" s="411"/>
      <c r="AHM16" s="411"/>
      <c r="AHN16" s="411"/>
      <c r="AHO16" s="411"/>
      <c r="AHP16" s="411"/>
      <c r="AHQ16" s="411"/>
      <c r="AHR16" s="411"/>
      <c r="AHS16" s="411"/>
      <c r="AHT16" s="411"/>
      <c r="AHU16" s="411"/>
      <c r="AHV16" s="411"/>
      <c r="AHW16" s="411"/>
      <c r="AHX16" s="411"/>
      <c r="AHY16" s="411"/>
      <c r="AHZ16" s="411"/>
      <c r="AIA16" s="411"/>
      <c r="AIB16" s="411"/>
      <c r="AIC16" s="411"/>
      <c r="AID16" s="411"/>
      <c r="AIE16" s="411"/>
      <c r="AIF16" s="411"/>
      <c r="AIG16" s="411"/>
      <c r="AIH16" s="411"/>
      <c r="AII16" s="411"/>
      <c r="AIJ16" s="411"/>
      <c r="AIK16" s="411"/>
      <c r="AIL16" s="411"/>
      <c r="AIM16" s="411"/>
      <c r="AIN16" s="411"/>
      <c r="AIO16" s="411"/>
      <c r="AIP16" s="411"/>
      <c r="AIQ16" s="411"/>
      <c r="AIR16" s="411"/>
      <c r="AIS16" s="411"/>
      <c r="AIT16" s="411"/>
      <c r="AIU16" s="411"/>
      <c r="AIV16" s="411"/>
      <c r="AIW16" s="411"/>
      <c r="AIX16" s="411"/>
      <c r="AIY16" s="411"/>
      <c r="AIZ16" s="411"/>
      <c r="AJA16" s="411"/>
      <c r="AJB16" s="411"/>
      <c r="AJC16" s="411"/>
      <c r="AJD16" s="411"/>
      <c r="AJE16" s="411"/>
      <c r="AJF16" s="411"/>
      <c r="AJG16" s="411"/>
      <c r="AJH16" s="411"/>
      <c r="AJI16" s="411"/>
      <c r="AJJ16" s="411"/>
      <c r="AJK16" s="411"/>
      <c r="AJL16" s="411"/>
      <c r="AJM16" s="411"/>
      <c r="AJN16" s="411"/>
      <c r="AJO16" s="411"/>
      <c r="AJP16" s="411"/>
      <c r="AJQ16" s="411"/>
      <c r="AJR16" s="411"/>
      <c r="AJS16" s="411"/>
      <c r="AJT16" s="411"/>
      <c r="AJU16" s="411"/>
      <c r="AJV16" s="411"/>
      <c r="AJW16" s="411"/>
      <c r="AJX16" s="411"/>
      <c r="AJY16" s="411"/>
      <c r="AJZ16" s="411"/>
      <c r="AKA16" s="411"/>
      <c r="AKB16" s="411"/>
      <c r="AKC16" s="411"/>
      <c r="AKD16" s="411"/>
      <c r="AKE16" s="411"/>
      <c r="AKF16" s="411"/>
      <c r="AKG16" s="411"/>
      <c r="AKH16" s="411"/>
      <c r="AKI16" s="411"/>
      <c r="AKJ16" s="411"/>
      <c r="AKK16" s="411"/>
      <c r="AKL16" s="411"/>
      <c r="AKM16" s="411"/>
      <c r="AKN16" s="411"/>
      <c r="AKO16" s="411"/>
      <c r="AKP16" s="411"/>
      <c r="AKQ16" s="411"/>
      <c r="AKR16" s="411"/>
      <c r="AKS16" s="411"/>
      <c r="AKT16" s="411"/>
    </row>
    <row r="17">
      <c r="A17" s="411" t="s">
        <v>119</v>
      </c>
      <c r="B17" s="411"/>
      <c r="C17" s="411"/>
      <c r="D17" s="411"/>
      <c r="E17" s="411"/>
      <c r="F17" s="411"/>
      <c r="G17" s="411"/>
      <c r="H17" s="411"/>
      <c r="I17" s="411"/>
      <c r="J17" s="411"/>
      <c r="K17" s="411"/>
      <c r="L17" s="411"/>
      <c r="M17" s="411"/>
      <c r="N17" s="411"/>
      <c r="O17" s="411"/>
      <c r="P17" s="411"/>
      <c r="Q17" s="411"/>
      <c r="R17" s="411"/>
      <c r="S17" s="411"/>
      <c r="T17" s="411"/>
      <c r="U17" s="411"/>
      <c r="V17" s="411"/>
      <c r="W17" s="411"/>
      <c r="X17" s="411"/>
      <c r="Y17" s="411"/>
      <c r="Z17" s="411"/>
      <c r="AA17" s="411"/>
      <c r="AB17" s="411"/>
      <c r="AC17" s="411"/>
      <c r="AD17" s="411"/>
      <c r="AE17" s="411"/>
      <c r="AF17" s="411"/>
      <c r="AG17" s="411"/>
      <c r="AH17" s="411"/>
      <c r="AI17" s="411"/>
      <c r="AJ17" s="411"/>
      <c r="AK17" s="411"/>
      <c r="AL17" s="411"/>
      <c r="AM17" s="411"/>
      <c r="AN17" s="411"/>
      <c r="AO17" s="411"/>
      <c r="AP17" s="411"/>
      <c r="AQ17" s="411"/>
      <c r="AR17" s="411"/>
      <c r="AS17" s="411"/>
      <c r="AT17" s="411"/>
      <c r="AU17" s="411"/>
      <c r="AV17" s="411"/>
      <c r="AW17" s="411"/>
      <c r="AX17" s="411"/>
      <c r="AY17" s="411"/>
      <c r="AZ17" s="411"/>
      <c r="BA17" s="411"/>
      <c r="BB17" s="411"/>
      <c r="BC17" s="411"/>
      <c r="BD17" s="411"/>
      <c r="BE17" s="411"/>
      <c r="BF17" s="411"/>
      <c r="BG17" s="411"/>
      <c r="BH17" s="411"/>
      <c r="BI17" s="411"/>
      <c r="BJ17" s="411"/>
      <c r="BK17" s="411"/>
      <c r="BL17" s="411"/>
      <c r="BM17" s="411"/>
      <c r="BN17" s="411"/>
      <c r="BO17" s="411"/>
      <c r="BP17" s="411"/>
      <c r="BQ17" s="411"/>
      <c r="BR17" s="411"/>
      <c r="BS17" s="411"/>
      <c r="BT17" s="411"/>
      <c r="BU17" s="411"/>
      <c r="BV17" s="411"/>
      <c r="BW17" s="411"/>
      <c r="BX17" s="411"/>
      <c r="BY17" s="411"/>
      <c r="BZ17" s="411"/>
      <c r="CA17" s="411"/>
      <c r="CB17" s="411"/>
      <c r="CC17" s="411"/>
      <c r="CD17" s="411"/>
      <c r="CE17" s="411"/>
      <c r="CF17" s="411"/>
      <c r="CG17" s="411"/>
      <c r="CH17" s="411"/>
      <c r="CI17" s="411"/>
      <c r="CJ17" s="411"/>
      <c r="CK17" s="411"/>
      <c r="CL17" s="411"/>
      <c r="CM17" s="411"/>
      <c r="CN17" s="411">
        <v>-41.39</v>
      </c>
      <c r="CO17" s="411">
        <v>86.16</v>
      </c>
      <c r="CP17" s="411">
        <v>-57.18</v>
      </c>
      <c r="CQ17" s="411">
        <v>75.44</v>
      </c>
      <c r="CR17" s="411">
        <v>124.19</v>
      </c>
      <c r="CS17" s="411">
        <v>46.85</v>
      </c>
      <c r="CT17" s="411">
        <v>-113.62</v>
      </c>
      <c r="CU17" s="411">
        <v>231.51</v>
      </c>
      <c r="CV17" s="411"/>
      <c r="CW17" s="411"/>
      <c r="CX17" s="411"/>
      <c r="CY17" s="411"/>
      <c r="CZ17" s="411"/>
      <c r="DA17" s="411"/>
      <c r="DB17" s="411"/>
      <c r="DC17" s="411"/>
      <c r="DD17" s="411"/>
      <c r="DE17" s="411"/>
      <c r="DF17" s="411"/>
      <c r="DG17" s="411"/>
      <c r="DH17" s="411"/>
      <c r="DI17" s="411"/>
      <c r="DJ17" s="411"/>
      <c r="DK17" s="411"/>
      <c r="DL17" s="411"/>
      <c r="DM17" s="411"/>
      <c r="DN17" s="411"/>
      <c r="DO17" s="411"/>
      <c r="DP17" s="411"/>
      <c r="DQ17" s="411"/>
      <c r="DR17" s="411"/>
      <c r="DS17" s="411"/>
      <c r="DT17" s="411"/>
      <c r="DU17" s="411"/>
      <c r="DV17" s="411"/>
      <c r="DW17" s="411"/>
      <c r="DX17" s="411"/>
      <c r="DY17" s="411"/>
      <c r="DZ17" s="411"/>
      <c r="EA17" s="411"/>
      <c r="EB17" s="411"/>
      <c r="EC17" s="411"/>
      <c r="ED17" s="411"/>
      <c r="EE17" s="411"/>
      <c r="EF17" s="411"/>
      <c r="EG17" s="411"/>
      <c r="EH17" s="411"/>
      <c r="EI17" s="411"/>
      <c r="EJ17" s="411"/>
      <c r="EK17" s="411"/>
      <c r="EL17" s="411"/>
      <c r="EM17" s="411"/>
      <c r="EN17" s="411"/>
      <c r="EO17" s="411"/>
      <c r="EP17" s="411"/>
      <c r="EQ17" s="411"/>
      <c r="ER17" s="411"/>
      <c r="ES17" s="411"/>
      <c r="ET17" s="411"/>
      <c r="EU17" s="411"/>
      <c r="EV17" s="411"/>
      <c r="EW17" s="411"/>
      <c r="EX17" s="411"/>
      <c r="EY17" s="411"/>
      <c r="EZ17" s="411"/>
      <c r="FA17" s="411"/>
      <c r="FB17" s="411"/>
      <c r="FC17" s="411"/>
      <c r="FD17" s="411"/>
      <c r="FE17" s="411"/>
      <c r="FF17" s="411"/>
      <c r="FG17" s="411"/>
      <c r="FH17" s="411"/>
      <c r="FI17" s="411"/>
      <c r="FJ17" s="411"/>
      <c r="FK17" s="411"/>
      <c r="FL17" s="411"/>
      <c r="FM17" s="411"/>
      <c r="FN17" s="411"/>
      <c r="FO17" s="411"/>
      <c r="FP17" s="411"/>
      <c r="FQ17" s="411"/>
      <c r="FR17" s="411"/>
      <c r="FS17" s="411"/>
      <c r="FT17" s="411"/>
      <c r="FU17" s="411"/>
      <c r="FV17" s="411"/>
      <c r="FW17" s="411"/>
      <c r="FX17" s="411"/>
      <c r="FY17" s="411"/>
      <c r="FZ17" s="411"/>
      <c r="GA17" s="411"/>
      <c r="GB17" s="411"/>
      <c r="GC17" s="411"/>
      <c r="GD17" s="411"/>
      <c r="GE17" s="411"/>
      <c r="GF17" s="411"/>
      <c r="GG17" s="411"/>
      <c r="GH17" s="411"/>
      <c r="GI17" s="411"/>
      <c r="GJ17" s="411"/>
      <c r="GK17" s="411"/>
      <c r="GL17" s="411"/>
      <c r="GM17" s="411"/>
      <c r="GN17" s="411"/>
      <c r="GO17" s="411"/>
      <c r="GP17" s="411"/>
      <c r="GQ17" s="411"/>
      <c r="GR17" s="411"/>
      <c r="GS17" s="411"/>
      <c r="GT17" s="411"/>
      <c r="GU17" s="411"/>
      <c r="GV17" s="411"/>
      <c r="GW17" s="411"/>
      <c r="GX17" s="411"/>
      <c r="GY17" s="411"/>
      <c r="GZ17" s="411"/>
      <c r="HA17" s="411"/>
      <c r="HB17" s="411"/>
      <c r="HC17" s="411"/>
      <c r="HD17" s="411"/>
      <c r="HE17" s="411"/>
      <c r="HF17" s="411"/>
      <c r="HG17" s="411"/>
      <c r="HH17" s="411"/>
      <c r="HI17" s="411"/>
      <c r="HJ17" s="411"/>
      <c r="HK17" s="411"/>
      <c r="HL17" s="411"/>
      <c r="HM17" s="411"/>
      <c r="HN17" s="411"/>
      <c r="HO17" s="411"/>
      <c r="HP17" s="411"/>
      <c r="HQ17" s="411"/>
      <c r="HR17" s="411"/>
      <c r="HS17" s="411"/>
      <c r="HT17" s="411"/>
      <c r="HU17" s="411"/>
      <c r="HV17" s="411"/>
      <c r="HW17" s="411"/>
      <c r="HX17" s="411"/>
      <c r="HY17" s="411"/>
      <c r="HZ17" s="411"/>
      <c r="IA17" s="411"/>
      <c r="IB17" s="411"/>
      <c r="IC17" s="411"/>
      <c r="ID17" s="411"/>
      <c r="IE17" s="411"/>
      <c r="IF17" s="411"/>
      <c r="IG17" s="411"/>
      <c r="IH17" s="411"/>
      <c r="II17" s="411"/>
      <c r="IJ17" s="411"/>
      <c r="IK17" s="411"/>
      <c r="IL17" s="411"/>
      <c r="IM17" s="411"/>
      <c r="IN17" s="411"/>
      <c r="IO17" s="411"/>
      <c r="IP17" s="411"/>
      <c r="IQ17" s="411"/>
      <c r="IR17" s="411"/>
      <c r="IS17" s="411"/>
      <c r="IT17" s="411"/>
      <c r="IU17" s="411"/>
      <c r="IV17" s="411"/>
      <c r="IW17" s="411"/>
      <c r="IX17" s="411"/>
      <c r="IY17" s="411"/>
      <c r="IZ17" s="411"/>
      <c r="JA17" s="411"/>
      <c r="JB17" s="411"/>
      <c r="JC17" s="411"/>
      <c r="JD17" s="411"/>
      <c r="JE17" s="411"/>
      <c r="JF17" s="411"/>
      <c r="JG17" s="411"/>
      <c r="JH17" s="411"/>
      <c r="JI17" s="411"/>
      <c r="JJ17" s="411"/>
      <c r="JK17" s="411"/>
      <c r="JL17" s="411"/>
      <c r="JM17" s="411"/>
      <c r="JN17" s="411"/>
      <c r="JO17" s="411"/>
      <c r="JP17" s="411"/>
      <c r="JQ17" s="411"/>
      <c r="JR17" s="411"/>
      <c r="JS17" s="411"/>
      <c r="JT17" s="411"/>
      <c r="JU17" s="411"/>
      <c r="JV17" s="411"/>
      <c r="JW17" s="411"/>
      <c r="JX17" s="411"/>
      <c r="JY17" s="411"/>
      <c r="JZ17" s="411"/>
      <c r="KA17" s="411"/>
      <c r="KB17" s="411"/>
      <c r="KC17" s="411"/>
      <c r="KD17" s="411"/>
      <c r="KE17" s="411"/>
      <c r="KF17" s="411"/>
      <c r="KG17" s="411"/>
      <c r="KH17" s="411"/>
      <c r="KI17" s="411"/>
      <c r="KJ17" s="411"/>
      <c r="KK17" s="411"/>
      <c r="KL17" s="411"/>
      <c r="KM17" s="411"/>
      <c r="KN17" s="411"/>
      <c r="KO17" s="411"/>
      <c r="KP17" s="411"/>
      <c r="KQ17" s="411"/>
      <c r="KR17" s="411"/>
      <c r="KS17" s="411"/>
      <c r="KT17" s="411"/>
      <c r="KU17" s="411"/>
      <c r="KV17" s="411"/>
      <c r="KW17" s="411"/>
      <c r="KX17" s="411"/>
      <c r="KY17" s="411"/>
      <c r="KZ17" s="411"/>
      <c r="LA17" s="411"/>
      <c r="LB17" s="411"/>
      <c r="LC17" s="411"/>
      <c r="LD17" s="411"/>
      <c r="LE17" s="411"/>
      <c r="LF17" s="411"/>
      <c r="LG17" s="411"/>
      <c r="LH17" s="411"/>
      <c r="LI17" s="411"/>
      <c r="LJ17" s="411"/>
      <c r="LK17" s="411"/>
      <c r="LL17" s="411"/>
      <c r="LM17" s="411"/>
      <c r="LN17" s="411"/>
      <c r="LO17" s="411"/>
      <c r="LP17" s="411"/>
      <c r="LQ17" s="411"/>
      <c r="LR17" s="411"/>
      <c r="LS17" s="411"/>
      <c r="LT17" s="411"/>
      <c r="LU17" s="411"/>
      <c r="LV17" s="411"/>
      <c r="LW17" s="411"/>
      <c r="LX17" s="411"/>
      <c r="LY17" s="411"/>
      <c r="LZ17" s="411"/>
      <c r="MA17" s="411"/>
      <c r="MB17" s="411"/>
      <c r="MC17" s="411"/>
      <c r="MD17" s="411"/>
      <c r="ME17" s="411"/>
      <c r="MF17" s="411"/>
      <c r="MG17" s="411"/>
      <c r="MH17" s="411"/>
      <c r="MI17" s="411"/>
      <c r="MJ17" s="411"/>
      <c r="MK17" s="411"/>
      <c r="ML17" s="411"/>
      <c r="MM17" s="411"/>
      <c r="MN17" s="411"/>
      <c r="MO17" s="411"/>
      <c r="MP17" s="411"/>
      <c r="MQ17" s="411"/>
      <c r="MR17" s="411"/>
      <c r="MS17" s="411"/>
      <c r="MT17" s="411"/>
      <c r="MU17" s="411"/>
      <c r="MV17" s="411"/>
      <c r="MW17" s="411"/>
      <c r="MX17" s="411"/>
      <c r="MY17" s="411"/>
      <c r="MZ17" s="411"/>
      <c r="NA17" s="411"/>
      <c r="NB17" s="411"/>
      <c r="NC17" s="411"/>
      <c r="ND17" s="411"/>
      <c r="NE17" s="411"/>
      <c r="NF17" s="411"/>
      <c r="NG17" s="411"/>
      <c r="NH17" s="411"/>
      <c r="NI17" s="411"/>
      <c r="NJ17" s="411"/>
      <c r="NK17" s="411"/>
      <c r="NL17" s="411"/>
      <c r="NM17" s="411"/>
      <c r="NN17" s="411"/>
      <c r="NO17" s="411"/>
      <c r="NP17" s="411"/>
      <c r="NQ17" s="411"/>
      <c r="NR17" s="411"/>
      <c r="NS17" s="411"/>
      <c r="NT17" s="411"/>
      <c r="NU17" s="411"/>
      <c r="NV17" s="411"/>
      <c r="NW17" s="411"/>
      <c r="NX17" s="411"/>
      <c r="NY17" s="411"/>
      <c r="NZ17" s="411"/>
      <c r="OA17" s="411"/>
      <c r="OB17" s="411"/>
      <c r="OC17" s="411"/>
      <c r="OD17" s="411"/>
      <c r="OE17" s="411"/>
      <c r="OF17" s="411"/>
      <c r="OG17" s="411"/>
      <c r="OH17" s="411"/>
      <c r="OI17" s="411"/>
      <c r="OJ17" s="411"/>
      <c r="OK17" s="411"/>
      <c r="OL17" s="411"/>
      <c r="OM17" s="411"/>
      <c r="ON17" s="411"/>
      <c r="OO17" s="411"/>
      <c r="OP17" s="411"/>
      <c r="OQ17" s="411"/>
      <c r="OR17" s="411"/>
      <c r="OS17" s="411"/>
      <c r="OT17" s="411"/>
      <c r="OU17" s="411"/>
      <c r="OV17" s="411"/>
      <c r="OW17" s="411"/>
      <c r="OX17" s="411"/>
      <c r="OY17" s="411"/>
      <c r="OZ17" s="411"/>
      <c r="PA17" s="411"/>
      <c r="PB17" s="411"/>
      <c r="PC17" s="411"/>
      <c r="PD17" s="411"/>
      <c r="PE17" s="411"/>
      <c r="PF17" s="411"/>
      <c r="PG17" s="411"/>
      <c r="PH17" s="411"/>
      <c r="PI17" s="411"/>
      <c r="PJ17" s="411"/>
      <c r="PK17" s="411"/>
      <c r="PL17" s="411"/>
      <c r="PM17" s="411"/>
      <c r="PN17" s="411"/>
      <c r="PO17" s="411"/>
      <c r="PP17" s="411"/>
      <c r="PQ17" s="411"/>
      <c r="PR17" s="411"/>
      <c r="PS17" s="411"/>
      <c r="PT17" s="411"/>
      <c r="PU17" s="411"/>
      <c r="PV17" s="411"/>
      <c r="PW17" s="411"/>
      <c r="PX17" s="411"/>
      <c r="PY17" s="411"/>
      <c r="PZ17" s="411"/>
      <c r="QA17" s="411"/>
      <c r="QB17" s="411"/>
      <c r="QC17" s="411"/>
      <c r="QD17" s="411"/>
      <c r="QE17" s="411"/>
      <c r="QF17" s="411"/>
      <c r="QG17" s="411"/>
      <c r="QH17" s="411"/>
      <c r="QI17" s="411"/>
      <c r="QJ17" s="411"/>
      <c r="QK17" s="411"/>
      <c r="QL17" s="411"/>
      <c r="QM17" s="411"/>
      <c r="QN17" s="411"/>
      <c r="QO17" s="411"/>
      <c r="QP17" s="411"/>
      <c r="QQ17" s="411"/>
      <c r="QR17" s="411"/>
      <c r="QS17" s="411"/>
      <c r="QT17" s="411"/>
      <c r="QU17" s="411"/>
      <c r="QV17" s="411"/>
      <c r="QW17" s="411"/>
      <c r="QX17" s="411"/>
      <c r="QY17" s="411"/>
      <c r="QZ17" s="411"/>
      <c r="RA17" s="411"/>
      <c r="RB17" s="411"/>
      <c r="RC17" s="411"/>
      <c r="RD17" s="411"/>
      <c r="RE17" s="411"/>
      <c r="RF17" s="411"/>
      <c r="RG17" s="411"/>
      <c r="RH17" s="411"/>
      <c r="RI17" s="411"/>
      <c r="RJ17" s="411"/>
      <c r="RK17" s="411"/>
      <c r="RL17" s="411"/>
      <c r="RM17" s="411"/>
      <c r="RN17" s="411"/>
      <c r="RO17" s="411"/>
      <c r="RP17" s="411"/>
      <c r="RQ17" s="411"/>
      <c r="RR17" s="411"/>
      <c r="RS17" s="411"/>
      <c r="RT17" s="411"/>
      <c r="RU17" s="411"/>
      <c r="RV17" s="411"/>
      <c r="RW17" s="411"/>
      <c r="RX17" s="411"/>
      <c r="RY17" s="411"/>
      <c r="RZ17" s="411"/>
      <c r="SA17" s="411"/>
      <c r="SB17" s="411"/>
      <c r="SC17" s="411"/>
      <c r="SD17" s="411"/>
      <c r="SE17" s="411"/>
      <c r="SF17" s="411"/>
      <c r="SG17" s="411"/>
      <c r="SH17" s="411"/>
      <c r="SI17" s="411"/>
      <c r="SJ17" s="411"/>
      <c r="SK17" s="411"/>
      <c r="SL17" s="411"/>
      <c r="SM17" s="411"/>
      <c r="SN17" s="411"/>
      <c r="SO17" s="411"/>
      <c r="SP17" s="411"/>
      <c r="SQ17" s="411"/>
      <c r="SR17" s="411"/>
      <c r="SS17" s="411"/>
      <c r="ST17" s="411"/>
      <c r="SU17" s="411"/>
      <c r="SV17" s="411"/>
      <c r="SW17" s="411"/>
      <c r="SX17" s="411"/>
      <c r="SY17" s="411"/>
      <c r="SZ17" s="411"/>
      <c r="TA17" s="411"/>
      <c r="TB17" s="411"/>
      <c r="TC17" s="411"/>
      <c r="TD17" s="411"/>
      <c r="TE17" s="411"/>
      <c r="TF17" s="411"/>
      <c r="TG17" s="411"/>
      <c r="TH17" s="411"/>
      <c r="TI17" s="411"/>
      <c r="TJ17" s="411"/>
      <c r="TK17" s="411"/>
      <c r="TL17" s="411"/>
      <c r="TM17" s="411"/>
      <c r="TN17" s="411"/>
      <c r="TO17" s="411"/>
      <c r="TP17" s="411"/>
      <c r="TQ17" s="411"/>
      <c r="TR17" s="411"/>
      <c r="TS17" s="411"/>
      <c r="TT17" s="411"/>
      <c r="TU17" s="411"/>
      <c r="TV17" s="411"/>
      <c r="TW17" s="411"/>
      <c r="TX17" s="411"/>
      <c r="TY17" s="411"/>
      <c r="TZ17" s="411"/>
      <c r="UA17" s="411"/>
      <c r="UB17" s="411"/>
      <c r="UC17" s="411"/>
      <c r="UD17" s="411"/>
      <c r="UE17" s="411"/>
      <c r="UF17" s="411"/>
      <c r="UG17" s="411"/>
      <c r="UH17" s="411"/>
      <c r="UI17" s="411"/>
      <c r="UJ17" s="411"/>
      <c r="UK17" s="411"/>
      <c r="UL17" s="411"/>
      <c r="UM17" s="411"/>
      <c r="UN17" s="411"/>
      <c r="UO17" s="411"/>
      <c r="UP17" s="411"/>
      <c r="UQ17" s="411"/>
      <c r="UR17" s="411"/>
      <c r="US17" s="411"/>
      <c r="UT17" s="411"/>
      <c r="UU17" s="411"/>
      <c r="UV17" s="411"/>
      <c r="UW17" s="411"/>
      <c r="UX17" s="411"/>
      <c r="UY17" s="411"/>
      <c r="UZ17" s="411"/>
      <c r="VA17" s="411"/>
      <c r="VB17" s="411"/>
      <c r="VC17" s="411"/>
      <c r="VD17" s="411"/>
      <c r="VE17" s="411"/>
      <c r="VF17" s="411"/>
      <c r="VG17" s="411"/>
      <c r="VH17" s="411"/>
      <c r="VI17" s="411"/>
      <c r="VJ17" s="411"/>
      <c r="VK17" s="411"/>
      <c r="VL17" s="411"/>
      <c r="VM17" s="411"/>
      <c r="VN17" s="411"/>
      <c r="VO17" s="411"/>
      <c r="VP17" s="411"/>
      <c r="VQ17" s="411"/>
      <c r="VR17" s="411"/>
      <c r="VS17" s="411"/>
      <c r="VT17" s="411"/>
      <c r="VU17" s="411"/>
      <c r="VV17" s="411"/>
      <c r="VW17" s="411"/>
      <c r="VX17" s="411"/>
      <c r="VY17" s="411"/>
      <c r="VZ17" s="411"/>
      <c r="WA17" s="411"/>
      <c r="WB17" s="411"/>
      <c r="WC17" s="411"/>
      <c r="WD17" s="411"/>
      <c r="WE17" s="411"/>
      <c r="WF17" s="411"/>
      <c r="WG17" s="411"/>
      <c r="WH17" s="411"/>
      <c r="WI17" s="411"/>
      <c r="WJ17" s="411"/>
      <c r="WK17" s="411"/>
      <c r="WL17" s="411"/>
      <c r="WM17" s="411"/>
      <c r="WN17" s="411"/>
      <c r="WO17" s="411"/>
      <c r="WP17" s="411"/>
      <c r="WQ17" s="411"/>
      <c r="WR17" s="411"/>
      <c r="WS17" s="411"/>
      <c r="WT17" s="411"/>
      <c r="WU17" s="411"/>
      <c r="WV17" s="411"/>
      <c r="WW17" s="411"/>
      <c r="WX17" s="411"/>
      <c r="WY17" s="411"/>
      <c r="WZ17" s="411"/>
      <c r="XA17" s="411"/>
      <c r="XB17" s="411"/>
      <c r="XC17" s="411"/>
      <c r="XD17" s="411"/>
      <c r="XE17" s="411"/>
      <c r="XF17" s="411"/>
      <c r="XG17" s="411"/>
      <c r="XH17" s="411"/>
      <c r="XI17" s="411"/>
      <c r="XJ17" s="411"/>
      <c r="XK17" s="411"/>
      <c r="XL17" s="411"/>
      <c r="XM17" s="411"/>
      <c r="XN17" s="411"/>
      <c r="XO17" s="411"/>
      <c r="XP17" s="411"/>
      <c r="XQ17" s="411"/>
      <c r="XR17" s="411"/>
      <c r="XS17" s="411"/>
      <c r="XT17" s="411"/>
      <c r="XU17" s="411"/>
      <c r="XV17" s="411"/>
      <c r="XW17" s="411"/>
      <c r="XX17" s="411"/>
      <c r="XY17" s="411"/>
      <c r="XZ17" s="411"/>
      <c r="YA17" s="411"/>
      <c r="YB17" s="411"/>
      <c r="YC17" s="411"/>
      <c r="YD17" s="411"/>
      <c r="YE17" s="411"/>
      <c r="YF17" s="411"/>
      <c r="YG17" s="411"/>
      <c r="YH17" s="411"/>
      <c r="YI17" s="411"/>
      <c r="YJ17" s="411"/>
      <c r="YK17" s="411"/>
      <c r="YL17" s="411"/>
      <c r="YM17" s="411"/>
      <c r="YN17" s="411"/>
      <c r="YO17" s="411"/>
      <c r="YP17" s="411"/>
      <c r="YQ17" s="411"/>
      <c r="YR17" s="411"/>
      <c r="YS17" s="411"/>
      <c r="YT17" s="411"/>
      <c r="YU17" s="411"/>
      <c r="YV17" s="411"/>
      <c r="YW17" s="411"/>
      <c r="YX17" s="411"/>
      <c r="YY17" s="411"/>
      <c r="YZ17" s="411"/>
      <c r="ZA17" s="411"/>
      <c r="ZB17" s="411"/>
      <c r="ZC17" s="411"/>
      <c r="ZD17" s="411"/>
      <c r="ZE17" s="411"/>
      <c r="ZF17" s="411"/>
      <c r="ZG17" s="411"/>
      <c r="ZH17" s="411"/>
      <c r="ZI17" s="411"/>
      <c r="ZJ17" s="411"/>
      <c r="ZK17" s="411"/>
      <c r="ZL17" s="411"/>
      <c r="ZM17" s="411"/>
      <c r="ZN17" s="411"/>
      <c r="ZO17" s="411"/>
      <c r="ZP17" s="411"/>
      <c r="ZQ17" s="411"/>
      <c r="ZR17" s="411"/>
      <c r="ZS17" s="411"/>
      <c r="ZT17" s="411"/>
      <c r="ZU17" s="411"/>
      <c r="ZV17" s="411"/>
      <c r="ZW17" s="411"/>
      <c r="ZX17" s="411"/>
      <c r="ZY17" s="411"/>
      <c r="ZZ17" s="411"/>
      <c r="AAA17" s="411"/>
      <c r="AAB17" s="411"/>
      <c r="AAC17" s="411"/>
      <c r="AAD17" s="411"/>
      <c r="AAE17" s="411"/>
      <c r="AAF17" s="411"/>
      <c r="AAG17" s="411"/>
      <c r="AAH17" s="411"/>
      <c r="AAI17" s="411"/>
      <c r="AAJ17" s="411"/>
      <c r="AAK17" s="411"/>
      <c r="AAL17" s="411"/>
      <c r="AAM17" s="411"/>
      <c r="AAN17" s="411"/>
      <c r="AAO17" s="411"/>
      <c r="AAP17" s="411"/>
      <c r="AAQ17" s="411"/>
      <c r="AAR17" s="411"/>
      <c r="AAS17" s="411"/>
      <c r="AAT17" s="411"/>
      <c r="AAU17" s="411"/>
      <c r="AAV17" s="411"/>
      <c r="AAW17" s="411"/>
      <c r="AAX17" s="411"/>
      <c r="AAY17" s="411"/>
      <c r="AAZ17" s="411"/>
      <c r="ABA17" s="411"/>
      <c r="ABB17" s="411"/>
      <c r="ABC17" s="411"/>
      <c r="ABD17" s="411"/>
      <c r="ABE17" s="411"/>
      <c r="ABF17" s="411"/>
      <c r="ABG17" s="411"/>
      <c r="ABH17" s="411"/>
      <c r="ABI17" s="411"/>
      <c r="ABJ17" s="411"/>
      <c r="ABK17" s="411"/>
      <c r="ABL17" s="411"/>
      <c r="ABM17" s="411"/>
      <c r="ABN17" s="411"/>
      <c r="ABO17" s="411"/>
      <c r="ABP17" s="411"/>
      <c r="ABQ17" s="411"/>
      <c r="ABR17" s="411"/>
      <c r="ABS17" s="411"/>
      <c r="ABT17" s="411"/>
      <c r="ABU17" s="411"/>
      <c r="ABV17" s="411"/>
      <c r="ABW17" s="411"/>
      <c r="ABX17" s="411"/>
      <c r="ABY17" s="411"/>
      <c r="ABZ17" s="411"/>
      <c r="ACA17" s="411"/>
      <c r="ACB17" s="411"/>
      <c r="ACC17" s="411"/>
      <c r="ACD17" s="411"/>
      <c r="ACE17" s="411"/>
      <c r="ACF17" s="411"/>
      <c r="ACG17" s="411"/>
      <c r="ACH17" s="411"/>
      <c r="ACI17" s="411"/>
      <c r="ACJ17" s="411"/>
      <c r="ACK17" s="411"/>
      <c r="ACL17" s="411"/>
      <c r="ACM17" s="411"/>
      <c r="ACN17" s="411"/>
      <c r="ACO17" s="411"/>
      <c r="ACP17" s="411"/>
      <c r="ACQ17" s="411"/>
      <c r="ACR17" s="411"/>
      <c r="ACS17" s="411"/>
      <c r="ACT17" s="411"/>
      <c r="ACU17" s="411"/>
      <c r="ACV17" s="411"/>
      <c r="ACW17" s="411"/>
      <c r="ACX17" s="411"/>
      <c r="ACY17" s="411"/>
      <c r="ACZ17" s="411"/>
      <c r="ADA17" s="411"/>
      <c r="ADB17" s="411"/>
      <c r="ADC17" s="411"/>
      <c r="ADD17" s="411"/>
      <c r="ADE17" s="411"/>
      <c r="ADF17" s="411"/>
      <c r="ADG17" s="411"/>
      <c r="ADH17" s="411"/>
      <c r="ADI17" s="411"/>
      <c r="ADJ17" s="411"/>
      <c r="ADK17" s="411"/>
      <c r="ADL17" s="411"/>
      <c r="ADM17" s="411"/>
      <c r="ADN17" s="411"/>
      <c r="ADO17" s="411"/>
      <c r="ADP17" s="411"/>
      <c r="ADQ17" s="411"/>
      <c r="ADR17" s="411"/>
      <c r="ADS17" s="411"/>
      <c r="ADT17" s="411"/>
      <c r="ADU17" s="411"/>
      <c r="ADV17" s="411"/>
      <c r="ADW17" s="411"/>
      <c r="ADX17" s="411"/>
      <c r="ADY17" s="411"/>
      <c r="ADZ17" s="411"/>
      <c r="AEA17" s="411"/>
      <c r="AEB17" s="411"/>
      <c r="AEC17" s="411"/>
      <c r="AED17" s="411"/>
      <c r="AEE17" s="411"/>
      <c r="AEF17" s="411"/>
      <c r="AEG17" s="411"/>
      <c r="AEH17" s="411"/>
      <c r="AEI17" s="411"/>
      <c r="AEJ17" s="411"/>
      <c r="AEK17" s="411"/>
      <c r="AEL17" s="411"/>
      <c r="AEM17" s="411"/>
      <c r="AEN17" s="411"/>
      <c r="AEO17" s="411"/>
      <c r="AEP17" s="411"/>
      <c r="AEQ17" s="411"/>
      <c r="AER17" s="411"/>
      <c r="AES17" s="411"/>
      <c r="AET17" s="411"/>
      <c r="AEU17" s="411"/>
      <c r="AEV17" s="411"/>
      <c r="AEW17" s="411"/>
      <c r="AEX17" s="411"/>
      <c r="AEY17" s="411"/>
      <c r="AEZ17" s="411"/>
      <c r="AFA17" s="411"/>
      <c r="AFB17" s="411"/>
      <c r="AFC17" s="411"/>
      <c r="AFD17" s="411"/>
      <c r="AFE17" s="411"/>
      <c r="AFF17" s="411"/>
      <c r="AFG17" s="411"/>
      <c r="AFH17" s="411"/>
      <c r="AFI17" s="411"/>
      <c r="AFJ17" s="411"/>
      <c r="AFK17" s="411"/>
      <c r="AFL17" s="411"/>
      <c r="AFM17" s="411"/>
      <c r="AFN17" s="411"/>
      <c r="AFO17" s="411"/>
      <c r="AFP17" s="411"/>
      <c r="AFQ17" s="411"/>
      <c r="AFR17" s="411"/>
      <c r="AFS17" s="411"/>
      <c r="AFT17" s="411"/>
      <c r="AFU17" s="411"/>
      <c r="AFV17" s="411"/>
      <c r="AFW17" s="411"/>
      <c r="AFX17" s="411"/>
      <c r="AFY17" s="411"/>
      <c r="AFZ17" s="411"/>
      <c r="AGA17" s="411"/>
      <c r="AGB17" s="411"/>
      <c r="AGC17" s="411"/>
      <c r="AGD17" s="411"/>
      <c r="AGE17" s="411"/>
      <c r="AGF17" s="411"/>
      <c r="AGG17" s="411"/>
      <c r="AGH17" s="411"/>
      <c r="AGI17" s="411"/>
      <c r="AGJ17" s="411"/>
      <c r="AGK17" s="411"/>
      <c r="AGL17" s="411"/>
      <c r="AGM17" s="411"/>
      <c r="AGN17" s="411"/>
      <c r="AGO17" s="411"/>
      <c r="AGP17" s="411"/>
      <c r="AGQ17" s="411"/>
      <c r="AGR17" s="411"/>
      <c r="AGS17" s="411"/>
      <c r="AGT17" s="411"/>
      <c r="AGU17" s="411"/>
      <c r="AGV17" s="411"/>
      <c r="AGW17" s="411"/>
      <c r="AGX17" s="411"/>
      <c r="AGY17" s="411"/>
      <c r="AGZ17" s="411"/>
      <c r="AHA17" s="411"/>
      <c r="AHB17" s="411"/>
      <c r="AHC17" s="411"/>
      <c r="AHD17" s="411"/>
      <c r="AHE17" s="411"/>
      <c r="AHF17" s="411"/>
      <c r="AHG17" s="411"/>
      <c r="AHH17" s="411"/>
      <c r="AHI17" s="411"/>
      <c r="AHJ17" s="411"/>
      <c r="AHK17" s="411"/>
      <c r="AHL17" s="411"/>
      <c r="AHM17" s="411"/>
      <c r="AHN17" s="411"/>
      <c r="AHO17" s="411"/>
      <c r="AHP17" s="411"/>
      <c r="AHQ17" s="411"/>
      <c r="AHR17" s="411"/>
      <c r="AHS17" s="411"/>
      <c r="AHT17" s="411"/>
      <c r="AHU17" s="411"/>
      <c r="AHV17" s="411"/>
      <c r="AHW17" s="411"/>
      <c r="AHX17" s="411"/>
      <c r="AHY17" s="411"/>
      <c r="AHZ17" s="411"/>
      <c r="AIA17" s="411"/>
      <c r="AIB17" s="411"/>
      <c r="AIC17" s="411"/>
      <c r="AID17" s="411"/>
      <c r="AIE17" s="411"/>
      <c r="AIF17" s="411"/>
      <c r="AIG17" s="411"/>
      <c r="AIH17" s="411"/>
      <c r="AII17" s="411"/>
      <c r="AIJ17" s="411"/>
      <c r="AIK17" s="411"/>
      <c r="AIL17" s="411"/>
      <c r="AIM17" s="411"/>
      <c r="AIN17" s="411"/>
      <c r="AIO17" s="411"/>
      <c r="AIP17" s="411"/>
      <c r="AIQ17" s="411"/>
      <c r="AIR17" s="411"/>
      <c r="AIS17" s="411"/>
      <c r="AIT17" s="411"/>
      <c r="AIU17" s="411"/>
      <c r="AIV17" s="411"/>
      <c r="AIW17" s="411"/>
      <c r="AIX17" s="411"/>
      <c r="AIY17" s="411"/>
      <c r="AIZ17" s="411"/>
      <c r="AJA17" s="411"/>
      <c r="AJB17" s="411"/>
      <c r="AJC17" s="411"/>
      <c r="AJD17" s="411"/>
      <c r="AJE17" s="411"/>
      <c r="AJF17" s="411"/>
      <c r="AJG17" s="411"/>
      <c r="AJH17" s="411"/>
      <c r="AJI17" s="411"/>
      <c r="AJJ17" s="411"/>
      <c r="AJK17" s="411"/>
      <c r="AJL17" s="411"/>
      <c r="AJM17" s="411"/>
      <c r="AJN17" s="411"/>
      <c r="AJO17" s="411"/>
      <c r="AJP17" s="411"/>
      <c r="AJQ17" s="411"/>
      <c r="AJR17" s="411"/>
      <c r="AJS17" s="411"/>
      <c r="AJT17" s="411"/>
      <c r="AJU17" s="411"/>
      <c r="AJV17" s="411"/>
      <c r="AJW17" s="411"/>
      <c r="AJX17" s="411"/>
      <c r="AJY17" s="411"/>
      <c r="AJZ17" s="411"/>
      <c r="AKA17" s="411"/>
      <c r="AKB17" s="411"/>
      <c r="AKC17" s="411"/>
      <c r="AKD17" s="411"/>
      <c r="AKE17" s="411"/>
      <c r="AKF17" s="411"/>
      <c r="AKG17" s="411"/>
      <c r="AKH17" s="411"/>
      <c r="AKI17" s="411"/>
      <c r="AKJ17" s="411"/>
      <c r="AKK17" s="411"/>
      <c r="AKL17" s="411"/>
      <c r="AKM17" s="411"/>
      <c r="AKN17" s="411"/>
      <c r="AKO17" s="411"/>
      <c r="AKP17" s="411"/>
      <c r="AKQ17" s="411"/>
      <c r="AKR17" s="411"/>
      <c r="AKS17" s="411"/>
      <c r="AKT17" s="411"/>
    </row>
    <row r="18">
      <c r="A18" s="411" t="s">
        <v>161</v>
      </c>
      <c r="B18" s="411"/>
      <c r="C18" s="411"/>
      <c r="D18" s="411"/>
      <c r="E18" s="411"/>
      <c r="F18" s="411"/>
      <c r="G18" s="411"/>
      <c r="H18" s="411"/>
      <c r="I18" s="411"/>
      <c r="J18" s="411"/>
      <c r="K18" s="411"/>
      <c r="L18" s="411"/>
      <c r="M18" s="411"/>
      <c r="N18" s="411"/>
      <c r="O18" s="411"/>
      <c r="P18" s="411"/>
      <c r="Q18" s="411"/>
      <c r="R18" s="411"/>
      <c r="S18" s="411"/>
      <c r="T18" s="411"/>
      <c r="U18" s="411"/>
      <c r="V18" s="411"/>
      <c r="W18" s="411"/>
      <c r="X18" s="411"/>
      <c r="Y18" s="411"/>
      <c r="Z18" s="411"/>
      <c r="AA18" s="411"/>
      <c r="AB18" s="411"/>
      <c r="AC18" s="411"/>
      <c r="AD18" s="411"/>
      <c r="AE18" s="411"/>
      <c r="AF18" s="411"/>
      <c r="AG18" s="411"/>
      <c r="AH18" s="411"/>
      <c r="AI18" s="411"/>
      <c r="AJ18" s="411"/>
      <c r="AK18" s="411"/>
      <c r="AL18" s="411"/>
      <c r="AM18" s="411"/>
      <c r="AN18" s="411"/>
      <c r="AO18" s="411"/>
      <c r="AP18" s="411"/>
      <c r="AQ18" s="411"/>
      <c r="AR18" s="411"/>
      <c r="AS18" s="411"/>
      <c r="AT18" s="411"/>
      <c r="AU18" s="411"/>
      <c r="AV18" s="411"/>
      <c r="AW18" s="411"/>
      <c r="AX18" s="411"/>
      <c r="AY18" s="411"/>
      <c r="AZ18" s="411"/>
      <c r="BA18" s="411"/>
      <c r="BB18" s="411"/>
      <c r="BC18" s="411"/>
      <c r="BD18" s="411"/>
      <c r="BE18" s="411"/>
      <c r="BF18" s="411"/>
      <c r="BG18" s="411"/>
      <c r="BH18" s="411"/>
      <c r="BI18" s="411"/>
      <c r="BJ18" s="411"/>
      <c r="BK18" s="411"/>
      <c r="BL18" s="411"/>
      <c r="BM18" s="411"/>
      <c r="BN18" s="411"/>
      <c r="BO18" s="411"/>
      <c r="BP18" s="411"/>
      <c r="BQ18" s="411"/>
      <c r="BR18" s="411"/>
      <c r="BS18" s="411"/>
      <c r="BT18" s="411"/>
      <c r="BU18" s="411"/>
      <c r="BV18" s="411"/>
      <c r="BW18" s="411"/>
      <c r="BX18" s="411"/>
      <c r="BY18" s="411"/>
      <c r="BZ18" s="411"/>
      <c r="CA18" s="411"/>
      <c r="CB18" s="411"/>
      <c r="CC18" s="411"/>
      <c r="CD18" s="411"/>
      <c r="CE18" s="411"/>
      <c r="CF18" s="411"/>
      <c r="CG18" s="411"/>
      <c r="CH18" s="411"/>
      <c r="CI18" s="411"/>
      <c r="CJ18" s="411"/>
      <c r="CK18" s="411"/>
      <c r="CL18" s="411"/>
      <c r="CM18" s="411"/>
      <c r="CN18" s="411"/>
      <c r="CO18" s="411"/>
      <c r="CP18" s="411"/>
      <c r="CQ18" s="411"/>
      <c r="CR18" s="411"/>
      <c r="CS18" s="411"/>
      <c r="CT18" s="411"/>
      <c r="CU18" s="411"/>
      <c r="CV18" s="411"/>
      <c r="CW18" s="411"/>
      <c r="CX18" s="411"/>
      <c r="CY18" s="411"/>
      <c r="CZ18" s="411"/>
      <c r="DA18" s="411"/>
      <c r="DB18" s="411"/>
      <c r="DC18" s="411"/>
      <c r="DD18" s="411"/>
      <c r="DE18" s="411"/>
      <c r="DF18" s="411"/>
      <c r="DG18" s="411"/>
      <c r="DH18" s="411"/>
      <c r="DI18" s="411">
        <v>34.12</v>
      </c>
      <c r="DJ18" s="411">
        <v>207.37</v>
      </c>
      <c r="DK18" s="411">
        <v>-53.89</v>
      </c>
      <c r="DL18" s="411">
        <v>-466.13</v>
      </c>
      <c r="DM18" s="411">
        <v>-35.39</v>
      </c>
      <c r="DN18" s="411"/>
      <c r="DO18" s="411"/>
      <c r="DP18" s="411"/>
      <c r="DQ18" s="411"/>
      <c r="DR18" s="411"/>
      <c r="DS18" s="411"/>
      <c r="DT18" s="411"/>
      <c r="DU18" s="411"/>
      <c r="DV18" s="411"/>
      <c r="DW18" s="411"/>
      <c r="DX18" s="411"/>
      <c r="DY18" s="411"/>
      <c r="DZ18" s="411"/>
      <c r="EA18" s="411"/>
      <c r="EB18" s="411"/>
      <c r="EC18" s="411"/>
      <c r="ED18" s="411"/>
      <c r="EE18" s="411"/>
      <c r="EF18" s="411"/>
      <c r="EG18" s="411"/>
      <c r="EH18" s="411"/>
      <c r="EI18" s="411"/>
      <c r="EJ18" s="411"/>
      <c r="EK18" s="411"/>
      <c r="EL18" s="411"/>
      <c r="EM18" s="411"/>
      <c r="EN18" s="411"/>
      <c r="EO18" s="411"/>
      <c r="EP18" s="411"/>
      <c r="EQ18" s="411"/>
      <c r="ER18" s="411"/>
      <c r="ES18" s="411"/>
      <c r="ET18" s="411"/>
      <c r="EU18" s="411"/>
      <c r="EV18" s="411"/>
      <c r="EW18" s="411"/>
      <c r="EX18" s="411"/>
      <c r="EY18" s="411"/>
      <c r="EZ18" s="411"/>
      <c r="FA18" s="411"/>
      <c r="FB18" s="411"/>
      <c r="FC18" s="411"/>
      <c r="FD18" s="411"/>
      <c r="FE18" s="411"/>
      <c r="FF18" s="411"/>
      <c r="FG18" s="411"/>
      <c r="FH18" s="411"/>
      <c r="FI18" s="411"/>
      <c r="FJ18" s="411"/>
      <c r="FK18" s="411"/>
      <c r="FL18" s="411"/>
      <c r="FM18" s="411"/>
      <c r="FN18" s="411"/>
      <c r="FO18" s="411"/>
      <c r="FP18" s="411"/>
      <c r="FQ18" s="411"/>
      <c r="FR18" s="411"/>
      <c r="FS18" s="411"/>
      <c r="FT18" s="411"/>
      <c r="FU18" s="411"/>
      <c r="FV18" s="411"/>
      <c r="FW18" s="411"/>
      <c r="FX18" s="411"/>
      <c r="FY18" s="411"/>
      <c r="FZ18" s="411"/>
      <c r="GA18" s="411"/>
      <c r="GB18" s="411"/>
      <c r="GC18" s="411"/>
      <c r="GD18" s="411"/>
      <c r="GE18" s="411"/>
      <c r="GF18" s="411"/>
      <c r="GG18" s="411"/>
      <c r="GH18" s="411"/>
      <c r="GI18" s="411"/>
      <c r="GJ18" s="411"/>
      <c r="GK18" s="411"/>
      <c r="GL18" s="411"/>
      <c r="GM18" s="411"/>
      <c r="GN18" s="411"/>
      <c r="GO18" s="411"/>
      <c r="GP18" s="411"/>
      <c r="GQ18" s="411"/>
      <c r="GR18" s="411"/>
      <c r="GS18" s="411"/>
      <c r="GT18" s="411"/>
      <c r="GU18" s="411"/>
      <c r="GV18" s="411"/>
      <c r="GW18" s="411"/>
      <c r="GX18" s="411"/>
      <c r="GY18" s="411"/>
      <c r="GZ18" s="411"/>
      <c r="HA18" s="411"/>
      <c r="HB18" s="411"/>
      <c r="HC18" s="411"/>
      <c r="HD18" s="411"/>
      <c r="HE18" s="411"/>
      <c r="HF18" s="411"/>
      <c r="HG18" s="411"/>
      <c r="HH18" s="411"/>
      <c r="HI18" s="411"/>
      <c r="HJ18" s="411"/>
      <c r="HK18" s="411"/>
      <c r="HL18" s="411"/>
      <c r="HM18" s="411"/>
      <c r="HN18" s="411"/>
      <c r="HO18" s="411"/>
      <c r="HP18" s="411"/>
      <c r="HQ18" s="411"/>
      <c r="HR18" s="411"/>
      <c r="HS18" s="411"/>
      <c r="HT18" s="411"/>
      <c r="HU18" s="411"/>
      <c r="HV18" s="411"/>
      <c r="HW18" s="411"/>
      <c r="HX18" s="411"/>
      <c r="HY18" s="411"/>
      <c r="HZ18" s="411"/>
      <c r="IA18" s="411"/>
      <c r="IB18" s="411"/>
      <c r="IC18" s="411"/>
      <c r="ID18" s="411"/>
      <c r="IE18" s="411"/>
      <c r="IF18" s="411"/>
      <c r="IG18" s="411"/>
      <c r="IH18" s="411"/>
      <c r="II18" s="411"/>
      <c r="IJ18" s="411"/>
      <c r="IK18" s="411"/>
      <c r="IL18" s="411"/>
      <c r="IM18" s="411"/>
      <c r="IN18" s="411"/>
      <c r="IO18" s="411"/>
      <c r="IP18" s="411"/>
      <c r="IQ18" s="411"/>
      <c r="IR18" s="411"/>
      <c r="IS18" s="411"/>
      <c r="IT18" s="411"/>
      <c r="IU18" s="411"/>
      <c r="IV18" s="411"/>
      <c r="IW18" s="411"/>
      <c r="IX18" s="411"/>
      <c r="IY18" s="411"/>
      <c r="IZ18" s="411"/>
      <c r="JA18" s="411"/>
      <c r="JB18" s="411"/>
      <c r="JC18" s="411"/>
      <c r="JD18" s="411"/>
      <c r="JE18" s="411"/>
      <c r="JF18" s="411"/>
      <c r="JG18" s="411"/>
      <c r="JH18" s="411"/>
      <c r="JI18" s="411"/>
      <c r="JJ18" s="411"/>
      <c r="JK18" s="411"/>
      <c r="JL18" s="411"/>
      <c r="JM18" s="411"/>
      <c r="JN18" s="411"/>
      <c r="JO18" s="411"/>
      <c r="JP18" s="411"/>
      <c r="JQ18" s="411"/>
      <c r="JR18" s="411"/>
      <c r="JS18" s="411"/>
      <c r="JT18" s="411"/>
      <c r="JU18" s="411"/>
      <c r="JV18" s="411"/>
      <c r="JW18" s="411"/>
      <c r="JX18" s="411"/>
      <c r="JY18" s="411"/>
      <c r="JZ18" s="411"/>
      <c r="KA18" s="411"/>
      <c r="KB18" s="411"/>
      <c r="KC18" s="411"/>
      <c r="KD18" s="411"/>
      <c r="KE18" s="411"/>
      <c r="KF18" s="411"/>
      <c r="KG18" s="411"/>
      <c r="KH18" s="411"/>
      <c r="KI18" s="411"/>
      <c r="KJ18" s="411"/>
      <c r="KK18" s="411"/>
      <c r="KL18" s="411"/>
      <c r="KM18" s="411"/>
      <c r="KN18" s="411"/>
      <c r="KO18" s="411"/>
      <c r="KP18" s="411"/>
      <c r="KQ18" s="411"/>
      <c r="KR18" s="411"/>
      <c r="KS18" s="411"/>
      <c r="KT18" s="411"/>
      <c r="KU18" s="411"/>
      <c r="KV18" s="411"/>
      <c r="KW18" s="411"/>
      <c r="KX18" s="411"/>
      <c r="KY18" s="411"/>
      <c r="KZ18" s="411"/>
      <c r="LA18" s="411"/>
      <c r="LB18" s="411"/>
      <c r="LC18" s="411"/>
      <c r="LD18" s="411"/>
      <c r="LE18" s="411"/>
      <c r="LF18" s="411"/>
      <c r="LG18" s="411"/>
      <c r="LH18" s="411"/>
      <c r="LI18" s="411"/>
      <c r="LJ18" s="411"/>
      <c r="LK18" s="411"/>
      <c r="LL18" s="411"/>
      <c r="LM18" s="411"/>
      <c r="LN18" s="411"/>
      <c r="LO18" s="411"/>
      <c r="LP18" s="411"/>
      <c r="LQ18" s="411"/>
      <c r="LR18" s="411"/>
      <c r="LS18" s="411"/>
      <c r="LT18" s="411"/>
      <c r="LU18" s="411"/>
      <c r="LV18" s="411"/>
      <c r="LW18" s="411"/>
      <c r="LX18" s="411"/>
      <c r="LY18" s="411"/>
      <c r="LZ18" s="411"/>
      <c r="MA18" s="411"/>
      <c r="MB18" s="411"/>
      <c r="MC18" s="411"/>
      <c r="MD18" s="411"/>
      <c r="ME18" s="411"/>
      <c r="MF18" s="411"/>
      <c r="MG18" s="411"/>
      <c r="MH18" s="411"/>
      <c r="MI18" s="411"/>
      <c r="MJ18" s="411"/>
      <c r="MK18" s="411"/>
      <c r="ML18" s="411"/>
      <c r="MM18" s="411"/>
      <c r="MN18" s="411"/>
      <c r="MO18" s="411"/>
      <c r="MP18" s="411"/>
      <c r="MQ18" s="411"/>
      <c r="MR18" s="411"/>
      <c r="MS18" s="411"/>
      <c r="MT18" s="411"/>
      <c r="MU18" s="411"/>
      <c r="MV18" s="411"/>
      <c r="MW18" s="411"/>
      <c r="MX18" s="411"/>
      <c r="MY18" s="411"/>
      <c r="MZ18" s="411"/>
      <c r="NA18" s="411"/>
      <c r="NB18" s="411"/>
      <c r="NC18" s="411"/>
      <c r="ND18" s="411"/>
      <c r="NE18" s="411"/>
      <c r="NF18" s="411"/>
      <c r="NG18" s="411"/>
      <c r="NH18" s="411"/>
      <c r="NI18" s="411"/>
      <c r="NJ18" s="411"/>
      <c r="NK18" s="411"/>
      <c r="NL18" s="411"/>
      <c r="NM18" s="411"/>
      <c r="NN18" s="411"/>
      <c r="NO18" s="411"/>
      <c r="NP18" s="411"/>
      <c r="NQ18" s="411"/>
      <c r="NR18" s="411"/>
      <c r="NS18" s="411"/>
      <c r="NT18" s="411"/>
      <c r="NU18" s="411"/>
      <c r="NV18" s="411"/>
      <c r="NW18" s="411"/>
      <c r="NX18" s="411"/>
      <c r="NY18" s="411"/>
      <c r="NZ18" s="411"/>
      <c r="OA18" s="411"/>
      <c r="OB18" s="411"/>
      <c r="OC18" s="411"/>
      <c r="OD18" s="411"/>
      <c r="OE18" s="411"/>
      <c r="OF18" s="411"/>
      <c r="OG18" s="411"/>
      <c r="OH18" s="411"/>
      <c r="OI18" s="411"/>
      <c r="OJ18" s="411"/>
      <c r="OK18" s="411"/>
      <c r="OL18" s="411"/>
      <c r="OM18" s="411"/>
      <c r="ON18" s="411"/>
      <c r="OO18" s="411"/>
      <c r="OP18" s="411"/>
      <c r="OQ18" s="411"/>
      <c r="OR18" s="411"/>
      <c r="OS18" s="411"/>
      <c r="OT18" s="411"/>
      <c r="OU18" s="411"/>
      <c r="OV18" s="411"/>
      <c r="OW18" s="411"/>
      <c r="OX18" s="411"/>
      <c r="OY18" s="411"/>
      <c r="OZ18" s="411"/>
      <c r="PA18" s="411"/>
      <c r="PB18" s="411"/>
      <c r="PC18" s="411"/>
      <c r="PD18" s="411"/>
      <c r="PE18" s="411"/>
      <c r="PF18" s="411"/>
      <c r="PG18" s="411"/>
      <c r="PH18" s="411"/>
      <c r="PI18" s="411"/>
      <c r="PJ18" s="411"/>
      <c r="PK18" s="411"/>
      <c r="PL18" s="411"/>
      <c r="PM18" s="411"/>
      <c r="PN18" s="411"/>
      <c r="PO18" s="411"/>
      <c r="PP18" s="411"/>
      <c r="PQ18" s="411"/>
      <c r="PR18" s="411"/>
      <c r="PS18" s="411"/>
      <c r="PT18" s="411"/>
      <c r="PU18" s="411"/>
      <c r="PV18" s="411"/>
      <c r="PW18" s="411"/>
      <c r="PX18" s="411"/>
      <c r="PY18" s="411"/>
      <c r="PZ18" s="411"/>
      <c r="QA18" s="411"/>
      <c r="QB18" s="411"/>
      <c r="QC18" s="411"/>
      <c r="QD18" s="411"/>
      <c r="QE18" s="411"/>
      <c r="QF18" s="411"/>
      <c r="QG18" s="411"/>
      <c r="QH18" s="411"/>
      <c r="QI18" s="411"/>
      <c r="QJ18" s="411"/>
      <c r="QK18" s="411"/>
      <c r="QL18" s="411"/>
      <c r="QM18" s="411"/>
      <c r="QN18" s="411"/>
      <c r="QO18" s="411"/>
      <c r="QP18" s="411"/>
      <c r="QQ18" s="411"/>
      <c r="QR18" s="411"/>
      <c r="QS18" s="411"/>
      <c r="QT18" s="411"/>
      <c r="QU18" s="411"/>
      <c r="QV18" s="411"/>
      <c r="QW18" s="411"/>
      <c r="QX18" s="411"/>
      <c r="QY18" s="411"/>
      <c r="QZ18" s="411"/>
      <c r="RA18" s="411"/>
      <c r="RB18" s="411"/>
      <c r="RC18" s="411"/>
      <c r="RD18" s="411"/>
      <c r="RE18" s="411"/>
      <c r="RF18" s="411"/>
      <c r="RG18" s="411"/>
      <c r="RH18" s="411"/>
      <c r="RI18" s="411"/>
      <c r="RJ18" s="411"/>
      <c r="RK18" s="411"/>
      <c r="RL18" s="411"/>
      <c r="RM18" s="411"/>
      <c r="RN18" s="411"/>
      <c r="RO18" s="411"/>
      <c r="RP18" s="411"/>
      <c r="RQ18" s="411"/>
      <c r="RR18" s="411"/>
      <c r="RS18" s="411"/>
      <c r="RT18" s="411"/>
      <c r="RU18" s="411"/>
      <c r="RV18" s="411"/>
      <c r="RW18" s="411"/>
      <c r="RX18" s="411"/>
      <c r="RY18" s="411"/>
      <c r="RZ18" s="411"/>
      <c r="SA18" s="411"/>
      <c r="SB18" s="411"/>
      <c r="SC18" s="411"/>
      <c r="SD18" s="411"/>
      <c r="SE18" s="411"/>
      <c r="SF18" s="411"/>
      <c r="SG18" s="411"/>
      <c r="SH18" s="411"/>
      <c r="SI18" s="411"/>
      <c r="SJ18" s="411"/>
      <c r="SK18" s="411"/>
      <c r="SL18" s="411"/>
      <c r="SM18" s="411"/>
      <c r="SN18" s="411"/>
      <c r="SO18" s="411"/>
      <c r="SP18" s="411"/>
      <c r="SQ18" s="411"/>
      <c r="SR18" s="411"/>
      <c r="SS18" s="411"/>
      <c r="ST18" s="411"/>
      <c r="SU18" s="411"/>
      <c r="SV18" s="411"/>
      <c r="SW18" s="411"/>
      <c r="SX18" s="411"/>
      <c r="SY18" s="411"/>
      <c r="SZ18" s="411"/>
      <c r="TA18" s="411"/>
      <c r="TB18" s="411"/>
      <c r="TC18" s="411"/>
      <c r="TD18" s="411"/>
      <c r="TE18" s="411"/>
      <c r="TF18" s="411"/>
      <c r="TG18" s="411"/>
      <c r="TH18" s="411"/>
      <c r="TI18" s="411"/>
      <c r="TJ18" s="411"/>
      <c r="TK18" s="411"/>
      <c r="TL18" s="411"/>
      <c r="TM18" s="411"/>
      <c r="TN18" s="411"/>
      <c r="TO18" s="411"/>
      <c r="TP18" s="411"/>
      <c r="TQ18" s="411"/>
      <c r="TR18" s="411"/>
      <c r="TS18" s="411"/>
      <c r="TT18" s="411"/>
      <c r="TU18" s="411"/>
      <c r="TV18" s="411"/>
      <c r="TW18" s="411"/>
      <c r="TX18" s="411"/>
      <c r="TY18" s="411"/>
      <c r="TZ18" s="411"/>
      <c r="UA18" s="411"/>
      <c r="UB18" s="411"/>
      <c r="UC18" s="411"/>
      <c r="UD18" s="411"/>
      <c r="UE18" s="411"/>
      <c r="UF18" s="411"/>
      <c r="UG18" s="411"/>
      <c r="UH18" s="411"/>
      <c r="UI18" s="411"/>
      <c r="UJ18" s="411"/>
      <c r="UK18" s="411"/>
      <c r="UL18" s="411"/>
      <c r="UM18" s="411"/>
      <c r="UN18" s="411"/>
      <c r="UO18" s="411"/>
      <c r="UP18" s="411"/>
      <c r="UQ18" s="411"/>
      <c r="UR18" s="411"/>
      <c r="US18" s="411"/>
      <c r="UT18" s="411"/>
      <c r="UU18" s="411"/>
      <c r="UV18" s="411"/>
      <c r="UW18" s="411"/>
      <c r="UX18" s="411"/>
      <c r="UY18" s="411"/>
      <c r="UZ18" s="411"/>
      <c r="VA18" s="411"/>
      <c r="VB18" s="411"/>
      <c r="VC18" s="411"/>
      <c r="VD18" s="411"/>
      <c r="VE18" s="411"/>
      <c r="VF18" s="411"/>
      <c r="VG18" s="411"/>
      <c r="VH18" s="411"/>
      <c r="VI18" s="411"/>
      <c r="VJ18" s="411"/>
      <c r="VK18" s="411"/>
      <c r="VL18" s="411"/>
      <c r="VM18" s="411"/>
      <c r="VN18" s="411"/>
      <c r="VO18" s="411"/>
      <c r="VP18" s="411"/>
      <c r="VQ18" s="411"/>
      <c r="VR18" s="411"/>
      <c r="VS18" s="411"/>
      <c r="VT18" s="411"/>
      <c r="VU18" s="411"/>
      <c r="VV18" s="411"/>
      <c r="VW18" s="411"/>
      <c r="VX18" s="411"/>
      <c r="VY18" s="411"/>
      <c r="VZ18" s="411"/>
      <c r="WA18" s="411"/>
      <c r="WB18" s="411"/>
      <c r="WC18" s="411"/>
      <c r="WD18" s="411"/>
      <c r="WE18" s="411"/>
      <c r="WF18" s="411"/>
      <c r="WG18" s="411"/>
      <c r="WH18" s="411"/>
      <c r="WI18" s="411"/>
      <c r="WJ18" s="411"/>
      <c r="WK18" s="411"/>
      <c r="WL18" s="411"/>
      <c r="WM18" s="411"/>
      <c r="WN18" s="411"/>
      <c r="WO18" s="411"/>
      <c r="WP18" s="411"/>
      <c r="WQ18" s="411"/>
      <c r="WR18" s="411"/>
      <c r="WS18" s="411"/>
      <c r="WT18" s="411"/>
      <c r="WU18" s="411"/>
      <c r="WV18" s="411"/>
      <c r="WW18" s="411"/>
      <c r="WX18" s="411"/>
      <c r="WY18" s="411"/>
      <c r="WZ18" s="411"/>
      <c r="XA18" s="411"/>
      <c r="XB18" s="411"/>
      <c r="XC18" s="411"/>
      <c r="XD18" s="411"/>
      <c r="XE18" s="411"/>
      <c r="XF18" s="411"/>
      <c r="XG18" s="411"/>
      <c r="XH18" s="411"/>
      <c r="XI18" s="411"/>
      <c r="XJ18" s="411"/>
      <c r="XK18" s="411"/>
      <c r="XL18" s="411"/>
      <c r="XM18" s="411"/>
      <c r="XN18" s="411"/>
      <c r="XO18" s="411"/>
      <c r="XP18" s="411"/>
      <c r="XQ18" s="411"/>
      <c r="XR18" s="411"/>
      <c r="XS18" s="411"/>
      <c r="XT18" s="411"/>
      <c r="XU18" s="411"/>
      <c r="XV18" s="411"/>
      <c r="XW18" s="411"/>
      <c r="XX18" s="411"/>
      <c r="XY18" s="411"/>
      <c r="XZ18" s="411"/>
      <c r="YA18" s="411"/>
      <c r="YB18" s="411"/>
      <c r="YC18" s="411"/>
      <c r="YD18" s="411"/>
      <c r="YE18" s="411"/>
      <c r="YF18" s="411"/>
      <c r="YG18" s="411"/>
      <c r="YH18" s="411"/>
      <c r="YI18" s="411"/>
      <c r="YJ18" s="411"/>
      <c r="YK18" s="411"/>
      <c r="YL18" s="411"/>
      <c r="YM18" s="411"/>
      <c r="YN18" s="411"/>
      <c r="YO18" s="411"/>
      <c r="YP18" s="411"/>
      <c r="YQ18" s="411"/>
      <c r="YR18" s="411"/>
      <c r="YS18" s="411"/>
      <c r="YT18" s="411"/>
      <c r="YU18" s="411"/>
      <c r="YV18" s="411"/>
      <c r="YW18" s="411"/>
      <c r="YX18" s="411"/>
      <c r="YY18" s="411"/>
      <c r="YZ18" s="411"/>
      <c r="ZA18" s="411"/>
      <c r="ZB18" s="411"/>
      <c r="ZC18" s="411"/>
      <c r="ZD18" s="411"/>
      <c r="ZE18" s="411"/>
      <c r="ZF18" s="411"/>
      <c r="ZG18" s="411"/>
      <c r="ZH18" s="411"/>
      <c r="ZI18" s="411"/>
      <c r="ZJ18" s="411"/>
      <c r="ZK18" s="411"/>
      <c r="ZL18" s="411"/>
      <c r="ZM18" s="411"/>
      <c r="ZN18" s="411"/>
      <c r="ZO18" s="411"/>
      <c r="ZP18" s="411"/>
      <c r="ZQ18" s="411"/>
      <c r="ZR18" s="411"/>
      <c r="ZS18" s="411"/>
      <c r="ZT18" s="411"/>
      <c r="ZU18" s="411"/>
      <c r="ZV18" s="411"/>
      <c r="ZW18" s="411"/>
      <c r="ZX18" s="411"/>
      <c r="ZY18" s="411"/>
      <c r="ZZ18" s="411"/>
      <c r="AAA18" s="411"/>
      <c r="AAB18" s="411"/>
      <c r="AAC18" s="411"/>
      <c r="AAD18" s="411"/>
      <c r="AAE18" s="411"/>
      <c r="AAF18" s="411"/>
      <c r="AAG18" s="411"/>
      <c r="AAH18" s="411"/>
      <c r="AAI18" s="411"/>
      <c r="AAJ18" s="411"/>
      <c r="AAK18" s="411"/>
      <c r="AAL18" s="411"/>
      <c r="AAM18" s="411"/>
      <c r="AAN18" s="411"/>
      <c r="AAO18" s="411"/>
      <c r="AAP18" s="411"/>
      <c r="AAQ18" s="411"/>
      <c r="AAR18" s="411"/>
      <c r="AAS18" s="411"/>
      <c r="AAT18" s="411"/>
      <c r="AAU18" s="411"/>
      <c r="AAV18" s="411"/>
      <c r="AAW18" s="411"/>
      <c r="AAX18" s="411"/>
      <c r="AAY18" s="411"/>
      <c r="AAZ18" s="411"/>
      <c r="ABA18" s="411"/>
      <c r="ABB18" s="411"/>
      <c r="ABC18" s="411"/>
      <c r="ABD18" s="411"/>
      <c r="ABE18" s="411"/>
      <c r="ABF18" s="411"/>
      <c r="ABG18" s="411"/>
      <c r="ABH18" s="411"/>
      <c r="ABI18" s="411"/>
      <c r="ABJ18" s="411"/>
      <c r="ABK18" s="411"/>
      <c r="ABL18" s="411"/>
      <c r="ABM18" s="411"/>
      <c r="ABN18" s="411"/>
      <c r="ABO18" s="411"/>
      <c r="ABP18" s="411"/>
      <c r="ABQ18" s="411"/>
      <c r="ABR18" s="411"/>
      <c r="ABS18" s="411"/>
      <c r="ABT18" s="411"/>
      <c r="ABU18" s="411"/>
      <c r="ABV18" s="411"/>
      <c r="ABW18" s="411"/>
      <c r="ABX18" s="411"/>
      <c r="ABY18" s="411"/>
      <c r="ABZ18" s="411"/>
      <c r="ACA18" s="411"/>
      <c r="ACB18" s="411"/>
      <c r="ACC18" s="411"/>
      <c r="ACD18" s="411"/>
      <c r="ACE18" s="411"/>
      <c r="ACF18" s="411"/>
      <c r="ACG18" s="411"/>
      <c r="ACH18" s="411"/>
      <c r="ACI18" s="411"/>
      <c r="ACJ18" s="411"/>
      <c r="ACK18" s="411"/>
      <c r="ACL18" s="411"/>
      <c r="ACM18" s="411"/>
      <c r="ACN18" s="411"/>
      <c r="ACO18" s="411"/>
      <c r="ACP18" s="411"/>
      <c r="ACQ18" s="411"/>
      <c r="ACR18" s="411"/>
      <c r="ACS18" s="411"/>
      <c r="ACT18" s="411"/>
      <c r="ACU18" s="411"/>
      <c r="ACV18" s="411"/>
      <c r="ACW18" s="411"/>
      <c r="ACX18" s="411"/>
      <c r="ACY18" s="411"/>
      <c r="ACZ18" s="411"/>
      <c r="ADA18" s="411"/>
      <c r="ADB18" s="411"/>
      <c r="ADC18" s="411"/>
      <c r="ADD18" s="411"/>
      <c r="ADE18" s="411"/>
      <c r="ADF18" s="411"/>
      <c r="ADG18" s="411"/>
      <c r="ADH18" s="411"/>
      <c r="ADI18" s="411"/>
      <c r="ADJ18" s="411"/>
      <c r="ADK18" s="411"/>
      <c r="ADL18" s="411"/>
      <c r="ADM18" s="411"/>
      <c r="ADN18" s="411"/>
      <c r="ADO18" s="411"/>
      <c r="ADP18" s="411"/>
      <c r="ADQ18" s="411"/>
      <c r="ADR18" s="411"/>
      <c r="ADS18" s="411"/>
      <c r="ADT18" s="411"/>
      <c r="ADU18" s="411"/>
      <c r="ADV18" s="411"/>
      <c r="ADW18" s="411"/>
      <c r="ADX18" s="411"/>
      <c r="ADY18" s="411"/>
      <c r="ADZ18" s="411"/>
      <c r="AEA18" s="411"/>
      <c r="AEB18" s="411"/>
      <c r="AEC18" s="411"/>
      <c r="AED18" s="411"/>
      <c r="AEE18" s="411"/>
      <c r="AEF18" s="411"/>
      <c r="AEG18" s="411"/>
      <c r="AEH18" s="411"/>
      <c r="AEI18" s="411"/>
      <c r="AEJ18" s="411"/>
      <c r="AEK18" s="411"/>
      <c r="AEL18" s="411"/>
      <c r="AEM18" s="411"/>
      <c r="AEN18" s="411"/>
      <c r="AEO18" s="411"/>
      <c r="AEP18" s="411"/>
      <c r="AEQ18" s="411"/>
      <c r="AER18" s="411"/>
      <c r="AES18" s="411"/>
      <c r="AET18" s="411"/>
      <c r="AEU18" s="411"/>
      <c r="AEV18" s="411"/>
      <c r="AEW18" s="411"/>
      <c r="AEX18" s="411"/>
      <c r="AEY18" s="411"/>
      <c r="AEZ18" s="411"/>
      <c r="AFA18" s="411"/>
      <c r="AFB18" s="411"/>
      <c r="AFC18" s="411"/>
      <c r="AFD18" s="411"/>
      <c r="AFE18" s="411"/>
      <c r="AFF18" s="411"/>
      <c r="AFG18" s="411"/>
      <c r="AFH18" s="411"/>
      <c r="AFI18" s="411"/>
      <c r="AFJ18" s="411"/>
      <c r="AFK18" s="411"/>
      <c r="AFL18" s="411"/>
      <c r="AFM18" s="411"/>
      <c r="AFN18" s="411"/>
      <c r="AFO18" s="411"/>
      <c r="AFP18" s="411"/>
      <c r="AFQ18" s="411"/>
      <c r="AFR18" s="411"/>
      <c r="AFS18" s="411"/>
      <c r="AFT18" s="411"/>
      <c r="AFU18" s="411"/>
      <c r="AFV18" s="411"/>
      <c r="AFW18" s="411"/>
      <c r="AFX18" s="411"/>
      <c r="AFY18" s="411"/>
      <c r="AFZ18" s="411"/>
      <c r="AGA18" s="411"/>
      <c r="AGB18" s="411"/>
      <c r="AGC18" s="411"/>
      <c r="AGD18" s="411"/>
      <c r="AGE18" s="411"/>
      <c r="AGF18" s="411"/>
      <c r="AGG18" s="411"/>
      <c r="AGH18" s="411"/>
      <c r="AGI18" s="411"/>
      <c r="AGJ18" s="411"/>
      <c r="AGK18" s="411"/>
      <c r="AGL18" s="411"/>
      <c r="AGM18" s="411"/>
      <c r="AGN18" s="411"/>
      <c r="AGO18" s="411"/>
      <c r="AGP18" s="411"/>
      <c r="AGQ18" s="411"/>
      <c r="AGR18" s="411"/>
      <c r="AGS18" s="411"/>
      <c r="AGT18" s="411"/>
      <c r="AGU18" s="411"/>
      <c r="AGV18" s="411"/>
      <c r="AGW18" s="411"/>
      <c r="AGX18" s="411"/>
      <c r="AGY18" s="411"/>
      <c r="AGZ18" s="411"/>
      <c r="AHA18" s="411"/>
      <c r="AHB18" s="411"/>
      <c r="AHC18" s="411"/>
      <c r="AHD18" s="411"/>
      <c r="AHE18" s="411"/>
      <c r="AHF18" s="411"/>
      <c r="AHG18" s="411"/>
      <c r="AHH18" s="411"/>
      <c r="AHI18" s="411"/>
      <c r="AHJ18" s="411"/>
      <c r="AHK18" s="411"/>
      <c r="AHL18" s="411"/>
      <c r="AHM18" s="411"/>
      <c r="AHN18" s="411"/>
      <c r="AHO18" s="411"/>
      <c r="AHP18" s="411"/>
      <c r="AHQ18" s="411"/>
      <c r="AHR18" s="411"/>
      <c r="AHS18" s="411"/>
      <c r="AHT18" s="411"/>
      <c r="AHU18" s="411"/>
      <c r="AHV18" s="411"/>
      <c r="AHW18" s="411"/>
      <c r="AHX18" s="411"/>
      <c r="AHY18" s="411"/>
      <c r="AHZ18" s="411"/>
      <c r="AIA18" s="411"/>
      <c r="AIB18" s="411"/>
      <c r="AIC18" s="411"/>
      <c r="AID18" s="411"/>
      <c r="AIE18" s="411"/>
      <c r="AIF18" s="411"/>
      <c r="AIG18" s="411"/>
      <c r="AIH18" s="411"/>
      <c r="AII18" s="411"/>
      <c r="AIJ18" s="411"/>
      <c r="AIK18" s="411"/>
      <c r="AIL18" s="411"/>
      <c r="AIM18" s="411"/>
      <c r="AIN18" s="411"/>
      <c r="AIO18" s="411"/>
      <c r="AIP18" s="411"/>
      <c r="AIQ18" s="411"/>
      <c r="AIR18" s="411"/>
      <c r="AIS18" s="411"/>
      <c r="AIT18" s="411"/>
      <c r="AIU18" s="411"/>
      <c r="AIV18" s="411"/>
      <c r="AIW18" s="411"/>
      <c r="AIX18" s="411"/>
      <c r="AIY18" s="411"/>
      <c r="AIZ18" s="411"/>
      <c r="AJA18" s="411"/>
      <c r="AJB18" s="411"/>
      <c r="AJC18" s="411"/>
      <c r="AJD18" s="411"/>
      <c r="AJE18" s="411"/>
      <c r="AJF18" s="411"/>
      <c r="AJG18" s="411"/>
      <c r="AJH18" s="411"/>
      <c r="AJI18" s="411"/>
      <c r="AJJ18" s="411"/>
      <c r="AJK18" s="411"/>
      <c r="AJL18" s="411"/>
      <c r="AJM18" s="411"/>
      <c r="AJN18" s="411"/>
      <c r="AJO18" s="411"/>
      <c r="AJP18" s="411"/>
      <c r="AJQ18" s="411"/>
      <c r="AJR18" s="411"/>
      <c r="AJS18" s="411"/>
      <c r="AJT18" s="411"/>
      <c r="AJU18" s="411"/>
      <c r="AJV18" s="411"/>
      <c r="AJW18" s="411"/>
      <c r="AJX18" s="411"/>
      <c r="AJY18" s="411"/>
      <c r="AJZ18" s="411"/>
      <c r="AKA18" s="411"/>
      <c r="AKB18" s="411"/>
      <c r="AKC18" s="411"/>
      <c r="AKD18" s="411"/>
      <c r="AKE18" s="411"/>
      <c r="AKF18" s="411"/>
      <c r="AKG18" s="411"/>
      <c r="AKH18" s="411"/>
      <c r="AKI18" s="411"/>
      <c r="AKJ18" s="411"/>
      <c r="AKK18" s="411"/>
      <c r="AKL18" s="411"/>
      <c r="AKM18" s="411"/>
      <c r="AKN18" s="411"/>
      <c r="AKO18" s="411"/>
      <c r="AKP18" s="411"/>
      <c r="AKQ18" s="411"/>
      <c r="AKR18" s="411"/>
      <c r="AKS18" s="411"/>
      <c r="AKT18" s="411"/>
    </row>
    <row r="19">
      <c r="A19" s="411" t="s">
        <v>73</v>
      </c>
      <c r="B19" s="411"/>
      <c r="C19" s="411"/>
      <c r="D19" s="411"/>
      <c r="E19" s="411"/>
      <c r="F19" s="411"/>
      <c r="G19" s="411"/>
      <c r="H19" s="411"/>
      <c r="I19" s="411"/>
      <c r="J19" s="411"/>
      <c r="K19" s="411"/>
      <c r="L19" s="411"/>
      <c r="M19" s="411"/>
      <c r="N19" s="411"/>
      <c r="O19" s="411"/>
      <c r="P19" s="411"/>
      <c r="Q19" s="411"/>
      <c r="R19" s="411">
        <v>34.29</v>
      </c>
      <c r="S19" s="411">
        <v>347.62</v>
      </c>
      <c r="T19" s="411"/>
      <c r="U19" s="411"/>
      <c r="V19" s="411"/>
      <c r="W19" s="411"/>
      <c r="X19" s="411"/>
      <c r="Y19" s="411"/>
      <c r="Z19" s="411"/>
      <c r="AA19" s="411"/>
      <c r="AB19" s="411"/>
      <c r="AC19" s="411">
        <v>96.67</v>
      </c>
      <c r="AD19" s="411">
        <v>23.6</v>
      </c>
      <c r="AE19" s="411">
        <v>397.95</v>
      </c>
      <c r="AF19" s="411">
        <v>315.17</v>
      </c>
      <c r="AG19" s="411">
        <v>-35.58</v>
      </c>
      <c r="AH19" s="411">
        <v>-276.01</v>
      </c>
      <c r="AI19" s="411">
        <v>-183.96</v>
      </c>
      <c r="AJ19" s="411">
        <v>305.76</v>
      </c>
      <c r="AK19" s="411">
        <v>506.98</v>
      </c>
      <c r="AL19" s="411">
        <v>288.87</v>
      </c>
      <c r="AM19" s="411">
        <v>421.87</v>
      </c>
      <c r="AN19" s="411">
        <v>-242.08</v>
      </c>
      <c r="AO19" s="411">
        <v>-197.19</v>
      </c>
      <c r="AP19" s="411"/>
      <c r="AQ19" s="411"/>
      <c r="AR19" s="411"/>
      <c r="AS19" s="411"/>
      <c r="AT19" s="411"/>
      <c r="AU19" s="411"/>
      <c r="AV19" s="411"/>
      <c r="AW19" s="411"/>
      <c r="AX19" s="411"/>
      <c r="AY19" s="411"/>
      <c r="AZ19" s="411"/>
      <c r="BA19" s="411"/>
      <c r="BB19" s="411"/>
      <c r="BC19" s="411"/>
      <c r="BD19" s="411"/>
      <c r="BE19" s="411"/>
      <c r="BF19" s="411"/>
      <c r="BG19" s="411"/>
      <c r="BH19" s="411"/>
      <c r="BI19" s="411">
        <v>182.82</v>
      </c>
      <c r="BJ19" s="411">
        <v>146.66</v>
      </c>
      <c r="BK19" s="411">
        <v>-73.24</v>
      </c>
      <c r="BL19" s="411">
        <v>-25.26</v>
      </c>
      <c r="BM19" s="411">
        <v>245.57</v>
      </c>
      <c r="BN19" s="411"/>
      <c r="BO19" s="411"/>
      <c r="BP19" s="411"/>
      <c r="BQ19" s="411"/>
      <c r="BR19" s="411"/>
      <c r="BS19" s="411"/>
      <c r="BT19" s="411"/>
      <c r="BU19" s="411"/>
      <c r="BV19" s="411"/>
      <c r="BW19" s="411"/>
      <c r="BX19" s="411"/>
      <c r="BY19" s="411"/>
      <c r="BZ19" s="411"/>
      <c r="CA19" s="411"/>
      <c r="CB19" s="411"/>
      <c r="CC19" s="411"/>
      <c r="CD19" s="411"/>
      <c r="CE19" s="411"/>
      <c r="CF19" s="411"/>
      <c r="CG19" s="411"/>
      <c r="CH19" s="411"/>
      <c r="CI19" s="411"/>
      <c r="CJ19" s="411"/>
      <c r="CK19" s="411"/>
      <c r="CL19" s="411"/>
      <c r="CM19" s="411"/>
      <c r="CN19" s="411"/>
      <c r="CO19" s="411"/>
      <c r="CP19" s="411"/>
      <c r="CQ19" s="411"/>
      <c r="CR19" s="411"/>
      <c r="CS19" s="411"/>
      <c r="CT19" s="411"/>
      <c r="CU19" s="411"/>
      <c r="CV19" s="411"/>
      <c r="CW19" s="411"/>
      <c r="CX19" s="411"/>
      <c r="CY19" s="411"/>
      <c r="CZ19" s="411"/>
      <c r="DA19" s="411"/>
      <c r="DB19" s="411"/>
      <c r="DC19" s="411"/>
      <c r="DD19" s="411"/>
      <c r="DE19" s="411"/>
      <c r="DF19" s="411"/>
      <c r="DG19" s="411"/>
      <c r="DH19" s="411"/>
      <c r="DI19" s="411"/>
      <c r="DJ19" s="411"/>
      <c r="DK19" s="411"/>
      <c r="DL19" s="411"/>
      <c r="DM19" s="411">
        <v>39.66</v>
      </c>
      <c r="DN19" s="411"/>
      <c r="DO19" s="411"/>
      <c r="DP19" s="411"/>
      <c r="DQ19" s="411"/>
      <c r="DR19" s="411"/>
      <c r="DS19" s="411"/>
      <c r="DT19" s="411"/>
      <c r="DU19" s="411"/>
      <c r="DV19" s="411"/>
      <c r="DW19" s="411"/>
      <c r="DX19" s="411"/>
      <c r="DY19" s="411"/>
      <c r="DZ19" s="411"/>
      <c r="EA19" s="411"/>
      <c r="EB19" s="411"/>
      <c r="EC19" s="411"/>
      <c r="ED19" s="411"/>
      <c r="EE19" s="411"/>
      <c r="EF19" s="411"/>
      <c r="EG19" s="411"/>
      <c r="EH19" s="411"/>
      <c r="EI19" s="411"/>
      <c r="EJ19" s="411"/>
      <c r="EK19" s="411"/>
      <c r="EL19" s="411"/>
      <c r="EM19" s="411"/>
      <c r="EN19" s="411"/>
      <c r="EO19" s="411"/>
      <c r="EP19" s="411"/>
      <c r="EQ19" s="411"/>
      <c r="ER19" s="411"/>
      <c r="ES19" s="411"/>
      <c r="ET19" s="411"/>
      <c r="EU19" s="411"/>
      <c r="EV19" s="411"/>
      <c r="EW19" s="411"/>
      <c r="EX19" s="411"/>
      <c r="EY19" s="411"/>
      <c r="EZ19" s="411"/>
      <c r="FA19" s="411"/>
      <c r="FB19" s="411"/>
      <c r="FC19" s="411"/>
      <c r="FD19" s="411"/>
      <c r="FE19" s="411"/>
      <c r="FF19" s="411"/>
      <c r="FG19" s="411"/>
      <c r="FH19" s="411"/>
      <c r="FI19" s="411"/>
      <c r="FJ19" s="411"/>
      <c r="FK19" s="411"/>
      <c r="FL19" s="411"/>
      <c r="FM19" s="411"/>
      <c r="FN19" s="411"/>
      <c r="FO19" s="411"/>
      <c r="FP19" s="411"/>
      <c r="FQ19" s="411"/>
      <c r="FR19" s="411"/>
      <c r="FS19" s="411"/>
      <c r="FT19" s="411"/>
      <c r="FU19" s="411"/>
      <c r="FV19" s="411"/>
      <c r="FW19" s="411"/>
      <c r="FX19" s="411"/>
      <c r="FY19" s="411"/>
      <c r="FZ19" s="411"/>
      <c r="GA19" s="411"/>
      <c r="GB19" s="411"/>
      <c r="GC19" s="411"/>
      <c r="GD19" s="411"/>
      <c r="GE19" s="411"/>
      <c r="GF19" s="411"/>
      <c r="GG19" s="411"/>
      <c r="GH19" s="411"/>
      <c r="GI19" s="411"/>
      <c r="GJ19" s="411"/>
      <c r="GK19" s="411"/>
      <c r="GL19" s="411"/>
      <c r="GM19" s="411"/>
      <c r="GN19" s="411"/>
      <c r="GO19" s="411"/>
      <c r="GP19" s="411"/>
      <c r="GQ19" s="411"/>
      <c r="GR19" s="411"/>
      <c r="GS19" s="411"/>
      <c r="GT19" s="411"/>
      <c r="GU19" s="411"/>
      <c r="GV19" s="411"/>
      <c r="GW19" s="411"/>
      <c r="GX19" s="411"/>
      <c r="GY19" s="411"/>
      <c r="GZ19" s="411"/>
      <c r="HA19" s="411"/>
      <c r="HB19" s="411"/>
      <c r="HC19" s="411"/>
      <c r="HD19" s="411"/>
      <c r="HE19" s="411"/>
      <c r="HF19" s="411"/>
      <c r="HG19" s="411"/>
      <c r="HH19" s="411"/>
      <c r="HI19" s="411"/>
      <c r="HJ19" s="411"/>
      <c r="HK19" s="411"/>
      <c r="HL19" s="411"/>
      <c r="HM19" s="411"/>
      <c r="HN19" s="411"/>
      <c r="HO19" s="411"/>
      <c r="HP19" s="411"/>
      <c r="HQ19" s="411"/>
      <c r="HR19" s="411"/>
      <c r="HS19" s="411"/>
      <c r="HT19" s="411"/>
      <c r="HU19" s="411"/>
      <c r="HV19" s="411"/>
      <c r="HW19" s="411"/>
      <c r="HX19" s="411"/>
      <c r="HY19" s="411"/>
      <c r="HZ19" s="411"/>
      <c r="IA19" s="411"/>
      <c r="IB19" s="411"/>
      <c r="IC19" s="411"/>
      <c r="ID19" s="411"/>
      <c r="IE19" s="411"/>
      <c r="IF19" s="411"/>
      <c r="IG19" s="411"/>
      <c r="IH19" s="411"/>
      <c r="II19" s="411"/>
      <c r="IJ19" s="411"/>
      <c r="IK19" s="411"/>
      <c r="IL19" s="411"/>
      <c r="IM19" s="411"/>
      <c r="IN19" s="411"/>
      <c r="IO19" s="411"/>
      <c r="IP19" s="411"/>
      <c r="IQ19" s="411"/>
      <c r="IR19" s="411"/>
      <c r="IS19" s="411"/>
      <c r="IT19" s="411"/>
      <c r="IU19" s="411"/>
      <c r="IV19" s="411"/>
      <c r="IW19" s="411"/>
      <c r="IX19" s="411"/>
      <c r="IY19" s="411"/>
      <c r="IZ19" s="411"/>
      <c r="JA19" s="411"/>
      <c r="JB19" s="411"/>
      <c r="JC19" s="411"/>
      <c r="JD19" s="411"/>
      <c r="JE19" s="411"/>
      <c r="JF19" s="411"/>
      <c r="JG19" s="411"/>
      <c r="JH19" s="411"/>
      <c r="JI19" s="411"/>
      <c r="JJ19" s="411"/>
      <c r="JK19" s="411"/>
      <c r="JL19" s="411"/>
      <c r="JM19" s="411"/>
      <c r="JN19" s="411"/>
      <c r="JO19" s="411"/>
      <c r="JP19" s="411"/>
      <c r="JQ19" s="411"/>
      <c r="JR19" s="411"/>
      <c r="JS19" s="411"/>
      <c r="JT19" s="411"/>
      <c r="JU19" s="411"/>
      <c r="JV19" s="411"/>
      <c r="JW19" s="411"/>
      <c r="JX19" s="411"/>
      <c r="JY19" s="411"/>
      <c r="JZ19" s="411"/>
      <c r="KA19" s="411"/>
      <c r="KB19" s="411"/>
      <c r="KC19" s="411"/>
      <c r="KD19" s="411"/>
      <c r="KE19" s="411"/>
      <c r="KF19" s="411"/>
      <c r="KG19" s="411"/>
      <c r="KH19" s="411"/>
      <c r="KI19" s="411"/>
      <c r="KJ19" s="411"/>
      <c r="KK19" s="411"/>
      <c r="KL19" s="411"/>
      <c r="KM19" s="411"/>
      <c r="KN19" s="411"/>
      <c r="KO19" s="411"/>
      <c r="KP19" s="411"/>
      <c r="KQ19" s="411"/>
      <c r="KR19" s="411"/>
      <c r="KS19" s="411"/>
      <c r="KT19" s="411"/>
      <c r="KU19" s="411"/>
      <c r="KV19" s="411"/>
      <c r="KW19" s="411"/>
      <c r="KX19" s="411"/>
      <c r="KY19" s="411"/>
      <c r="KZ19" s="411"/>
      <c r="LA19" s="411"/>
      <c r="LB19" s="411"/>
      <c r="LC19" s="411"/>
      <c r="LD19" s="411"/>
      <c r="LE19" s="411"/>
      <c r="LF19" s="411"/>
      <c r="LG19" s="411"/>
      <c r="LH19" s="411"/>
      <c r="LI19" s="411"/>
      <c r="LJ19" s="411"/>
      <c r="LK19" s="411"/>
      <c r="LL19" s="411"/>
      <c r="LM19" s="411"/>
      <c r="LN19" s="411"/>
      <c r="LO19" s="411"/>
      <c r="LP19" s="411"/>
      <c r="LQ19" s="411"/>
      <c r="LR19" s="411"/>
      <c r="LS19" s="411"/>
      <c r="LT19" s="411"/>
      <c r="LU19" s="411"/>
      <c r="LV19" s="411"/>
      <c r="LW19" s="411"/>
      <c r="LX19" s="411"/>
      <c r="LY19" s="411"/>
      <c r="LZ19" s="411"/>
      <c r="MA19" s="411"/>
      <c r="MB19" s="411"/>
      <c r="MC19" s="411"/>
      <c r="MD19" s="411"/>
      <c r="ME19" s="411"/>
      <c r="MF19" s="411"/>
      <c r="MG19" s="411"/>
      <c r="MH19" s="411"/>
      <c r="MI19" s="411"/>
      <c r="MJ19" s="411"/>
      <c r="MK19" s="411"/>
      <c r="ML19" s="411"/>
      <c r="MM19" s="411"/>
      <c r="MN19" s="411"/>
      <c r="MO19" s="411"/>
      <c r="MP19" s="411"/>
      <c r="MQ19" s="411"/>
      <c r="MR19" s="411"/>
      <c r="MS19" s="411"/>
      <c r="MT19" s="411"/>
      <c r="MU19" s="411"/>
      <c r="MV19" s="411"/>
      <c r="MW19" s="411"/>
      <c r="MX19" s="411"/>
      <c r="MY19" s="411"/>
      <c r="MZ19" s="411"/>
      <c r="NA19" s="411"/>
      <c r="NB19" s="411"/>
      <c r="NC19" s="411"/>
      <c r="ND19" s="411"/>
      <c r="NE19" s="411"/>
      <c r="NF19" s="411"/>
      <c r="NG19" s="411"/>
      <c r="NH19" s="411"/>
      <c r="NI19" s="411"/>
      <c r="NJ19" s="411"/>
      <c r="NK19" s="411"/>
      <c r="NL19" s="411"/>
      <c r="NM19" s="411"/>
      <c r="NN19" s="411"/>
      <c r="NO19" s="411"/>
      <c r="NP19" s="411"/>
      <c r="NQ19" s="411"/>
      <c r="NR19" s="411"/>
      <c r="NS19" s="411"/>
      <c r="NT19" s="411"/>
      <c r="NU19" s="411"/>
      <c r="NV19" s="411"/>
      <c r="NW19" s="411"/>
      <c r="NX19" s="411"/>
      <c r="NY19" s="411"/>
      <c r="NZ19" s="411"/>
      <c r="OA19" s="411"/>
      <c r="OB19" s="411"/>
      <c r="OC19" s="411"/>
      <c r="OD19" s="411"/>
      <c r="OE19" s="411"/>
      <c r="OF19" s="411"/>
      <c r="OG19" s="411"/>
      <c r="OH19" s="411"/>
      <c r="OI19" s="411"/>
      <c r="OJ19" s="411"/>
      <c r="OK19" s="411"/>
      <c r="OL19" s="411"/>
      <c r="OM19" s="411"/>
      <c r="ON19" s="411"/>
      <c r="OO19" s="411"/>
      <c r="OP19" s="411"/>
      <c r="OQ19" s="411"/>
      <c r="OR19" s="411"/>
      <c r="OS19" s="411"/>
      <c r="OT19" s="411"/>
      <c r="OU19" s="411"/>
      <c r="OV19" s="411"/>
      <c r="OW19" s="411"/>
      <c r="OX19" s="411"/>
      <c r="OY19" s="411"/>
      <c r="OZ19" s="411"/>
      <c r="PA19" s="411"/>
      <c r="PB19" s="411"/>
      <c r="PC19" s="411"/>
      <c r="PD19" s="411"/>
      <c r="PE19" s="411"/>
      <c r="PF19" s="411"/>
      <c r="PG19" s="411"/>
      <c r="PH19" s="411"/>
      <c r="PI19" s="411"/>
      <c r="PJ19" s="411"/>
      <c r="PK19" s="411"/>
      <c r="PL19" s="411"/>
      <c r="PM19" s="411"/>
      <c r="PN19" s="411"/>
      <c r="PO19" s="411"/>
      <c r="PP19" s="411"/>
      <c r="PQ19" s="411"/>
      <c r="PR19" s="411"/>
      <c r="PS19" s="411"/>
      <c r="PT19" s="411"/>
      <c r="PU19" s="411"/>
      <c r="PV19" s="411"/>
      <c r="PW19" s="411"/>
      <c r="PX19" s="411"/>
      <c r="PY19" s="411"/>
      <c r="PZ19" s="411"/>
      <c r="QA19" s="411"/>
      <c r="QB19" s="411"/>
      <c r="QC19" s="411"/>
      <c r="QD19" s="411"/>
      <c r="QE19" s="411"/>
      <c r="QF19" s="411"/>
      <c r="QG19" s="411"/>
      <c r="QH19" s="411"/>
      <c r="QI19" s="411"/>
      <c r="QJ19" s="411"/>
      <c r="QK19" s="411"/>
      <c r="QL19" s="411"/>
      <c r="QM19" s="411"/>
      <c r="QN19" s="411"/>
      <c r="QO19" s="411"/>
      <c r="QP19" s="411"/>
      <c r="QQ19" s="411"/>
      <c r="QR19" s="411"/>
      <c r="QS19" s="411"/>
      <c r="QT19" s="411"/>
      <c r="QU19" s="411"/>
      <c r="QV19" s="411"/>
      <c r="QW19" s="411"/>
      <c r="QX19" s="411"/>
      <c r="QY19" s="411"/>
      <c r="QZ19" s="411"/>
      <c r="RA19" s="411"/>
      <c r="RB19" s="411"/>
      <c r="RC19" s="411"/>
      <c r="RD19" s="411"/>
      <c r="RE19" s="411"/>
      <c r="RF19" s="411"/>
      <c r="RG19" s="411"/>
      <c r="RH19" s="411"/>
      <c r="RI19" s="411"/>
      <c r="RJ19" s="411"/>
      <c r="RK19" s="411"/>
      <c r="RL19" s="411"/>
      <c r="RM19" s="411"/>
      <c r="RN19" s="411"/>
      <c r="RO19" s="411"/>
      <c r="RP19" s="411"/>
      <c r="RQ19" s="411"/>
      <c r="RR19" s="411"/>
      <c r="RS19" s="411"/>
      <c r="RT19" s="411"/>
      <c r="RU19" s="411"/>
      <c r="RV19" s="411"/>
      <c r="RW19" s="411"/>
      <c r="RX19" s="411"/>
      <c r="RY19" s="411"/>
      <c r="RZ19" s="411"/>
      <c r="SA19" s="411"/>
      <c r="SB19" s="411"/>
      <c r="SC19" s="411"/>
      <c r="SD19" s="411"/>
      <c r="SE19" s="411"/>
      <c r="SF19" s="411"/>
      <c r="SG19" s="411"/>
      <c r="SH19" s="411"/>
      <c r="SI19" s="411"/>
      <c r="SJ19" s="411"/>
      <c r="SK19" s="411"/>
      <c r="SL19" s="411"/>
      <c r="SM19" s="411"/>
      <c r="SN19" s="411"/>
      <c r="SO19" s="411"/>
      <c r="SP19" s="411"/>
      <c r="SQ19" s="411"/>
      <c r="SR19" s="411"/>
      <c r="SS19" s="411"/>
      <c r="ST19" s="411"/>
      <c r="SU19" s="411"/>
      <c r="SV19" s="411"/>
      <c r="SW19" s="411"/>
      <c r="SX19" s="411"/>
      <c r="SY19" s="411"/>
      <c r="SZ19" s="411"/>
      <c r="TA19" s="411"/>
      <c r="TB19" s="411"/>
      <c r="TC19" s="411"/>
      <c r="TD19" s="411"/>
      <c r="TE19" s="411"/>
      <c r="TF19" s="411"/>
      <c r="TG19" s="411"/>
      <c r="TH19" s="411"/>
      <c r="TI19" s="411"/>
      <c r="TJ19" s="411"/>
      <c r="TK19" s="411"/>
      <c r="TL19" s="411"/>
      <c r="TM19" s="411"/>
      <c r="TN19" s="411"/>
      <c r="TO19" s="411"/>
      <c r="TP19" s="411"/>
      <c r="TQ19" s="411"/>
      <c r="TR19" s="411"/>
      <c r="TS19" s="411"/>
      <c r="TT19" s="411"/>
      <c r="TU19" s="411"/>
      <c r="TV19" s="411"/>
      <c r="TW19" s="411"/>
      <c r="TX19" s="411"/>
      <c r="TY19" s="411"/>
      <c r="TZ19" s="411"/>
      <c r="UA19" s="411"/>
      <c r="UB19" s="411"/>
      <c r="UC19" s="411"/>
      <c r="UD19" s="411"/>
      <c r="UE19" s="411"/>
      <c r="UF19" s="411"/>
      <c r="UG19" s="411"/>
      <c r="UH19" s="411"/>
      <c r="UI19" s="411"/>
      <c r="UJ19" s="411"/>
      <c r="UK19" s="411"/>
      <c r="UL19" s="411"/>
      <c r="UM19" s="411"/>
      <c r="UN19" s="411"/>
      <c r="UO19" s="411"/>
      <c r="UP19" s="411"/>
      <c r="UQ19" s="411"/>
      <c r="UR19" s="411"/>
      <c r="US19" s="411"/>
      <c r="UT19" s="411"/>
      <c r="UU19" s="411"/>
      <c r="UV19" s="411"/>
      <c r="UW19" s="411"/>
      <c r="UX19" s="411"/>
      <c r="UY19" s="411"/>
      <c r="UZ19" s="411"/>
      <c r="VA19" s="411"/>
      <c r="VB19" s="411"/>
      <c r="VC19" s="411"/>
      <c r="VD19" s="411"/>
      <c r="VE19" s="411"/>
      <c r="VF19" s="411"/>
      <c r="VG19" s="411"/>
      <c r="VH19" s="411"/>
      <c r="VI19" s="411"/>
      <c r="VJ19" s="411"/>
      <c r="VK19" s="411"/>
      <c r="VL19" s="411"/>
      <c r="VM19" s="411"/>
      <c r="VN19" s="411"/>
      <c r="VO19" s="411"/>
      <c r="VP19" s="411"/>
      <c r="VQ19" s="411"/>
      <c r="VR19" s="411"/>
      <c r="VS19" s="411"/>
      <c r="VT19" s="411"/>
      <c r="VU19" s="411"/>
      <c r="VV19" s="411"/>
      <c r="VW19" s="411"/>
      <c r="VX19" s="411"/>
      <c r="VY19" s="411"/>
      <c r="VZ19" s="411"/>
      <c r="WA19" s="411"/>
      <c r="WB19" s="411"/>
      <c r="WC19" s="411"/>
      <c r="WD19" s="411"/>
      <c r="WE19" s="411"/>
      <c r="WF19" s="411"/>
      <c r="WG19" s="411"/>
      <c r="WH19" s="411"/>
      <c r="WI19" s="411"/>
      <c r="WJ19" s="411"/>
      <c r="WK19" s="411"/>
      <c r="WL19" s="411"/>
      <c r="WM19" s="411"/>
      <c r="WN19" s="411"/>
      <c r="WO19" s="411"/>
      <c r="WP19" s="411"/>
      <c r="WQ19" s="411"/>
      <c r="WR19" s="411"/>
      <c r="WS19" s="411"/>
      <c r="WT19" s="411"/>
      <c r="WU19" s="411"/>
      <c r="WV19" s="411"/>
      <c r="WW19" s="411"/>
      <c r="WX19" s="411"/>
      <c r="WY19" s="411"/>
      <c r="WZ19" s="411"/>
      <c r="XA19" s="411"/>
      <c r="XB19" s="411"/>
      <c r="XC19" s="411"/>
      <c r="XD19" s="411"/>
      <c r="XE19" s="411"/>
      <c r="XF19" s="411"/>
      <c r="XG19" s="411"/>
      <c r="XH19" s="411"/>
      <c r="XI19" s="411"/>
      <c r="XJ19" s="411"/>
      <c r="XK19" s="411"/>
      <c r="XL19" s="411"/>
      <c r="XM19" s="411"/>
      <c r="XN19" s="411"/>
      <c r="XO19" s="411"/>
      <c r="XP19" s="411"/>
      <c r="XQ19" s="411"/>
      <c r="XR19" s="411"/>
      <c r="XS19" s="411"/>
      <c r="XT19" s="411"/>
      <c r="XU19" s="411"/>
      <c r="XV19" s="411"/>
      <c r="XW19" s="411"/>
      <c r="XX19" s="411"/>
      <c r="XY19" s="411"/>
      <c r="XZ19" s="411"/>
      <c r="YA19" s="411"/>
      <c r="YB19" s="411"/>
      <c r="YC19" s="411"/>
      <c r="YD19" s="411"/>
      <c r="YE19" s="411"/>
      <c r="YF19" s="411"/>
      <c r="YG19" s="411"/>
      <c r="YH19" s="411"/>
      <c r="YI19" s="411"/>
      <c r="YJ19" s="411"/>
      <c r="YK19" s="411"/>
      <c r="YL19" s="411"/>
      <c r="YM19" s="411"/>
      <c r="YN19" s="411"/>
      <c r="YO19" s="411"/>
      <c r="YP19" s="411"/>
      <c r="YQ19" s="411"/>
      <c r="YR19" s="411"/>
      <c r="YS19" s="411"/>
      <c r="YT19" s="411"/>
      <c r="YU19" s="411"/>
      <c r="YV19" s="411"/>
      <c r="YW19" s="411"/>
      <c r="YX19" s="411"/>
      <c r="YY19" s="411"/>
      <c r="YZ19" s="411"/>
      <c r="ZA19" s="411"/>
      <c r="ZB19" s="411"/>
      <c r="ZC19" s="411"/>
      <c r="ZD19" s="411"/>
      <c r="ZE19" s="411"/>
      <c r="ZF19" s="411"/>
      <c r="ZG19" s="411"/>
      <c r="ZH19" s="411"/>
      <c r="ZI19" s="411"/>
      <c r="ZJ19" s="411"/>
      <c r="ZK19" s="411"/>
      <c r="ZL19" s="411"/>
      <c r="ZM19" s="411"/>
      <c r="ZN19" s="411"/>
      <c r="ZO19" s="411"/>
      <c r="ZP19" s="411"/>
      <c r="ZQ19" s="411"/>
      <c r="ZR19" s="411"/>
      <c r="ZS19" s="411"/>
      <c r="ZT19" s="411"/>
      <c r="ZU19" s="411"/>
      <c r="ZV19" s="411"/>
      <c r="ZW19" s="411"/>
      <c r="ZX19" s="411"/>
      <c r="ZY19" s="411"/>
      <c r="ZZ19" s="411"/>
      <c r="AAA19" s="411"/>
      <c r="AAB19" s="411"/>
      <c r="AAC19" s="411"/>
      <c r="AAD19" s="411"/>
      <c r="AAE19" s="411"/>
      <c r="AAF19" s="411"/>
      <c r="AAG19" s="411"/>
      <c r="AAH19" s="411"/>
      <c r="AAI19" s="411"/>
      <c r="AAJ19" s="411"/>
      <c r="AAK19" s="411"/>
      <c r="AAL19" s="411"/>
      <c r="AAM19" s="411"/>
      <c r="AAN19" s="411"/>
      <c r="AAO19" s="411"/>
      <c r="AAP19" s="411"/>
      <c r="AAQ19" s="411"/>
      <c r="AAR19" s="411"/>
      <c r="AAS19" s="411"/>
      <c r="AAT19" s="411"/>
      <c r="AAU19" s="411"/>
      <c r="AAV19" s="411"/>
      <c r="AAW19" s="411"/>
      <c r="AAX19" s="411"/>
      <c r="AAY19" s="411"/>
      <c r="AAZ19" s="411"/>
      <c r="ABA19" s="411"/>
      <c r="ABB19" s="411"/>
      <c r="ABC19" s="411"/>
      <c r="ABD19" s="411"/>
      <c r="ABE19" s="411"/>
      <c r="ABF19" s="411"/>
      <c r="ABG19" s="411"/>
      <c r="ABH19" s="411"/>
      <c r="ABI19" s="411"/>
      <c r="ABJ19" s="411"/>
      <c r="ABK19" s="411"/>
      <c r="ABL19" s="411"/>
      <c r="ABM19" s="411"/>
      <c r="ABN19" s="411"/>
      <c r="ABO19" s="411"/>
      <c r="ABP19" s="411"/>
      <c r="ABQ19" s="411"/>
      <c r="ABR19" s="411"/>
      <c r="ABS19" s="411"/>
      <c r="ABT19" s="411"/>
      <c r="ABU19" s="411"/>
      <c r="ABV19" s="411"/>
      <c r="ABW19" s="411"/>
      <c r="ABX19" s="411"/>
      <c r="ABY19" s="411"/>
      <c r="ABZ19" s="411"/>
      <c r="ACA19" s="411"/>
      <c r="ACB19" s="411"/>
      <c r="ACC19" s="411"/>
      <c r="ACD19" s="411"/>
      <c r="ACE19" s="411"/>
      <c r="ACF19" s="411"/>
      <c r="ACG19" s="411"/>
      <c r="ACH19" s="411"/>
      <c r="ACI19" s="411"/>
      <c r="ACJ19" s="411"/>
      <c r="ACK19" s="411"/>
      <c r="ACL19" s="411"/>
      <c r="ACM19" s="411"/>
      <c r="ACN19" s="411"/>
      <c r="ACO19" s="411"/>
      <c r="ACP19" s="411"/>
      <c r="ACQ19" s="411"/>
      <c r="ACR19" s="411"/>
      <c r="ACS19" s="411"/>
      <c r="ACT19" s="411"/>
      <c r="ACU19" s="411"/>
      <c r="ACV19" s="411"/>
      <c r="ACW19" s="411"/>
      <c r="ACX19" s="411"/>
      <c r="ACY19" s="411"/>
      <c r="ACZ19" s="411"/>
      <c r="ADA19" s="411"/>
      <c r="ADB19" s="411"/>
      <c r="ADC19" s="411"/>
      <c r="ADD19" s="411"/>
      <c r="ADE19" s="411"/>
      <c r="ADF19" s="411"/>
      <c r="ADG19" s="411"/>
      <c r="ADH19" s="411"/>
      <c r="ADI19" s="411"/>
      <c r="ADJ19" s="411"/>
      <c r="ADK19" s="411"/>
      <c r="ADL19" s="411"/>
      <c r="ADM19" s="411"/>
      <c r="ADN19" s="411"/>
      <c r="ADO19" s="411"/>
      <c r="ADP19" s="411"/>
      <c r="ADQ19" s="411"/>
      <c r="ADR19" s="411"/>
      <c r="ADS19" s="411"/>
      <c r="ADT19" s="411"/>
      <c r="ADU19" s="411"/>
      <c r="ADV19" s="411"/>
      <c r="ADW19" s="411"/>
      <c r="ADX19" s="411"/>
      <c r="ADY19" s="411"/>
      <c r="ADZ19" s="411"/>
      <c r="AEA19" s="411"/>
      <c r="AEB19" s="411"/>
      <c r="AEC19" s="411"/>
      <c r="AED19" s="411"/>
      <c r="AEE19" s="411"/>
      <c r="AEF19" s="411"/>
      <c r="AEG19" s="411"/>
      <c r="AEH19" s="411"/>
      <c r="AEI19" s="411"/>
      <c r="AEJ19" s="411"/>
      <c r="AEK19" s="411"/>
      <c r="AEL19" s="411"/>
      <c r="AEM19" s="411"/>
      <c r="AEN19" s="411"/>
      <c r="AEO19" s="411"/>
      <c r="AEP19" s="411"/>
      <c r="AEQ19" s="411"/>
      <c r="AER19" s="411"/>
      <c r="AES19" s="411"/>
      <c r="AET19" s="411"/>
      <c r="AEU19" s="411"/>
      <c r="AEV19" s="411"/>
      <c r="AEW19" s="411"/>
      <c r="AEX19" s="411"/>
      <c r="AEY19" s="411"/>
      <c r="AEZ19" s="411"/>
      <c r="AFA19" s="411"/>
      <c r="AFB19" s="411"/>
      <c r="AFC19" s="411"/>
      <c r="AFD19" s="411"/>
      <c r="AFE19" s="411"/>
      <c r="AFF19" s="411"/>
      <c r="AFG19" s="411"/>
      <c r="AFH19" s="411"/>
      <c r="AFI19" s="411"/>
      <c r="AFJ19" s="411"/>
      <c r="AFK19" s="411"/>
      <c r="AFL19" s="411"/>
      <c r="AFM19" s="411"/>
      <c r="AFN19" s="411"/>
      <c r="AFO19" s="411"/>
      <c r="AFP19" s="411"/>
      <c r="AFQ19" s="411"/>
      <c r="AFR19" s="411"/>
      <c r="AFS19" s="411"/>
      <c r="AFT19" s="411"/>
      <c r="AFU19" s="411"/>
      <c r="AFV19" s="411"/>
      <c r="AFW19" s="411"/>
      <c r="AFX19" s="411"/>
      <c r="AFY19" s="411"/>
      <c r="AFZ19" s="411"/>
      <c r="AGA19" s="411"/>
      <c r="AGB19" s="411"/>
      <c r="AGC19" s="411"/>
      <c r="AGD19" s="411"/>
      <c r="AGE19" s="411"/>
      <c r="AGF19" s="411"/>
      <c r="AGG19" s="411"/>
      <c r="AGH19" s="411"/>
      <c r="AGI19" s="411"/>
      <c r="AGJ19" s="411"/>
      <c r="AGK19" s="411"/>
      <c r="AGL19" s="411"/>
      <c r="AGM19" s="411"/>
      <c r="AGN19" s="411"/>
      <c r="AGO19" s="411"/>
      <c r="AGP19" s="411"/>
      <c r="AGQ19" s="411"/>
      <c r="AGR19" s="411"/>
      <c r="AGS19" s="411"/>
      <c r="AGT19" s="411"/>
      <c r="AGU19" s="411"/>
      <c r="AGV19" s="411"/>
      <c r="AGW19" s="411"/>
      <c r="AGX19" s="411"/>
      <c r="AGY19" s="411"/>
      <c r="AGZ19" s="411"/>
      <c r="AHA19" s="411"/>
      <c r="AHB19" s="411"/>
      <c r="AHC19" s="411"/>
      <c r="AHD19" s="411"/>
      <c r="AHE19" s="411"/>
      <c r="AHF19" s="411"/>
      <c r="AHG19" s="411"/>
      <c r="AHH19" s="411"/>
      <c r="AHI19" s="411"/>
      <c r="AHJ19" s="411"/>
      <c r="AHK19" s="411"/>
      <c r="AHL19" s="411"/>
      <c r="AHM19" s="411"/>
      <c r="AHN19" s="411"/>
      <c r="AHO19" s="411"/>
      <c r="AHP19" s="411"/>
      <c r="AHQ19" s="411"/>
      <c r="AHR19" s="411"/>
      <c r="AHS19" s="411"/>
      <c r="AHT19" s="411"/>
      <c r="AHU19" s="411"/>
      <c r="AHV19" s="411"/>
      <c r="AHW19" s="411"/>
      <c r="AHX19" s="411"/>
      <c r="AHY19" s="411"/>
      <c r="AHZ19" s="411"/>
      <c r="AIA19" s="411"/>
      <c r="AIB19" s="411"/>
      <c r="AIC19" s="411"/>
      <c r="AID19" s="411"/>
      <c r="AIE19" s="411"/>
      <c r="AIF19" s="411"/>
      <c r="AIG19" s="411"/>
      <c r="AIH19" s="411"/>
      <c r="AII19" s="411"/>
      <c r="AIJ19" s="411"/>
      <c r="AIK19" s="411"/>
      <c r="AIL19" s="411"/>
      <c r="AIM19" s="411"/>
      <c r="AIN19" s="411"/>
      <c r="AIO19" s="411"/>
      <c r="AIP19" s="411"/>
      <c r="AIQ19" s="411"/>
      <c r="AIR19" s="411"/>
      <c r="AIS19" s="411"/>
      <c r="AIT19" s="411"/>
      <c r="AIU19" s="411"/>
      <c r="AIV19" s="411"/>
      <c r="AIW19" s="411"/>
      <c r="AIX19" s="411"/>
      <c r="AIY19" s="411"/>
      <c r="AIZ19" s="411"/>
      <c r="AJA19" s="411"/>
      <c r="AJB19" s="411"/>
      <c r="AJC19" s="411"/>
      <c r="AJD19" s="411"/>
      <c r="AJE19" s="411"/>
      <c r="AJF19" s="411"/>
      <c r="AJG19" s="411"/>
      <c r="AJH19" s="411"/>
      <c r="AJI19" s="411"/>
      <c r="AJJ19" s="411"/>
      <c r="AJK19" s="411"/>
      <c r="AJL19" s="411"/>
      <c r="AJM19" s="411"/>
      <c r="AJN19" s="411"/>
      <c r="AJO19" s="411"/>
      <c r="AJP19" s="411"/>
      <c r="AJQ19" s="411"/>
      <c r="AJR19" s="411"/>
      <c r="AJS19" s="411"/>
      <c r="AJT19" s="411"/>
      <c r="AJU19" s="411"/>
      <c r="AJV19" s="411"/>
      <c r="AJW19" s="411"/>
      <c r="AJX19" s="411"/>
      <c r="AJY19" s="411"/>
      <c r="AJZ19" s="411"/>
      <c r="AKA19" s="411"/>
      <c r="AKB19" s="411"/>
      <c r="AKC19" s="411"/>
      <c r="AKD19" s="411"/>
      <c r="AKE19" s="411"/>
      <c r="AKF19" s="411"/>
      <c r="AKG19" s="411"/>
      <c r="AKH19" s="411"/>
      <c r="AKI19" s="411"/>
      <c r="AKJ19" s="411"/>
      <c r="AKK19" s="411"/>
      <c r="AKL19" s="411"/>
      <c r="AKM19" s="411"/>
      <c r="AKN19" s="411"/>
      <c r="AKO19" s="411"/>
      <c r="AKP19" s="411"/>
      <c r="AKQ19" s="411"/>
      <c r="AKR19" s="411"/>
      <c r="AKS19" s="411"/>
      <c r="AKT19" s="411"/>
    </row>
    <row r="20">
      <c r="A20" s="411" t="s">
        <v>65</v>
      </c>
      <c r="B20" s="411"/>
      <c r="C20" s="411"/>
      <c r="D20" s="411"/>
      <c r="E20" s="411"/>
      <c r="F20" s="411"/>
      <c r="G20" s="411"/>
      <c r="H20" s="411"/>
      <c r="I20" s="411"/>
      <c r="J20" s="411"/>
      <c r="K20" s="411"/>
      <c r="L20" s="411"/>
      <c r="M20" s="411"/>
      <c r="N20" s="411"/>
      <c r="O20" s="411"/>
      <c r="P20" s="411">
        <v>15.71</v>
      </c>
      <c r="Q20" s="411">
        <v>98.94</v>
      </c>
      <c r="R20" s="411">
        <v>-18.46</v>
      </c>
      <c r="S20" s="411">
        <v>-17.61</v>
      </c>
      <c r="T20" s="411">
        <v>-44.46</v>
      </c>
      <c r="U20" s="411">
        <v>-15.82</v>
      </c>
      <c r="V20" s="411">
        <v>-24.62</v>
      </c>
      <c r="W20" s="411">
        <v>-27.82</v>
      </c>
      <c r="X20" s="411">
        <v>45.81</v>
      </c>
      <c r="Y20" s="411">
        <v>17.65</v>
      </c>
      <c r="Z20" s="411">
        <v>22.21</v>
      </c>
      <c r="AA20" s="411">
        <v>22.21</v>
      </c>
      <c r="AB20" s="411">
        <v>-10.77</v>
      </c>
      <c r="AC20" s="411">
        <v>-62.59</v>
      </c>
      <c r="AD20" s="411">
        <v>31.38</v>
      </c>
      <c r="AE20" s="411">
        <v>13.28</v>
      </c>
      <c r="AF20" s="411">
        <v>29.59</v>
      </c>
      <c r="AG20" s="411">
        <v>8.34</v>
      </c>
      <c r="AH20" s="411">
        <v>4.34</v>
      </c>
      <c r="AI20" s="411">
        <v>-36.62</v>
      </c>
      <c r="AJ20" s="411">
        <v>-13.67</v>
      </c>
      <c r="AK20" s="411">
        <v>12.8</v>
      </c>
      <c r="AL20" s="411">
        <v>-37.27</v>
      </c>
      <c r="AM20" s="411">
        <v>-7.62</v>
      </c>
      <c r="AN20" s="411">
        <v>-2.5</v>
      </c>
      <c r="AO20" s="411">
        <v>-21.42</v>
      </c>
      <c r="AP20" s="411">
        <v>17.71</v>
      </c>
      <c r="AQ20" s="411">
        <v>3.77</v>
      </c>
      <c r="AR20" s="411">
        <v>-14.96</v>
      </c>
      <c r="AS20" s="411">
        <v>13.67</v>
      </c>
      <c r="AT20" s="411">
        <v>20.92</v>
      </c>
      <c r="AU20" s="411">
        <v>64.98</v>
      </c>
      <c r="AV20" s="411">
        <v>9.26</v>
      </c>
      <c r="AW20" s="411">
        <v>-26.2</v>
      </c>
      <c r="AX20" s="411">
        <v>9.21</v>
      </c>
      <c r="AY20" s="411">
        <v>-21.08</v>
      </c>
      <c r="AZ20" s="411">
        <v>17.54</v>
      </c>
      <c r="BA20" s="411">
        <v>-8.36</v>
      </c>
      <c r="BB20" s="411">
        <v>38.1</v>
      </c>
      <c r="BC20" s="411">
        <v>22.91</v>
      </c>
      <c r="BD20" s="411">
        <v>15.57</v>
      </c>
      <c r="BE20" s="411">
        <v>63.59</v>
      </c>
      <c r="BF20" s="411">
        <v>11.45</v>
      </c>
      <c r="BG20" s="411">
        <v>-58.56</v>
      </c>
      <c r="BH20" s="411">
        <v>10.34</v>
      </c>
      <c r="BI20" s="411">
        <v>29.81</v>
      </c>
      <c r="BJ20" s="411">
        <v>-19.85</v>
      </c>
      <c r="BK20" s="411">
        <v>-0.85</v>
      </c>
      <c r="BL20" s="411">
        <v>15.01</v>
      </c>
      <c r="BM20" s="411">
        <v>-6.07</v>
      </c>
      <c r="BN20" s="411">
        <v>-43.65</v>
      </c>
      <c r="BO20" s="411">
        <v>31.05</v>
      </c>
      <c r="BP20" s="411">
        <v>7.91</v>
      </c>
      <c r="BQ20" s="411">
        <v>11.66</v>
      </c>
      <c r="BR20" s="411">
        <v>-2.26</v>
      </c>
      <c r="BS20" s="411">
        <v>24.54</v>
      </c>
      <c r="BT20" s="411">
        <v>45.48</v>
      </c>
      <c r="BU20" s="411">
        <v>46.07</v>
      </c>
      <c r="BV20" s="411">
        <v>13.85</v>
      </c>
      <c r="BW20" s="411">
        <v>-14.28</v>
      </c>
      <c r="BX20" s="411">
        <v>-33.89</v>
      </c>
      <c r="BY20" s="411">
        <v>33.29</v>
      </c>
      <c r="BZ20" s="411">
        <v>-25.69</v>
      </c>
      <c r="CA20" s="411"/>
      <c r="CB20" s="411"/>
      <c r="CC20" s="411"/>
      <c r="CD20" s="411"/>
      <c r="CE20" s="411"/>
      <c r="CF20" s="411"/>
      <c r="CG20" s="411"/>
      <c r="CH20" s="411"/>
      <c r="CI20" s="411"/>
      <c r="CJ20" s="411"/>
      <c r="CK20" s="411"/>
      <c r="CL20" s="411"/>
      <c r="CM20" s="411"/>
      <c r="CN20" s="411"/>
      <c r="CO20" s="411"/>
      <c r="CP20" s="411"/>
      <c r="CQ20" s="411"/>
      <c r="CR20" s="411"/>
      <c r="CS20" s="411"/>
      <c r="CT20" s="411"/>
      <c r="CU20" s="411"/>
      <c r="CV20" s="411"/>
      <c r="CW20" s="411"/>
      <c r="CX20" s="411"/>
      <c r="CY20" s="411"/>
      <c r="CZ20" s="411"/>
      <c r="DA20" s="411"/>
      <c r="DB20" s="411"/>
      <c r="DC20" s="411"/>
      <c r="DD20" s="411"/>
      <c r="DE20" s="411"/>
      <c r="DF20" s="411"/>
      <c r="DG20" s="411"/>
      <c r="DH20" s="411"/>
      <c r="DI20" s="411"/>
      <c r="DJ20" s="411"/>
      <c r="DK20" s="411"/>
      <c r="DL20" s="411"/>
      <c r="DM20" s="411"/>
      <c r="DN20" s="411"/>
      <c r="DO20" s="411"/>
      <c r="DP20" s="411"/>
      <c r="DQ20" s="411"/>
      <c r="DR20" s="411"/>
      <c r="DS20" s="411"/>
      <c r="DT20" s="411"/>
      <c r="DU20" s="411"/>
      <c r="DV20" s="411"/>
      <c r="DW20" s="411"/>
      <c r="DX20" s="411"/>
      <c r="DY20" s="411"/>
      <c r="DZ20" s="411"/>
      <c r="EA20" s="411"/>
      <c r="EB20" s="411"/>
      <c r="EC20" s="411"/>
      <c r="ED20" s="411"/>
      <c r="EE20" s="411"/>
      <c r="EF20" s="411"/>
      <c r="EG20" s="411"/>
      <c r="EH20" s="411"/>
      <c r="EI20" s="411"/>
      <c r="EJ20" s="411"/>
      <c r="EK20" s="411"/>
      <c r="EL20" s="411"/>
      <c r="EM20" s="411"/>
      <c r="EN20" s="411"/>
      <c r="EO20" s="411"/>
      <c r="EP20" s="411"/>
      <c r="EQ20" s="411"/>
      <c r="ER20" s="411"/>
      <c r="ES20" s="411"/>
      <c r="ET20" s="411"/>
      <c r="EU20" s="411"/>
      <c r="EV20" s="411"/>
      <c r="EW20" s="411"/>
      <c r="EX20" s="411"/>
      <c r="EY20" s="411"/>
      <c r="EZ20" s="411"/>
      <c r="FA20" s="411"/>
      <c r="FB20" s="411"/>
      <c r="FC20" s="411"/>
      <c r="FD20" s="411"/>
      <c r="FE20" s="411"/>
      <c r="FF20" s="411"/>
      <c r="FG20" s="411"/>
      <c r="FH20" s="411"/>
      <c r="FI20" s="411"/>
      <c r="FJ20" s="411"/>
      <c r="FK20" s="411"/>
      <c r="FL20" s="411"/>
      <c r="FM20" s="411"/>
      <c r="FN20" s="411"/>
      <c r="FO20" s="411"/>
      <c r="FP20" s="411"/>
      <c r="FQ20" s="411"/>
      <c r="FR20" s="411"/>
      <c r="FS20" s="411"/>
      <c r="FT20" s="411"/>
      <c r="FU20" s="411"/>
      <c r="FV20" s="411"/>
      <c r="FW20" s="411"/>
      <c r="FX20" s="411"/>
      <c r="FY20" s="411"/>
      <c r="FZ20" s="411"/>
      <c r="GA20" s="411"/>
      <c r="GB20" s="411"/>
      <c r="GC20" s="411"/>
      <c r="GD20" s="411"/>
      <c r="GE20" s="411"/>
      <c r="GF20" s="411"/>
      <c r="GG20" s="411"/>
      <c r="GH20" s="411"/>
      <c r="GI20" s="411"/>
      <c r="GJ20" s="411"/>
      <c r="GK20" s="411"/>
      <c r="GL20" s="411"/>
      <c r="GM20" s="411"/>
      <c r="GN20" s="411"/>
      <c r="GO20" s="411"/>
      <c r="GP20" s="411"/>
      <c r="GQ20" s="411"/>
      <c r="GR20" s="411"/>
      <c r="GS20" s="411"/>
      <c r="GT20" s="411"/>
      <c r="GU20" s="411"/>
      <c r="GV20" s="411"/>
      <c r="GW20" s="411"/>
      <c r="GX20" s="411"/>
      <c r="GY20" s="411"/>
      <c r="GZ20" s="411"/>
      <c r="HA20" s="411"/>
      <c r="HB20" s="411"/>
      <c r="HC20" s="411"/>
      <c r="HD20" s="411"/>
      <c r="HE20" s="411"/>
      <c r="HF20" s="411"/>
      <c r="HG20" s="411"/>
      <c r="HH20" s="411"/>
      <c r="HI20" s="411"/>
      <c r="HJ20" s="411"/>
      <c r="HK20" s="411"/>
      <c r="HL20" s="411"/>
      <c r="HM20" s="411"/>
      <c r="HN20" s="411"/>
      <c r="HO20" s="411"/>
      <c r="HP20" s="411"/>
      <c r="HQ20" s="411"/>
      <c r="HR20" s="411"/>
      <c r="HS20" s="411"/>
      <c r="HT20" s="411"/>
      <c r="HU20" s="411"/>
      <c r="HV20" s="411"/>
      <c r="HW20" s="411"/>
      <c r="HX20" s="411"/>
      <c r="HY20" s="411"/>
      <c r="HZ20" s="411"/>
      <c r="IA20" s="411"/>
      <c r="IB20" s="411"/>
      <c r="IC20" s="411"/>
      <c r="ID20" s="411"/>
      <c r="IE20" s="411"/>
      <c r="IF20" s="411"/>
      <c r="IG20" s="411"/>
      <c r="IH20" s="411"/>
      <c r="II20" s="411"/>
      <c r="IJ20" s="411"/>
      <c r="IK20" s="411"/>
      <c r="IL20" s="411"/>
      <c r="IM20" s="411"/>
      <c r="IN20" s="411"/>
      <c r="IO20" s="411"/>
      <c r="IP20" s="411"/>
      <c r="IQ20" s="411"/>
      <c r="IR20" s="411"/>
      <c r="IS20" s="411"/>
      <c r="IT20" s="411"/>
      <c r="IU20" s="411"/>
      <c r="IV20" s="411"/>
      <c r="IW20" s="411"/>
      <c r="IX20" s="411"/>
      <c r="IY20" s="411"/>
      <c r="IZ20" s="411"/>
      <c r="JA20" s="411"/>
      <c r="JB20" s="411"/>
      <c r="JC20" s="411"/>
      <c r="JD20" s="411"/>
      <c r="JE20" s="411"/>
      <c r="JF20" s="411"/>
      <c r="JG20" s="411"/>
      <c r="JH20" s="411"/>
      <c r="JI20" s="411"/>
      <c r="JJ20" s="411"/>
      <c r="JK20" s="411"/>
      <c r="JL20" s="411"/>
      <c r="JM20" s="411"/>
      <c r="JN20" s="411"/>
      <c r="JO20" s="411"/>
      <c r="JP20" s="411"/>
      <c r="JQ20" s="411"/>
      <c r="JR20" s="411"/>
      <c r="JS20" s="411"/>
      <c r="JT20" s="411"/>
      <c r="JU20" s="411"/>
      <c r="JV20" s="411"/>
      <c r="JW20" s="411"/>
      <c r="JX20" s="411"/>
      <c r="JY20" s="411"/>
      <c r="JZ20" s="411"/>
      <c r="KA20" s="411"/>
      <c r="KB20" s="411"/>
      <c r="KC20" s="411"/>
      <c r="KD20" s="411"/>
      <c r="KE20" s="411"/>
      <c r="KF20" s="411"/>
      <c r="KG20" s="411"/>
      <c r="KH20" s="411"/>
      <c r="KI20" s="411"/>
      <c r="KJ20" s="411"/>
      <c r="KK20" s="411"/>
      <c r="KL20" s="411"/>
      <c r="KM20" s="411"/>
      <c r="KN20" s="411"/>
      <c r="KO20" s="411"/>
      <c r="KP20" s="411"/>
      <c r="KQ20" s="411"/>
      <c r="KR20" s="411"/>
      <c r="KS20" s="411"/>
      <c r="KT20" s="411"/>
      <c r="KU20" s="411"/>
      <c r="KV20" s="411"/>
      <c r="KW20" s="411"/>
      <c r="KX20" s="411"/>
      <c r="KY20" s="411"/>
      <c r="KZ20" s="411"/>
      <c r="LA20" s="411"/>
      <c r="LB20" s="411"/>
      <c r="LC20" s="411"/>
      <c r="LD20" s="411"/>
      <c r="LE20" s="411"/>
      <c r="LF20" s="411"/>
      <c r="LG20" s="411"/>
      <c r="LH20" s="411"/>
      <c r="LI20" s="411"/>
      <c r="LJ20" s="411"/>
      <c r="LK20" s="411"/>
      <c r="LL20" s="411"/>
      <c r="LM20" s="411"/>
      <c r="LN20" s="411"/>
      <c r="LO20" s="411"/>
      <c r="LP20" s="411"/>
      <c r="LQ20" s="411"/>
      <c r="LR20" s="411"/>
      <c r="LS20" s="411"/>
      <c r="LT20" s="411"/>
      <c r="LU20" s="411"/>
      <c r="LV20" s="411"/>
      <c r="LW20" s="411"/>
      <c r="LX20" s="411"/>
      <c r="LY20" s="411"/>
      <c r="LZ20" s="411"/>
      <c r="MA20" s="411"/>
      <c r="MB20" s="411"/>
      <c r="MC20" s="411"/>
      <c r="MD20" s="411"/>
      <c r="ME20" s="411"/>
      <c r="MF20" s="411"/>
      <c r="MG20" s="411"/>
      <c r="MH20" s="411"/>
      <c r="MI20" s="411"/>
      <c r="MJ20" s="411"/>
      <c r="MK20" s="411"/>
      <c r="ML20" s="411"/>
      <c r="MM20" s="411"/>
      <c r="MN20" s="411"/>
      <c r="MO20" s="411"/>
      <c r="MP20" s="411"/>
      <c r="MQ20" s="411"/>
      <c r="MR20" s="411"/>
      <c r="MS20" s="411"/>
      <c r="MT20" s="411"/>
      <c r="MU20" s="411"/>
      <c r="MV20" s="411"/>
      <c r="MW20" s="411"/>
      <c r="MX20" s="411"/>
      <c r="MY20" s="411"/>
      <c r="MZ20" s="411"/>
      <c r="NA20" s="411"/>
      <c r="NB20" s="411"/>
      <c r="NC20" s="411"/>
      <c r="ND20" s="411"/>
      <c r="NE20" s="411"/>
      <c r="NF20" s="411"/>
      <c r="NG20" s="411"/>
      <c r="NH20" s="411"/>
      <c r="NI20" s="411"/>
      <c r="NJ20" s="411"/>
      <c r="NK20" s="411"/>
      <c r="NL20" s="411"/>
      <c r="NM20" s="411"/>
      <c r="NN20" s="411"/>
      <c r="NO20" s="411"/>
      <c r="NP20" s="411"/>
      <c r="NQ20" s="411"/>
      <c r="NR20" s="411"/>
      <c r="NS20" s="411"/>
      <c r="NT20" s="411"/>
      <c r="NU20" s="411"/>
      <c r="NV20" s="411"/>
      <c r="NW20" s="411"/>
      <c r="NX20" s="411"/>
      <c r="NY20" s="411"/>
      <c r="NZ20" s="411"/>
      <c r="OA20" s="411"/>
      <c r="OB20" s="411"/>
      <c r="OC20" s="411"/>
      <c r="OD20" s="411"/>
      <c r="OE20" s="411"/>
      <c r="OF20" s="411"/>
      <c r="OG20" s="411"/>
      <c r="OH20" s="411"/>
      <c r="OI20" s="411"/>
      <c r="OJ20" s="411"/>
      <c r="OK20" s="411"/>
      <c r="OL20" s="411"/>
      <c r="OM20" s="411"/>
      <c r="ON20" s="411"/>
      <c r="OO20" s="411"/>
      <c r="OP20" s="411"/>
      <c r="OQ20" s="411"/>
      <c r="OR20" s="411"/>
      <c r="OS20" s="411"/>
      <c r="OT20" s="411"/>
      <c r="OU20" s="411"/>
      <c r="OV20" s="411"/>
      <c r="OW20" s="411"/>
      <c r="OX20" s="411"/>
      <c r="OY20" s="411"/>
      <c r="OZ20" s="411"/>
      <c r="PA20" s="411"/>
      <c r="PB20" s="411"/>
      <c r="PC20" s="411"/>
      <c r="PD20" s="411"/>
      <c r="PE20" s="411"/>
      <c r="PF20" s="411"/>
      <c r="PG20" s="411"/>
      <c r="PH20" s="411"/>
      <c r="PI20" s="411"/>
      <c r="PJ20" s="411"/>
      <c r="PK20" s="411"/>
      <c r="PL20" s="411"/>
      <c r="PM20" s="411"/>
      <c r="PN20" s="411"/>
      <c r="PO20" s="411"/>
      <c r="PP20" s="411"/>
      <c r="PQ20" s="411"/>
      <c r="PR20" s="411"/>
      <c r="PS20" s="411"/>
      <c r="PT20" s="411"/>
      <c r="PU20" s="411"/>
      <c r="PV20" s="411"/>
      <c r="PW20" s="411"/>
      <c r="PX20" s="411"/>
      <c r="PY20" s="411"/>
      <c r="PZ20" s="411"/>
      <c r="QA20" s="411"/>
      <c r="QB20" s="411"/>
      <c r="QC20" s="411"/>
      <c r="QD20" s="411"/>
      <c r="QE20" s="411"/>
      <c r="QF20" s="411"/>
      <c r="QG20" s="411"/>
      <c r="QH20" s="411"/>
      <c r="QI20" s="411"/>
      <c r="QJ20" s="411"/>
      <c r="QK20" s="411"/>
      <c r="QL20" s="411"/>
      <c r="QM20" s="411"/>
      <c r="QN20" s="411"/>
      <c r="QO20" s="411"/>
      <c r="QP20" s="411"/>
      <c r="QQ20" s="411"/>
      <c r="QR20" s="411"/>
      <c r="QS20" s="411"/>
      <c r="QT20" s="411"/>
      <c r="QU20" s="411"/>
      <c r="QV20" s="411"/>
      <c r="QW20" s="411"/>
      <c r="QX20" s="411"/>
      <c r="QY20" s="411"/>
      <c r="QZ20" s="411"/>
      <c r="RA20" s="411"/>
      <c r="RB20" s="411"/>
      <c r="RC20" s="411"/>
      <c r="RD20" s="411"/>
      <c r="RE20" s="411"/>
      <c r="RF20" s="411"/>
      <c r="RG20" s="411"/>
      <c r="RH20" s="411"/>
      <c r="RI20" s="411"/>
      <c r="RJ20" s="411"/>
      <c r="RK20" s="411"/>
      <c r="RL20" s="411"/>
      <c r="RM20" s="411"/>
      <c r="RN20" s="411"/>
      <c r="RO20" s="411"/>
      <c r="RP20" s="411"/>
      <c r="RQ20" s="411"/>
      <c r="RR20" s="411"/>
      <c r="RS20" s="411"/>
      <c r="RT20" s="411"/>
      <c r="RU20" s="411"/>
      <c r="RV20" s="411"/>
      <c r="RW20" s="411"/>
      <c r="RX20" s="411"/>
      <c r="RY20" s="411"/>
      <c r="RZ20" s="411"/>
      <c r="SA20" s="411"/>
      <c r="SB20" s="411"/>
      <c r="SC20" s="411"/>
      <c r="SD20" s="411"/>
      <c r="SE20" s="411"/>
      <c r="SF20" s="411"/>
      <c r="SG20" s="411"/>
      <c r="SH20" s="411"/>
      <c r="SI20" s="411"/>
      <c r="SJ20" s="411"/>
      <c r="SK20" s="411"/>
      <c r="SL20" s="411"/>
      <c r="SM20" s="411"/>
      <c r="SN20" s="411"/>
      <c r="SO20" s="411"/>
      <c r="SP20" s="411"/>
      <c r="SQ20" s="411"/>
      <c r="SR20" s="411"/>
      <c r="SS20" s="411"/>
      <c r="ST20" s="411"/>
      <c r="SU20" s="411"/>
      <c r="SV20" s="411"/>
      <c r="SW20" s="411"/>
      <c r="SX20" s="411"/>
      <c r="SY20" s="411"/>
      <c r="SZ20" s="411"/>
      <c r="TA20" s="411"/>
      <c r="TB20" s="411"/>
      <c r="TC20" s="411"/>
      <c r="TD20" s="411"/>
      <c r="TE20" s="411"/>
      <c r="TF20" s="411"/>
      <c r="TG20" s="411"/>
      <c r="TH20" s="411"/>
      <c r="TI20" s="411"/>
      <c r="TJ20" s="411"/>
      <c r="TK20" s="411"/>
      <c r="TL20" s="411"/>
      <c r="TM20" s="411"/>
      <c r="TN20" s="411"/>
      <c r="TO20" s="411"/>
      <c r="TP20" s="411"/>
      <c r="TQ20" s="411"/>
      <c r="TR20" s="411"/>
      <c r="TS20" s="411"/>
      <c r="TT20" s="411"/>
      <c r="TU20" s="411"/>
      <c r="TV20" s="411"/>
      <c r="TW20" s="411"/>
      <c r="TX20" s="411"/>
      <c r="TY20" s="411"/>
      <c r="TZ20" s="411"/>
      <c r="UA20" s="411"/>
      <c r="UB20" s="411"/>
      <c r="UC20" s="411"/>
      <c r="UD20" s="411"/>
      <c r="UE20" s="411"/>
      <c r="UF20" s="411"/>
      <c r="UG20" s="411"/>
      <c r="UH20" s="411"/>
      <c r="UI20" s="411"/>
      <c r="UJ20" s="411"/>
      <c r="UK20" s="411"/>
      <c r="UL20" s="411"/>
      <c r="UM20" s="411"/>
      <c r="UN20" s="411"/>
      <c r="UO20" s="411"/>
      <c r="UP20" s="411"/>
      <c r="UQ20" s="411"/>
      <c r="UR20" s="411"/>
      <c r="US20" s="411"/>
      <c r="UT20" s="411"/>
      <c r="UU20" s="411"/>
      <c r="UV20" s="411"/>
      <c r="UW20" s="411"/>
      <c r="UX20" s="411"/>
      <c r="UY20" s="411"/>
      <c r="UZ20" s="411"/>
      <c r="VA20" s="411"/>
      <c r="VB20" s="411"/>
      <c r="VC20" s="411"/>
      <c r="VD20" s="411"/>
      <c r="VE20" s="411"/>
      <c r="VF20" s="411"/>
      <c r="VG20" s="411"/>
      <c r="VH20" s="411"/>
      <c r="VI20" s="411"/>
      <c r="VJ20" s="411"/>
      <c r="VK20" s="411"/>
      <c r="VL20" s="411"/>
      <c r="VM20" s="411"/>
      <c r="VN20" s="411"/>
      <c r="VO20" s="411"/>
      <c r="VP20" s="411"/>
      <c r="VQ20" s="411"/>
      <c r="VR20" s="411"/>
      <c r="VS20" s="411"/>
      <c r="VT20" s="411"/>
      <c r="VU20" s="411"/>
      <c r="VV20" s="411"/>
      <c r="VW20" s="411"/>
      <c r="VX20" s="411"/>
      <c r="VY20" s="411"/>
      <c r="VZ20" s="411"/>
      <c r="WA20" s="411"/>
      <c r="WB20" s="411"/>
      <c r="WC20" s="411"/>
      <c r="WD20" s="411"/>
      <c r="WE20" s="411"/>
      <c r="WF20" s="411"/>
      <c r="WG20" s="411"/>
      <c r="WH20" s="411"/>
      <c r="WI20" s="411"/>
      <c r="WJ20" s="411"/>
      <c r="WK20" s="411"/>
      <c r="WL20" s="411"/>
      <c r="WM20" s="411"/>
      <c r="WN20" s="411"/>
      <c r="WO20" s="411"/>
      <c r="WP20" s="411"/>
      <c r="WQ20" s="411"/>
      <c r="WR20" s="411"/>
      <c r="WS20" s="411"/>
      <c r="WT20" s="411"/>
      <c r="WU20" s="411"/>
      <c r="WV20" s="411"/>
      <c r="WW20" s="411"/>
      <c r="WX20" s="411"/>
      <c r="WY20" s="411"/>
      <c r="WZ20" s="411"/>
      <c r="XA20" s="411"/>
      <c r="XB20" s="411"/>
      <c r="XC20" s="411"/>
      <c r="XD20" s="411"/>
      <c r="XE20" s="411"/>
      <c r="XF20" s="411"/>
      <c r="XG20" s="411"/>
      <c r="XH20" s="411"/>
      <c r="XI20" s="411"/>
      <c r="XJ20" s="411"/>
      <c r="XK20" s="411"/>
      <c r="XL20" s="411"/>
      <c r="XM20" s="411"/>
      <c r="XN20" s="411"/>
      <c r="XO20" s="411"/>
      <c r="XP20" s="411"/>
      <c r="XQ20" s="411"/>
      <c r="XR20" s="411"/>
      <c r="XS20" s="411"/>
      <c r="XT20" s="411"/>
      <c r="XU20" s="411"/>
      <c r="XV20" s="411"/>
      <c r="XW20" s="411"/>
      <c r="XX20" s="411"/>
      <c r="XY20" s="411"/>
      <c r="XZ20" s="411"/>
      <c r="YA20" s="411"/>
      <c r="YB20" s="411"/>
      <c r="YC20" s="411"/>
      <c r="YD20" s="411"/>
      <c r="YE20" s="411"/>
      <c r="YF20" s="411"/>
      <c r="YG20" s="411"/>
      <c r="YH20" s="411"/>
      <c r="YI20" s="411"/>
      <c r="YJ20" s="411"/>
      <c r="YK20" s="411"/>
      <c r="YL20" s="411"/>
      <c r="YM20" s="411"/>
      <c r="YN20" s="411"/>
      <c r="YO20" s="411"/>
      <c r="YP20" s="411"/>
      <c r="YQ20" s="411"/>
      <c r="YR20" s="411"/>
      <c r="YS20" s="411"/>
      <c r="YT20" s="411"/>
      <c r="YU20" s="411"/>
      <c r="YV20" s="411"/>
      <c r="YW20" s="411"/>
      <c r="YX20" s="411"/>
      <c r="YY20" s="411"/>
      <c r="YZ20" s="411"/>
      <c r="ZA20" s="411"/>
      <c r="ZB20" s="411"/>
      <c r="ZC20" s="411"/>
      <c r="ZD20" s="411"/>
      <c r="ZE20" s="411"/>
      <c r="ZF20" s="411"/>
      <c r="ZG20" s="411"/>
      <c r="ZH20" s="411"/>
      <c r="ZI20" s="411"/>
      <c r="ZJ20" s="411"/>
      <c r="ZK20" s="411"/>
      <c r="ZL20" s="411"/>
      <c r="ZM20" s="411"/>
      <c r="ZN20" s="411"/>
      <c r="ZO20" s="411"/>
      <c r="ZP20" s="411"/>
      <c r="ZQ20" s="411"/>
      <c r="ZR20" s="411"/>
      <c r="ZS20" s="411"/>
      <c r="ZT20" s="411"/>
      <c r="ZU20" s="411"/>
      <c r="ZV20" s="411"/>
      <c r="ZW20" s="411"/>
      <c r="ZX20" s="411"/>
      <c r="ZY20" s="411"/>
      <c r="ZZ20" s="411"/>
      <c r="AAA20" s="411"/>
      <c r="AAB20" s="411"/>
      <c r="AAC20" s="411"/>
      <c r="AAD20" s="411"/>
      <c r="AAE20" s="411"/>
      <c r="AAF20" s="411"/>
      <c r="AAG20" s="411"/>
      <c r="AAH20" s="411"/>
      <c r="AAI20" s="411"/>
      <c r="AAJ20" s="411"/>
      <c r="AAK20" s="411"/>
      <c r="AAL20" s="411"/>
      <c r="AAM20" s="411"/>
      <c r="AAN20" s="411"/>
      <c r="AAO20" s="411"/>
      <c r="AAP20" s="411"/>
      <c r="AAQ20" s="411"/>
      <c r="AAR20" s="411"/>
      <c r="AAS20" s="411"/>
      <c r="AAT20" s="411"/>
      <c r="AAU20" s="411"/>
      <c r="AAV20" s="411"/>
      <c r="AAW20" s="411"/>
      <c r="AAX20" s="411"/>
      <c r="AAY20" s="411"/>
      <c r="AAZ20" s="411"/>
      <c r="ABA20" s="411"/>
      <c r="ABB20" s="411"/>
      <c r="ABC20" s="411"/>
      <c r="ABD20" s="411"/>
      <c r="ABE20" s="411"/>
      <c r="ABF20" s="411"/>
      <c r="ABG20" s="411"/>
      <c r="ABH20" s="411"/>
      <c r="ABI20" s="411"/>
      <c r="ABJ20" s="411"/>
      <c r="ABK20" s="411"/>
      <c r="ABL20" s="411"/>
      <c r="ABM20" s="411"/>
      <c r="ABN20" s="411"/>
      <c r="ABO20" s="411"/>
      <c r="ABP20" s="411"/>
      <c r="ABQ20" s="411"/>
      <c r="ABR20" s="411"/>
      <c r="ABS20" s="411"/>
      <c r="ABT20" s="411"/>
      <c r="ABU20" s="411"/>
      <c r="ABV20" s="411"/>
      <c r="ABW20" s="411"/>
      <c r="ABX20" s="411"/>
      <c r="ABY20" s="411"/>
      <c r="ABZ20" s="411"/>
      <c r="ACA20" s="411"/>
      <c r="ACB20" s="411"/>
      <c r="ACC20" s="411"/>
      <c r="ACD20" s="411"/>
      <c r="ACE20" s="411"/>
      <c r="ACF20" s="411"/>
      <c r="ACG20" s="411"/>
      <c r="ACH20" s="411"/>
      <c r="ACI20" s="411"/>
      <c r="ACJ20" s="411"/>
      <c r="ACK20" s="411"/>
      <c r="ACL20" s="411"/>
      <c r="ACM20" s="411"/>
      <c r="ACN20" s="411"/>
      <c r="ACO20" s="411"/>
      <c r="ACP20" s="411"/>
      <c r="ACQ20" s="411"/>
      <c r="ACR20" s="411"/>
      <c r="ACS20" s="411"/>
      <c r="ACT20" s="411"/>
      <c r="ACU20" s="411"/>
      <c r="ACV20" s="411"/>
      <c r="ACW20" s="411"/>
      <c r="ACX20" s="411"/>
      <c r="ACY20" s="411"/>
      <c r="ACZ20" s="411"/>
      <c r="ADA20" s="411"/>
      <c r="ADB20" s="411"/>
      <c r="ADC20" s="411"/>
      <c r="ADD20" s="411"/>
      <c r="ADE20" s="411"/>
      <c r="ADF20" s="411"/>
      <c r="ADG20" s="411"/>
      <c r="ADH20" s="411"/>
      <c r="ADI20" s="411"/>
      <c r="ADJ20" s="411"/>
      <c r="ADK20" s="411"/>
      <c r="ADL20" s="411"/>
      <c r="ADM20" s="411"/>
      <c r="ADN20" s="411"/>
      <c r="ADO20" s="411"/>
      <c r="ADP20" s="411"/>
      <c r="ADQ20" s="411"/>
      <c r="ADR20" s="411"/>
      <c r="ADS20" s="411"/>
      <c r="ADT20" s="411"/>
      <c r="ADU20" s="411"/>
      <c r="ADV20" s="411"/>
      <c r="ADW20" s="411"/>
      <c r="ADX20" s="411"/>
      <c r="ADY20" s="411"/>
      <c r="ADZ20" s="411"/>
      <c r="AEA20" s="411"/>
      <c r="AEB20" s="411"/>
      <c r="AEC20" s="411"/>
      <c r="AED20" s="411"/>
      <c r="AEE20" s="411"/>
      <c r="AEF20" s="411"/>
      <c r="AEG20" s="411"/>
      <c r="AEH20" s="411"/>
      <c r="AEI20" s="411"/>
      <c r="AEJ20" s="411"/>
      <c r="AEK20" s="411"/>
      <c r="AEL20" s="411"/>
      <c r="AEM20" s="411"/>
      <c r="AEN20" s="411"/>
      <c r="AEO20" s="411"/>
      <c r="AEP20" s="411"/>
      <c r="AEQ20" s="411"/>
      <c r="AER20" s="411"/>
      <c r="AES20" s="411"/>
      <c r="AET20" s="411"/>
      <c r="AEU20" s="411"/>
      <c r="AEV20" s="411"/>
      <c r="AEW20" s="411"/>
      <c r="AEX20" s="411"/>
      <c r="AEY20" s="411"/>
      <c r="AEZ20" s="411"/>
      <c r="AFA20" s="411"/>
      <c r="AFB20" s="411"/>
      <c r="AFC20" s="411"/>
      <c r="AFD20" s="411"/>
      <c r="AFE20" s="411"/>
      <c r="AFF20" s="411"/>
      <c r="AFG20" s="411"/>
      <c r="AFH20" s="411"/>
      <c r="AFI20" s="411"/>
      <c r="AFJ20" s="411"/>
      <c r="AFK20" s="411"/>
      <c r="AFL20" s="411"/>
      <c r="AFM20" s="411"/>
      <c r="AFN20" s="411"/>
      <c r="AFO20" s="411"/>
      <c r="AFP20" s="411"/>
      <c r="AFQ20" s="411"/>
      <c r="AFR20" s="411"/>
      <c r="AFS20" s="411"/>
      <c r="AFT20" s="411"/>
      <c r="AFU20" s="411"/>
      <c r="AFV20" s="411"/>
      <c r="AFW20" s="411"/>
      <c r="AFX20" s="411"/>
      <c r="AFY20" s="411"/>
      <c r="AFZ20" s="411"/>
      <c r="AGA20" s="411"/>
      <c r="AGB20" s="411"/>
      <c r="AGC20" s="411"/>
      <c r="AGD20" s="411"/>
      <c r="AGE20" s="411"/>
      <c r="AGF20" s="411"/>
      <c r="AGG20" s="411"/>
      <c r="AGH20" s="411"/>
      <c r="AGI20" s="411"/>
      <c r="AGJ20" s="411"/>
      <c r="AGK20" s="411"/>
      <c r="AGL20" s="411"/>
      <c r="AGM20" s="411"/>
      <c r="AGN20" s="411"/>
      <c r="AGO20" s="411"/>
      <c r="AGP20" s="411"/>
      <c r="AGQ20" s="411"/>
      <c r="AGR20" s="411"/>
      <c r="AGS20" s="411"/>
      <c r="AGT20" s="411"/>
      <c r="AGU20" s="411"/>
      <c r="AGV20" s="411"/>
      <c r="AGW20" s="411"/>
      <c r="AGX20" s="411"/>
      <c r="AGY20" s="411"/>
      <c r="AGZ20" s="411"/>
      <c r="AHA20" s="411"/>
      <c r="AHB20" s="411"/>
      <c r="AHC20" s="411"/>
      <c r="AHD20" s="411"/>
      <c r="AHE20" s="411"/>
      <c r="AHF20" s="411"/>
      <c r="AHG20" s="411"/>
      <c r="AHH20" s="411"/>
      <c r="AHI20" s="411"/>
      <c r="AHJ20" s="411"/>
      <c r="AHK20" s="411"/>
      <c r="AHL20" s="411"/>
      <c r="AHM20" s="411"/>
      <c r="AHN20" s="411"/>
      <c r="AHO20" s="411"/>
      <c r="AHP20" s="411"/>
      <c r="AHQ20" s="411"/>
      <c r="AHR20" s="411"/>
      <c r="AHS20" s="411"/>
      <c r="AHT20" s="411"/>
      <c r="AHU20" s="411"/>
      <c r="AHV20" s="411"/>
      <c r="AHW20" s="411"/>
      <c r="AHX20" s="411"/>
      <c r="AHY20" s="411"/>
      <c r="AHZ20" s="411"/>
      <c r="AIA20" s="411"/>
      <c r="AIB20" s="411"/>
      <c r="AIC20" s="411"/>
      <c r="AID20" s="411"/>
      <c r="AIE20" s="411"/>
      <c r="AIF20" s="411"/>
      <c r="AIG20" s="411"/>
      <c r="AIH20" s="411"/>
      <c r="AII20" s="411"/>
      <c r="AIJ20" s="411"/>
      <c r="AIK20" s="411"/>
      <c r="AIL20" s="411"/>
      <c r="AIM20" s="411"/>
      <c r="AIN20" s="411"/>
      <c r="AIO20" s="411"/>
      <c r="AIP20" s="411"/>
      <c r="AIQ20" s="411"/>
      <c r="AIR20" s="411"/>
      <c r="AIS20" s="411"/>
      <c r="AIT20" s="411"/>
      <c r="AIU20" s="411"/>
      <c r="AIV20" s="411"/>
      <c r="AIW20" s="411"/>
      <c r="AIX20" s="411"/>
      <c r="AIY20" s="411"/>
      <c r="AIZ20" s="411"/>
      <c r="AJA20" s="411"/>
      <c r="AJB20" s="411"/>
      <c r="AJC20" s="411"/>
      <c r="AJD20" s="411"/>
      <c r="AJE20" s="411"/>
      <c r="AJF20" s="411"/>
      <c r="AJG20" s="411"/>
      <c r="AJH20" s="411"/>
      <c r="AJI20" s="411"/>
      <c r="AJJ20" s="411"/>
      <c r="AJK20" s="411"/>
      <c r="AJL20" s="411"/>
      <c r="AJM20" s="411"/>
      <c r="AJN20" s="411"/>
      <c r="AJO20" s="411"/>
      <c r="AJP20" s="411"/>
      <c r="AJQ20" s="411"/>
      <c r="AJR20" s="411"/>
      <c r="AJS20" s="411"/>
      <c r="AJT20" s="411"/>
      <c r="AJU20" s="411"/>
      <c r="AJV20" s="411"/>
      <c r="AJW20" s="411"/>
      <c r="AJX20" s="411"/>
      <c r="AJY20" s="411"/>
      <c r="AJZ20" s="411"/>
      <c r="AKA20" s="411"/>
      <c r="AKB20" s="411"/>
      <c r="AKC20" s="411"/>
      <c r="AKD20" s="411"/>
      <c r="AKE20" s="411"/>
      <c r="AKF20" s="411"/>
      <c r="AKG20" s="411"/>
      <c r="AKH20" s="411"/>
      <c r="AKI20" s="411"/>
      <c r="AKJ20" s="411"/>
      <c r="AKK20" s="411"/>
      <c r="AKL20" s="411"/>
      <c r="AKM20" s="411"/>
      <c r="AKN20" s="411"/>
      <c r="AKO20" s="411"/>
      <c r="AKP20" s="411"/>
      <c r="AKQ20" s="411"/>
      <c r="AKR20" s="411"/>
      <c r="AKS20" s="411"/>
      <c r="AKT20" s="411"/>
    </row>
    <row r="21" ht="15.75" customHeight="1">
      <c r="A21" s="411" t="s">
        <v>167</v>
      </c>
      <c r="B21" s="411"/>
      <c r="C21" s="411"/>
      <c r="D21" s="411"/>
      <c r="E21" s="411"/>
      <c r="F21" s="411"/>
      <c r="G21" s="411"/>
      <c r="H21" s="411"/>
      <c r="I21" s="411"/>
      <c r="J21" s="411"/>
      <c r="K21" s="411"/>
      <c r="L21" s="411"/>
      <c r="M21" s="411"/>
      <c r="N21" s="411"/>
      <c r="O21" s="411"/>
      <c r="P21" s="411"/>
      <c r="Q21" s="411"/>
      <c r="R21" s="411"/>
      <c r="S21" s="411"/>
      <c r="T21" s="411"/>
      <c r="U21" s="411"/>
      <c r="V21" s="411"/>
      <c r="W21" s="411"/>
      <c r="X21" s="411"/>
      <c r="Y21" s="411"/>
      <c r="Z21" s="411"/>
      <c r="AA21" s="537"/>
      <c r="AB21" s="411"/>
      <c r="AC21" s="411"/>
      <c r="AD21" s="411"/>
      <c r="AE21" s="411"/>
      <c r="AF21" s="411"/>
      <c r="AG21" s="411"/>
      <c r="AH21" s="411"/>
      <c r="AI21" s="411"/>
      <c r="AJ21" s="411"/>
      <c r="AK21" s="411"/>
      <c r="AL21" s="411"/>
      <c r="AM21" s="411"/>
      <c r="AN21" s="411"/>
      <c r="AO21" s="411"/>
      <c r="AP21" s="411"/>
      <c r="AQ21" s="411"/>
      <c r="AR21" s="411"/>
      <c r="AS21" s="411"/>
      <c r="AT21" s="411"/>
      <c r="AU21" s="411"/>
      <c r="AV21" s="411"/>
      <c r="AW21" s="411"/>
      <c r="AX21" s="411"/>
      <c r="AY21" s="411"/>
      <c r="AZ21" s="411"/>
      <c r="BA21" s="411"/>
      <c r="BB21" s="411"/>
      <c r="BC21" s="564"/>
      <c r="BD21" s="411"/>
      <c r="BE21" s="411"/>
      <c r="BF21" s="411"/>
      <c r="BG21" s="411"/>
      <c r="BH21" s="411"/>
      <c r="BI21" s="411"/>
      <c r="BJ21" s="411"/>
      <c r="BK21" s="411"/>
      <c r="BL21" s="411"/>
      <c r="BM21" s="411"/>
      <c r="BN21" s="411"/>
      <c r="BO21" s="411"/>
      <c r="BP21" s="411"/>
      <c r="BQ21" s="411"/>
      <c r="BR21" s="411"/>
      <c r="BS21" s="411"/>
      <c r="BT21" s="411"/>
      <c r="BU21" s="411"/>
      <c r="BV21" s="411"/>
      <c r="BW21" s="411"/>
      <c r="BX21" s="411"/>
      <c r="BY21" s="411"/>
      <c r="BZ21" s="411"/>
      <c r="CA21" s="411"/>
      <c r="CB21" s="411"/>
      <c r="CC21" s="411"/>
      <c r="CD21" s="411"/>
      <c r="CE21" s="411"/>
      <c r="CF21" s="411"/>
      <c r="CG21" s="411"/>
      <c r="CH21" s="411"/>
      <c r="CI21" s="411"/>
      <c r="CJ21" s="411"/>
      <c r="CK21" s="411"/>
      <c r="CL21" s="411"/>
      <c r="CM21" s="411"/>
      <c r="CN21" s="411"/>
      <c r="CO21" s="411"/>
      <c r="CP21" s="411"/>
      <c r="CQ21" s="411"/>
      <c r="CR21" s="411"/>
      <c r="CS21" s="411"/>
      <c r="CT21" s="411"/>
      <c r="CU21" s="411"/>
      <c r="CV21" s="411"/>
      <c r="CW21" s="411"/>
      <c r="CX21" s="411"/>
      <c r="CY21" s="411"/>
      <c r="CZ21" s="411"/>
      <c r="DA21" s="411"/>
      <c r="DB21" s="411"/>
      <c r="DC21" s="411"/>
      <c r="DD21" s="411"/>
      <c r="DE21" s="411"/>
      <c r="DF21" s="411"/>
      <c r="DG21" s="411"/>
      <c r="DH21" s="411"/>
      <c r="DI21" s="411">
        <v>-3.76</v>
      </c>
      <c r="DJ21" s="411">
        <v>8.77</v>
      </c>
      <c r="DK21" s="411">
        <v>5.72</v>
      </c>
      <c r="DL21" s="411">
        <v>-17.27</v>
      </c>
      <c r="DM21" s="411">
        <v>-9.53</v>
      </c>
      <c r="DN21" s="411"/>
      <c r="DO21" s="411"/>
      <c r="DP21" s="411"/>
      <c r="DQ21" s="411"/>
      <c r="DR21" s="411"/>
      <c r="DS21" s="411"/>
      <c r="DT21" s="411"/>
      <c r="DU21" s="411"/>
      <c r="DV21" s="411"/>
      <c r="DW21" s="411"/>
      <c r="DX21" s="411"/>
      <c r="DY21" s="411"/>
      <c r="DZ21" s="411"/>
      <c r="EA21" s="411"/>
      <c r="EB21" s="411"/>
      <c r="EC21" s="411"/>
      <c r="ED21" s="411"/>
      <c r="EE21" s="411"/>
      <c r="EF21" s="411"/>
      <c r="EG21" s="411"/>
      <c r="EH21" s="411"/>
      <c r="EI21" s="411"/>
      <c r="EJ21" s="411"/>
      <c r="EK21" s="411"/>
      <c r="EL21" s="411"/>
      <c r="EM21" s="411"/>
      <c r="EN21" s="411"/>
      <c r="EO21" s="411"/>
      <c r="EP21" s="411"/>
      <c r="EQ21" s="411"/>
      <c r="ER21" s="411"/>
      <c r="ES21" s="411"/>
      <c r="ET21" s="411"/>
      <c r="EU21" s="411"/>
      <c r="EV21" s="411"/>
      <c r="EW21" s="411"/>
      <c r="EX21" s="411"/>
      <c r="EY21" s="411"/>
      <c r="EZ21" s="411"/>
      <c r="FA21" s="411"/>
      <c r="FB21" s="411"/>
      <c r="FC21" s="411"/>
      <c r="FD21" s="411"/>
      <c r="FE21" s="411"/>
      <c r="FF21" s="411"/>
      <c r="FG21" s="411"/>
      <c r="FH21" s="411"/>
      <c r="FI21" s="411"/>
      <c r="FJ21" s="411"/>
      <c r="FK21" s="411"/>
      <c r="FL21" s="411"/>
      <c r="FM21" s="411"/>
      <c r="FN21" s="411"/>
      <c r="FO21" s="411"/>
      <c r="FP21" s="411"/>
      <c r="FQ21" s="411"/>
      <c r="FR21" s="411"/>
      <c r="FS21" s="411"/>
      <c r="FT21" s="411"/>
      <c r="FU21" s="411"/>
      <c r="FV21" s="411"/>
      <c r="FW21" s="411"/>
      <c r="FX21" s="411"/>
      <c r="FY21" s="411"/>
      <c r="FZ21" s="411"/>
      <c r="GA21" s="411"/>
      <c r="GB21" s="411"/>
      <c r="GC21" s="411"/>
      <c r="GD21" s="411"/>
      <c r="GE21" s="411"/>
      <c r="GF21" s="411"/>
      <c r="GG21" s="411"/>
      <c r="GH21" s="411"/>
      <c r="GI21" s="411"/>
      <c r="GJ21" s="411"/>
      <c r="GK21" s="411"/>
      <c r="GL21" s="411"/>
      <c r="GM21" s="411"/>
      <c r="GN21" s="411"/>
      <c r="GO21" s="411"/>
      <c r="GP21" s="411"/>
      <c r="GQ21" s="411"/>
      <c r="GR21" s="411"/>
      <c r="GS21" s="411"/>
      <c r="GT21" s="411"/>
      <c r="GU21" s="411"/>
      <c r="GV21" s="411"/>
      <c r="GW21" s="411"/>
      <c r="GX21" s="411"/>
      <c r="GY21" s="411"/>
      <c r="GZ21" s="411"/>
      <c r="HA21" s="411"/>
      <c r="HB21" s="411"/>
      <c r="HC21" s="411"/>
      <c r="HD21" s="411"/>
      <c r="HE21" s="411"/>
      <c r="HF21" s="411"/>
      <c r="HG21" s="411"/>
      <c r="HH21" s="411"/>
      <c r="HI21" s="411"/>
      <c r="HJ21" s="411"/>
      <c r="HK21" s="411"/>
      <c r="HL21" s="411"/>
      <c r="HM21" s="411"/>
      <c r="HN21" s="411"/>
      <c r="HO21" s="411"/>
      <c r="HP21" s="411"/>
      <c r="HQ21" s="411"/>
      <c r="HR21" s="411"/>
      <c r="HS21" s="411"/>
      <c r="HT21" s="411"/>
      <c r="HU21" s="411"/>
      <c r="HV21" s="411"/>
      <c r="HW21" s="411"/>
      <c r="HX21" s="411"/>
      <c r="HY21" s="411"/>
      <c r="HZ21" s="411"/>
      <c r="IA21" s="411"/>
      <c r="IB21" s="411"/>
      <c r="IC21" s="411"/>
      <c r="ID21" s="411"/>
      <c r="IE21" s="411"/>
      <c r="IF21" s="411"/>
      <c r="IG21" s="411"/>
      <c r="IH21" s="411"/>
      <c r="II21" s="411"/>
      <c r="IJ21" s="411"/>
      <c r="IK21" s="411"/>
      <c r="IL21" s="411"/>
      <c r="IM21" s="411"/>
      <c r="IN21" s="411"/>
      <c r="IO21" s="411"/>
      <c r="IP21" s="411"/>
      <c r="IQ21" s="411"/>
      <c r="IR21" s="411"/>
      <c r="IS21" s="411"/>
      <c r="IT21" s="411"/>
      <c r="IU21" s="411"/>
      <c r="IV21" s="411"/>
      <c r="IW21" s="411"/>
      <c r="IX21" s="411"/>
      <c r="IY21" s="411"/>
      <c r="IZ21" s="411"/>
      <c r="JA21" s="411"/>
      <c r="JB21" s="411"/>
      <c r="JC21" s="411"/>
      <c r="JD21" s="411"/>
      <c r="JE21" s="411"/>
      <c r="JF21" s="411"/>
      <c r="JG21" s="411"/>
      <c r="JH21" s="411"/>
      <c r="JI21" s="411"/>
      <c r="JJ21" s="411"/>
      <c r="JK21" s="411"/>
      <c r="JL21" s="411"/>
      <c r="JM21" s="411"/>
      <c r="JN21" s="411"/>
      <c r="JO21" s="411"/>
      <c r="JP21" s="411"/>
      <c r="JQ21" s="411"/>
      <c r="JR21" s="411"/>
      <c r="JS21" s="411"/>
      <c r="JT21" s="411"/>
      <c r="JU21" s="411"/>
      <c r="JV21" s="411"/>
      <c r="JW21" s="411"/>
      <c r="JX21" s="411"/>
      <c r="JY21" s="411"/>
      <c r="JZ21" s="411"/>
      <c r="KA21" s="411"/>
      <c r="KB21" s="411"/>
      <c r="KC21" s="411"/>
      <c r="KD21" s="411"/>
      <c r="KE21" s="411"/>
      <c r="KF21" s="411"/>
      <c r="KG21" s="411"/>
      <c r="KH21" s="411"/>
      <c r="KI21" s="411"/>
      <c r="KJ21" s="411"/>
      <c r="KK21" s="411"/>
      <c r="KL21" s="411"/>
      <c r="KM21" s="411"/>
      <c r="KN21" s="411"/>
      <c r="KO21" s="411"/>
      <c r="KP21" s="411"/>
      <c r="KQ21" s="411"/>
      <c r="KR21" s="411"/>
      <c r="KS21" s="411"/>
      <c r="KT21" s="411"/>
      <c r="KU21" s="411"/>
      <c r="KV21" s="411"/>
      <c r="KW21" s="411"/>
      <c r="KX21" s="411"/>
      <c r="KY21" s="411"/>
      <c r="KZ21" s="411"/>
      <c r="LA21" s="411"/>
      <c r="LB21" s="411"/>
      <c r="LC21" s="411"/>
      <c r="LD21" s="411"/>
      <c r="LE21" s="411"/>
      <c r="LF21" s="411"/>
      <c r="LG21" s="411"/>
      <c r="LH21" s="411"/>
      <c r="LI21" s="411"/>
      <c r="LJ21" s="411"/>
      <c r="LK21" s="411"/>
      <c r="LL21" s="411"/>
      <c r="LM21" s="411"/>
      <c r="LN21" s="411"/>
      <c r="LO21" s="411"/>
      <c r="LP21" s="411"/>
      <c r="LQ21" s="411"/>
      <c r="LR21" s="411"/>
      <c r="LS21" s="411"/>
      <c r="LT21" s="411"/>
      <c r="LU21" s="411"/>
      <c r="LV21" s="411"/>
      <c r="LW21" s="411"/>
      <c r="LX21" s="411"/>
      <c r="LY21" s="411"/>
      <c r="LZ21" s="411"/>
      <c r="MA21" s="411"/>
      <c r="MB21" s="411"/>
      <c r="MC21" s="411"/>
      <c r="MD21" s="411"/>
      <c r="ME21" s="411"/>
      <c r="MF21" s="411"/>
      <c r="MG21" s="411"/>
      <c r="MH21" s="411"/>
      <c r="MI21" s="411"/>
      <c r="MJ21" s="411"/>
      <c r="MK21" s="411"/>
      <c r="ML21" s="411"/>
      <c r="MM21" s="411"/>
      <c r="MN21" s="411"/>
      <c r="MO21" s="411"/>
      <c r="MP21" s="411"/>
      <c r="MQ21" s="411"/>
      <c r="MR21" s="411"/>
      <c r="MS21" s="411"/>
      <c r="MT21" s="411"/>
      <c r="MU21" s="411"/>
      <c r="MV21" s="411"/>
      <c r="MW21" s="411"/>
      <c r="MX21" s="411"/>
      <c r="MY21" s="411"/>
      <c r="MZ21" s="411"/>
      <c r="NA21" s="411"/>
      <c r="NB21" s="411"/>
      <c r="NC21" s="411"/>
      <c r="ND21" s="411"/>
      <c r="NE21" s="411"/>
      <c r="NF21" s="411"/>
      <c r="NG21" s="411"/>
      <c r="NH21" s="411"/>
      <c r="NI21" s="411"/>
      <c r="NJ21" s="411"/>
      <c r="NK21" s="411"/>
      <c r="NL21" s="411"/>
      <c r="NM21" s="411"/>
      <c r="NN21" s="411"/>
      <c r="NO21" s="411"/>
      <c r="NP21" s="411"/>
      <c r="NQ21" s="411"/>
      <c r="NR21" s="411"/>
      <c r="NS21" s="411"/>
      <c r="NT21" s="411"/>
      <c r="NU21" s="411"/>
      <c r="NV21" s="411"/>
      <c r="NW21" s="411"/>
      <c r="NX21" s="411"/>
      <c r="NY21" s="411"/>
      <c r="NZ21" s="411"/>
      <c r="OA21" s="411"/>
      <c r="OB21" s="411"/>
      <c r="OC21" s="411"/>
      <c r="OD21" s="411"/>
      <c r="OE21" s="411"/>
      <c r="OF21" s="411"/>
      <c r="OG21" s="411"/>
      <c r="OH21" s="411"/>
      <c r="OI21" s="411"/>
      <c r="OJ21" s="411"/>
      <c r="OK21" s="411"/>
      <c r="OL21" s="411"/>
      <c r="OM21" s="411"/>
      <c r="ON21" s="411"/>
      <c r="OO21" s="411"/>
      <c r="OP21" s="411"/>
      <c r="OQ21" s="411"/>
      <c r="OR21" s="411"/>
      <c r="OS21" s="411"/>
      <c r="OT21" s="411"/>
      <c r="OU21" s="411"/>
      <c r="OV21" s="411"/>
      <c r="OW21" s="411"/>
      <c r="OX21" s="411"/>
      <c r="OY21" s="411"/>
      <c r="OZ21" s="411"/>
      <c r="PA21" s="411"/>
      <c r="PB21" s="411"/>
      <c r="PC21" s="411"/>
      <c r="PD21" s="411"/>
      <c r="PE21" s="411"/>
      <c r="PF21" s="411"/>
      <c r="PG21" s="411"/>
      <c r="PH21" s="411"/>
      <c r="PI21" s="411"/>
      <c r="PJ21" s="411"/>
      <c r="PK21" s="411"/>
      <c r="PL21" s="411"/>
      <c r="PM21" s="411"/>
      <c r="PN21" s="411"/>
      <c r="PO21" s="411"/>
      <c r="PP21" s="411"/>
      <c r="PQ21" s="411"/>
      <c r="PR21" s="411"/>
      <c r="PS21" s="411"/>
      <c r="PT21" s="411"/>
      <c r="PU21" s="411"/>
      <c r="PV21" s="411"/>
      <c r="PW21" s="411"/>
      <c r="PX21" s="411"/>
      <c r="PY21" s="411"/>
      <c r="PZ21" s="411"/>
      <c r="QA21" s="411"/>
      <c r="QB21" s="411"/>
      <c r="QC21" s="411"/>
      <c r="QD21" s="411"/>
      <c r="QE21" s="411"/>
      <c r="QF21" s="411"/>
      <c r="QG21" s="411"/>
      <c r="QH21" s="411"/>
      <c r="QI21" s="411"/>
      <c r="QJ21" s="411"/>
      <c r="QK21" s="411"/>
      <c r="QL21" s="411"/>
      <c r="QM21" s="411"/>
      <c r="QN21" s="411"/>
      <c r="QO21" s="411"/>
      <c r="QP21" s="411"/>
      <c r="QQ21" s="411"/>
      <c r="QR21" s="411"/>
      <c r="QS21" s="411"/>
      <c r="QT21" s="411"/>
      <c r="QU21" s="411"/>
      <c r="QV21" s="411"/>
      <c r="QW21" s="411"/>
      <c r="QX21" s="411"/>
      <c r="QY21" s="411"/>
      <c r="QZ21" s="411"/>
      <c r="RA21" s="411"/>
      <c r="RB21" s="411"/>
      <c r="RC21" s="411"/>
      <c r="RD21" s="411"/>
      <c r="RE21" s="411"/>
      <c r="RF21" s="411"/>
      <c r="RG21" s="411"/>
      <c r="RH21" s="411"/>
      <c r="RI21" s="411"/>
      <c r="RJ21" s="411"/>
      <c r="RK21" s="411"/>
      <c r="RL21" s="411"/>
      <c r="RM21" s="411"/>
      <c r="RN21" s="411"/>
      <c r="RO21" s="411"/>
      <c r="RP21" s="411"/>
      <c r="RQ21" s="411"/>
      <c r="RR21" s="411"/>
      <c r="RS21" s="411"/>
      <c r="RT21" s="411"/>
      <c r="RU21" s="411"/>
      <c r="RV21" s="411"/>
      <c r="RW21" s="411"/>
      <c r="RX21" s="411"/>
      <c r="RY21" s="411"/>
      <c r="RZ21" s="411"/>
      <c r="SA21" s="411"/>
      <c r="SB21" s="411"/>
      <c r="SC21" s="411"/>
      <c r="SD21" s="411"/>
      <c r="SE21" s="411"/>
      <c r="SF21" s="411"/>
      <c r="SG21" s="411"/>
      <c r="SH21" s="411"/>
      <c r="SI21" s="411"/>
      <c r="SJ21" s="411"/>
      <c r="SK21" s="411"/>
      <c r="SL21" s="411"/>
      <c r="SM21" s="411"/>
      <c r="SN21" s="411"/>
      <c r="SO21" s="411"/>
      <c r="SP21" s="411"/>
      <c r="SQ21" s="411"/>
      <c r="SR21" s="411"/>
      <c r="SS21" s="411"/>
      <c r="ST21" s="411"/>
      <c r="SU21" s="411"/>
      <c r="SV21" s="411"/>
      <c r="SW21" s="411"/>
      <c r="SX21" s="411"/>
      <c r="SY21" s="411"/>
      <c r="SZ21" s="411"/>
      <c r="TA21" s="411"/>
      <c r="TB21" s="411"/>
      <c r="TC21" s="411"/>
      <c r="TD21" s="411"/>
      <c r="TE21" s="411"/>
      <c r="TF21" s="411"/>
      <c r="TG21" s="411"/>
      <c r="TH21" s="411"/>
      <c r="TI21" s="411"/>
      <c r="TJ21" s="411"/>
      <c r="TK21" s="411"/>
      <c r="TL21" s="411"/>
      <c r="TM21" s="411"/>
      <c r="TN21" s="411"/>
      <c r="TO21" s="411"/>
      <c r="TP21" s="411"/>
      <c r="TQ21" s="411"/>
      <c r="TR21" s="411"/>
      <c r="TS21" s="411"/>
      <c r="TT21" s="411"/>
      <c r="TU21" s="411"/>
      <c r="TV21" s="411"/>
      <c r="TW21" s="411"/>
      <c r="TX21" s="411"/>
      <c r="TY21" s="411"/>
      <c r="TZ21" s="411"/>
      <c r="UA21" s="411"/>
      <c r="UB21" s="411"/>
      <c r="UC21" s="411"/>
      <c r="UD21" s="411"/>
      <c r="UE21" s="411"/>
      <c r="UF21" s="411"/>
      <c r="UG21" s="411"/>
      <c r="UH21" s="411"/>
      <c r="UI21" s="411"/>
      <c r="UJ21" s="411"/>
      <c r="UK21" s="411"/>
      <c r="UL21" s="411"/>
      <c r="UM21" s="411"/>
      <c r="UN21" s="411"/>
      <c r="UO21" s="411"/>
      <c r="UP21" s="411"/>
      <c r="UQ21" s="411"/>
      <c r="UR21" s="411"/>
      <c r="US21" s="411"/>
      <c r="UT21" s="411"/>
      <c r="UU21" s="411"/>
      <c r="UV21" s="411"/>
      <c r="UW21" s="411"/>
      <c r="UX21" s="411"/>
      <c r="UY21" s="411"/>
      <c r="UZ21" s="411"/>
      <c r="VA21" s="411"/>
      <c r="VB21" s="411"/>
      <c r="VC21" s="411"/>
      <c r="VD21" s="411"/>
      <c r="VE21" s="411"/>
      <c r="VF21" s="411"/>
      <c r="VG21" s="411"/>
      <c r="VH21" s="411"/>
      <c r="VI21" s="411"/>
      <c r="VJ21" s="411"/>
      <c r="VK21" s="411"/>
      <c r="VL21" s="411"/>
      <c r="VM21" s="411"/>
      <c r="VN21" s="411"/>
      <c r="VO21" s="411"/>
      <c r="VP21" s="411"/>
      <c r="VQ21" s="411"/>
      <c r="VR21" s="411"/>
      <c r="VS21" s="411"/>
      <c r="VT21" s="411"/>
      <c r="VU21" s="411"/>
      <c r="VV21" s="411"/>
      <c r="VW21" s="411"/>
      <c r="VX21" s="411"/>
      <c r="VY21" s="411"/>
      <c r="VZ21" s="411"/>
      <c r="WA21" s="411"/>
      <c r="WB21" s="411"/>
      <c r="WC21" s="411"/>
      <c r="WD21" s="411"/>
      <c r="WE21" s="411"/>
      <c r="WF21" s="411"/>
      <c r="WG21" s="411"/>
      <c r="WH21" s="411"/>
      <c r="WI21" s="411"/>
      <c r="WJ21" s="411"/>
      <c r="WK21" s="411"/>
      <c r="WL21" s="411"/>
      <c r="WM21" s="411"/>
      <c r="WN21" s="411"/>
      <c r="WO21" s="411"/>
      <c r="WP21" s="411"/>
      <c r="WQ21" s="411"/>
      <c r="WR21" s="411"/>
      <c r="WS21" s="411"/>
      <c r="WT21" s="411"/>
      <c r="WU21" s="411"/>
      <c r="WV21" s="411"/>
      <c r="WW21" s="411"/>
      <c r="WX21" s="411"/>
      <c r="WY21" s="411"/>
      <c r="WZ21" s="411"/>
      <c r="XA21" s="411"/>
      <c r="XB21" s="411"/>
      <c r="XC21" s="411"/>
      <c r="XD21" s="411"/>
      <c r="XE21" s="411"/>
      <c r="XF21" s="411"/>
      <c r="XG21" s="411"/>
      <c r="XH21" s="411"/>
      <c r="XI21" s="411"/>
      <c r="XJ21" s="411"/>
      <c r="XK21" s="411"/>
      <c r="XL21" s="411"/>
      <c r="XM21" s="411"/>
      <c r="XN21" s="411"/>
      <c r="XO21" s="411"/>
      <c r="XP21" s="411"/>
      <c r="XQ21" s="411"/>
      <c r="XR21" s="411"/>
      <c r="XS21" s="411"/>
      <c r="XT21" s="411"/>
      <c r="XU21" s="411"/>
      <c r="XV21" s="411"/>
      <c r="XW21" s="411"/>
      <c r="XX21" s="411"/>
      <c r="XY21" s="411"/>
      <c r="XZ21" s="411"/>
      <c r="YA21" s="411"/>
      <c r="YB21" s="411"/>
      <c r="YC21" s="411"/>
      <c r="YD21" s="411"/>
      <c r="YE21" s="411"/>
      <c r="YF21" s="411"/>
      <c r="YG21" s="411"/>
      <c r="YH21" s="411"/>
      <c r="YI21" s="411"/>
      <c r="YJ21" s="411"/>
      <c r="YK21" s="411"/>
      <c r="YL21" s="411"/>
      <c r="YM21" s="411"/>
      <c r="YN21" s="411"/>
      <c r="YO21" s="411"/>
      <c r="YP21" s="411"/>
      <c r="YQ21" s="411"/>
      <c r="YR21" s="411"/>
      <c r="YS21" s="411"/>
      <c r="YT21" s="411"/>
      <c r="YU21" s="411"/>
      <c r="YV21" s="411"/>
      <c r="YW21" s="411"/>
      <c r="YX21" s="411"/>
      <c r="YY21" s="411"/>
      <c r="YZ21" s="411"/>
      <c r="ZA21" s="411"/>
      <c r="ZB21" s="411"/>
      <c r="ZC21" s="411"/>
      <c r="ZD21" s="411"/>
      <c r="ZE21" s="411"/>
      <c r="ZF21" s="411"/>
      <c r="ZG21" s="411"/>
      <c r="ZH21" s="411"/>
      <c r="ZI21" s="411"/>
      <c r="ZJ21" s="411"/>
      <c r="ZK21" s="411"/>
      <c r="ZL21" s="411"/>
      <c r="ZM21" s="411"/>
      <c r="ZN21" s="411"/>
      <c r="ZO21" s="411"/>
      <c r="ZP21" s="411"/>
      <c r="ZQ21" s="411"/>
      <c r="ZR21" s="411"/>
      <c r="ZS21" s="411"/>
      <c r="ZT21" s="411"/>
      <c r="ZU21" s="411"/>
      <c r="ZV21" s="411"/>
      <c r="ZW21" s="411"/>
      <c r="ZX21" s="411"/>
      <c r="ZY21" s="411"/>
      <c r="ZZ21" s="411"/>
      <c r="AAA21" s="411"/>
      <c r="AAB21" s="411"/>
      <c r="AAC21" s="411"/>
      <c r="AAD21" s="411"/>
      <c r="AAE21" s="411"/>
      <c r="AAF21" s="411"/>
      <c r="AAG21" s="411"/>
      <c r="AAH21" s="411"/>
      <c r="AAI21" s="411"/>
      <c r="AAJ21" s="411"/>
      <c r="AAK21" s="411"/>
      <c r="AAL21" s="411"/>
      <c r="AAM21" s="411"/>
      <c r="AAN21" s="411"/>
      <c r="AAO21" s="411"/>
      <c r="AAP21" s="411"/>
      <c r="AAQ21" s="411"/>
      <c r="AAR21" s="411"/>
      <c r="AAS21" s="411"/>
      <c r="AAT21" s="411"/>
      <c r="AAU21" s="411"/>
      <c r="AAV21" s="411"/>
      <c r="AAW21" s="411"/>
      <c r="AAX21" s="411"/>
      <c r="AAY21" s="411"/>
      <c r="AAZ21" s="411"/>
      <c r="ABA21" s="411"/>
      <c r="ABB21" s="411"/>
      <c r="ABC21" s="411"/>
      <c r="ABD21" s="411"/>
      <c r="ABE21" s="411"/>
      <c r="ABF21" s="411"/>
      <c r="ABG21" s="411"/>
      <c r="ABH21" s="411"/>
      <c r="ABI21" s="411"/>
      <c r="ABJ21" s="411"/>
      <c r="ABK21" s="411"/>
      <c r="ABL21" s="411"/>
      <c r="ABM21" s="411"/>
      <c r="ABN21" s="411"/>
      <c r="ABO21" s="411"/>
      <c r="ABP21" s="411"/>
      <c r="ABQ21" s="411"/>
      <c r="ABR21" s="411"/>
      <c r="ABS21" s="411"/>
      <c r="ABT21" s="411"/>
      <c r="ABU21" s="411"/>
      <c r="ABV21" s="411"/>
      <c r="ABW21" s="411"/>
      <c r="ABX21" s="411"/>
      <c r="ABY21" s="411"/>
      <c r="ABZ21" s="411"/>
      <c r="ACA21" s="411"/>
      <c r="ACB21" s="411"/>
      <c r="ACC21" s="411"/>
      <c r="ACD21" s="411"/>
      <c r="ACE21" s="411"/>
      <c r="ACF21" s="411"/>
      <c r="ACG21" s="411"/>
      <c r="ACH21" s="411"/>
      <c r="ACI21" s="411"/>
      <c r="ACJ21" s="411"/>
      <c r="ACK21" s="411"/>
      <c r="ACL21" s="411"/>
      <c r="ACM21" s="411"/>
      <c r="ACN21" s="411"/>
      <c r="ACO21" s="411"/>
      <c r="ACP21" s="411"/>
      <c r="ACQ21" s="411"/>
      <c r="ACR21" s="411"/>
      <c r="ACS21" s="411"/>
      <c r="ACT21" s="411"/>
      <c r="ACU21" s="411"/>
      <c r="ACV21" s="411"/>
      <c r="ACW21" s="411"/>
      <c r="ACX21" s="411"/>
      <c r="ACY21" s="411"/>
      <c r="ACZ21" s="411"/>
      <c r="ADA21" s="411"/>
      <c r="ADB21" s="411"/>
      <c r="ADC21" s="411"/>
      <c r="ADD21" s="411"/>
      <c r="ADE21" s="411"/>
      <c r="ADF21" s="411"/>
      <c r="ADG21" s="411"/>
      <c r="ADH21" s="411"/>
      <c r="ADI21" s="411"/>
      <c r="ADJ21" s="411"/>
      <c r="ADK21" s="411"/>
      <c r="ADL21" s="411"/>
      <c r="ADM21" s="411"/>
      <c r="ADN21" s="411"/>
      <c r="ADO21" s="411"/>
      <c r="ADP21" s="411"/>
      <c r="ADQ21" s="411"/>
      <c r="ADR21" s="411"/>
      <c r="ADS21" s="411"/>
      <c r="ADT21" s="411"/>
      <c r="ADU21" s="411"/>
      <c r="ADV21" s="411"/>
      <c r="ADW21" s="411"/>
      <c r="ADX21" s="411"/>
      <c r="ADY21" s="411"/>
      <c r="ADZ21" s="411"/>
      <c r="AEA21" s="411"/>
      <c r="AEB21" s="411"/>
      <c r="AEC21" s="411"/>
      <c r="AED21" s="411"/>
      <c r="AEE21" s="411"/>
      <c r="AEF21" s="411"/>
      <c r="AEG21" s="411"/>
      <c r="AEH21" s="411"/>
      <c r="AEI21" s="411"/>
      <c r="AEJ21" s="411"/>
      <c r="AEK21" s="411"/>
      <c r="AEL21" s="411"/>
      <c r="AEM21" s="411"/>
      <c r="AEN21" s="411"/>
      <c r="AEO21" s="411"/>
      <c r="AEP21" s="411"/>
      <c r="AEQ21" s="411"/>
      <c r="AER21" s="411"/>
      <c r="AES21" s="411"/>
      <c r="AET21" s="411"/>
      <c r="AEU21" s="411"/>
      <c r="AEV21" s="411"/>
      <c r="AEW21" s="411"/>
      <c r="AEX21" s="411"/>
      <c r="AEY21" s="411"/>
      <c r="AEZ21" s="411"/>
      <c r="AFA21" s="411"/>
      <c r="AFB21" s="411"/>
      <c r="AFC21" s="411"/>
      <c r="AFD21" s="411"/>
      <c r="AFE21" s="411"/>
      <c r="AFF21" s="411"/>
      <c r="AFG21" s="411"/>
      <c r="AFH21" s="411"/>
      <c r="AFI21" s="411"/>
      <c r="AFJ21" s="411"/>
      <c r="AFK21" s="411"/>
      <c r="AFL21" s="411"/>
      <c r="AFM21" s="411"/>
      <c r="AFN21" s="411"/>
      <c r="AFO21" s="411"/>
      <c r="AFP21" s="411"/>
      <c r="AFQ21" s="411"/>
      <c r="AFR21" s="411"/>
      <c r="AFS21" s="411"/>
      <c r="AFT21" s="411"/>
      <c r="AFU21" s="411"/>
      <c r="AFV21" s="411"/>
      <c r="AFW21" s="411"/>
      <c r="AFX21" s="411"/>
      <c r="AFY21" s="411"/>
      <c r="AFZ21" s="411"/>
      <c r="AGA21" s="411"/>
      <c r="AGB21" s="411"/>
      <c r="AGC21" s="411"/>
      <c r="AGD21" s="411"/>
      <c r="AGE21" s="411"/>
      <c r="AGF21" s="411"/>
      <c r="AGG21" s="411"/>
      <c r="AGH21" s="411"/>
      <c r="AGI21" s="411"/>
      <c r="AGJ21" s="411"/>
      <c r="AGK21" s="411"/>
      <c r="AGL21" s="411"/>
      <c r="AGM21" s="411"/>
      <c r="AGN21" s="411"/>
      <c r="AGO21" s="411"/>
      <c r="AGP21" s="411"/>
      <c r="AGQ21" s="411"/>
      <c r="AGR21" s="411"/>
      <c r="AGS21" s="411"/>
      <c r="AGT21" s="411"/>
      <c r="AGU21" s="411"/>
      <c r="AGV21" s="411"/>
      <c r="AGW21" s="411"/>
      <c r="AGX21" s="411"/>
      <c r="AGY21" s="411"/>
      <c r="AGZ21" s="411"/>
      <c r="AHA21" s="411"/>
      <c r="AHB21" s="411"/>
      <c r="AHC21" s="411"/>
      <c r="AHD21" s="411"/>
      <c r="AHE21" s="411"/>
      <c r="AHF21" s="411"/>
      <c r="AHG21" s="411"/>
      <c r="AHH21" s="411"/>
      <c r="AHI21" s="411"/>
      <c r="AHJ21" s="411"/>
      <c r="AHK21" s="411"/>
      <c r="AHL21" s="411"/>
      <c r="AHM21" s="411"/>
      <c r="AHN21" s="411"/>
      <c r="AHO21" s="411"/>
      <c r="AHP21" s="411"/>
      <c r="AHQ21" s="411"/>
      <c r="AHR21" s="411"/>
      <c r="AHS21" s="411"/>
      <c r="AHT21" s="411"/>
      <c r="AHU21" s="411"/>
      <c r="AHV21" s="411"/>
      <c r="AHW21" s="411"/>
      <c r="AHX21" s="411"/>
      <c r="AHY21" s="411"/>
      <c r="AHZ21" s="411"/>
      <c r="AIA21" s="411"/>
      <c r="AIB21" s="411"/>
      <c r="AIC21" s="411"/>
      <c r="AID21" s="411"/>
      <c r="AIE21" s="411"/>
      <c r="AIF21" s="411"/>
      <c r="AIG21" s="411"/>
      <c r="AIH21" s="411"/>
      <c r="AII21" s="411"/>
      <c r="AIJ21" s="411"/>
      <c r="AIK21" s="411"/>
      <c r="AIL21" s="411"/>
      <c r="AIM21" s="411"/>
      <c r="AIN21" s="411"/>
      <c r="AIO21" s="411"/>
      <c r="AIP21" s="411"/>
      <c r="AIQ21" s="411"/>
      <c r="AIR21" s="411"/>
      <c r="AIS21" s="411"/>
      <c r="AIT21" s="411"/>
      <c r="AIU21" s="411"/>
      <c r="AIV21" s="411"/>
      <c r="AIW21" s="411"/>
      <c r="AIX21" s="411"/>
      <c r="AIY21" s="411"/>
      <c r="AIZ21" s="411"/>
      <c r="AJA21" s="411"/>
      <c r="AJB21" s="411"/>
      <c r="AJC21" s="411"/>
      <c r="AJD21" s="411"/>
      <c r="AJE21" s="411"/>
      <c r="AJF21" s="411"/>
      <c r="AJG21" s="411"/>
      <c r="AJH21" s="411"/>
      <c r="AJI21" s="411"/>
      <c r="AJJ21" s="411"/>
      <c r="AJK21" s="411"/>
      <c r="AJL21" s="411"/>
      <c r="AJM21" s="411"/>
      <c r="AJN21" s="411"/>
      <c r="AJO21" s="411"/>
      <c r="AJP21" s="411"/>
      <c r="AJQ21" s="411"/>
      <c r="AJR21" s="411"/>
      <c r="AJS21" s="411"/>
      <c r="AJT21" s="411"/>
      <c r="AJU21" s="411"/>
      <c r="AJV21" s="411"/>
      <c r="AJW21" s="411"/>
      <c r="AJX21" s="411"/>
      <c r="AJY21" s="411"/>
      <c r="AJZ21" s="411"/>
      <c r="AKA21" s="411"/>
      <c r="AKB21" s="411"/>
      <c r="AKC21" s="411"/>
      <c r="AKD21" s="411"/>
      <c r="AKE21" s="411"/>
      <c r="AKF21" s="411"/>
      <c r="AKG21" s="411"/>
      <c r="AKH21" s="411"/>
      <c r="AKI21" s="411"/>
      <c r="AKJ21" s="411"/>
      <c r="AKK21" s="411"/>
      <c r="AKL21" s="411"/>
      <c r="AKM21" s="411"/>
      <c r="AKN21" s="411"/>
      <c r="AKO21" s="411"/>
      <c r="AKP21" s="411"/>
      <c r="AKQ21" s="411"/>
      <c r="AKR21" s="411"/>
      <c r="AKS21" s="411"/>
      <c r="AKT21" s="411"/>
    </row>
    <row r="22" ht="15.75" customHeight="1">
      <c r="A22" s="411" t="s">
        <v>74</v>
      </c>
      <c r="B22" s="411"/>
      <c r="C22" s="411"/>
      <c r="D22" s="411"/>
      <c r="E22" s="411"/>
      <c r="F22" s="411"/>
      <c r="G22" s="411"/>
      <c r="H22" s="411"/>
      <c r="I22" s="411"/>
      <c r="J22" s="411"/>
      <c r="K22" s="411"/>
      <c r="L22" s="411"/>
      <c r="M22" s="411"/>
      <c r="N22" s="411"/>
      <c r="O22" s="411"/>
      <c r="P22" s="411"/>
      <c r="Q22" s="411"/>
      <c r="R22" s="411"/>
      <c r="S22" s="411"/>
      <c r="T22" s="411"/>
      <c r="U22" s="411"/>
      <c r="V22" s="411">
        <v>-139.01</v>
      </c>
      <c r="W22" s="411">
        <v>-275.64</v>
      </c>
      <c r="X22" s="411">
        <v>231.94</v>
      </c>
      <c r="Y22" s="411">
        <v>134.13</v>
      </c>
      <c r="Z22" s="411">
        <v>135.55</v>
      </c>
      <c r="AA22" s="411">
        <v>135.55</v>
      </c>
      <c r="AB22" s="411">
        <v>-62.06</v>
      </c>
      <c r="AC22" s="411">
        <v>-260.95</v>
      </c>
      <c r="AD22" s="411"/>
      <c r="AE22" s="411"/>
      <c r="AF22" s="411"/>
      <c r="AG22" s="411"/>
      <c r="AH22" s="411">
        <v>22.84</v>
      </c>
      <c r="AI22" s="411">
        <v>-141.54</v>
      </c>
      <c r="AJ22" s="411">
        <v>82.11</v>
      </c>
      <c r="AK22" s="411">
        <v>162.54</v>
      </c>
      <c r="AL22" s="411">
        <v>-52.0</v>
      </c>
      <c r="AM22" s="411">
        <v>116.59</v>
      </c>
      <c r="AN22" s="411">
        <v>-94.52</v>
      </c>
      <c r="AO22" s="411">
        <v>-115.22</v>
      </c>
      <c r="AP22" s="411">
        <v>93.36</v>
      </c>
      <c r="AQ22" s="411">
        <v>-16.96</v>
      </c>
      <c r="AR22" s="411">
        <v>-65.08</v>
      </c>
      <c r="AS22" s="411">
        <v>103.46</v>
      </c>
      <c r="AT22" s="411">
        <v>79.21</v>
      </c>
      <c r="AU22" s="411">
        <v>243.36</v>
      </c>
      <c r="AV22" s="411">
        <v>44.11</v>
      </c>
      <c r="AW22" s="411">
        <v>-72.03</v>
      </c>
      <c r="AX22" s="411">
        <v>75.56</v>
      </c>
      <c r="AY22" s="411">
        <v>-23.84</v>
      </c>
      <c r="AZ22" s="411">
        <v>34.72</v>
      </c>
      <c r="BA22" s="411">
        <v>-22.36</v>
      </c>
      <c r="BB22" s="411">
        <v>291.2</v>
      </c>
      <c r="BC22" s="564">
        <v>73.23</v>
      </c>
      <c r="BD22" s="411">
        <v>-99.67</v>
      </c>
      <c r="BE22" s="411">
        <v>263.75</v>
      </c>
      <c r="BF22" s="411">
        <v>42.61</v>
      </c>
      <c r="BG22" s="411">
        <v>-197.47</v>
      </c>
      <c r="BH22" s="411">
        <v>63.55</v>
      </c>
      <c r="BI22" s="411"/>
      <c r="BJ22" s="411"/>
      <c r="BK22" s="411"/>
      <c r="BL22" s="411"/>
      <c r="BM22" s="411"/>
      <c r="BN22" s="411"/>
      <c r="BO22" s="411"/>
      <c r="BP22" s="411"/>
      <c r="BQ22" s="411"/>
      <c r="BR22" s="411"/>
      <c r="BS22" s="411"/>
      <c r="BT22" s="411"/>
      <c r="BU22" s="411"/>
      <c r="BV22" s="411"/>
      <c r="BW22" s="411"/>
      <c r="BX22" s="411"/>
      <c r="BY22" s="411"/>
      <c r="BZ22" s="411"/>
      <c r="CA22" s="411"/>
      <c r="CB22" s="411"/>
      <c r="CC22" s="411"/>
      <c r="CD22" s="411"/>
      <c r="CE22" s="411"/>
      <c r="CF22" s="411"/>
      <c r="CG22" s="411"/>
      <c r="CH22" s="411"/>
      <c r="CI22" s="411"/>
      <c r="CJ22" s="411"/>
      <c r="CK22" s="411"/>
      <c r="CL22" s="411"/>
      <c r="CM22" s="411"/>
      <c r="CN22" s="411"/>
      <c r="CO22" s="411"/>
      <c r="CP22" s="411"/>
      <c r="CQ22" s="411"/>
      <c r="CR22" s="411"/>
      <c r="CS22" s="411"/>
      <c r="CT22" s="411"/>
      <c r="CU22" s="411"/>
      <c r="CV22" s="411"/>
      <c r="CW22" s="411"/>
      <c r="CX22" s="411"/>
      <c r="CY22" s="411"/>
      <c r="CZ22" s="411"/>
      <c r="DA22" s="411"/>
      <c r="DB22" s="411"/>
      <c r="DC22" s="411"/>
      <c r="DD22" s="411"/>
      <c r="DE22" s="411"/>
      <c r="DF22" s="411"/>
      <c r="DG22" s="411"/>
      <c r="DH22" s="411"/>
      <c r="DI22" s="411"/>
      <c r="DJ22" s="411"/>
      <c r="DK22" s="411"/>
      <c r="DL22" s="411"/>
      <c r="DM22" s="411"/>
      <c r="DN22" s="411"/>
      <c r="DO22" s="411"/>
      <c r="DP22" s="411"/>
      <c r="DQ22" s="411"/>
      <c r="DR22" s="411"/>
      <c r="DS22" s="411"/>
      <c r="DT22" s="411"/>
      <c r="DU22" s="411"/>
      <c r="DV22" s="411"/>
      <c r="DW22" s="411"/>
      <c r="DX22" s="411"/>
      <c r="DY22" s="411"/>
      <c r="DZ22" s="411"/>
      <c r="EA22" s="411"/>
      <c r="EB22" s="411"/>
      <c r="EC22" s="411"/>
      <c r="ED22" s="411"/>
      <c r="EE22" s="411"/>
      <c r="EF22" s="411"/>
      <c r="EG22" s="411"/>
      <c r="EH22" s="411"/>
      <c r="EI22" s="411"/>
      <c r="EJ22" s="411"/>
      <c r="EK22" s="411"/>
      <c r="EL22" s="411"/>
      <c r="EM22" s="411"/>
      <c r="EN22" s="411"/>
      <c r="EO22" s="411"/>
      <c r="EP22" s="411"/>
      <c r="EQ22" s="411"/>
      <c r="ER22" s="411"/>
      <c r="ES22" s="411"/>
      <c r="ET22" s="411"/>
      <c r="EU22" s="411"/>
      <c r="EV22" s="411"/>
      <c r="EW22" s="411"/>
      <c r="EX22" s="411"/>
      <c r="EY22" s="411"/>
      <c r="EZ22" s="411"/>
      <c r="FA22" s="411"/>
      <c r="FB22" s="411"/>
      <c r="FC22" s="411"/>
      <c r="FD22" s="411"/>
      <c r="FE22" s="411"/>
      <c r="FF22" s="411"/>
      <c r="FG22" s="411"/>
      <c r="FH22" s="411"/>
      <c r="FI22" s="411"/>
      <c r="FJ22" s="411"/>
      <c r="FK22" s="411"/>
      <c r="FL22" s="411"/>
      <c r="FM22" s="411"/>
      <c r="FN22" s="411"/>
      <c r="FO22" s="411"/>
      <c r="FP22" s="411"/>
      <c r="FQ22" s="411"/>
      <c r="FR22" s="411"/>
      <c r="FS22" s="411"/>
      <c r="FT22" s="411"/>
      <c r="FU22" s="411"/>
      <c r="FV22" s="411"/>
      <c r="FW22" s="411"/>
      <c r="FX22" s="411"/>
      <c r="FY22" s="411"/>
      <c r="FZ22" s="411"/>
      <c r="GA22" s="411"/>
      <c r="GB22" s="411"/>
      <c r="GC22" s="411"/>
      <c r="GD22" s="411"/>
      <c r="GE22" s="411"/>
      <c r="GF22" s="411"/>
      <c r="GG22" s="411"/>
      <c r="GH22" s="411"/>
      <c r="GI22" s="411"/>
      <c r="GJ22" s="411"/>
      <c r="GK22" s="411"/>
      <c r="GL22" s="411"/>
      <c r="GM22" s="411"/>
      <c r="GN22" s="411"/>
      <c r="GO22" s="411"/>
      <c r="GP22" s="411"/>
      <c r="GQ22" s="411"/>
      <c r="GR22" s="411"/>
      <c r="GS22" s="411"/>
      <c r="GT22" s="411"/>
      <c r="GU22" s="411"/>
      <c r="GV22" s="411"/>
      <c r="GW22" s="411"/>
      <c r="GX22" s="411"/>
      <c r="GY22" s="411"/>
      <c r="GZ22" s="411"/>
      <c r="HA22" s="411"/>
      <c r="HB22" s="411"/>
      <c r="HC22" s="411"/>
      <c r="HD22" s="411"/>
      <c r="HE22" s="411"/>
      <c r="HF22" s="411"/>
      <c r="HG22" s="411"/>
      <c r="HH22" s="411"/>
      <c r="HI22" s="411"/>
      <c r="HJ22" s="411"/>
      <c r="HK22" s="411"/>
      <c r="HL22" s="411"/>
      <c r="HM22" s="411"/>
      <c r="HN22" s="411"/>
      <c r="HO22" s="411"/>
      <c r="HP22" s="411"/>
      <c r="HQ22" s="411"/>
      <c r="HR22" s="411"/>
      <c r="HS22" s="411"/>
      <c r="HT22" s="411"/>
      <c r="HU22" s="411"/>
      <c r="HV22" s="411"/>
      <c r="HW22" s="411"/>
      <c r="HX22" s="411"/>
      <c r="HY22" s="411"/>
      <c r="HZ22" s="411"/>
      <c r="IA22" s="411"/>
      <c r="IB22" s="411"/>
      <c r="IC22" s="411"/>
      <c r="ID22" s="411"/>
      <c r="IE22" s="411"/>
      <c r="IF22" s="411"/>
      <c r="IG22" s="411"/>
      <c r="IH22" s="411"/>
      <c r="II22" s="411"/>
      <c r="IJ22" s="411"/>
      <c r="IK22" s="411"/>
      <c r="IL22" s="411"/>
      <c r="IM22" s="411"/>
      <c r="IN22" s="411"/>
      <c r="IO22" s="411"/>
      <c r="IP22" s="411"/>
      <c r="IQ22" s="411"/>
      <c r="IR22" s="411"/>
      <c r="IS22" s="411"/>
      <c r="IT22" s="411"/>
      <c r="IU22" s="411"/>
      <c r="IV22" s="411"/>
      <c r="IW22" s="411"/>
      <c r="IX22" s="411"/>
      <c r="IY22" s="411"/>
      <c r="IZ22" s="411"/>
      <c r="JA22" s="411"/>
      <c r="JB22" s="411"/>
      <c r="JC22" s="411"/>
      <c r="JD22" s="411"/>
      <c r="JE22" s="411"/>
      <c r="JF22" s="411"/>
      <c r="JG22" s="411"/>
      <c r="JH22" s="411"/>
      <c r="JI22" s="411"/>
      <c r="JJ22" s="411"/>
      <c r="JK22" s="411"/>
      <c r="JL22" s="411"/>
      <c r="JM22" s="411"/>
      <c r="JN22" s="411"/>
      <c r="JO22" s="411"/>
      <c r="JP22" s="411"/>
      <c r="JQ22" s="411"/>
      <c r="JR22" s="411"/>
      <c r="JS22" s="411"/>
      <c r="JT22" s="411"/>
      <c r="JU22" s="411"/>
      <c r="JV22" s="411"/>
      <c r="JW22" s="411"/>
      <c r="JX22" s="411"/>
      <c r="JY22" s="411"/>
      <c r="JZ22" s="411"/>
      <c r="KA22" s="411"/>
      <c r="KB22" s="411"/>
      <c r="KC22" s="411"/>
      <c r="KD22" s="411"/>
      <c r="KE22" s="411"/>
      <c r="KF22" s="411"/>
      <c r="KG22" s="411"/>
      <c r="KH22" s="411"/>
      <c r="KI22" s="411"/>
      <c r="KJ22" s="411"/>
      <c r="KK22" s="411"/>
      <c r="KL22" s="411"/>
      <c r="KM22" s="411"/>
      <c r="KN22" s="411"/>
      <c r="KO22" s="411"/>
      <c r="KP22" s="411"/>
      <c r="KQ22" s="411"/>
      <c r="KR22" s="411"/>
      <c r="KS22" s="411"/>
      <c r="KT22" s="411"/>
      <c r="KU22" s="411"/>
      <c r="KV22" s="411"/>
      <c r="KW22" s="411"/>
      <c r="KX22" s="411"/>
      <c r="KY22" s="411"/>
      <c r="KZ22" s="411"/>
      <c r="LA22" s="411"/>
      <c r="LB22" s="411"/>
      <c r="LC22" s="411"/>
      <c r="LD22" s="411"/>
      <c r="LE22" s="411"/>
      <c r="LF22" s="411"/>
      <c r="LG22" s="411"/>
      <c r="LH22" s="411"/>
      <c r="LI22" s="411"/>
      <c r="LJ22" s="411"/>
      <c r="LK22" s="411"/>
      <c r="LL22" s="411"/>
      <c r="LM22" s="411"/>
      <c r="LN22" s="411"/>
      <c r="LO22" s="411"/>
      <c r="LP22" s="411"/>
      <c r="LQ22" s="411"/>
      <c r="LR22" s="411"/>
      <c r="LS22" s="411"/>
      <c r="LT22" s="411"/>
      <c r="LU22" s="411"/>
      <c r="LV22" s="411"/>
      <c r="LW22" s="411"/>
      <c r="LX22" s="411"/>
      <c r="LY22" s="411"/>
      <c r="LZ22" s="411"/>
      <c r="MA22" s="411"/>
      <c r="MB22" s="411"/>
      <c r="MC22" s="411"/>
      <c r="MD22" s="411"/>
      <c r="ME22" s="411"/>
      <c r="MF22" s="411"/>
      <c r="MG22" s="411"/>
      <c r="MH22" s="411"/>
      <c r="MI22" s="411"/>
      <c r="MJ22" s="411"/>
      <c r="MK22" s="411"/>
      <c r="ML22" s="411"/>
      <c r="MM22" s="411"/>
      <c r="MN22" s="411"/>
      <c r="MO22" s="411"/>
      <c r="MP22" s="411"/>
      <c r="MQ22" s="411"/>
      <c r="MR22" s="411"/>
      <c r="MS22" s="411"/>
      <c r="MT22" s="411"/>
      <c r="MU22" s="411"/>
      <c r="MV22" s="411"/>
      <c r="MW22" s="411"/>
      <c r="MX22" s="411"/>
      <c r="MY22" s="411"/>
      <c r="MZ22" s="411"/>
      <c r="NA22" s="411"/>
      <c r="NB22" s="411"/>
      <c r="NC22" s="411"/>
      <c r="ND22" s="411"/>
      <c r="NE22" s="411"/>
      <c r="NF22" s="411"/>
      <c r="NG22" s="411"/>
      <c r="NH22" s="411"/>
      <c r="NI22" s="411"/>
      <c r="NJ22" s="411"/>
      <c r="NK22" s="411"/>
      <c r="NL22" s="411"/>
      <c r="NM22" s="411"/>
      <c r="NN22" s="411"/>
      <c r="NO22" s="411"/>
      <c r="NP22" s="411"/>
      <c r="NQ22" s="411"/>
      <c r="NR22" s="411"/>
      <c r="NS22" s="411"/>
      <c r="NT22" s="411"/>
      <c r="NU22" s="411"/>
      <c r="NV22" s="411"/>
      <c r="NW22" s="411"/>
      <c r="NX22" s="411"/>
      <c r="NY22" s="411"/>
      <c r="NZ22" s="411"/>
      <c r="OA22" s="411"/>
      <c r="OB22" s="411"/>
      <c r="OC22" s="411"/>
      <c r="OD22" s="411"/>
      <c r="OE22" s="411"/>
      <c r="OF22" s="411"/>
      <c r="OG22" s="411"/>
      <c r="OH22" s="411"/>
      <c r="OI22" s="411"/>
      <c r="OJ22" s="411"/>
      <c r="OK22" s="411"/>
      <c r="OL22" s="411"/>
      <c r="OM22" s="411"/>
      <c r="ON22" s="411"/>
      <c r="OO22" s="411"/>
      <c r="OP22" s="411"/>
      <c r="OQ22" s="411"/>
      <c r="OR22" s="411"/>
      <c r="OS22" s="411"/>
      <c r="OT22" s="411"/>
      <c r="OU22" s="411"/>
      <c r="OV22" s="411"/>
      <c r="OW22" s="411"/>
      <c r="OX22" s="411"/>
      <c r="OY22" s="411"/>
      <c r="OZ22" s="411"/>
      <c r="PA22" s="411"/>
      <c r="PB22" s="411"/>
      <c r="PC22" s="411"/>
      <c r="PD22" s="411"/>
      <c r="PE22" s="411"/>
      <c r="PF22" s="411"/>
      <c r="PG22" s="411"/>
      <c r="PH22" s="411"/>
      <c r="PI22" s="411"/>
      <c r="PJ22" s="411"/>
      <c r="PK22" s="411"/>
      <c r="PL22" s="411"/>
      <c r="PM22" s="411"/>
      <c r="PN22" s="411"/>
      <c r="PO22" s="411"/>
      <c r="PP22" s="411"/>
      <c r="PQ22" s="411"/>
      <c r="PR22" s="411"/>
      <c r="PS22" s="411"/>
      <c r="PT22" s="411"/>
      <c r="PU22" s="411"/>
      <c r="PV22" s="411"/>
      <c r="PW22" s="411"/>
      <c r="PX22" s="411"/>
      <c r="PY22" s="411"/>
      <c r="PZ22" s="411"/>
      <c r="QA22" s="411"/>
      <c r="QB22" s="411"/>
      <c r="QC22" s="411"/>
      <c r="QD22" s="411"/>
      <c r="QE22" s="411"/>
      <c r="QF22" s="411"/>
      <c r="QG22" s="411"/>
      <c r="QH22" s="411"/>
      <c r="QI22" s="411"/>
      <c r="QJ22" s="411"/>
      <c r="QK22" s="411"/>
      <c r="QL22" s="411"/>
      <c r="QM22" s="411"/>
      <c r="QN22" s="411"/>
      <c r="QO22" s="411"/>
      <c r="QP22" s="411"/>
      <c r="QQ22" s="411"/>
      <c r="QR22" s="411"/>
      <c r="QS22" s="411"/>
      <c r="QT22" s="411"/>
      <c r="QU22" s="411"/>
      <c r="QV22" s="411"/>
      <c r="QW22" s="411"/>
      <c r="QX22" s="411"/>
      <c r="QY22" s="411"/>
      <c r="QZ22" s="411"/>
      <c r="RA22" s="411"/>
      <c r="RB22" s="411"/>
      <c r="RC22" s="411"/>
      <c r="RD22" s="411"/>
      <c r="RE22" s="411"/>
      <c r="RF22" s="411"/>
      <c r="RG22" s="411"/>
      <c r="RH22" s="411"/>
      <c r="RI22" s="411"/>
      <c r="RJ22" s="411"/>
      <c r="RK22" s="411"/>
      <c r="RL22" s="411"/>
      <c r="RM22" s="411"/>
      <c r="RN22" s="411"/>
      <c r="RO22" s="411"/>
      <c r="RP22" s="411"/>
      <c r="RQ22" s="411"/>
      <c r="RR22" s="411"/>
      <c r="RS22" s="411"/>
      <c r="RT22" s="411"/>
      <c r="RU22" s="411"/>
      <c r="RV22" s="411"/>
      <c r="RW22" s="411"/>
      <c r="RX22" s="411"/>
      <c r="RY22" s="411"/>
      <c r="RZ22" s="411"/>
      <c r="SA22" s="411"/>
      <c r="SB22" s="411"/>
      <c r="SC22" s="411"/>
      <c r="SD22" s="411"/>
      <c r="SE22" s="411"/>
      <c r="SF22" s="411"/>
      <c r="SG22" s="411"/>
      <c r="SH22" s="411"/>
      <c r="SI22" s="411"/>
      <c r="SJ22" s="411"/>
      <c r="SK22" s="411"/>
      <c r="SL22" s="411"/>
      <c r="SM22" s="411"/>
      <c r="SN22" s="411"/>
      <c r="SO22" s="411"/>
      <c r="SP22" s="411"/>
      <c r="SQ22" s="411"/>
      <c r="SR22" s="411"/>
      <c r="SS22" s="411"/>
      <c r="ST22" s="411"/>
      <c r="SU22" s="411"/>
      <c r="SV22" s="411"/>
      <c r="SW22" s="411"/>
      <c r="SX22" s="411"/>
      <c r="SY22" s="411"/>
      <c r="SZ22" s="411"/>
      <c r="TA22" s="411"/>
      <c r="TB22" s="411"/>
      <c r="TC22" s="411"/>
      <c r="TD22" s="411"/>
      <c r="TE22" s="411"/>
      <c r="TF22" s="411"/>
      <c r="TG22" s="411"/>
      <c r="TH22" s="411"/>
      <c r="TI22" s="411"/>
      <c r="TJ22" s="411"/>
      <c r="TK22" s="411"/>
      <c r="TL22" s="411"/>
      <c r="TM22" s="411"/>
      <c r="TN22" s="411"/>
      <c r="TO22" s="411"/>
      <c r="TP22" s="411"/>
      <c r="TQ22" s="411"/>
      <c r="TR22" s="411"/>
      <c r="TS22" s="411"/>
      <c r="TT22" s="411"/>
      <c r="TU22" s="411"/>
      <c r="TV22" s="411"/>
      <c r="TW22" s="411"/>
      <c r="TX22" s="411"/>
      <c r="TY22" s="411"/>
      <c r="TZ22" s="411"/>
      <c r="UA22" s="411"/>
      <c r="UB22" s="411"/>
      <c r="UC22" s="411"/>
      <c r="UD22" s="411"/>
      <c r="UE22" s="411"/>
      <c r="UF22" s="411"/>
      <c r="UG22" s="411"/>
      <c r="UH22" s="411"/>
      <c r="UI22" s="411"/>
      <c r="UJ22" s="411"/>
      <c r="UK22" s="411"/>
      <c r="UL22" s="411"/>
      <c r="UM22" s="411"/>
      <c r="UN22" s="411"/>
      <c r="UO22" s="411"/>
      <c r="UP22" s="411"/>
      <c r="UQ22" s="411"/>
      <c r="UR22" s="411"/>
      <c r="US22" s="411"/>
      <c r="UT22" s="411"/>
      <c r="UU22" s="411"/>
      <c r="UV22" s="411"/>
      <c r="UW22" s="411"/>
      <c r="UX22" s="411"/>
      <c r="UY22" s="411"/>
      <c r="UZ22" s="411"/>
      <c r="VA22" s="411"/>
      <c r="VB22" s="411"/>
      <c r="VC22" s="411"/>
      <c r="VD22" s="411"/>
      <c r="VE22" s="411"/>
      <c r="VF22" s="411"/>
      <c r="VG22" s="411"/>
      <c r="VH22" s="411"/>
      <c r="VI22" s="411"/>
      <c r="VJ22" s="411"/>
      <c r="VK22" s="411"/>
      <c r="VL22" s="411"/>
      <c r="VM22" s="411"/>
      <c r="VN22" s="411"/>
      <c r="VO22" s="411"/>
      <c r="VP22" s="411"/>
      <c r="VQ22" s="411"/>
      <c r="VR22" s="411"/>
      <c r="VS22" s="411"/>
      <c r="VT22" s="411"/>
      <c r="VU22" s="411"/>
      <c r="VV22" s="411"/>
      <c r="VW22" s="411"/>
      <c r="VX22" s="411"/>
      <c r="VY22" s="411"/>
      <c r="VZ22" s="411"/>
      <c r="WA22" s="411"/>
      <c r="WB22" s="411"/>
      <c r="WC22" s="411"/>
      <c r="WD22" s="411"/>
      <c r="WE22" s="411"/>
      <c r="WF22" s="411"/>
      <c r="WG22" s="411"/>
      <c r="WH22" s="411"/>
      <c r="WI22" s="411"/>
      <c r="WJ22" s="411"/>
      <c r="WK22" s="411"/>
      <c r="WL22" s="411"/>
      <c r="WM22" s="411"/>
      <c r="WN22" s="411"/>
      <c r="WO22" s="411"/>
      <c r="WP22" s="411"/>
      <c r="WQ22" s="411"/>
      <c r="WR22" s="411"/>
      <c r="WS22" s="411"/>
      <c r="WT22" s="411"/>
      <c r="WU22" s="411"/>
      <c r="WV22" s="411"/>
      <c r="WW22" s="411"/>
      <c r="WX22" s="411"/>
      <c r="WY22" s="411"/>
      <c r="WZ22" s="411"/>
      <c r="XA22" s="411"/>
      <c r="XB22" s="411"/>
      <c r="XC22" s="411"/>
      <c r="XD22" s="411"/>
      <c r="XE22" s="411"/>
      <c r="XF22" s="411"/>
      <c r="XG22" s="411"/>
      <c r="XH22" s="411"/>
      <c r="XI22" s="411"/>
      <c r="XJ22" s="411"/>
      <c r="XK22" s="411"/>
      <c r="XL22" s="411"/>
      <c r="XM22" s="411"/>
      <c r="XN22" s="411"/>
      <c r="XO22" s="411"/>
      <c r="XP22" s="411"/>
      <c r="XQ22" s="411"/>
      <c r="XR22" s="411"/>
      <c r="XS22" s="411"/>
      <c r="XT22" s="411"/>
      <c r="XU22" s="411"/>
      <c r="XV22" s="411"/>
      <c r="XW22" s="411"/>
      <c r="XX22" s="411"/>
      <c r="XY22" s="411"/>
      <c r="XZ22" s="411"/>
      <c r="YA22" s="411"/>
      <c r="YB22" s="411"/>
      <c r="YC22" s="411"/>
      <c r="YD22" s="411"/>
      <c r="YE22" s="411"/>
      <c r="YF22" s="411"/>
      <c r="YG22" s="411"/>
      <c r="YH22" s="411"/>
      <c r="YI22" s="411"/>
      <c r="YJ22" s="411"/>
      <c r="YK22" s="411"/>
      <c r="YL22" s="411"/>
      <c r="YM22" s="411"/>
      <c r="YN22" s="411"/>
      <c r="YO22" s="411"/>
      <c r="YP22" s="411"/>
      <c r="YQ22" s="411"/>
      <c r="YR22" s="411"/>
      <c r="YS22" s="411"/>
      <c r="YT22" s="411"/>
      <c r="YU22" s="411"/>
      <c r="YV22" s="411"/>
      <c r="YW22" s="411"/>
      <c r="YX22" s="411"/>
      <c r="YY22" s="411"/>
      <c r="YZ22" s="411"/>
      <c r="ZA22" s="411"/>
      <c r="ZB22" s="411"/>
      <c r="ZC22" s="411"/>
      <c r="ZD22" s="411"/>
      <c r="ZE22" s="411"/>
      <c r="ZF22" s="411"/>
      <c r="ZG22" s="411"/>
      <c r="ZH22" s="411"/>
      <c r="ZI22" s="411"/>
      <c r="ZJ22" s="411"/>
      <c r="ZK22" s="411"/>
      <c r="ZL22" s="411"/>
      <c r="ZM22" s="411"/>
      <c r="ZN22" s="411"/>
      <c r="ZO22" s="411"/>
      <c r="ZP22" s="411"/>
      <c r="ZQ22" s="411"/>
      <c r="ZR22" s="411"/>
      <c r="ZS22" s="411"/>
      <c r="ZT22" s="411"/>
      <c r="ZU22" s="411"/>
      <c r="ZV22" s="411"/>
      <c r="ZW22" s="411"/>
      <c r="ZX22" s="411"/>
      <c r="ZY22" s="411"/>
      <c r="ZZ22" s="411"/>
      <c r="AAA22" s="411"/>
      <c r="AAB22" s="411"/>
      <c r="AAC22" s="411"/>
      <c r="AAD22" s="411"/>
      <c r="AAE22" s="411"/>
      <c r="AAF22" s="411"/>
      <c r="AAG22" s="411"/>
      <c r="AAH22" s="411"/>
      <c r="AAI22" s="411"/>
      <c r="AAJ22" s="411"/>
      <c r="AAK22" s="411"/>
      <c r="AAL22" s="411"/>
      <c r="AAM22" s="411"/>
      <c r="AAN22" s="411"/>
      <c r="AAO22" s="411"/>
      <c r="AAP22" s="411"/>
      <c r="AAQ22" s="411"/>
      <c r="AAR22" s="411"/>
      <c r="AAS22" s="411"/>
      <c r="AAT22" s="411"/>
      <c r="AAU22" s="411"/>
      <c r="AAV22" s="411"/>
      <c r="AAW22" s="411"/>
      <c r="AAX22" s="411"/>
      <c r="AAY22" s="411"/>
      <c r="AAZ22" s="411"/>
      <c r="ABA22" s="411"/>
      <c r="ABB22" s="411"/>
      <c r="ABC22" s="411"/>
      <c r="ABD22" s="411"/>
      <c r="ABE22" s="411"/>
      <c r="ABF22" s="411"/>
      <c r="ABG22" s="411"/>
      <c r="ABH22" s="411"/>
      <c r="ABI22" s="411"/>
      <c r="ABJ22" s="411"/>
      <c r="ABK22" s="411"/>
      <c r="ABL22" s="411"/>
      <c r="ABM22" s="411"/>
      <c r="ABN22" s="411"/>
      <c r="ABO22" s="411"/>
      <c r="ABP22" s="411"/>
      <c r="ABQ22" s="411"/>
      <c r="ABR22" s="411"/>
      <c r="ABS22" s="411"/>
      <c r="ABT22" s="411"/>
      <c r="ABU22" s="411"/>
      <c r="ABV22" s="411"/>
      <c r="ABW22" s="411"/>
      <c r="ABX22" s="411"/>
      <c r="ABY22" s="411"/>
      <c r="ABZ22" s="411"/>
      <c r="ACA22" s="411"/>
      <c r="ACB22" s="411"/>
      <c r="ACC22" s="411"/>
      <c r="ACD22" s="411"/>
      <c r="ACE22" s="411"/>
      <c r="ACF22" s="411"/>
      <c r="ACG22" s="411"/>
      <c r="ACH22" s="411"/>
      <c r="ACI22" s="411"/>
      <c r="ACJ22" s="411"/>
      <c r="ACK22" s="411"/>
      <c r="ACL22" s="411"/>
      <c r="ACM22" s="411"/>
      <c r="ACN22" s="411"/>
      <c r="ACO22" s="411"/>
      <c r="ACP22" s="411"/>
      <c r="ACQ22" s="411"/>
      <c r="ACR22" s="411"/>
      <c r="ACS22" s="411"/>
      <c r="ACT22" s="411"/>
      <c r="ACU22" s="411"/>
      <c r="ACV22" s="411"/>
      <c r="ACW22" s="411"/>
      <c r="ACX22" s="411"/>
      <c r="ACY22" s="411"/>
      <c r="ACZ22" s="411"/>
      <c r="ADA22" s="411"/>
      <c r="ADB22" s="411"/>
      <c r="ADC22" s="411"/>
      <c r="ADD22" s="411"/>
      <c r="ADE22" s="411"/>
      <c r="ADF22" s="411"/>
      <c r="ADG22" s="411"/>
      <c r="ADH22" s="411"/>
      <c r="ADI22" s="411"/>
      <c r="ADJ22" s="411"/>
      <c r="ADK22" s="411"/>
      <c r="ADL22" s="411"/>
      <c r="ADM22" s="411"/>
      <c r="ADN22" s="411"/>
      <c r="ADO22" s="411"/>
      <c r="ADP22" s="411"/>
      <c r="ADQ22" s="411"/>
      <c r="ADR22" s="411"/>
      <c r="ADS22" s="411"/>
      <c r="ADT22" s="411"/>
      <c r="ADU22" s="411"/>
      <c r="ADV22" s="411"/>
      <c r="ADW22" s="411"/>
      <c r="ADX22" s="411"/>
      <c r="ADY22" s="411"/>
      <c r="ADZ22" s="411"/>
      <c r="AEA22" s="411"/>
      <c r="AEB22" s="411"/>
      <c r="AEC22" s="411"/>
      <c r="AED22" s="411"/>
      <c r="AEE22" s="411"/>
      <c r="AEF22" s="411"/>
      <c r="AEG22" s="411"/>
      <c r="AEH22" s="411"/>
      <c r="AEI22" s="411"/>
      <c r="AEJ22" s="411"/>
      <c r="AEK22" s="411"/>
      <c r="AEL22" s="411"/>
      <c r="AEM22" s="411"/>
      <c r="AEN22" s="411"/>
      <c r="AEO22" s="411"/>
      <c r="AEP22" s="411"/>
      <c r="AEQ22" s="411"/>
      <c r="AER22" s="411"/>
      <c r="AES22" s="411"/>
      <c r="AET22" s="411"/>
      <c r="AEU22" s="411"/>
      <c r="AEV22" s="411"/>
      <c r="AEW22" s="411"/>
      <c r="AEX22" s="411"/>
      <c r="AEY22" s="411"/>
      <c r="AEZ22" s="411"/>
      <c r="AFA22" s="411"/>
      <c r="AFB22" s="411"/>
      <c r="AFC22" s="411"/>
      <c r="AFD22" s="411"/>
      <c r="AFE22" s="411"/>
      <c r="AFF22" s="411"/>
      <c r="AFG22" s="411"/>
      <c r="AFH22" s="411"/>
      <c r="AFI22" s="411"/>
      <c r="AFJ22" s="411"/>
      <c r="AFK22" s="411"/>
      <c r="AFL22" s="411"/>
      <c r="AFM22" s="411"/>
      <c r="AFN22" s="411"/>
      <c r="AFO22" s="411"/>
      <c r="AFP22" s="411"/>
      <c r="AFQ22" s="411"/>
      <c r="AFR22" s="411"/>
      <c r="AFS22" s="411"/>
      <c r="AFT22" s="411"/>
      <c r="AFU22" s="411"/>
      <c r="AFV22" s="411"/>
      <c r="AFW22" s="411"/>
      <c r="AFX22" s="411"/>
      <c r="AFY22" s="411"/>
      <c r="AFZ22" s="411"/>
      <c r="AGA22" s="411"/>
      <c r="AGB22" s="411"/>
      <c r="AGC22" s="411"/>
      <c r="AGD22" s="411"/>
      <c r="AGE22" s="411"/>
      <c r="AGF22" s="411"/>
      <c r="AGG22" s="411"/>
      <c r="AGH22" s="411"/>
      <c r="AGI22" s="411"/>
      <c r="AGJ22" s="411"/>
      <c r="AGK22" s="411"/>
      <c r="AGL22" s="411"/>
      <c r="AGM22" s="411"/>
      <c r="AGN22" s="411"/>
      <c r="AGO22" s="411"/>
      <c r="AGP22" s="411"/>
      <c r="AGQ22" s="411"/>
      <c r="AGR22" s="411"/>
      <c r="AGS22" s="411"/>
      <c r="AGT22" s="411"/>
      <c r="AGU22" s="411"/>
      <c r="AGV22" s="411"/>
      <c r="AGW22" s="411"/>
      <c r="AGX22" s="411"/>
      <c r="AGY22" s="411"/>
      <c r="AGZ22" s="411"/>
      <c r="AHA22" s="411"/>
      <c r="AHB22" s="411"/>
      <c r="AHC22" s="411"/>
      <c r="AHD22" s="411"/>
      <c r="AHE22" s="411"/>
      <c r="AHF22" s="411"/>
      <c r="AHG22" s="411"/>
      <c r="AHH22" s="411"/>
      <c r="AHI22" s="411"/>
      <c r="AHJ22" s="411"/>
      <c r="AHK22" s="411"/>
      <c r="AHL22" s="411"/>
      <c r="AHM22" s="411"/>
      <c r="AHN22" s="411"/>
      <c r="AHO22" s="411"/>
      <c r="AHP22" s="411"/>
      <c r="AHQ22" s="411"/>
      <c r="AHR22" s="411"/>
      <c r="AHS22" s="411"/>
      <c r="AHT22" s="411"/>
      <c r="AHU22" s="411"/>
      <c r="AHV22" s="411"/>
      <c r="AHW22" s="411"/>
      <c r="AHX22" s="411"/>
      <c r="AHY22" s="411"/>
      <c r="AHZ22" s="411"/>
      <c r="AIA22" s="411"/>
      <c r="AIB22" s="411"/>
      <c r="AIC22" s="411"/>
      <c r="AID22" s="411"/>
      <c r="AIE22" s="411"/>
      <c r="AIF22" s="411"/>
      <c r="AIG22" s="411"/>
      <c r="AIH22" s="411"/>
      <c r="AII22" s="411"/>
      <c r="AIJ22" s="411"/>
      <c r="AIK22" s="411"/>
      <c r="AIL22" s="411"/>
      <c r="AIM22" s="411"/>
      <c r="AIN22" s="411"/>
      <c r="AIO22" s="411"/>
      <c r="AIP22" s="411"/>
      <c r="AIQ22" s="411"/>
      <c r="AIR22" s="411"/>
      <c r="AIS22" s="411"/>
      <c r="AIT22" s="411"/>
      <c r="AIU22" s="411"/>
      <c r="AIV22" s="411"/>
      <c r="AIW22" s="411"/>
      <c r="AIX22" s="411"/>
      <c r="AIY22" s="411"/>
      <c r="AIZ22" s="411"/>
      <c r="AJA22" s="411"/>
      <c r="AJB22" s="411"/>
      <c r="AJC22" s="411"/>
      <c r="AJD22" s="411"/>
      <c r="AJE22" s="411"/>
      <c r="AJF22" s="411"/>
      <c r="AJG22" s="411"/>
      <c r="AJH22" s="411"/>
      <c r="AJI22" s="411"/>
      <c r="AJJ22" s="411"/>
      <c r="AJK22" s="411"/>
      <c r="AJL22" s="411"/>
      <c r="AJM22" s="411"/>
      <c r="AJN22" s="411"/>
      <c r="AJO22" s="411"/>
      <c r="AJP22" s="411"/>
      <c r="AJQ22" s="411"/>
      <c r="AJR22" s="411"/>
      <c r="AJS22" s="411"/>
      <c r="AJT22" s="411"/>
      <c r="AJU22" s="411"/>
      <c r="AJV22" s="411"/>
      <c r="AJW22" s="411"/>
      <c r="AJX22" s="411"/>
      <c r="AJY22" s="411"/>
      <c r="AJZ22" s="411"/>
      <c r="AKA22" s="411"/>
      <c r="AKB22" s="411"/>
      <c r="AKC22" s="411"/>
      <c r="AKD22" s="411"/>
      <c r="AKE22" s="411"/>
      <c r="AKF22" s="411"/>
      <c r="AKG22" s="411"/>
      <c r="AKH22" s="411"/>
      <c r="AKI22" s="411"/>
      <c r="AKJ22" s="411"/>
      <c r="AKK22" s="411"/>
      <c r="AKL22" s="411"/>
      <c r="AKM22" s="411"/>
      <c r="AKN22" s="411"/>
      <c r="AKO22" s="411"/>
      <c r="AKP22" s="411"/>
      <c r="AKQ22" s="411"/>
      <c r="AKR22" s="411"/>
      <c r="AKS22" s="411"/>
      <c r="AKT22" s="411"/>
    </row>
    <row r="23" ht="15.75" customHeight="1">
      <c r="A23" s="411" t="s">
        <v>72</v>
      </c>
      <c r="B23" s="411"/>
      <c r="C23" s="411"/>
      <c r="D23" s="411"/>
      <c r="E23" s="411"/>
      <c r="F23" s="411"/>
      <c r="G23" s="411"/>
      <c r="H23" s="411"/>
      <c r="I23" s="411"/>
      <c r="J23" s="411"/>
      <c r="K23" s="411"/>
      <c r="L23" s="411"/>
      <c r="M23" s="411"/>
      <c r="N23" s="411"/>
      <c r="O23" s="411"/>
      <c r="P23" s="411"/>
      <c r="Q23" s="411"/>
      <c r="R23" s="411">
        <v>-34.9</v>
      </c>
      <c r="S23" s="411">
        <v>-0.43</v>
      </c>
      <c r="T23" s="411">
        <v>-116.32</v>
      </c>
      <c r="U23" s="411">
        <v>-28.74</v>
      </c>
      <c r="V23" s="411">
        <v>-77.93</v>
      </c>
      <c r="W23" s="411">
        <v>-127.6</v>
      </c>
      <c r="X23" s="411">
        <v>150.69</v>
      </c>
      <c r="Y23" s="411">
        <v>64.22</v>
      </c>
      <c r="Z23" s="411"/>
      <c r="AA23" s="411"/>
      <c r="AB23" s="411"/>
      <c r="AC23" s="411"/>
      <c r="AD23" s="411"/>
      <c r="AE23" s="411"/>
      <c r="AF23" s="411"/>
      <c r="AG23" s="411"/>
      <c r="AH23" s="411"/>
      <c r="AI23" s="411"/>
      <c r="AJ23" s="411"/>
      <c r="AK23" s="411"/>
      <c r="AL23" s="411"/>
      <c r="AM23" s="411"/>
      <c r="AN23" s="411"/>
      <c r="AO23" s="411"/>
      <c r="AP23" s="411"/>
      <c r="AQ23" s="411"/>
      <c r="AR23" s="411"/>
      <c r="AS23" s="411"/>
      <c r="AT23" s="411"/>
      <c r="AU23" s="411"/>
      <c r="AV23" s="411"/>
      <c r="AW23" s="411"/>
      <c r="AX23" s="411"/>
      <c r="AY23" s="411"/>
      <c r="AZ23" s="411"/>
      <c r="BA23" s="411"/>
      <c r="BB23" s="411"/>
      <c r="BC23" s="411"/>
      <c r="BD23" s="411"/>
      <c r="BE23" s="411"/>
      <c r="BF23" s="411"/>
      <c r="BG23" s="411"/>
      <c r="BH23" s="411"/>
      <c r="BI23" s="411"/>
      <c r="BJ23" s="411"/>
      <c r="BK23" s="411"/>
      <c r="BL23" s="411"/>
      <c r="BM23" s="411"/>
      <c r="BN23" s="411"/>
      <c r="BO23" s="411"/>
      <c r="BP23" s="411"/>
      <c r="BQ23" s="411"/>
      <c r="BR23" s="411"/>
      <c r="BS23" s="411"/>
      <c r="BT23" s="411"/>
      <c r="BU23" s="411"/>
      <c r="BV23" s="411"/>
      <c r="BW23" s="411"/>
      <c r="BX23" s="411"/>
      <c r="BY23" s="411"/>
      <c r="BZ23" s="411"/>
      <c r="CA23" s="411"/>
      <c r="CB23" s="411"/>
      <c r="CC23" s="411"/>
      <c r="CD23" s="411"/>
      <c r="CE23" s="411"/>
      <c r="CF23" s="411"/>
      <c r="CG23" s="411"/>
      <c r="CH23" s="411"/>
      <c r="CI23" s="411"/>
      <c r="CJ23" s="411"/>
      <c r="CK23" s="411"/>
      <c r="CL23" s="411"/>
      <c r="CM23" s="411"/>
      <c r="CN23" s="411"/>
      <c r="CO23" s="411"/>
      <c r="CP23" s="411"/>
      <c r="CQ23" s="411"/>
      <c r="CR23" s="411"/>
      <c r="CS23" s="411"/>
      <c r="CT23" s="411"/>
      <c r="CU23" s="411"/>
      <c r="CV23" s="411"/>
      <c r="CW23" s="411"/>
      <c r="CX23" s="411"/>
      <c r="CY23" s="411"/>
      <c r="CZ23" s="411"/>
      <c r="DA23" s="411"/>
      <c r="DB23" s="411"/>
      <c r="DC23" s="411"/>
      <c r="DD23" s="411"/>
      <c r="DE23" s="411"/>
      <c r="DF23" s="411"/>
      <c r="DG23" s="411"/>
      <c r="DH23" s="411"/>
      <c r="DI23" s="411"/>
      <c r="DJ23" s="411"/>
      <c r="DK23" s="411"/>
      <c r="DL23" s="411"/>
      <c r="DM23" s="411"/>
      <c r="DN23" s="411"/>
      <c r="DO23" s="411"/>
      <c r="DP23" s="411"/>
      <c r="DQ23" s="411"/>
      <c r="DR23" s="411"/>
      <c r="DS23" s="411"/>
      <c r="DT23" s="411"/>
      <c r="DU23" s="411"/>
      <c r="DV23" s="411"/>
      <c r="DW23" s="411"/>
      <c r="DX23" s="411"/>
      <c r="DY23" s="411"/>
      <c r="DZ23" s="411"/>
      <c r="EA23" s="411"/>
      <c r="EB23" s="411"/>
      <c r="EC23" s="411"/>
      <c r="ED23" s="411"/>
      <c r="EE23" s="411"/>
      <c r="EF23" s="411"/>
      <c r="EG23" s="411"/>
      <c r="EH23" s="411"/>
      <c r="EI23" s="411"/>
      <c r="EJ23" s="411"/>
      <c r="EK23" s="411"/>
      <c r="EL23" s="411"/>
      <c r="EM23" s="411"/>
      <c r="EN23" s="411"/>
      <c r="EO23" s="411"/>
      <c r="EP23" s="411"/>
      <c r="EQ23" s="411"/>
      <c r="ER23" s="411"/>
      <c r="ES23" s="411"/>
      <c r="ET23" s="411"/>
      <c r="EU23" s="411"/>
      <c r="EV23" s="411"/>
      <c r="EW23" s="411"/>
      <c r="EX23" s="411"/>
      <c r="EY23" s="411"/>
      <c r="EZ23" s="411"/>
      <c r="FA23" s="411"/>
      <c r="FB23" s="411"/>
      <c r="FC23" s="411"/>
      <c r="FD23" s="411"/>
      <c r="FE23" s="411"/>
      <c r="FF23" s="411"/>
      <c r="FG23" s="411"/>
      <c r="FH23" s="411"/>
      <c r="FI23" s="411"/>
      <c r="FJ23" s="411"/>
      <c r="FK23" s="411"/>
      <c r="FL23" s="411"/>
      <c r="FM23" s="411"/>
      <c r="FN23" s="411"/>
      <c r="FO23" s="411"/>
      <c r="FP23" s="411"/>
      <c r="FQ23" s="411"/>
      <c r="FR23" s="411"/>
      <c r="FS23" s="411"/>
      <c r="FT23" s="411"/>
      <c r="FU23" s="411"/>
      <c r="FV23" s="411"/>
      <c r="FW23" s="411"/>
      <c r="FX23" s="411"/>
      <c r="FY23" s="411"/>
      <c r="FZ23" s="411"/>
      <c r="GA23" s="411"/>
      <c r="GB23" s="411"/>
      <c r="GC23" s="411"/>
      <c r="GD23" s="411"/>
      <c r="GE23" s="411"/>
      <c r="GF23" s="411"/>
      <c r="GG23" s="411"/>
      <c r="GH23" s="411"/>
      <c r="GI23" s="411"/>
      <c r="GJ23" s="411"/>
      <c r="GK23" s="411"/>
      <c r="GL23" s="411"/>
      <c r="GM23" s="411"/>
      <c r="GN23" s="411"/>
      <c r="GO23" s="411"/>
      <c r="GP23" s="411"/>
      <c r="GQ23" s="411"/>
      <c r="GR23" s="411"/>
      <c r="GS23" s="411"/>
      <c r="GT23" s="411"/>
      <c r="GU23" s="411"/>
      <c r="GV23" s="411"/>
      <c r="GW23" s="411"/>
      <c r="GX23" s="411"/>
      <c r="GY23" s="411"/>
      <c r="GZ23" s="411"/>
      <c r="HA23" s="411"/>
      <c r="HB23" s="411"/>
      <c r="HC23" s="411"/>
      <c r="HD23" s="411"/>
      <c r="HE23" s="411"/>
      <c r="HF23" s="411"/>
      <c r="HG23" s="411"/>
      <c r="HH23" s="411"/>
      <c r="HI23" s="411"/>
      <c r="HJ23" s="411"/>
      <c r="HK23" s="411"/>
      <c r="HL23" s="411"/>
      <c r="HM23" s="411"/>
      <c r="HN23" s="411"/>
      <c r="HO23" s="411"/>
      <c r="HP23" s="411"/>
      <c r="HQ23" s="411"/>
      <c r="HR23" s="411"/>
      <c r="HS23" s="411"/>
      <c r="HT23" s="411"/>
      <c r="HU23" s="411"/>
      <c r="HV23" s="411"/>
      <c r="HW23" s="411"/>
      <c r="HX23" s="411"/>
      <c r="HY23" s="411"/>
      <c r="HZ23" s="411"/>
      <c r="IA23" s="411"/>
      <c r="IB23" s="411"/>
      <c r="IC23" s="411"/>
      <c r="ID23" s="411"/>
      <c r="IE23" s="411"/>
      <c r="IF23" s="411"/>
      <c r="IG23" s="411"/>
      <c r="IH23" s="411"/>
      <c r="II23" s="411"/>
      <c r="IJ23" s="411"/>
      <c r="IK23" s="411"/>
      <c r="IL23" s="411"/>
      <c r="IM23" s="411"/>
      <c r="IN23" s="411"/>
      <c r="IO23" s="411"/>
      <c r="IP23" s="411"/>
      <c r="IQ23" s="411"/>
      <c r="IR23" s="411"/>
      <c r="IS23" s="411"/>
      <c r="IT23" s="411"/>
      <c r="IU23" s="411"/>
      <c r="IV23" s="411"/>
      <c r="IW23" s="411"/>
      <c r="IX23" s="411"/>
      <c r="IY23" s="411"/>
      <c r="IZ23" s="411"/>
      <c r="JA23" s="411"/>
      <c r="JB23" s="411"/>
      <c r="JC23" s="411"/>
      <c r="JD23" s="411"/>
      <c r="JE23" s="411"/>
      <c r="JF23" s="411"/>
      <c r="JG23" s="411"/>
      <c r="JH23" s="411"/>
      <c r="JI23" s="411"/>
      <c r="JJ23" s="411"/>
      <c r="JK23" s="411"/>
      <c r="JL23" s="411"/>
      <c r="JM23" s="411"/>
      <c r="JN23" s="411"/>
      <c r="JO23" s="411"/>
      <c r="JP23" s="411"/>
      <c r="JQ23" s="411"/>
      <c r="JR23" s="411"/>
      <c r="JS23" s="411"/>
      <c r="JT23" s="411"/>
      <c r="JU23" s="411"/>
      <c r="JV23" s="411"/>
      <c r="JW23" s="411"/>
      <c r="JX23" s="411"/>
      <c r="JY23" s="411"/>
      <c r="JZ23" s="411"/>
      <c r="KA23" s="411"/>
      <c r="KB23" s="411"/>
      <c r="KC23" s="411"/>
      <c r="KD23" s="411"/>
      <c r="KE23" s="411"/>
      <c r="KF23" s="411"/>
      <c r="KG23" s="411"/>
      <c r="KH23" s="411"/>
      <c r="KI23" s="411"/>
      <c r="KJ23" s="411"/>
      <c r="KK23" s="411"/>
      <c r="KL23" s="411"/>
      <c r="KM23" s="411"/>
      <c r="KN23" s="411"/>
      <c r="KO23" s="411"/>
      <c r="KP23" s="411"/>
      <c r="KQ23" s="411"/>
      <c r="KR23" s="411"/>
      <c r="KS23" s="411"/>
      <c r="KT23" s="411"/>
      <c r="KU23" s="411"/>
      <c r="KV23" s="411"/>
      <c r="KW23" s="411"/>
      <c r="KX23" s="411"/>
      <c r="KY23" s="411"/>
      <c r="KZ23" s="411"/>
      <c r="LA23" s="411"/>
      <c r="LB23" s="411"/>
      <c r="LC23" s="411"/>
      <c r="LD23" s="411"/>
      <c r="LE23" s="411"/>
      <c r="LF23" s="411"/>
      <c r="LG23" s="411"/>
      <c r="LH23" s="411"/>
      <c r="LI23" s="411"/>
      <c r="LJ23" s="411"/>
      <c r="LK23" s="411"/>
      <c r="LL23" s="411"/>
      <c r="LM23" s="411"/>
      <c r="LN23" s="411"/>
      <c r="LO23" s="411"/>
      <c r="LP23" s="411"/>
      <c r="LQ23" s="411"/>
      <c r="LR23" s="411"/>
      <c r="LS23" s="411"/>
      <c r="LT23" s="411"/>
      <c r="LU23" s="411"/>
      <c r="LV23" s="411"/>
      <c r="LW23" s="411"/>
      <c r="LX23" s="411"/>
      <c r="LY23" s="411"/>
      <c r="LZ23" s="411"/>
      <c r="MA23" s="411"/>
      <c r="MB23" s="411"/>
      <c r="MC23" s="411"/>
      <c r="MD23" s="411"/>
      <c r="ME23" s="411"/>
      <c r="MF23" s="411"/>
      <c r="MG23" s="411"/>
      <c r="MH23" s="411"/>
      <c r="MI23" s="411"/>
      <c r="MJ23" s="411"/>
      <c r="MK23" s="411"/>
      <c r="ML23" s="411"/>
      <c r="MM23" s="411"/>
      <c r="MN23" s="411"/>
      <c r="MO23" s="411"/>
      <c r="MP23" s="411"/>
      <c r="MQ23" s="411"/>
      <c r="MR23" s="411"/>
      <c r="MS23" s="411"/>
      <c r="MT23" s="411"/>
      <c r="MU23" s="411"/>
      <c r="MV23" s="411"/>
      <c r="MW23" s="411"/>
      <c r="MX23" s="411"/>
      <c r="MY23" s="411"/>
      <c r="MZ23" s="411"/>
      <c r="NA23" s="411"/>
      <c r="NB23" s="411"/>
      <c r="NC23" s="411"/>
      <c r="ND23" s="411"/>
      <c r="NE23" s="411"/>
      <c r="NF23" s="411"/>
      <c r="NG23" s="411"/>
      <c r="NH23" s="411"/>
      <c r="NI23" s="411"/>
      <c r="NJ23" s="411"/>
      <c r="NK23" s="411"/>
      <c r="NL23" s="411"/>
      <c r="NM23" s="411"/>
      <c r="NN23" s="411"/>
      <c r="NO23" s="411"/>
      <c r="NP23" s="411"/>
      <c r="NQ23" s="411"/>
      <c r="NR23" s="411"/>
      <c r="NS23" s="411"/>
      <c r="NT23" s="411"/>
      <c r="NU23" s="411"/>
      <c r="NV23" s="411"/>
      <c r="NW23" s="411"/>
      <c r="NX23" s="411"/>
      <c r="NY23" s="411"/>
      <c r="NZ23" s="411"/>
      <c r="OA23" s="411"/>
      <c r="OB23" s="411"/>
      <c r="OC23" s="411"/>
      <c r="OD23" s="411"/>
      <c r="OE23" s="411"/>
      <c r="OF23" s="411"/>
      <c r="OG23" s="411"/>
      <c r="OH23" s="411"/>
      <c r="OI23" s="411"/>
      <c r="OJ23" s="411"/>
      <c r="OK23" s="411"/>
      <c r="OL23" s="411"/>
      <c r="OM23" s="411"/>
      <c r="ON23" s="411"/>
      <c r="OO23" s="411"/>
      <c r="OP23" s="411"/>
      <c r="OQ23" s="411"/>
      <c r="OR23" s="411"/>
      <c r="OS23" s="411"/>
      <c r="OT23" s="411"/>
      <c r="OU23" s="411"/>
      <c r="OV23" s="411"/>
      <c r="OW23" s="411"/>
      <c r="OX23" s="411"/>
      <c r="OY23" s="411"/>
      <c r="OZ23" s="411"/>
      <c r="PA23" s="411"/>
      <c r="PB23" s="411"/>
      <c r="PC23" s="411"/>
      <c r="PD23" s="411"/>
      <c r="PE23" s="411"/>
      <c r="PF23" s="411"/>
      <c r="PG23" s="411"/>
      <c r="PH23" s="411"/>
      <c r="PI23" s="411"/>
      <c r="PJ23" s="411"/>
      <c r="PK23" s="411"/>
      <c r="PL23" s="411"/>
      <c r="PM23" s="411"/>
      <c r="PN23" s="411"/>
      <c r="PO23" s="411"/>
      <c r="PP23" s="411"/>
      <c r="PQ23" s="411"/>
      <c r="PR23" s="411"/>
      <c r="PS23" s="411"/>
      <c r="PT23" s="411"/>
      <c r="PU23" s="411"/>
      <c r="PV23" s="411"/>
      <c r="PW23" s="411"/>
      <c r="PX23" s="411"/>
      <c r="PY23" s="411"/>
      <c r="PZ23" s="411"/>
      <c r="QA23" s="411"/>
      <c r="QB23" s="411"/>
      <c r="QC23" s="411"/>
      <c r="QD23" s="411"/>
      <c r="QE23" s="411"/>
      <c r="QF23" s="411"/>
      <c r="QG23" s="411"/>
      <c r="QH23" s="411"/>
      <c r="QI23" s="411"/>
      <c r="QJ23" s="411"/>
      <c r="QK23" s="411"/>
      <c r="QL23" s="411"/>
      <c r="QM23" s="411"/>
      <c r="QN23" s="411"/>
      <c r="QO23" s="411"/>
      <c r="QP23" s="411"/>
      <c r="QQ23" s="411"/>
      <c r="QR23" s="411"/>
      <c r="QS23" s="411"/>
      <c r="QT23" s="411"/>
      <c r="QU23" s="411"/>
      <c r="QV23" s="411"/>
      <c r="QW23" s="411"/>
      <c r="QX23" s="411"/>
      <c r="QY23" s="411"/>
      <c r="QZ23" s="411"/>
      <c r="RA23" s="411"/>
      <c r="RB23" s="411"/>
      <c r="RC23" s="411"/>
      <c r="RD23" s="411"/>
      <c r="RE23" s="411"/>
      <c r="RF23" s="411"/>
      <c r="RG23" s="411"/>
      <c r="RH23" s="411"/>
      <c r="RI23" s="411"/>
      <c r="RJ23" s="411"/>
      <c r="RK23" s="411"/>
      <c r="RL23" s="411"/>
      <c r="RM23" s="411"/>
      <c r="RN23" s="411"/>
      <c r="RO23" s="411"/>
      <c r="RP23" s="411"/>
      <c r="RQ23" s="411"/>
      <c r="RR23" s="411"/>
      <c r="RS23" s="411"/>
      <c r="RT23" s="411"/>
      <c r="RU23" s="411"/>
      <c r="RV23" s="411"/>
      <c r="RW23" s="411"/>
      <c r="RX23" s="411"/>
      <c r="RY23" s="411"/>
      <c r="RZ23" s="411"/>
      <c r="SA23" s="411"/>
      <c r="SB23" s="411"/>
      <c r="SC23" s="411"/>
      <c r="SD23" s="411"/>
      <c r="SE23" s="411"/>
      <c r="SF23" s="411"/>
      <c r="SG23" s="411"/>
      <c r="SH23" s="411"/>
      <c r="SI23" s="411"/>
      <c r="SJ23" s="411"/>
      <c r="SK23" s="411"/>
      <c r="SL23" s="411"/>
      <c r="SM23" s="411"/>
      <c r="SN23" s="411"/>
      <c r="SO23" s="411"/>
      <c r="SP23" s="411"/>
      <c r="SQ23" s="411"/>
      <c r="SR23" s="411"/>
      <c r="SS23" s="411"/>
      <c r="ST23" s="411"/>
      <c r="SU23" s="411"/>
      <c r="SV23" s="411"/>
      <c r="SW23" s="411"/>
      <c r="SX23" s="411"/>
      <c r="SY23" s="411"/>
      <c r="SZ23" s="411"/>
      <c r="TA23" s="411"/>
      <c r="TB23" s="411"/>
      <c r="TC23" s="411"/>
      <c r="TD23" s="411"/>
      <c r="TE23" s="411"/>
      <c r="TF23" s="411"/>
      <c r="TG23" s="411"/>
      <c r="TH23" s="411"/>
      <c r="TI23" s="411"/>
      <c r="TJ23" s="411"/>
      <c r="TK23" s="411"/>
      <c r="TL23" s="411"/>
      <c r="TM23" s="411"/>
      <c r="TN23" s="411"/>
      <c r="TO23" s="411"/>
      <c r="TP23" s="411"/>
      <c r="TQ23" s="411"/>
      <c r="TR23" s="411"/>
      <c r="TS23" s="411"/>
      <c r="TT23" s="411"/>
      <c r="TU23" s="411"/>
      <c r="TV23" s="411"/>
      <c r="TW23" s="411"/>
      <c r="TX23" s="411"/>
      <c r="TY23" s="411"/>
      <c r="TZ23" s="411"/>
      <c r="UA23" s="411"/>
      <c r="UB23" s="411"/>
      <c r="UC23" s="411"/>
      <c r="UD23" s="411"/>
      <c r="UE23" s="411"/>
      <c r="UF23" s="411"/>
      <c r="UG23" s="411"/>
      <c r="UH23" s="411"/>
      <c r="UI23" s="411"/>
      <c r="UJ23" s="411"/>
      <c r="UK23" s="411"/>
      <c r="UL23" s="411"/>
      <c r="UM23" s="411"/>
      <c r="UN23" s="411"/>
      <c r="UO23" s="411"/>
      <c r="UP23" s="411"/>
      <c r="UQ23" s="411"/>
      <c r="UR23" s="411"/>
      <c r="US23" s="411"/>
      <c r="UT23" s="411"/>
      <c r="UU23" s="411"/>
      <c r="UV23" s="411"/>
      <c r="UW23" s="411"/>
      <c r="UX23" s="411"/>
      <c r="UY23" s="411"/>
      <c r="UZ23" s="411"/>
      <c r="VA23" s="411"/>
      <c r="VB23" s="411"/>
      <c r="VC23" s="411"/>
      <c r="VD23" s="411"/>
      <c r="VE23" s="411"/>
      <c r="VF23" s="411"/>
      <c r="VG23" s="411"/>
      <c r="VH23" s="411"/>
      <c r="VI23" s="411"/>
      <c r="VJ23" s="411"/>
      <c r="VK23" s="411"/>
      <c r="VL23" s="411"/>
      <c r="VM23" s="411"/>
      <c r="VN23" s="411"/>
      <c r="VO23" s="411"/>
      <c r="VP23" s="411"/>
      <c r="VQ23" s="411"/>
      <c r="VR23" s="411"/>
      <c r="VS23" s="411"/>
      <c r="VT23" s="411"/>
      <c r="VU23" s="411"/>
      <c r="VV23" s="411"/>
      <c r="VW23" s="411"/>
      <c r="VX23" s="411"/>
      <c r="VY23" s="411"/>
      <c r="VZ23" s="411"/>
      <c r="WA23" s="411"/>
      <c r="WB23" s="411"/>
      <c r="WC23" s="411"/>
      <c r="WD23" s="411"/>
      <c r="WE23" s="411"/>
      <c r="WF23" s="411"/>
      <c r="WG23" s="411"/>
      <c r="WH23" s="411"/>
      <c r="WI23" s="411"/>
      <c r="WJ23" s="411"/>
      <c r="WK23" s="411"/>
      <c r="WL23" s="411"/>
      <c r="WM23" s="411"/>
      <c r="WN23" s="411"/>
      <c r="WO23" s="411"/>
      <c r="WP23" s="411"/>
      <c r="WQ23" s="411"/>
      <c r="WR23" s="411"/>
      <c r="WS23" s="411"/>
      <c r="WT23" s="411"/>
      <c r="WU23" s="411"/>
      <c r="WV23" s="411"/>
      <c r="WW23" s="411"/>
      <c r="WX23" s="411"/>
      <c r="WY23" s="411"/>
      <c r="WZ23" s="411"/>
      <c r="XA23" s="411"/>
      <c r="XB23" s="411"/>
      <c r="XC23" s="411"/>
      <c r="XD23" s="411"/>
      <c r="XE23" s="411"/>
      <c r="XF23" s="411"/>
      <c r="XG23" s="411"/>
      <c r="XH23" s="411"/>
      <c r="XI23" s="411"/>
      <c r="XJ23" s="411"/>
      <c r="XK23" s="411"/>
      <c r="XL23" s="411"/>
      <c r="XM23" s="411"/>
      <c r="XN23" s="411"/>
      <c r="XO23" s="411"/>
      <c r="XP23" s="411"/>
      <c r="XQ23" s="411"/>
      <c r="XR23" s="411"/>
      <c r="XS23" s="411"/>
      <c r="XT23" s="411"/>
      <c r="XU23" s="411"/>
      <c r="XV23" s="411"/>
      <c r="XW23" s="411"/>
      <c r="XX23" s="411"/>
      <c r="XY23" s="411"/>
      <c r="XZ23" s="411"/>
      <c r="YA23" s="411"/>
      <c r="YB23" s="411"/>
      <c r="YC23" s="411"/>
      <c r="YD23" s="411"/>
      <c r="YE23" s="411"/>
      <c r="YF23" s="411"/>
      <c r="YG23" s="411"/>
      <c r="YH23" s="411"/>
      <c r="YI23" s="411"/>
      <c r="YJ23" s="411"/>
      <c r="YK23" s="411"/>
      <c r="YL23" s="411"/>
      <c r="YM23" s="411"/>
      <c r="YN23" s="411"/>
      <c r="YO23" s="411"/>
      <c r="YP23" s="411"/>
      <c r="YQ23" s="411"/>
      <c r="YR23" s="411"/>
      <c r="YS23" s="411"/>
      <c r="YT23" s="411"/>
      <c r="YU23" s="411"/>
      <c r="YV23" s="411"/>
      <c r="YW23" s="411"/>
      <c r="YX23" s="411"/>
      <c r="YY23" s="411"/>
      <c r="YZ23" s="411"/>
      <c r="ZA23" s="411"/>
      <c r="ZB23" s="411"/>
      <c r="ZC23" s="411"/>
      <c r="ZD23" s="411"/>
      <c r="ZE23" s="411"/>
      <c r="ZF23" s="411"/>
      <c r="ZG23" s="411"/>
      <c r="ZH23" s="411"/>
      <c r="ZI23" s="411"/>
      <c r="ZJ23" s="411"/>
      <c r="ZK23" s="411"/>
      <c r="ZL23" s="411"/>
      <c r="ZM23" s="411"/>
      <c r="ZN23" s="411"/>
      <c r="ZO23" s="411"/>
      <c r="ZP23" s="411"/>
      <c r="ZQ23" s="411"/>
      <c r="ZR23" s="411"/>
      <c r="ZS23" s="411"/>
      <c r="ZT23" s="411"/>
      <c r="ZU23" s="411"/>
      <c r="ZV23" s="411"/>
      <c r="ZW23" s="411"/>
      <c r="ZX23" s="411"/>
      <c r="ZY23" s="411"/>
      <c r="ZZ23" s="411"/>
      <c r="AAA23" s="411"/>
      <c r="AAB23" s="411"/>
      <c r="AAC23" s="411"/>
      <c r="AAD23" s="411"/>
      <c r="AAE23" s="411"/>
      <c r="AAF23" s="411"/>
      <c r="AAG23" s="411"/>
      <c r="AAH23" s="411"/>
      <c r="AAI23" s="411"/>
      <c r="AAJ23" s="411"/>
      <c r="AAK23" s="411"/>
      <c r="AAL23" s="411"/>
      <c r="AAM23" s="411"/>
      <c r="AAN23" s="411"/>
      <c r="AAO23" s="411"/>
      <c r="AAP23" s="411"/>
      <c r="AAQ23" s="411"/>
      <c r="AAR23" s="411"/>
      <c r="AAS23" s="411"/>
      <c r="AAT23" s="411"/>
      <c r="AAU23" s="411"/>
      <c r="AAV23" s="411"/>
      <c r="AAW23" s="411"/>
      <c r="AAX23" s="411"/>
      <c r="AAY23" s="411"/>
      <c r="AAZ23" s="411"/>
      <c r="ABA23" s="411"/>
      <c r="ABB23" s="411"/>
      <c r="ABC23" s="411"/>
      <c r="ABD23" s="411"/>
      <c r="ABE23" s="411"/>
      <c r="ABF23" s="411"/>
      <c r="ABG23" s="411"/>
      <c r="ABH23" s="411"/>
      <c r="ABI23" s="411"/>
      <c r="ABJ23" s="411"/>
      <c r="ABK23" s="411"/>
      <c r="ABL23" s="411"/>
      <c r="ABM23" s="411"/>
      <c r="ABN23" s="411"/>
      <c r="ABO23" s="411"/>
      <c r="ABP23" s="411"/>
      <c r="ABQ23" s="411"/>
      <c r="ABR23" s="411"/>
      <c r="ABS23" s="411"/>
      <c r="ABT23" s="411"/>
      <c r="ABU23" s="411"/>
      <c r="ABV23" s="411"/>
      <c r="ABW23" s="411"/>
      <c r="ABX23" s="411"/>
      <c r="ABY23" s="411"/>
      <c r="ABZ23" s="411"/>
      <c r="ACA23" s="411"/>
      <c r="ACB23" s="411"/>
      <c r="ACC23" s="411"/>
      <c r="ACD23" s="411"/>
      <c r="ACE23" s="411"/>
      <c r="ACF23" s="411"/>
      <c r="ACG23" s="411"/>
      <c r="ACH23" s="411"/>
      <c r="ACI23" s="411"/>
      <c r="ACJ23" s="411"/>
      <c r="ACK23" s="411"/>
      <c r="ACL23" s="411"/>
      <c r="ACM23" s="411"/>
      <c r="ACN23" s="411"/>
      <c r="ACO23" s="411"/>
      <c r="ACP23" s="411"/>
      <c r="ACQ23" s="411"/>
      <c r="ACR23" s="411"/>
      <c r="ACS23" s="411"/>
      <c r="ACT23" s="411"/>
      <c r="ACU23" s="411"/>
      <c r="ACV23" s="411"/>
      <c r="ACW23" s="411"/>
      <c r="ACX23" s="411"/>
      <c r="ACY23" s="411"/>
      <c r="ACZ23" s="411"/>
      <c r="ADA23" s="411"/>
      <c r="ADB23" s="411"/>
      <c r="ADC23" s="411"/>
      <c r="ADD23" s="411"/>
      <c r="ADE23" s="411"/>
      <c r="ADF23" s="411"/>
      <c r="ADG23" s="411"/>
      <c r="ADH23" s="411"/>
      <c r="ADI23" s="411"/>
      <c r="ADJ23" s="411"/>
      <c r="ADK23" s="411"/>
      <c r="ADL23" s="411"/>
      <c r="ADM23" s="411"/>
      <c r="ADN23" s="411"/>
      <c r="ADO23" s="411"/>
      <c r="ADP23" s="411"/>
      <c r="ADQ23" s="411"/>
      <c r="ADR23" s="411"/>
      <c r="ADS23" s="411"/>
      <c r="ADT23" s="411"/>
      <c r="ADU23" s="411"/>
      <c r="ADV23" s="411"/>
      <c r="ADW23" s="411"/>
      <c r="ADX23" s="411"/>
      <c r="ADY23" s="411"/>
      <c r="ADZ23" s="411"/>
      <c r="AEA23" s="411"/>
      <c r="AEB23" s="411"/>
      <c r="AEC23" s="411"/>
      <c r="AED23" s="411"/>
      <c r="AEE23" s="411"/>
      <c r="AEF23" s="411"/>
      <c r="AEG23" s="411"/>
      <c r="AEH23" s="411"/>
      <c r="AEI23" s="411"/>
      <c r="AEJ23" s="411"/>
      <c r="AEK23" s="411"/>
      <c r="AEL23" s="411"/>
      <c r="AEM23" s="411"/>
      <c r="AEN23" s="411"/>
      <c r="AEO23" s="411"/>
      <c r="AEP23" s="411"/>
      <c r="AEQ23" s="411"/>
      <c r="AER23" s="411"/>
      <c r="AES23" s="411"/>
      <c r="AET23" s="411"/>
      <c r="AEU23" s="411"/>
      <c r="AEV23" s="411"/>
      <c r="AEW23" s="411"/>
      <c r="AEX23" s="411"/>
      <c r="AEY23" s="411"/>
      <c r="AEZ23" s="411"/>
      <c r="AFA23" s="411"/>
      <c r="AFB23" s="411"/>
      <c r="AFC23" s="411"/>
      <c r="AFD23" s="411"/>
      <c r="AFE23" s="411"/>
      <c r="AFF23" s="411"/>
      <c r="AFG23" s="411"/>
      <c r="AFH23" s="411"/>
      <c r="AFI23" s="411"/>
      <c r="AFJ23" s="411"/>
      <c r="AFK23" s="411"/>
      <c r="AFL23" s="411"/>
      <c r="AFM23" s="411"/>
      <c r="AFN23" s="411"/>
      <c r="AFO23" s="411"/>
      <c r="AFP23" s="411"/>
      <c r="AFQ23" s="411"/>
      <c r="AFR23" s="411"/>
      <c r="AFS23" s="411"/>
      <c r="AFT23" s="411"/>
      <c r="AFU23" s="411"/>
      <c r="AFV23" s="411"/>
      <c r="AFW23" s="411"/>
      <c r="AFX23" s="411"/>
      <c r="AFY23" s="411"/>
      <c r="AFZ23" s="411"/>
      <c r="AGA23" s="411"/>
      <c r="AGB23" s="411"/>
      <c r="AGC23" s="411"/>
      <c r="AGD23" s="411"/>
      <c r="AGE23" s="411"/>
      <c r="AGF23" s="411"/>
      <c r="AGG23" s="411"/>
      <c r="AGH23" s="411"/>
      <c r="AGI23" s="411"/>
      <c r="AGJ23" s="411"/>
      <c r="AGK23" s="411"/>
      <c r="AGL23" s="411"/>
      <c r="AGM23" s="411"/>
      <c r="AGN23" s="411"/>
      <c r="AGO23" s="411"/>
      <c r="AGP23" s="411"/>
      <c r="AGQ23" s="411"/>
      <c r="AGR23" s="411"/>
      <c r="AGS23" s="411"/>
      <c r="AGT23" s="411"/>
      <c r="AGU23" s="411"/>
      <c r="AGV23" s="411"/>
      <c r="AGW23" s="411"/>
      <c r="AGX23" s="411"/>
      <c r="AGY23" s="411"/>
      <c r="AGZ23" s="411"/>
      <c r="AHA23" s="411"/>
      <c r="AHB23" s="411"/>
      <c r="AHC23" s="411"/>
      <c r="AHD23" s="411"/>
      <c r="AHE23" s="411"/>
      <c r="AHF23" s="411"/>
      <c r="AHG23" s="411"/>
      <c r="AHH23" s="411"/>
      <c r="AHI23" s="411"/>
      <c r="AHJ23" s="411"/>
      <c r="AHK23" s="411"/>
      <c r="AHL23" s="411"/>
      <c r="AHM23" s="411"/>
      <c r="AHN23" s="411"/>
      <c r="AHO23" s="411"/>
      <c r="AHP23" s="411"/>
      <c r="AHQ23" s="411"/>
      <c r="AHR23" s="411"/>
      <c r="AHS23" s="411"/>
      <c r="AHT23" s="411"/>
      <c r="AHU23" s="411"/>
      <c r="AHV23" s="411"/>
      <c r="AHW23" s="411"/>
      <c r="AHX23" s="411"/>
      <c r="AHY23" s="411"/>
      <c r="AHZ23" s="411"/>
      <c r="AIA23" s="411"/>
      <c r="AIB23" s="411"/>
      <c r="AIC23" s="411"/>
      <c r="AID23" s="411"/>
      <c r="AIE23" s="411"/>
      <c r="AIF23" s="411"/>
      <c r="AIG23" s="411"/>
      <c r="AIH23" s="411"/>
      <c r="AII23" s="411"/>
      <c r="AIJ23" s="411"/>
      <c r="AIK23" s="411"/>
      <c r="AIL23" s="411"/>
      <c r="AIM23" s="411"/>
      <c r="AIN23" s="411"/>
      <c r="AIO23" s="411"/>
      <c r="AIP23" s="411"/>
      <c r="AIQ23" s="411"/>
      <c r="AIR23" s="411"/>
      <c r="AIS23" s="411"/>
      <c r="AIT23" s="411"/>
      <c r="AIU23" s="411"/>
      <c r="AIV23" s="411"/>
      <c r="AIW23" s="411"/>
      <c r="AIX23" s="411"/>
      <c r="AIY23" s="411"/>
      <c r="AIZ23" s="411"/>
      <c r="AJA23" s="411"/>
      <c r="AJB23" s="411"/>
      <c r="AJC23" s="411"/>
      <c r="AJD23" s="411"/>
      <c r="AJE23" s="411"/>
      <c r="AJF23" s="411"/>
      <c r="AJG23" s="411"/>
      <c r="AJH23" s="411"/>
      <c r="AJI23" s="411"/>
      <c r="AJJ23" s="411"/>
      <c r="AJK23" s="411"/>
      <c r="AJL23" s="411"/>
      <c r="AJM23" s="411"/>
      <c r="AJN23" s="411"/>
      <c r="AJO23" s="411"/>
      <c r="AJP23" s="411"/>
      <c r="AJQ23" s="411"/>
      <c r="AJR23" s="411"/>
      <c r="AJS23" s="411"/>
      <c r="AJT23" s="411"/>
      <c r="AJU23" s="411"/>
      <c r="AJV23" s="411"/>
      <c r="AJW23" s="411"/>
      <c r="AJX23" s="411"/>
      <c r="AJY23" s="411"/>
      <c r="AJZ23" s="411"/>
      <c r="AKA23" s="411"/>
      <c r="AKB23" s="411"/>
      <c r="AKC23" s="411"/>
      <c r="AKD23" s="411"/>
      <c r="AKE23" s="411"/>
      <c r="AKF23" s="411"/>
      <c r="AKG23" s="411"/>
      <c r="AKH23" s="411"/>
      <c r="AKI23" s="411"/>
      <c r="AKJ23" s="411"/>
      <c r="AKK23" s="411"/>
      <c r="AKL23" s="411"/>
      <c r="AKM23" s="411"/>
      <c r="AKN23" s="411"/>
      <c r="AKO23" s="411"/>
      <c r="AKP23" s="411"/>
      <c r="AKQ23" s="411"/>
      <c r="AKR23" s="411"/>
      <c r="AKS23" s="411"/>
      <c r="AKT23" s="411"/>
    </row>
    <row r="24" ht="15.75" customHeight="1">
      <c r="A24" s="411" t="s">
        <v>120</v>
      </c>
      <c r="B24" s="411"/>
      <c r="C24" s="411"/>
      <c r="D24" s="411"/>
      <c r="E24" s="411"/>
      <c r="F24" s="411"/>
      <c r="G24" s="411"/>
      <c r="H24" s="411"/>
      <c r="I24" s="411"/>
      <c r="J24" s="411"/>
      <c r="K24" s="411"/>
      <c r="L24" s="411"/>
      <c r="M24" s="411"/>
      <c r="N24" s="411"/>
      <c r="O24" s="411"/>
      <c r="P24" s="411"/>
      <c r="Q24" s="411"/>
      <c r="R24" s="411"/>
      <c r="S24" s="411"/>
      <c r="T24" s="411"/>
      <c r="U24" s="411"/>
      <c r="V24" s="411"/>
      <c r="W24" s="411"/>
      <c r="X24" s="411"/>
      <c r="Y24" s="411"/>
      <c r="Z24" s="411"/>
      <c r="AA24" s="411"/>
      <c r="AB24" s="411"/>
      <c r="AC24" s="411"/>
      <c r="AD24" s="411"/>
      <c r="AE24" s="411"/>
      <c r="AF24" s="411"/>
      <c r="AG24" s="411"/>
      <c r="AH24" s="411"/>
      <c r="AI24" s="411"/>
      <c r="AJ24" s="411"/>
      <c r="AK24" s="411"/>
      <c r="AL24" s="411"/>
      <c r="AM24" s="411"/>
      <c r="AN24" s="411"/>
      <c r="AO24" s="411"/>
      <c r="AP24" s="411"/>
      <c r="AQ24" s="411"/>
      <c r="AR24" s="411"/>
      <c r="AS24" s="411"/>
      <c r="AT24" s="411"/>
      <c r="AU24" s="411"/>
      <c r="AV24" s="411"/>
      <c r="AW24" s="411"/>
      <c r="AX24" s="411"/>
      <c r="AY24" s="411"/>
      <c r="AZ24" s="411"/>
      <c r="BA24" s="411"/>
      <c r="BB24" s="411"/>
      <c r="BC24" s="564"/>
      <c r="BD24" s="411"/>
      <c r="BE24" s="411"/>
      <c r="BF24" s="411"/>
      <c r="BG24" s="411"/>
      <c r="BH24" s="411"/>
      <c r="BI24" s="411">
        <v>42.59</v>
      </c>
      <c r="BJ24" s="411">
        <v>-23.38</v>
      </c>
      <c r="BK24" s="411">
        <v>-18.4</v>
      </c>
      <c r="BL24" s="411">
        <v>42.36</v>
      </c>
      <c r="BM24" s="411">
        <v>-43.06</v>
      </c>
      <c r="BN24" s="411">
        <v>-42.94</v>
      </c>
      <c r="BO24" s="411">
        <v>186.26</v>
      </c>
      <c r="BP24" s="411">
        <v>79.62</v>
      </c>
      <c r="BQ24" s="411">
        <v>49.95</v>
      </c>
      <c r="BR24" s="411">
        <v>-59.88</v>
      </c>
      <c r="BS24" s="411"/>
      <c r="BT24" s="411"/>
      <c r="BU24" s="411"/>
      <c r="BV24" s="411"/>
      <c r="BW24" s="411"/>
      <c r="BX24" s="411"/>
      <c r="BY24" s="411"/>
      <c r="BZ24" s="411"/>
      <c r="CA24" s="411"/>
      <c r="CB24" s="411"/>
      <c r="CC24" s="411"/>
      <c r="CD24" s="411"/>
      <c r="CE24" s="411"/>
      <c r="CF24" s="411"/>
      <c r="CG24" s="411"/>
      <c r="CH24" s="411"/>
      <c r="CI24" s="411"/>
      <c r="CJ24" s="411"/>
      <c r="CK24" s="411"/>
      <c r="CL24" s="411"/>
      <c r="CM24" s="411"/>
      <c r="CN24" s="411"/>
      <c r="CO24" s="411"/>
      <c r="CP24" s="411"/>
      <c r="CQ24" s="411"/>
      <c r="CR24" s="411"/>
      <c r="CS24" s="411"/>
      <c r="CT24" s="411"/>
      <c r="CU24" s="411"/>
      <c r="CV24" s="411"/>
      <c r="CW24" s="411"/>
      <c r="CX24" s="411"/>
      <c r="CY24" s="411"/>
      <c r="CZ24" s="411"/>
      <c r="DA24" s="411"/>
      <c r="DB24" s="411"/>
      <c r="DC24" s="411"/>
      <c r="DD24" s="411"/>
      <c r="DE24" s="411"/>
      <c r="DF24" s="411"/>
      <c r="DG24" s="411"/>
      <c r="DH24" s="411"/>
      <c r="DI24" s="411"/>
      <c r="DJ24" s="411"/>
      <c r="DK24" s="411"/>
      <c r="DL24" s="411"/>
      <c r="DM24" s="411"/>
      <c r="DN24" s="411"/>
      <c r="DO24" s="411"/>
      <c r="DP24" s="411"/>
      <c r="DQ24" s="411"/>
      <c r="DR24" s="411"/>
      <c r="DS24" s="411"/>
      <c r="DT24" s="411"/>
      <c r="DU24" s="411"/>
      <c r="DV24" s="411"/>
      <c r="DW24" s="411"/>
      <c r="DX24" s="411"/>
      <c r="DY24" s="411"/>
      <c r="DZ24" s="411"/>
      <c r="EA24" s="411"/>
      <c r="EB24" s="411"/>
      <c r="EC24" s="411"/>
      <c r="ED24" s="411"/>
      <c r="EE24" s="411"/>
      <c r="EF24" s="411"/>
      <c r="EG24" s="411"/>
      <c r="EH24" s="411"/>
      <c r="EI24" s="411"/>
      <c r="EJ24" s="411"/>
      <c r="EK24" s="411"/>
      <c r="EL24" s="411"/>
      <c r="EM24" s="411"/>
      <c r="EN24" s="411"/>
      <c r="EO24" s="411"/>
      <c r="EP24" s="411"/>
      <c r="EQ24" s="411"/>
      <c r="ER24" s="411"/>
      <c r="ES24" s="411"/>
      <c r="ET24" s="411"/>
      <c r="EU24" s="411"/>
      <c r="EV24" s="411"/>
      <c r="EW24" s="411"/>
      <c r="EX24" s="411"/>
      <c r="EY24" s="411"/>
      <c r="EZ24" s="411"/>
      <c r="FA24" s="411"/>
      <c r="FB24" s="411"/>
      <c r="FC24" s="411"/>
      <c r="FD24" s="411"/>
      <c r="FE24" s="411"/>
      <c r="FF24" s="411"/>
      <c r="FG24" s="411"/>
      <c r="FH24" s="411"/>
      <c r="FI24" s="411"/>
      <c r="FJ24" s="411"/>
      <c r="FK24" s="411"/>
      <c r="FL24" s="411"/>
      <c r="FM24" s="411"/>
      <c r="FN24" s="411"/>
      <c r="FO24" s="411"/>
      <c r="FP24" s="411"/>
      <c r="FQ24" s="411"/>
      <c r="FR24" s="411"/>
      <c r="FS24" s="411"/>
      <c r="FT24" s="411"/>
      <c r="FU24" s="411"/>
      <c r="FV24" s="411"/>
      <c r="FW24" s="411"/>
      <c r="FX24" s="411"/>
      <c r="FY24" s="411"/>
      <c r="FZ24" s="411"/>
      <c r="GA24" s="411"/>
      <c r="GB24" s="411"/>
      <c r="GC24" s="411"/>
      <c r="GD24" s="411"/>
      <c r="GE24" s="411"/>
      <c r="GF24" s="411"/>
      <c r="GG24" s="411"/>
      <c r="GH24" s="411"/>
      <c r="GI24" s="411"/>
      <c r="GJ24" s="411"/>
      <c r="GK24" s="411"/>
      <c r="GL24" s="411"/>
      <c r="GM24" s="411"/>
      <c r="GN24" s="411"/>
      <c r="GO24" s="411"/>
      <c r="GP24" s="411"/>
      <c r="GQ24" s="411"/>
      <c r="GR24" s="411"/>
      <c r="GS24" s="411"/>
      <c r="GT24" s="411"/>
      <c r="GU24" s="411"/>
      <c r="GV24" s="411"/>
      <c r="GW24" s="411"/>
      <c r="GX24" s="411"/>
      <c r="GY24" s="411"/>
      <c r="GZ24" s="411"/>
      <c r="HA24" s="411"/>
      <c r="HB24" s="411"/>
      <c r="HC24" s="411"/>
      <c r="HD24" s="411"/>
      <c r="HE24" s="411"/>
      <c r="HF24" s="411"/>
      <c r="HG24" s="411"/>
      <c r="HH24" s="411"/>
      <c r="HI24" s="411"/>
      <c r="HJ24" s="411"/>
      <c r="HK24" s="411"/>
      <c r="HL24" s="411"/>
      <c r="HM24" s="411"/>
      <c r="HN24" s="411"/>
      <c r="HO24" s="411"/>
      <c r="HP24" s="411"/>
      <c r="HQ24" s="411"/>
      <c r="HR24" s="411"/>
      <c r="HS24" s="411"/>
      <c r="HT24" s="411"/>
      <c r="HU24" s="411"/>
      <c r="HV24" s="411"/>
      <c r="HW24" s="411"/>
      <c r="HX24" s="411"/>
      <c r="HY24" s="411"/>
      <c r="HZ24" s="411"/>
      <c r="IA24" s="411"/>
      <c r="IB24" s="411"/>
      <c r="IC24" s="411"/>
      <c r="ID24" s="411"/>
      <c r="IE24" s="411"/>
      <c r="IF24" s="411"/>
      <c r="IG24" s="411"/>
      <c r="IH24" s="411"/>
      <c r="II24" s="411"/>
      <c r="IJ24" s="411"/>
      <c r="IK24" s="411"/>
      <c r="IL24" s="411"/>
      <c r="IM24" s="411"/>
      <c r="IN24" s="411"/>
      <c r="IO24" s="411"/>
      <c r="IP24" s="411"/>
      <c r="IQ24" s="411"/>
      <c r="IR24" s="411"/>
      <c r="IS24" s="411"/>
      <c r="IT24" s="411"/>
      <c r="IU24" s="411"/>
      <c r="IV24" s="411"/>
      <c r="IW24" s="411"/>
      <c r="IX24" s="411"/>
      <c r="IY24" s="411"/>
      <c r="IZ24" s="411"/>
      <c r="JA24" s="411"/>
      <c r="JB24" s="411"/>
      <c r="JC24" s="411"/>
      <c r="JD24" s="411"/>
      <c r="JE24" s="411"/>
      <c r="JF24" s="411"/>
      <c r="JG24" s="411"/>
      <c r="JH24" s="411"/>
      <c r="JI24" s="411"/>
      <c r="JJ24" s="411"/>
      <c r="JK24" s="411"/>
      <c r="JL24" s="411"/>
      <c r="JM24" s="411"/>
      <c r="JN24" s="411"/>
      <c r="JO24" s="411"/>
      <c r="JP24" s="411"/>
      <c r="JQ24" s="411"/>
      <c r="JR24" s="411"/>
      <c r="JS24" s="411"/>
      <c r="JT24" s="411"/>
      <c r="JU24" s="411"/>
      <c r="JV24" s="411"/>
      <c r="JW24" s="411"/>
      <c r="JX24" s="411"/>
      <c r="JY24" s="411"/>
      <c r="JZ24" s="411"/>
      <c r="KA24" s="411"/>
      <c r="KB24" s="411"/>
      <c r="KC24" s="411"/>
      <c r="KD24" s="411"/>
      <c r="KE24" s="411"/>
      <c r="KF24" s="411"/>
      <c r="KG24" s="411"/>
      <c r="KH24" s="411"/>
      <c r="KI24" s="411"/>
      <c r="KJ24" s="411"/>
      <c r="KK24" s="411"/>
      <c r="KL24" s="411"/>
      <c r="KM24" s="411"/>
      <c r="KN24" s="411"/>
      <c r="KO24" s="411"/>
      <c r="KP24" s="411"/>
      <c r="KQ24" s="411"/>
      <c r="KR24" s="411"/>
      <c r="KS24" s="411"/>
      <c r="KT24" s="411"/>
      <c r="KU24" s="411"/>
      <c r="KV24" s="411"/>
      <c r="KW24" s="411"/>
      <c r="KX24" s="411"/>
      <c r="KY24" s="411"/>
      <c r="KZ24" s="411"/>
      <c r="LA24" s="411"/>
      <c r="LB24" s="411"/>
      <c r="LC24" s="411"/>
      <c r="LD24" s="411"/>
      <c r="LE24" s="411"/>
      <c r="LF24" s="411"/>
      <c r="LG24" s="411"/>
      <c r="LH24" s="411"/>
      <c r="LI24" s="411"/>
      <c r="LJ24" s="411"/>
      <c r="LK24" s="411"/>
      <c r="LL24" s="411"/>
      <c r="LM24" s="411"/>
      <c r="LN24" s="411"/>
      <c r="LO24" s="411"/>
      <c r="LP24" s="411"/>
      <c r="LQ24" s="411"/>
      <c r="LR24" s="411"/>
      <c r="LS24" s="411"/>
      <c r="LT24" s="411"/>
      <c r="LU24" s="411"/>
      <c r="LV24" s="411"/>
      <c r="LW24" s="411"/>
      <c r="LX24" s="411"/>
      <c r="LY24" s="411"/>
      <c r="LZ24" s="411"/>
      <c r="MA24" s="411"/>
      <c r="MB24" s="411"/>
      <c r="MC24" s="411"/>
      <c r="MD24" s="411"/>
      <c r="ME24" s="411"/>
      <c r="MF24" s="411"/>
      <c r="MG24" s="411"/>
      <c r="MH24" s="411"/>
      <c r="MI24" s="411"/>
      <c r="MJ24" s="411"/>
      <c r="MK24" s="411"/>
      <c r="ML24" s="411"/>
      <c r="MM24" s="411"/>
      <c r="MN24" s="411"/>
      <c r="MO24" s="411"/>
      <c r="MP24" s="411"/>
      <c r="MQ24" s="411"/>
      <c r="MR24" s="411"/>
      <c r="MS24" s="411"/>
      <c r="MT24" s="411"/>
      <c r="MU24" s="411"/>
      <c r="MV24" s="411"/>
      <c r="MW24" s="411"/>
      <c r="MX24" s="411"/>
      <c r="MY24" s="411"/>
      <c r="MZ24" s="411"/>
      <c r="NA24" s="411"/>
      <c r="NB24" s="411"/>
      <c r="NC24" s="411"/>
      <c r="ND24" s="411"/>
      <c r="NE24" s="411"/>
      <c r="NF24" s="411"/>
      <c r="NG24" s="411"/>
      <c r="NH24" s="411"/>
      <c r="NI24" s="411"/>
      <c r="NJ24" s="411"/>
      <c r="NK24" s="411"/>
      <c r="NL24" s="411"/>
      <c r="NM24" s="411"/>
      <c r="NN24" s="411"/>
      <c r="NO24" s="411"/>
      <c r="NP24" s="411"/>
      <c r="NQ24" s="411"/>
      <c r="NR24" s="411"/>
      <c r="NS24" s="411"/>
      <c r="NT24" s="411"/>
      <c r="NU24" s="411"/>
      <c r="NV24" s="411"/>
      <c r="NW24" s="411"/>
      <c r="NX24" s="411"/>
      <c r="NY24" s="411"/>
      <c r="NZ24" s="411"/>
      <c r="OA24" s="411"/>
      <c r="OB24" s="411"/>
      <c r="OC24" s="411"/>
      <c r="OD24" s="411"/>
      <c r="OE24" s="411"/>
      <c r="OF24" s="411"/>
      <c r="OG24" s="411"/>
      <c r="OH24" s="411"/>
      <c r="OI24" s="411"/>
      <c r="OJ24" s="411"/>
      <c r="OK24" s="411"/>
      <c r="OL24" s="411"/>
      <c r="OM24" s="411"/>
      <c r="ON24" s="411"/>
      <c r="OO24" s="411"/>
      <c r="OP24" s="411"/>
      <c r="OQ24" s="411"/>
      <c r="OR24" s="411"/>
      <c r="OS24" s="411"/>
      <c r="OT24" s="411"/>
      <c r="OU24" s="411"/>
      <c r="OV24" s="411"/>
      <c r="OW24" s="411"/>
      <c r="OX24" s="411"/>
      <c r="OY24" s="411"/>
      <c r="OZ24" s="411"/>
      <c r="PA24" s="411"/>
      <c r="PB24" s="411"/>
      <c r="PC24" s="411"/>
      <c r="PD24" s="411"/>
      <c r="PE24" s="411"/>
      <c r="PF24" s="411"/>
      <c r="PG24" s="411"/>
      <c r="PH24" s="411"/>
      <c r="PI24" s="411"/>
      <c r="PJ24" s="411"/>
      <c r="PK24" s="411"/>
      <c r="PL24" s="411"/>
      <c r="PM24" s="411"/>
      <c r="PN24" s="411"/>
      <c r="PO24" s="411"/>
      <c r="PP24" s="411"/>
      <c r="PQ24" s="411"/>
      <c r="PR24" s="411"/>
      <c r="PS24" s="411"/>
      <c r="PT24" s="411"/>
      <c r="PU24" s="411"/>
      <c r="PV24" s="411"/>
      <c r="PW24" s="411"/>
      <c r="PX24" s="411"/>
      <c r="PY24" s="411"/>
      <c r="PZ24" s="411"/>
      <c r="QA24" s="411"/>
      <c r="QB24" s="411"/>
      <c r="QC24" s="411"/>
      <c r="QD24" s="411"/>
      <c r="QE24" s="411"/>
      <c r="QF24" s="411"/>
      <c r="QG24" s="411"/>
      <c r="QH24" s="411"/>
      <c r="QI24" s="411"/>
      <c r="QJ24" s="411"/>
      <c r="QK24" s="411"/>
      <c r="QL24" s="411"/>
      <c r="QM24" s="411"/>
      <c r="QN24" s="411"/>
      <c r="QO24" s="411"/>
      <c r="QP24" s="411"/>
      <c r="QQ24" s="411"/>
      <c r="QR24" s="411"/>
      <c r="QS24" s="411"/>
      <c r="QT24" s="411"/>
      <c r="QU24" s="411"/>
      <c r="QV24" s="411"/>
      <c r="QW24" s="411"/>
      <c r="QX24" s="411"/>
      <c r="QY24" s="411"/>
      <c r="QZ24" s="411"/>
      <c r="RA24" s="411"/>
      <c r="RB24" s="411"/>
      <c r="RC24" s="411"/>
      <c r="RD24" s="411"/>
      <c r="RE24" s="411"/>
      <c r="RF24" s="411"/>
      <c r="RG24" s="411"/>
      <c r="RH24" s="411"/>
      <c r="RI24" s="411"/>
      <c r="RJ24" s="411"/>
      <c r="RK24" s="411"/>
      <c r="RL24" s="411"/>
      <c r="RM24" s="411"/>
      <c r="RN24" s="411"/>
      <c r="RO24" s="411"/>
      <c r="RP24" s="411"/>
      <c r="RQ24" s="411"/>
      <c r="RR24" s="411"/>
      <c r="RS24" s="411"/>
      <c r="RT24" s="411"/>
      <c r="RU24" s="411"/>
      <c r="RV24" s="411"/>
      <c r="RW24" s="411"/>
      <c r="RX24" s="411"/>
      <c r="RY24" s="411"/>
      <c r="RZ24" s="411"/>
      <c r="SA24" s="411"/>
      <c r="SB24" s="411"/>
      <c r="SC24" s="411"/>
      <c r="SD24" s="411"/>
      <c r="SE24" s="411"/>
      <c r="SF24" s="411"/>
      <c r="SG24" s="411"/>
      <c r="SH24" s="411"/>
      <c r="SI24" s="411"/>
      <c r="SJ24" s="411"/>
      <c r="SK24" s="411"/>
      <c r="SL24" s="411"/>
      <c r="SM24" s="411"/>
      <c r="SN24" s="411"/>
      <c r="SO24" s="411"/>
      <c r="SP24" s="411"/>
      <c r="SQ24" s="411"/>
      <c r="SR24" s="411"/>
      <c r="SS24" s="411"/>
      <c r="ST24" s="411"/>
      <c r="SU24" s="411"/>
      <c r="SV24" s="411"/>
      <c r="SW24" s="411"/>
      <c r="SX24" s="411"/>
      <c r="SY24" s="411"/>
      <c r="SZ24" s="411"/>
      <c r="TA24" s="411"/>
      <c r="TB24" s="411"/>
      <c r="TC24" s="411"/>
      <c r="TD24" s="411"/>
      <c r="TE24" s="411"/>
      <c r="TF24" s="411"/>
      <c r="TG24" s="411"/>
      <c r="TH24" s="411"/>
      <c r="TI24" s="411"/>
      <c r="TJ24" s="411"/>
      <c r="TK24" s="411"/>
      <c r="TL24" s="411"/>
      <c r="TM24" s="411"/>
      <c r="TN24" s="411"/>
      <c r="TO24" s="411"/>
      <c r="TP24" s="411"/>
      <c r="TQ24" s="411"/>
      <c r="TR24" s="411"/>
      <c r="TS24" s="411"/>
      <c r="TT24" s="411"/>
      <c r="TU24" s="411"/>
      <c r="TV24" s="411"/>
      <c r="TW24" s="411"/>
      <c r="TX24" s="411"/>
      <c r="TY24" s="411"/>
      <c r="TZ24" s="411"/>
      <c r="UA24" s="411"/>
      <c r="UB24" s="411"/>
      <c r="UC24" s="411"/>
      <c r="UD24" s="411"/>
      <c r="UE24" s="411"/>
      <c r="UF24" s="411"/>
      <c r="UG24" s="411"/>
      <c r="UH24" s="411"/>
      <c r="UI24" s="411"/>
      <c r="UJ24" s="411"/>
      <c r="UK24" s="411"/>
      <c r="UL24" s="411"/>
      <c r="UM24" s="411"/>
      <c r="UN24" s="411"/>
      <c r="UO24" s="411"/>
      <c r="UP24" s="411"/>
      <c r="UQ24" s="411"/>
      <c r="UR24" s="411"/>
      <c r="US24" s="411"/>
      <c r="UT24" s="411"/>
      <c r="UU24" s="411"/>
      <c r="UV24" s="411"/>
      <c r="UW24" s="411"/>
      <c r="UX24" s="411"/>
      <c r="UY24" s="411"/>
      <c r="UZ24" s="411"/>
      <c r="VA24" s="411"/>
      <c r="VB24" s="411"/>
      <c r="VC24" s="411"/>
      <c r="VD24" s="411"/>
      <c r="VE24" s="411"/>
      <c r="VF24" s="411"/>
      <c r="VG24" s="411"/>
      <c r="VH24" s="411"/>
      <c r="VI24" s="411"/>
      <c r="VJ24" s="411"/>
      <c r="VK24" s="411"/>
      <c r="VL24" s="411"/>
      <c r="VM24" s="411"/>
      <c r="VN24" s="411"/>
      <c r="VO24" s="411"/>
      <c r="VP24" s="411"/>
      <c r="VQ24" s="411"/>
      <c r="VR24" s="411"/>
      <c r="VS24" s="411"/>
      <c r="VT24" s="411"/>
      <c r="VU24" s="411"/>
      <c r="VV24" s="411"/>
      <c r="VW24" s="411"/>
      <c r="VX24" s="411"/>
      <c r="VY24" s="411"/>
      <c r="VZ24" s="411"/>
      <c r="WA24" s="411"/>
      <c r="WB24" s="411"/>
      <c r="WC24" s="411"/>
      <c r="WD24" s="411"/>
      <c r="WE24" s="411"/>
      <c r="WF24" s="411"/>
      <c r="WG24" s="411"/>
      <c r="WH24" s="411"/>
      <c r="WI24" s="411"/>
      <c r="WJ24" s="411"/>
      <c r="WK24" s="411"/>
      <c r="WL24" s="411"/>
      <c r="WM24" s="411"/>
      <c r="WN24" s="411"/>
      <c r="WO24" s="411"/>
      <c r="WP24" s="411"/>
      <c r="WQ24" s="411"/>
      <c r="WR24" s="411"/>
      <c r="WS24" s="411"/>
      <c r="WT24" s="411"/>
      <c r="WU24" s="411"/>
      <c r="WV24" s="411"/>
      <c r="WW24" s="411"/>
      <c r="WX24" s="411"/>
      <c r="WY24" s="411"/>
      <c r="WZ24" s="411"/>
      <c r="XA24" s="411"/>
      <c r="XB24" s="411"/>
      <c r="XC24" s="411"/>
      <c r="XD24" s="411"/>
      <c r="XE24" s="411"/>
      <c r="XF24" s="411"/>
      <c r="XG24" s="411"/>
      <c r="XH24" s="411"/>
      <c r="XI24" s="411"/>
      <c r="XJ24" s="411"/>
      <c r="XK24" s="411"/>
      <c r="XL24" s="411"/>
      <c r="XM24" s="411"/>
      <c r="XN24" s="411"/>
      <c r="XO24" s="411"/>
      <c r="XP24" s="411"/>
      <c r="XQ24" s="411"/>
      <c r="XR24" s="411"/>
      <c r="XS24" s="411"/>
      <c r="XT24" s="411"/>
      <c r="XU24" s="411"/>
      <c r="XV24" s="411"/>
      <c r="XW24" s="411"/>
      <c r="XX24" s="411"/>
      <c r="XY24" s="411"/>
      <c r="XZ24" s="411"/>
      <c r="YA24" s="411"/>
      <c r="YB24" s="411"/>
      <c r="YC24" s="411"/>
      <c r="YD24" s="411"/>
      <c r="YE24" s="411"/>
      <c r="YF24" s="411"/>
      <c r="YG24" s="411"/>
      <c r="YH24" s="411"/>
      <c r="YI24" s="411"/>
      <c r="YJ24" s="411"/>
      <c r="YK24" s="411"/>
      <c r="YL24" s="411"/>
      <c r="YM24" s="411"/>
      <c r="YN24" s="411"/>
      <c r="YO24" s="411"/>
      <c r="YP24" s="411"/>
      <c r="YQ24" s="411"/>
      <c r="YR24" s="411"/>
      <c r="YS24" s="411"/>
      <c r="YT24" s="411"/>
      <c r="YU24" s="411"/>
      <c r="YV24" s="411"/>
      <c r="YW24" s="411"/>
      <c r="YX24" s="411"/>
      <c r="YY24" s="411"/>
      <c r="YZ24" s="411"/>
      <c r="ZA24" s="411"/>
      <c r="ZB24" s="411"/>
      <c r="ZC24" s="411"/>
      <c r="ZD24" s="411"/>
      <c r="ZE24" s="411"/>
      <c r="ZF24" s="411"/>
      <c r="ZG24" s="411"/>
      <c r="ZH24" s="411"/>
      <c r="ZI24" s="411"/>
      <c r="ZJ24" s="411"/>
      <c r="ZK24" s="411"/>
      <c r="ZL24" s="411"/>
      <c r="ZM24" s="411"/>
      <c r="ZN24" s="411"/>
      <c r="ZO24" s="411"/>
      <c r="ZP24" s="411"/>
      <c r="ZQ24" s="411"/>
      <c r="ZR24" s="411"/>
      <c r="ZS24" s="411"/>
      <c r="ZT24" s="411"/>
      <c r="ZU24" s="411"/>
      <c r="ZV24" s="411"/>
      <c r="ZW24" s="411"/>
      <c r="ZX24" s="411"/>
      <c r="ZY24" s="411"/>
      <c r="ZZ24" s="411"/>
      <c r="AAA24" s="411"/>
      <c r="AAB24" s="411"/>
      <c r="AAC24" s="411"/>
      <c r="AAD24" s="411"/>
      <c r="AAE24" s="411"/>
      <c r="AAF24" s="411"/>
      <c r="AAG24" s="411"/>
      <c r="AAH24" s="411"/>
      <c r="AAI24" s="411"/>
      <c r="AAJ24" s="411"/>
      <c r="AAK24" s="411"/>
      <c r="AAL24" s="411"/>
      <c r="AAM24" s="411"/>
      <c r="AAN24" s="411"/>
      <c r="AAO24" s="411"/>
      <c r="AAP24" s="411"/>
      <c r="AAQ24" s="411"/>
      <c r="AAR24" s="411"/>
      <c r="AAS24" s="411"/>
      <c r="AAT24" s="411"/>
      <c r="AAU24" s="411"/>
      <c r="AAV24" s="411"/>
      <c r="AAW24" s="411"/>
      <c r="AAX24" s="411"/>
      <c r="AAY24" s="411"/>
      <c r="AAZ24" s="411"/>
      <c r="ABA24" s="411"/>
      <c r="ABB24" s="411"/>
      <c r="ABC24" s="411"/>
      <c r="ABD24" s="411"/>
      <c r="ABE24" s="411"/>
      <c r="ABF24" s="411"/>
      <c r="ABG24" s="411"/>
      <c r="ABH24" s="411"/>
      <c r="ABI24" s="411"/>
      <c r="ABJ24" s="411"/>
      <c r="ABK24" s="411"/>
      <c r="ABL24" s="411"/>
      <c r="ABM24" s="411"/>
      <c r="ABN24" s="411"/>
      <c r="ABO24" s="411"/>
      <c r="ABP24" s="411"/>
      <c r="ABQ24" s="411"/>
      <c r="ABR24" s="411"/>
      <c r="ABS24" s="411"/>
      <c r="ABT24" s="411"/>
      <c r="ABU24" s="411"/>
      <c r="ABV24" s="411"/>
      <c r="ABW24" s="411"/>
      <c r="ABX24" s="411"/>
      <c r="ABY24" s="411"/>
      <c r="ABZ24" s="411"/>
      <c r="ACA24" s="411"/>
      <c r="ACB24" s="411"/>
      <c r="ACC24" s="411"/>
      <c r="ACD24" s="411"/>
      <c r="ACE24" s="411"/>
      <c r="ACF24" s="411"/>
      <c r="ACG24" s="411"/>
      <c r="ACH24" s="411"/>
      <c r="ACI24" s="411"/>
      <c r="ACJ24" s="411"/>
      <c r="ACK24" s="411"/>
      <c r="ACL24" s="411"/>
      <c r="ACM24" s="411"/>
      <c r="ACN24" s="411"/>
      <c r="ACO24" s="411"/>
      <c r="ACP24" s="411"/>
      <c r="ACQ24" s="411"/>
      <c r="ACR24" s="411"/>
      <c r="ACS24" s="411"/>
      <c r="ACT24" s="411"/>
      <c r="ACU24" s="411"/>
      <c r="ACV24" s="411"/>
      <c r="ACW24" s="411"/>
      <c r="ACX24" s="411"/>
      <c r="ACY24" s="411"/>
      <c r="ACZ24" s="411"/>
      <c r="ADA24" s="411"/>
      <c r="ADB24" s="411"/>
      <c r="ADC24" s="411"/>
      <c r="ADD24" s="411"/>
      <c r="ADE24" s="411"/>
      <c r="ADF24" s="411"/>
      <c r="ADG24" s="411"/>
      <c r="ADH24" s="411"/>
      <c r="ADI24" s="411"/>
      <c r="ADJ24" s="411"/>
      <c r="ADK24" s="411"/>
      <c r="ADL24" s="411"/>
      <c r="ADM24" s="411"/>
      <c r="ADN24" s="411"/>
      <c r="ADO24" s="411"/>
      <c r="ADP24" s="411"/>
      <c r="ADQ24" s="411"/>
      <c r="ADR24" s="411"/>
      <c r="ADS24" s="411"/>
      <c r="ADT24" s="411"/>
      <c r="ADU24" s="411"/>
      <c r="ADV24" s="411"/>
      <c r="ADW24" s="411"/>
      <c r="ADX24" s="411"/>
      <c r="ADY24" s="411"/>
      <c r="ADZ24" s="411"/>
      <c r="AEA24" s="411"/>
      <c r="AEB24" s="411"/>
      <c r="AEC24" s="411"/>
      <c r="AED24" s="411"/>
      <c r="AEE24" s="411"/>
      <c r="AEF24" s="411"/>
      <c r="AEG24" s="411"/>
      <c r="AEH24" s="411"/>
      <c r="AEI24" s="411"/>
      <c r="AEJ24" s="411"/>
      <c r="AEK24" s="411"/>
      <c r="AEL24" s="411"/>
      <c r="AEM24" s="411"/>
      <c r="AEN24" s="411"/>
      <c r="AEO24" s="411"/>
      <c r="AEP24" s="411"/>
      <c r="AEQ24" s="411"/>
      <c r="AER24" s="411"/>
      <c r="AES24" s="411"/>
      <c r="AET24" s="411"/>
      <c r="AEU24" s="411"/>
      <c r="AEV24" s="411"/>
      <c r="AEW24" s="411"/>
      <c r="AEX24" s="411"/>
      <c r="AEY24" s="411"/>
      <c r="AEZ24" s="411"/>
      <c r="AFA24" s="411"/>
      <c r="AFB24" s="411"/>
      <c r="AFC24" s="411"/>
      <c r="AFD24" s="411"/>
      <c r="AFE24" s="411"/>
      <c r="AFF24" s="411"/>
      <c r="AFG24" s="411"/>
      <c r="AFH24" s="411"/>
      <c r="AFI24" s="411"/>
      <c r="AFJ24" s="411"/>
      <c r="AFK24" s="411"/>
      <c r="AFL24" s="411"/>
      <c r="AFM24" s="411"/>
      <c r="AFN24" s="411"/>
      <c r="AFO24" s="411"/>
      <c r="AFP24" s="411"/>
      <c r="AFQ24" s="411"/>
      <c r="AFR24" s="411"/>
      <c r="AFS24" s="411"/>
      <c r="AFT24" s="411"/>
      <c r="AFU24" s="411"/>
      <c r="AFV24" s="411"/>
      <c r="AFW24" s="411"/>
      <c r="AFX24" s="411"/>
      <c r="AFY24" s="411"/>
      <c r="AFZ24" s="411"/>
      <c r="AGA24" s="411"/>
      <c r="AGB24" s="411"/>
      <c r="AGC24" s="411"/>
      <c r="AGD24" s="411"/>
      <c r="AGE24" s="411"/>
      <c r="AGF24" s="411"/>
      <c r="AGG24" s="411"/>
      <c r="AGH24" s="411"/>
      <c r="AGI24" s="411"/>
      <c r="AGJ24" s="411"/>
      <c r="AGK24" s="411"/>
      <c r="AGL24" s="411"/>
      <c r="AGM24" s="411"/>
      <c r="AGN24" s="411"/>
      <c r="AGO24" s="411"/>
      <c r="AGP24" s="411"/>
      <c r="AGQ24" s="411"/>
      <c r="AGR24" s="411"/>
      <c r="AGS24" s="411"/>
      <c r="AGT24" s="411"/>
      <c r="AGU24" s="411"/>
      <c r="AGV24" s="411"/>
      <c r="AGW24" s="411"/>
      <c r="AGX24" s="411"/>
      <c r="AGY24" s="411"/>
      <c r="AGZ24" s="411"/>
      <c r="AHA24" s="411"/>
      <c r="AHB24" s="411"/>
      <c r="AHC24" s="411"/>
      <c r="AHD24" s="411"/>
      <c r="AHE24" s="411"/>
      <c r="AHF24" s="411"/>
      <c r="AHG24" s="411"/>
      <c r="AHH24" s="411"/>
      <c r="AHI24" s="411"/>
      <c r="AHJ24" s="411"/>
      <c r="AHK24" s="411"/>
      <c r="AHL24" s="411"/>
      <c r="AHM24" s="411"/>
      <c r="AHN24" s="411"/>
      <c r="AHO24" s="411"/>
      <c r="AHP24" s="411"/>
      <c r="AHQ24" s="411"/>
      <c r="AHR24" s="411"/>
      <c r="AHS24" s="411"/>
      <c r="AHT24" s="411"/>
      <c r="AHU24" s="411"/>
      <c r="AHV24" s="411"/>
      <c r="AHW24" s="411"/>
      <c r="AHX24" s="411"/>
      <c r="AHY24" s="411"/>
      <c r="AHZ24" s="411"/>
      <c r="AIA24" s="411"/>
      <c r="AIB24" s="411"/>
      <c r="AIC24" s="411"/>
      <c r="AID24" s="411"/>
      <c r="AIE24" s="411"/>
      <c r="AIF24" s="411"/>
      <c r="AIG24" s="411"/>
      <c r="AIH24" s="411"/>
      <c r="AII24" s="411"/>
      <c r="AIJ24" s="411"/>
      <c r="AIK24" s="411"/>
      <c r="AIL24" s="411"/>
      <c r="AIM24" s="411"/>
      <c r="AIN24" s="411"/>
      <c r="AIO24" s="411"/>
      <c r="AIP24" s="411"/>
      <c r="AIQ24" s="411"/>
      <c r="AIR24" s="411"/>
      <c r="AIS24" s="411"/>
      <c r="AIT24" s="411"/>
      <c r="AIU24" s="411"/>
      <c r="AIV24" s="411"/>
      <c r="AIW24" s="411"/>
      <c r="AIX24" s="411"/>
      <c r="AIY24" s="411"/>
      <c r="AIZ24" s="411"/>
      <c r="AJA24" s="411"/>
      <c r="AJB24" s="411"/>
      <c r="AJC24" s="411"/>
      <c r="AJD24" s="411"/>
      <c r="AJE24" s="411"/>
      <c r="AJF24" s="411"/>
      <c r="AJG24" s="411"/>
      <c r="AJH24" s="411"/>
      <c r="AJI24" s="411"/>
      <c r="AJJ24" s="411"/>
      <c r="AJK24" s="411"/>
      <c r="AJL24" s="411"/>
      <c r="AJM24" s="411"/>
      <c r="AJN24" s="411"/>
      <c r="AJO24" s="411"/>
      <c r="AJP24" s="411"/>
      <c r="AJQ24" s="411"/>
      <c r="AJR24" s="411"/>
      <c r="AJS24" s="411"/>
      <c r="AJT24" s="411"/>
      <c r="AJU24" s="411"/>
      <c r="AJV24" s="411"/>
      <c r="AJW24" s="411"/>
      <c r="AJX24" s="411"/>
      <c r="AJY24" s="411"/>
      <c r="AJZ24" s="411"/>
      <c r="AKA24" s="411"/>
      <c r="AKB24" s="411"/>
      <c r="AKC24" s="411"/>
      <c r="AKD24" s="411"/>
      <c r="AKE24" s="411"/>
      <c r="AKF24" s="411"/>
      <c r="AKG24" s="411"/>
      <c r="AKH24" s="411"/>
      <c r="AKI24" s="411"/>
      <c r="AKJ24" s="411"/>
      <c r="AKK24" s="411"/>
      <c r="AKL24" s="411"/>
      <c r="AKM24" s="411"/>
      <c r="AKN24" s="411"/>
      <c r="AKO24" s="411"/>
      <c r="AKP24" s="411"/>
      <c r="AKQ24" s="411"/>
      <c r="AKR24" s="411"/>
      <c r="AKS24" s="411"/>
      <c r="AKT24" s="411"/>
    </row>
    <row r="25" ht="15.75" customHeight="1">
      <c r="A25" s="411" t="s">
        <v>133</v>
      </c>
      <c r="B25" s="411"/>
      <c r="C25" s="411"/>
      <c r="D25" s="411"/>
      <c r="E25" s="411"/>
      <c r="F25" s="411"/>
      <c r="G25" s="411"/>
      <c r="H25" s="411"/>
      <c r="I25" s="411"/>
      <c r="J25" s="411"/>
      <c r="K25" s="411"/>
      <c r="L25" s="411"/>
      <c r="M25" s="411"/>
      <c r="N25" s="411"/>
      <c r="O25" s="411"/>
      <c r="P25" s="411"/>
      <c r="Q25" s="411"/>
      <c r="R25" s="411"/>
      <c r="S25" s="411"/>
      <c r="T25" s="411"/>
      <c r="U25" s="411"/>
      <c r="V25" s="411"/>
      <c r="W25" s="411"/>
      <c r="X25" s="411"/>
      <c r="Y25" s="411"/>
      <c r="Z25" s="411"/>
      <c r="AA25" s="411"/>
      <c r="AB25" s="411"/>
      <c r="AC25" s="411"/>
      <c r="AD25" s="411"/>
      <c r="AE25" s="411"/>
      <c r="AF25" s="411"/>
      <c r="AG25" s="411"/>
      <c r="AH25" s="411"/>
      <c r="AI25" s="411"/>
      <c r="AJ25" s="411"/>
      <c r="AK25" s="411"/>
      <c r="AL25" s="411"/>
      <c r="AM25" s="411"/>
      <c r="AN25" s="411"/>
      <c r="AO25" s="411"/>
      <c r="AP25" s="411"/>
      <c r="AQ25" s="411"/>
      <c r="AR25" s="411"/>
      <c r="AS25" s="411"/>
      <c r="AT25" s="411"/>
      <c r="AU25" s="411"/>
      <c r="AV25" s="411"/>
      <c r="AW25" s="411"/>
      <c r="AX25" s="411"/>
      <c r="AY25" s="411"/>
      <c r="AZ25" s="411"/>
      <c r="BA25" s="411"/>
      <c r="BB25" s="411"/>
      <c r="BC25" s="411"/>
      <c r="BD25" s="411"/>
      <c r="BE25" s="411"/>
      <c r="BF25" s="411"/>
      <c r="BG25" s="411"/>
      <c r="BH25" s="411"/>
      <c r="BI25" s="411"/>
      <c r="BJ25" s="411"/>
      <c r="BK25" s="411"/>
      <c r="BL25" s="411"/>
      <c r="BM25" s="411"/>
      <c r="BN25" s="411"/>
      <c r="BO25" s="411"/>
      <c r="BP25" s="411"/>
      <c r="BQ25" s="411"/>
      <c r="BR25" s="411"/>
      <c r="BS25" s="411"/>
      <c r="BT25" s="411"/>
      <c r="BU25" s="411"/>
      <c r="BV25" s="411"/>
      <c r="BW25" s="411"/>
      <c r="BX25" s="411"/>
      <c r="BY25" s="411"/>
      <c r="BZ25" s="411"/>
      <c r="CA25" s="411"/>
      <c r="CB25" s="411"/>
      <c r="CC25" s="411"/>
      <c r="CD25" s="411"/>
      <c r="CE25" s="411"/>
      <c r="CF25" s="411"/>
      <c r="CG25" s="411"/>
      <c r="CH25" s="411"/>
      <c r="CI25" s="411"/>
      <c r="CJ25" s="411"/>
      <c r="CK25" s="411"/>
      <c r="CL25" s="411"/>
      <c r="CM25" s="411"/>
      <c r="CN25" s="411">
        <v>-9.2</v>
      </c>
      <c r="CO25" s="411">
        <v>7.59</v>
      </c>
      <c r="CP25" s="411">
        <v>-8.26</v>
      </c>
      <c r="CQ25" s="411">
        <v>-12.05</v>
      </c>
      <c r="CR25" s="411">
        <v>47.53</v>
      </c>
      <c r="CS25" s="411">
        <v>-4.91</v>
      </c>
      <c r="CT25" s="411">
        <v>-4.56</v>
      </c>
      <c r="CU25" s="411">
        <v>5.95</v>
      </c>
      <c r="CV25" s="411"/>
      <c r="CW25" s="411"/>
      <c r="CX25" s="411"/>
      <c r="CY25" s="411"/>
      <c r="CZ25" s="411"/>
      <c r="DA25" s="411"/>
      <c r="DB25" s="411"/>
      <c r="DC25" s="411"/>
      <c r="DD25" s="411"/>
      <c r="DE25" s="411"/>
      <c r="DF25" s="411"/>
      <c r="DG25" s="411"/>
      <c r="DH25" s="411"/>
      <c r="DI25" s="411"/>
      <c r="DJ25" s="411"/>
      <c r="DK25" s="411"/>
      <c r="DL25" s="411"/>
      <c r="DM25" s="411"/>
      <c r="DN25" s="411"/>
      <c r="DO25" s="411"/>
      <c r="DP25" s="411"/>
      <c r="DQ25" s="411"/>
      <c r="DR25" s="411"/>
      <c r="DS25" s="411"/>
      <c r="DT25" s="411"/>
      <c r="DU25" s="411"/>
      <c r="DV25" s="411"/>
      <c r="DW25" s="411"/>
      <c r="DX25" s="411"/>
      <c r="DY25" s="411"/>
      <c r="DZ25" s="411"/>
      <c r="EA25" s="411"/>
      <c r="EB25" s="411"/>
      <c r="EC25" s="411"/>
      <c r="ED25" s="411"/>
      <c r="EE25" s="411"/>
      <c r="EF25" s="411"/>
      <c r="EG25" s="411"/>
      <c r="EH25" s="411"/>
      <c r="EI25" s="411"/>
      <c r="EJ25" s="411"/>
      <c r="EK25" s="411"/>
      <c r="EL25" s="411"/>
      <c r="EM25" s="411"/>
      <c r="EN25" s="411"/>
      <c r="EO25" s="411"/>
      <c r="EP25" s="411"/>
      <c r="EQ25" s="411"/>
      <c r="ER25" s="411"/>
      <c r="ES25" s="411"/>
      <c r="ET25" s="411"/>
      <c r="EU25" s="411"/>
      <c r="EV25" s="411"/>
      <c r="EW25" s="411"/>
      <c r="EX25" s="411"/>
      <c r="EY25" s="411"/>
      <c r="EZ25" s="411"/>
      <c r="FA25" s="411"/>
      <c r="FB25" s="411"/>
      <c r="FC25" s="411"/>
      <c r="FD25" s="411"/>
      <c r="FE25" s="411"/>
      <c r="FF25" s="411"/>
      <c r="FG25" s="411"/>
      <c r="FH25" s="411"/>
      <c r="FI25" s="411"/>
      <c r="FJ25" s="411"/>
      <c r="FK25" s="411"/>
      <c r="FL25" s="411"/>
      <c r="FM25" s="411"/>
      <c r="FN25" s="411"/>
      <c r="FO25" s="411"/>
      <c r="FP25" s="411"/>
      <c r="FQ25" s="411"/>
      <c r="FR25" s="411"/>
      <c r="FS25" s="411"/>
      <c r="FT25" s="411"/>
      <c r="FU25" s="411"/>
      <c r="FV25" s="411"/>
      <c r="FW25" s="411"/>
      <c r="FX25" s="411"/>
      <c r="FY25" s="411"/>
      <c r="FZ25" s="411"/>
      <c r="GA25" s="411"/>
      <c r="GB25" s="411"/>
      <c r="GC25" s="411"/>
      <c r="GD25" s="411"/>
      <c r="GE25" s="411"/>
      <c r="GF25" s="411"/>
      <c r="GG25" s="411"/>
      <c r="GH25" s="411"/>
      <c r="GI25" s="411"/>
      <c r="GJ25" s="411"/>
      <c r="GK25" s="411"/>
      <c r="GL25" s="411"/>
      <c r="GM25" s="411"/>
      <c r="GN25" s="411"/>
      <c r="GO25" s="411"/>
      <c r="GP25" s="411"/>
      <c r="GQ25" s="411"/>
      <c r="GR25" s="411"/>
      <c r="GS25" s="411"/>
      <c r="GT25" s="411"/>
      <c r="GU25" s="411"/>
      <c r="GV25" s="411"/>
      <c r="GW25" s="411"/>
      <c r="GX25" s="411"/>
      <c r="GY25" s="411"/>
      <c r="GZ25" s="411"/>
      <c r="HA25" s="411"/>
      <c r="HB25" s="411"/>
      <c r="HC25" s="411"/>
      <c r="HD25" s="411"/>
      <c r="HE25" s="411"/>
      <c r="HF25" s="411"/>
      <c r="HG25" s="411"/>
      <c r="HH25" s="411"/>
      <c r="HI25" s="411"/>
      <c r="HJ25" s="411"/>
      <c r="HK25" s="411"/>
      <c r="HL25" s="411"/>
      <c r="HM25" s="411"/>
      <c r="HN25" s="411"/>
      <c r="HO25" s="411"/>
      <c r="HP25" s="411"/>
      <c r="HQ25" s="411"/>
      <c r="HR25" s="411"/>
      <c r="HS25" s="411"/>
      <c r="HT25" s="411"/>
      <c r="HU25" s="411"/>
      <c r="HV25" s="411"/>
      <c r="HW25" s="411"/>
      <c r="HX25" s="411"/>
      <c r="HY25" s="411"/>
      <c r="HZ25" s="411"/>
      <c r="IA25" s="411"/>
      <c r="IB25" s="411"/>
      <c r="IC25" s="411"/>
      <c r="ID25" s="411"/>
      <c r="IE25" s="411"/>
      <c r="IF25" s="411"/>
      <c r="IG25" s="411"/>
      <c r="IH25" s="411"/>
      <c r="II25" s="411"/>
      <c r="IJ25" s="411"/>
      <c r="IK25" s="411"/>
      <c r="IL25" s="411"/>
      <c r="IM25" s="411"/>
      <c r="IN25" s="411"/>
      <c r="IO25" s="411"/>
      <c r="IP25" s="411"/>
      <c r="IQ25" s="411"/>
      <c r="IR25" s="411"/>
      <c r="IS25" s="411"/>
      <c r="IT25" s="411"/>
      <c r="IU25" s="411"/>
      <c r="IV25" s="411"/>
      <c r="IW25" s="411"/>
      <c r="IX25" s="411"/>
      <c r="IY25" s="411"/>
      <c r="IZ25" s="411"/>
      <c r="JA25" s="411"/>
      <c r="JB25" s="411"/>
      <c r="JC25" s="411"/>
      <c r="JD25" s="411"/>
      <c r="JE25" s="411"/>
      <c r="JF25" s="411"/>
      <c r="JG25" s="411"/>
      <c r="JH25" s="411"/>
      <c r="JI25" s="411"/>
      <c r="JJ25" s="411"/>
      <c r="JK25" s="411"/>
      <c r="JL25" s="411"/>
      <c r="JM25" s="411"/>
      <c r="JN25" s="411"/>
      <c r="JO25" s="411"/>
      <c r="JP25" s="411"/>
      <c r="JQ25" s="411"/>
      <c r="JR25" s="411"/>
      <c r="JS25" s="411"/>
      <c r="JT25" s="411"/>
      <c r="JU25" s="411"/>
      <c r="JV25" s="411"/>
      <c r="JW25" s="411"/>
      <c r="JX25" s="411"/>
      <c r="JY25" s="411"/>
      <c r="JZ25" s="411"/>
      <c r="KA25" s="411"/>
      <c r="KB25" s="411"/>
      <c r="KC25" s="411"/>
      <c r="KD25" s="411"/>
      <c r="KE25" s="411"/>
      <c r="KF25" s="411"/>
      <c r="KG25" s="411"/>
      <c r="KH25" s="411"/>
      <c r="KI25" s="411"/>
      <c r="KJ25" s="411"/>
      <c r="KK25" s="411"/>
      <c r="KL25" s="411"/>
      <c r="KM25" s="411"/>
      <c r="KN25" s="411"/>
      <c r="KO25" s="411"/>
      <c r="KP25" s="411"/>
      <c r="KQ25" s="411"/>
      <c r="KR25" s="411"/>
      <c r="KS25" s="411"/>
      <c r="KT25" s="411"/>
      <c r="KU25" s="411"/>
      <c r="KV25" s="411"/>
      <c r="KW25" s="411"/>
      <c r="KX25" s="411"/>
      <c r="KY25" s="411"/>
      <c r="KZ25" s="411"/>
      <c r="LA25" s="411"/>
      <c r="LB25" s="411"/>
      <c r="LC25" s="411"/>
      <c r="LD25" s="411"/>
      <c r="LE25" s="411"/>
      <c r="LF25" s="411"/>
      <c r="LG25" s="411"/>
      <c r="LH25" s="411"/>
      <c r="LI25" s="411"/>
      <c r="LJ25" s="411"/>
      <c r="LK25" s="411"/>
      <c r="LL25" s="411"/>
      <c r="LM25" s="411"/>
      <c r="LN25" s="411"/>
      <c r="LO25" s="411"/>
      <c r="LP25" s="411"/>
      <c r="LQ25" s="411"/>
      <c r="LR25" s="411"/>
      <c r="LS25" s="411"/>
      <c r="LT25" s="411"/>
      <c r="LU25" s="411"/>
      <c r="LV25" s="411"/>
      <c r="LW25" s="411"/>
      <c r="LX25" s="411"/>
      <c r="LY25" s="411"/>
      <c r="LZ25" s="411"/>
      <c r="MA25" s="411"/>
      <c r="MB25" s="411"/>
      <c r="MC25" s="411"/>
      <c r="MD25" s="411"/>
      <c r="ME25" s="411"/>
      <c r="MF25" s="411"/>
      <c r="MG25" s="411"/>
      <c r="MH25" s="411"/>
      <c r="MI25" s="411"/>
      <c r="MJ25" s="411"/>
      <c r="MK25" s="411"/>
      <c r="ML25" s="411"/>
      <c r="MM25" s="411"/>
      <c r="MN25" s="411"/>
      <c r="MO25" s="411"/>
      <c r="MP25" s="411"/>
      <c r="MQ25" s="411"/>
      <c r="MR25" s="411"/>
      <c r="MS25" s="411"/>
      <c r="MT25" s="411"/>
      <c r="MU25" s="411"/>
      <c r="MV25" s="411"/>
      <c r="MW25" s="411"/>
      <c r="MX25" s="411"/>
      <c r="MY25" s="411"/>
      <c r="MZ25" s="411"/>
      <c r="NA25" s="411"/>
      <c r="NB25" s="411"/>
      <c r="NC25" s="411"/>
      <c r="ND25" s="411"/>
      <c r="NE25" s="411"/>
      <c r="NF25" s="411"/>
      <c r="NG25" s="411"/>
      <c r="NH25" s="411"/>
      <c r="NI25" s="411"/>
      <c r="NJ25" s="411"/>
      <c r="NK25" s="411"/>
      <c r="NL25" s="411"/>
      <c r="NM25" s="411"/>
      <c r="NN25" s="411"/>
      <c r="NO25" s="411"/>
      <c r="NP25" s="411"/>
      <c r="NQ25" s="411"/>
      <c r="NR25" s="411"/>
      <c r="NS25" s="411"/>
      <c r="NT25" s="411"/>
      <c r="NU25" s="411"/>
      <c r="NV25" s="411"/>
      <c r="NW25" s="411"/>
      <c r="NX25" s="411"/>
      <c r="NY25" s="411"/>
      <c r="NZ25" s="411"/>
      <c r="OA25" s="411"/>
      <c r="OB25" s="411"/>
      <c r="OC25" s="411"/>
      <c r="OD25" s="411"/>
      <c r="OE25" s="411"/>
      <c r="OF25" s="411"/>
      <c r="OG25" s="411"/>
      <c r="OH25" s="411"/>
      <c r="OI25" s="411"/>
      <c r="OJ25" s="411"/>
      <c r="OK25" s="411"/>
      <c r="OL25" s="411"/>
      <c r="OM25" s="411"/>
      <c r="ON25" s="411"/>
      <c r="OO25" s="411"/>
      <c r="OP25" s="411"/>
      <c r="OQ25" s="411"/>
      <c r="OR25" s="411"/>
      <c r="OS25" s="411"/>
      <c r="OT25" s="411"/>
      <c r="OU25" s="411"/>
      <c r="OV25" s="411"/>
      <c r="OW25" s="411"/>
      <c r="OX25" s="411"/>
      <c r="OY25" s="411"/>
      <c r="OZ25" s="411"/>
      <c r="PA25" s="411"/>
      <c r="PB25" s="411"/>
      <c r="PC25" s="411"/>
      <c r="PD25" s="411"/>
      <c r="PE25" s="411"/>
      <c r="PF25" s="411"/>
      <c r="PG25" s="411"/>
      <c r="PH25" s="411"/>
      <c r="PI25" s="411"/>
      <c r="PJ25" s="411"/>
      <c r="PK25" s="411"/>
      <c r="PL25" s="411"/>
      <c r="PM25" s="411"/>
      <c r="PN25" s="411"/>
      <c r="PO25" s="411"/>
      <c r="PP25" s="411"/>
      <c r="PQ25" s="411"/>
      <c r="PR25" s="411"/>
      <c r="PS25" s="411"/>
      <c r="PT25" s="411"/>
      <c r="PU25" s="411"/>
      <c r="PV25" s="411"/>
      <c r="PW25" s="411"/>
      <c r="PX25" s="411"/>
      <c r="PY25" s="411"/>
      <c r="PZ25" s="411"/>
      <c r="QA25" s="411"/>
      <c r="QB25" s="411"/>
      <c r="QC25" s="411"/>
      <c r="QD25" s="411"/>
      <c r="QE25" s="411"/>
      <c r="QF25" s="411"/>
      <c r="QG25" s="411"/>
      <c r="QH25" s="411"/>
      <c r="QI25" s="411"/>
      <c r="QJ25" s="411"/>
      <c r="QK25" s="411"/>
      <c r="QL25" s="411"/>
      <c r="QM25" s="411"/>
      <c r="QN25" s="411"/>
      <c r="QO25" s="411"/>
      <c r="QP25" s="411"/>
      <c r="QQ25" s="411"/>
      <c r="QR25" s="411"/>
      <c r="QS25" s="411"/>
      <c r="QT25" s="411"/>
      <c r="QU25" s="411"/>
      <c r="QV25" s="411"/>
      <c r="QW25" s="411"/>
      <c r="QX25" s="411"/>
      <c r="QY25" s="411"/>
      <c r="QZ25" s="411"/>
      <c r="RA25" s="411"/>
      <c r="RB25" s="411"/>
      <c r="RC25" s="411"/>
      <c r="RD25" s="411"/>
      <c r="RE25" s="411"/>
      <c r="RF25" s="411"/>
      <c r="RG25" s="411"/>
      <c r="RH25" s="411"/>
      <c r="RI25" s="411"/>
      <c r="RJ25" s="411"/>
      <c r="RK25" s="411"/>
      <c r="RL25" s="411"/>
      <c r="RM25" s="411"/>
      <c r="RN25" s="411"/>
      <c r="RO25" s="411"/>
      <c r="RP25" s="411"/>
      <c r="RQ25" s="411"/>
      <c r="RR25" s="411"/>
      <c r="RS25" s="411"/>
      <c r="RT25" s="411"/>
      <c r="RU25" s="411"/>
      <c r="RV25" s="411"/>
      <c r="RW25" s="411"/>
      <c r="RX25" s="411"/>
      <c r="RY25" s="411"/>
      <c r="RZ25" s="411"/>
      <c r="SA25" s="411"/>
      <c r="SB25" s="411"/>
      <c r="SC25" s="411"/>
      <c r="SD25" s="411"/>
      <c r="SE25" s="411"/>
      <c r="SF25" s="411"/>
      <c r="SG25" s="411"/>
      <c r="SH25" s="411"/>
      <c r="SI25" s="411"/>
      <c r="SJ25" s="411"/>
      <c r="SK25" s="411"/>
      <c r="SL25" s="411"/>
      <c r="SM25" s="411"/>
      <c r="SN25" s="411"/>
      <c r="SO25" s="411"/>
      <c r="SP25" s="411"/>
      <c r="SQ25" s="411"/>
      <c r="SR25" s="411"/>
      <c r="SS25" s="411"/>
      <c r="ST25" s="411"/>
      <c r="SU25" s="411"/>
      <c r="SV25" s="411"/>
      <c r="SW25" s="411"/>
      <c r="SX25" s="411"/>
      <c r="SY25" s="411"/>
      <c r="SZ25" s="411"/>
      <c r="TA25" s="411"/>
      <c r="TB25" s="411"/>
      <c r="TC25" s="411"/>
      <c r="TD25" s="411"/>
      <c r="TE25" s="411"/>
      <c r="TF25" s="411"/>
      <c r="TG25" s="411"/>
      <c r="TH25" s="411"/>
      <c r="TI25" s="411"/>
      <c r="TJ25" s="411"/>
      <c r="TK25" s="411"/>
      <c r="TL25" s="411"/>
      <c r="TM25" s="411"/>
      <c r="TN25" s="411"/>
      <c r="TO25" s="411"/>
      <c r="TP25" s="411"/>
      <c r="TQ25" s="411"/>
      <c r="TR25" s="411"/>
      <c r="TS25" s="411"/>
      <c r="TT25" s="411"/>
      <c r="TU25" s="411"/>
      <c r="TV25" s="411"/>
      <c r="TW25" s="411"/>
      <c r="TX25" s="411"/>
      <c r="TY25" s="411"/>
      <c r="TZ25" s="411"/>
      <c r="UA25" s="411"/>
      <c r="UB25" s="411"/>
      <c r="UC25" s="411"/>
      <c r="UD25" s="411"/>
      <c r="UE25" s="411"/>
      <c r="UF25" s="411"/>
      <c r="UG25" s="411"/>
      <c r="UH25" s="411"/>
      <c r="UI25" s="411"/>
      <c r="UJ25" s="411"/>
      <c r="UK25" s="411"/>
      <c r="UL25" s="411"/>
      <c r="UM25" s="411"/>
      <c r="UN25" s="411"/>
      <c r="UO25" s="411"/>
      <c r="UP25" s="411"/>
      <c r="UQ25" s="411"/>
      <c r="UR25" s="411"/>
      <c r="US25" s="411"/>
      <c r="UT25" s="411"/>
      <c r="UU25" s="411"/>
      <c r="UV25" s="411"/>
      <c r="UW25" s="411"/>
      <c r="UX25" s="411"/>
      <c r="UY25" s="411"/>
      <c r="UZ25" s="411"/>
      <c r="VA25" s="411"/>
      <c r="VB25" s="411"/>
      <c r="VC25" s="411"/>
      <c r="VD25" s="411"/>
      <c r="VE25" s="411"/>
      <c r="VF25" s="411"/>
      <c r="VG25" s="411"/>
      <c r="VH25" s="411"/>
      <c r="VI25" s="411"/>
      <c r="VJ25" s="411"/>
      <c r="VK25" s="411"/>
      <c r="VL25" s="411"/>
      <c r="VM25" s="411"/>
      <c r="VN25" s="411"/>
      <c r="VO25" s="411"/>
      <c r="VP25" s="411"/>
      <c r="VQ25" s="411"/>
      <c r="VR25" s="411"/>
      <c r="VS25" s="411"/>
      <c r="VT25" s="411"/>
      <c r="VU25" s="411"/>
      <c r="VV25" s="411"/>
      <c r="VW25" s="411"/>
      <c r="VX25" s="411"/>
      <c r="VY25" s="411"/>
      <c r="VZ25" s="411"/>
      <c r="WA25" s="411"/>
      <c r="WB25" s="411"/>
      <c r="WC25" s="411"/>
      <c r="WD25" s="411"/>
      <c r="WE25" s="411"/>
      <c r="WF25" s="411"/>
      <c r="WG25" s="411"/>
      <c r="WH25" s="411"/>
      <c r="WI25" s="411"/>
      <c r="WJ25" s="411"/>
      <c r="WK25" s="411"/>
      <c r="WL25" s="411"/>
      <c r="WM25" s="411"/>
      <c r="WN25" s="411"/>
      <c r="WO25" s="411"/>
      <c r="WP25" s="411"/>
      <c r="WQ25" s="411"/>
      <c r="WR25" s="411"/>
      <c r="WS25" s="411"/>
      <c r="WT25" s="411"/>
      <c r="WU25" s="411"/>
      <c r="WV25" s="411"/>
      <c r="WW25" s="411"/>
      <c r="WX25" s="411"/>
      <c r="WY25" s="411"/>
      <c r="WZ25" s="411"/>
      <c r="XA25" s="411"/>
      <c r="XB25" s="411"/>
      <c r="XC25" s="411"/>
      <c r="XD25" s="411"/>
      <c r="XE25" s="411"/>
      <c r="XF25" s="411"/>
      <c r="XG25" s="411"/>
      <c r="XH25" s="411"/>
      <c r="XI25" s="411"/>
      <c r="XJ25" s="411"/>
      <c r="XK25" s="411"/>
      <c r="XL25" s="411"/>
      <c r="XM25" s="411"/>
      <c r="XN25" s="411"/>
      <c r="XO25" s="411"/>
      <c r="XP25" s="411"/>
      <c r="XQ25" s="411"/>
      <c r="XR25" s="411"/>
      <c r="XS25" s="411"/>
      <c r="XT25" s="411"/>
      <c r="XU25" s="411"/>
      <c r="XV25" s="411"/>
      <c r="XW25" s="411"/>
      <c r="XX25" s="411"/>
      <c r="XY25" s="411"/>
      <c r="XZ25" s="411"/>
      <c r="YA25" s="411"/>
      <c r="YB25" s="411"/>
      <c r="YC25" s="411"/>
      <c r="YD25" s="411"/>
      <c r="YE25" s="411"/>
      <c r="YF25" s="411"/>
      <c r="YG25" s="411"/>
      <c r="YH25" s="411"/>
      <c r="YI25" s="411"/>
      <c r="YJ25" s="411"/>
      <c r="YK25" s="411"/>
      <c r="YL25" s="411"/>
      <c r="YM25" s="411"/>
      <c r="YN25" s="411"/>
      <c r="YO25" s="411"/>
      <c r="YP25" s="411"/>
      <c r="YQ25" s="411"/>
      <c r="YR25" s="411"/>
      <c r="YS25" s="411"/>
      <c r="YT25" s="411"/>
      <c r="YU25" s="411"/>
      <c r="YV25" s="411"/>
      <c r="YW25" s="411"/>
      <c r="YX25" s="411"/>
      <c r="YY25" s="411"/>
      <c r="YZ25" s="411"/>
      <c r="ZA25" s="411"/>
      <c r="ZB25" s="411"/>
      <c r="ZC25" s="411"/>
      <c r="ZD25" s="411"/>
      <c r="ZE25" s="411"/>
      <c r="ZF25" s="411"/>
      <c r="ZG25" s="411"/>
      <c r="ZH25" s="411"/>
      <c r="ZI25" s="411"/>
      <c r="ZJ25" s="411"/>
      <c r="ZK25" s="411"/>
      <c r="ZL25" s="411"/>
      <c r="ZM25" s="411"/>
      <c r="ZN25" s="411"/>
      <c r="ZO25" s="411"/>
      <c r="ZP25" s="411"/>
      <c r="ZQ25" s="411"/>
      <c r="ZR25" s="411"/>
      <c r="ZS25" s="411"/>
      <c r="ZT25" s="411"/>
      <c r="ZU25" s="411"/>
      <c r="ZV25" s="411"/>
      <c r="ZW25" s="411"/>
      <c r="ZX25" s="411"/>
      <c r="ZY25" s="411"/>
      <c r="ZZ25" s="411"/>
      <c r="AAA25" s="411"/>
      <c r="AAB25" s="411"/>
      <c r="AAC25" s="411"/>
      <c r="AAD25" s="411"/>
      <c r="AAE25" s="411"/>
      <c r="AAF25" s="411"/>
      <c r="AAG25" s="411"/>
      <c r="AAH25" s="411"/>
      <c r="AAI25" s="411"/>
      <c r="AAJ25" s="411"/>
      <c r="AAK25" s="411"/>
      <c r="AAL25" s="411"/>
      <c r="AAM25" s="411"/>
      <c r="AAN25" s="411"/>
      <c r="AAO25" s="411"/>
      <c r="AAP25" s="411"/>
      <c r="AAQ25" s="411"/>
      <c r="AAR25" s="411"/>
      <c r="AAS25" s="411"/>
      <c r="AAT25" s="411"/>
      <c r="AAU25" s="411"/>
      <c r="AAV25" s="411"/>
      <c r="AAW25" s="411"/>
      <c r="AAX25" s="411"/>
      <c r="AAY25" s="411"/>
      <c r="AAZ25" s="411"/>
      <c r="ABA25" s="411"/>
      <c r="ABB25" s="411"/>
      <c r="ABC25" s="411"/>
      <c r="ABD25" s="411"/>
      <c r="ABE25" s="411"/>
      <c r="ABF25" s="411"/>
      <c r="ABG25" s="411"/>
      <c r="ABH25" s="411"/>
      <c r="ABI25" s="411"/>
      <c r="ABJ25" s="411"/>
      <c r="ABK25" s="411"/>
      <c r="ABL25" s="411"/>
      <c r="ABM25" s="411"/>
      <c r="ABN25" s="411"/>
      <c r="ABO25" s="411"/>
      <c r="ABP25" s="411"/>
      <c r="ABQ25" s="411"/>
      <c r="ABR25" s="411"/>
      <c r="ABS25" s="411"/>
      <c r="ABT25" s="411"/>
      <c r="ABU25" s="411"/>
      <c r="ABV25" s="411"/>
      <c r="ABW25" s="411"/>
      <c r="ABX25" s="411"/>
      <c r="ABY25" s="411"/>
      <c r="ABZ25" s="411"/>
      <c r="ACA25" s="411"/>
      <c r="ACB25" s="411"/>
      <c r="ACC25" s="411"/>
      <c r="ACD25" s="411"/>
      <c r="ACE25" s="411"/>
      <c r="ACF25" s="411"/>
      <c r="ACG25" s="411"/>
      <c r="ACH25" s="411"/>
      <c r="ACI25" s="411"/>
      <c r="ACJ25" s="411"/>
      <c r="ACK25" s="411"/>
      <c r="ACL25" s="411"/>
      <c r="ACM25" s="411"/>
      <c r="ACN25" s="411"/>
      <c r="ACO25" s="411"/>
      <c r="ACP25" s="411"/>
      <c r="ACQ25" s="411"/>
      <c r="ACR25" s="411"/>
      <c r="ACS25" s="411"/>
      <c r="ACT25" s="411"/>
      <c r="ACU25" s="411"/>
      <c r="ACV25" s="411"/>
      <c r="ACW25" s="411"/>
      <c r="ACX25" s="411"/>
      <c r="ACY25" s="411"/>
      <c r="ACZ25" s="411"/>
      <c r="ADA25" s="411"/>
      <c r="ADB25" s="411"/>
      <c r="ADC25" s="411"/>
      <c r="ADD25" s="411"/>
      <c r="ADE25" s="411"/>
      <c r="ADF25" s="411"/>
      <c r="ADG25" s="411"/>
      <c r="ADH25" s="411"/>
      <c r="ADI25" s="411"/>
      <c r="ADJ25" s="411"/>
      <c r="ADK25" s="411"/>
      <c r="ADL25" s="411"/>
      <c r="ADM25" s="411"/>
      <c r="ADN25" s="411"/>
      <c r="ADO25" s="411"/>
      <c r="ADP25" s="411"/>
      <c r="ADQ25" s="411"/>
      <c r="ADR25" s="411"/>
      <c r="ADS25" s="411"/>
      <c r="ADT25" s="411"/>
      <c r="ADU25" s="411"/>
      <c r="ADV25" s="411"/>
      <c r="ADW25" s="411"/>
      <c r="ADX25" s="411"/>
      <c r="ADY25" s="411"/>
      <c r="ADZ25" s="411"/>
      <c r="AEA25" s="411"/>
      <c r="AEB25" s="411"/>
      <c r="AEC25" s="411"/>
      <c r="AED25" s="411"/>
      <c r="AEE25" s="411"/>
      <c r="AEF25" s="411"/>
      <c r="AEG25" s="411"/>
      <c r="AEH25" s="411"/>
      <c r="AEI25" s="411"/>
      <c r="AEJ25" s="411"/>
      <c r="AEK25" s="411"/>
      <c r="AEL25" s="411"/>
      <c r="AEM25" s="411"/>
      <c r="AEN25" s="411"/>
      <c r="AEO25" s="411"/>
      <c r="AEP25" s="411"/>
      <c r="AEQ25" s="411"/>
      <c r="AER25" s="411"/>
      <c r="AES25" s="411"/>
      <c r="AET25" s="411"/>
      <c r="AEU25" s="411"/>
      <c r="AEV25" s="411"/>
      <c r="AEW25" s="411"/>
      <c r="AEX25" s="411"/>
      <c r="AEY25" s="411"/>
      <c r="AEZ25" s="411"/>
      <c r="AFA25" s="411"/>
      <c r="AFB25" s="411"/>
      <c r="AFC25" s="411"/>
      <c r="AFD25" s="411"/>
      <c r="AFE25" s="411"/>
      <c r="AFF25" s="411"/>
      <c r="AFG25" s="411"/>
      <c r="AFH25" s="411"/>
      <c r="AFI25" s="411"/>
      <c r="AFJ25" s="411"/>
      <c r="AFK25" s="411"/>
      <c r="AFL25" s="411"/>
      <c r="AFM25" s="411"/>
      <c r="AFN25" s="411"/>
      <c r="AFO25" s="411"/>
      <c r="AFP25" s="411"/>
      <c r="AFQ25" s="411"/>
      <c r="AFR25" s="411"/>
      <c r="AFS25" s="411"/>
      <c r="AFT25" s="411"/>
      <c r="AFU25" s="411"/>
      <c r="AFV25" s="411"/>
      <c r="AFW25" s="411"/>
      <c r="AFX25" s="411"/>
      <c r="AFY25" s="411"/>
      <c r="AFZ25" s="411"/>
      <c r="AGA25" s="411"/>
      <c r="AGB25" s="411"/>
      <c r="AGC25" s="411"/>
      <c r="AGD25" s="411"/>
      <c r="AGE25" s="411"/>
      <c r="AGF25" s="411"/>
      <c r="AGG25" s="411"/>
      <c r="AGH25" s="411"/>
      <c r="AGI25" s="411"/>
      <c r="AGJ25" s="411"/>
      <c r="AGK25" s="411"/>
      <c r="AGL25" s="411"/>
      <c r="AGM25" s="411"/>
      <c r="AGN25" s="411"/>
      <c r="AGO25" s="411"/>
      <c r="AGP25" s="411"/>
      <c r="AGQ25" s="411"/>
      <c r="AGR25" s="411"/>
      <c r="AGS25" s="411"/>
      <c r="AGT25" s="411"/>
      <c r="AGU25" s="411"/>
      <c r="AGV25" s="411"/>
      <c r="AGW25" s="411"/>
      <c r="AGX25" s="411"/>
      <c r="AGY25" s="411"/>
      <c r="AGZ25" s="411"/>
      <c r="AHA25" s="411"/>
      <c r="AHB25" s="411"/>
      <c r="AHC25" s="411"/>
      <c r="AHD25" s="411"/>
      <c r="AHE25" s="411"/>
      <c r="AHF25" s="411"/>
      <c r="AHG25" s="411"/>
      <c r="AHH25" s="411"/>
      <c r="AHI25" s="411"/>
      <c r="AHJ25" s="411"/>
      <c r="AHK25" s="411"/>
      <c r="AHL25" s="411"/>
      <c r="AHM25" s="411"/>
      <c r="AHN25" s="411"/>
      <c r="AHO25" s="411"/>
      <c r="AHP25" s="411"/>
      <c r="AHQ25" s="411"/>
      <c r="AHR25" s="411"/>
      <c r="AHS25" s="411"/>
      <c r="AHT25" s="411"/>
      <c r="AHU25" s="411"/>
      <c r="AHV25" s="411"/>
      <c r="AHW25" s="411"/>
      <c r="AHX25" s="411"/>
      <c r="AHY25" s="411"/>
      <c r="AHZ25" s="411"/>
      <c r="AIA25" s="411"/>
      <c r="AIB25" s="411"/>
      <c r="AIC25" s="411"/>
      <c r="AID25" s="411"/>
      <c r="AIE25" s="411"/>
      <c r="AIF25" s="411"/>
      <c r="AIG25" s="411"/>
      <c r="AIH25" s="411"/>
      <c r="AII25" s="411"/>
      <c r="AIJ25" s="411"/>
      <c r="AIK25" s="411"/>
      <c r="AIL25" s="411"/>
      <c r="AIM25" s="411"/>
      <c r="AIN25" s="411"/>
      <c r="AIO25" s="411"/>
      <c r="AIP25" s="411"/>
      <c r="AIQ25" s="411"/>
      <c r="AIR25" s="411"/>
      <c r="AIS25" s="411"/>
      <c r="AIT25" s="411"/>
      <c r="AIU25" s="411"/>
      <c r="AIV25" s="411"/>
      <c r="AIW25" s="411"/>
      <c r="AIX25" s="411"/>
      <c r="AIY25" s="411"/>
      <c r="AIZ25" s="411"/>
      <c r="AJA25" s="411"/>
      <c r="AJB25" s="411"/>
      <c r="AJC25" s="411"/>
      <c r="AJD25" s="411"/>
      <c r="AJE25" s="411"/>
      <c r="AJF25" s="411"/>
      <c r="AJG25" s="411"/>
      <c r="AJH25" s="411"/>
      <c r="AJI25" s="411"/>
      <c r="AJJ25" s="411"/>
      <c r="AJK25" s="411"/>
      <c r="AJL25" s="411"/>
      <c r="AJM25" s="411"/>
      <c r="AJN25" s="411"/>
      <c r="AJO25" s="411"/>
      <c r="AJP25" s="411"/>
      <c r="AJQ25" s="411"/>
      <c r="AJR25" s="411"/>
      <c r="AJS25" s="411"/>
      <c r="AJT25" s="411"/>
      <c r="AJU25" s="411"/>
      <c r="AJV25" s="411"/>
      <c r="AJW25" s="411"/>
      <c r="AJX25" s="411"/>
      <c r="AJY25" s="411"/>
      <c r="AJZ25" s="411"/>
      <c r="AKA25" s="411"/>
      <c r="AKB25" s="411"/>
      <c r="AKC25" s="411"/>
      <c r="AKD25" s="411"/>
      <c r="AKE25" s="411"/>
      <c r="AKF25" s="411"/>
      <c r="AKG25" s="411"/>
      <c r="AKH25" s="411"/>
      <c r="AKI25" s="411"/>
      <c r="AKJ25" s="411"/>
      <c r="AKK25" s="411"/>
      <c r="AKL25" s="411"/>
      <c r="AKM25" s="411"/>
      <c r="AKN25" s="411"/>
      <c r="AKO25" s="411"/>
      <c r="AKP25" s="411"/>
      <c r="AKQ25" s="411"/>
      <c r="AKR25" s="411"/>
      <c r="AKS25" s="411"/>
      <c r="AKT25" s="411"/>
    </row>
    <row r="26" ht="15.75" customHeight="1">
      <c r="A26" s="411" t="s">
        <v>137</v>
      </c>
      <c r="B26" s="411"/>
      <c r="C26" s="411"/>
      <c r="D26" s="411"/>
      <c r="E26" s="411"/>
      <c r="F26" s="411"/>
      <c r="G26" s="411"/>
      <c r="H26" s="411"/>
      <c r="I26" s="411"/>
      <c r="J26" s="411"/>
      <c r="K26" s="411"/>
      <c r="L26" s="411"/>
      <c r="M26" s="411"/>
      <c r="N26" s="411"/>
      <c r="O26" s="411"/>
      <c r="P26" s="411"/>
      <c r="Q26" s="411"/>
      <c r="R26" s="411"/>
      <c r="S26" s="411"/>
      <c r="T26" s="411"/>
      <c r="U26" s="411"/>
      <c r="V26" s="411"/>
      <c r="W26" s="411"/>
      <c r="X26" s="411"/>
      <c r="Y26" s="411"/>
      <c r="Z26" s="411"/>
      <c r="AA26" s="411"/>
      <c r="AB26" s="411"/>
      <c r="AC26" s="411"/>
      <c r="AD26" s="411"/>
      <c r="AE26" s="411"/>
      <c r="AF26" s="411"/>
      <c r="AG26" s="411"/>
      <c r="AH26" s="411"/>
      <c r="AI26" s="411"/>
      <c r="AJ26" s="411"/>
      <c r="AK26" s="411"/>
      <c r="AL26" s="411"/>
      <c r="AM26" s="411"/>
      <c r="AN26" s="411"/>
      <c r="AO26" s="411"/>
      <c r="AP26" s="411"/>
      <c r="AQ26" s="411"/>
      <c r="AR26" s="411"/>
      <c r="AS26" s="411"/>
      <c r="AT26" s="411"/>
      <c r="AU26" s="411"/>
      <c r="AV26" s="411"/>
      <c r="AW26" s="411"/>
      <c r="AX26" s="411"/>
      <c r="AY26" s="411"/>
      <c r="AZ26" s="411"/>
      <c r="BA26" s="411"/>
      <c r="BB26" s="411"/>
      <c r="BC26" s="411"/>
      <c r="BD26" s="411"/>
      <c r="BE26" s="411"/>
      <c r="BF26" s="411"/>
      <c r="BG26" s="411"/>
      <c r="BH26" s="411"/>
      <c r="BI26" s="411"/>
      <c r="BJ26" s="411"/>
      <c r="BK26" s="411"/>
      <c r="BL26" s="411"/>
      <c r="BM26" s="411"/>
      <c r="BN26" s="411"/>
      <c r="BO26" s="411"/>
      <c r="BP26" s="411"/>
      <c r="BQ26" s="411"/>
      <c r="BR26" s="411"/>
      <c r="BS26" s="411"/>
      <c r="BT26" s="411"/>
      <c r="BU26" s="411"/>
      <c r="BV26" s="411"/>
      <c r="BW26" s="411"/>
      <c r="BX26" s="411"/>
      <c r="BY26" s="411"/>
      <c r="BZ26" s="411"/>
      <c r="CA26" s="411"/>
      <c r="CB26" s="411"/>
      <c r="CC26" s="411"/>
      <c r="CD26" s="411"/>
      <c r="CE26" s="411"/>
      <c r="CF26" s="411"/>
      <c r="CG26" s="411"/>
      <c r="CH26" s="411"/>
      <c r="CI26" s="411"/>
      <c r="CJ26" s="411"/>
      <c r="CK26" s="411"/>
      <c r="CL26" s="411"/>
      <c r="CM26" s="411"/>
      <c r="CN26" s="411"/>
      <c r="CO26" s="411"/>
      <c r="CP26" s="411"/>
      <c r="CQ26" s="411"/>
      <c r="CR26" s="411"/>
      <c r="CS26" s="411"/>
      <c r="CT26" s="411"/>
      <c r="CU26" s="411"/>
      <c r="CV26" s="411">
        <v>79.40000153</v>
      </c>
      <c r="CW26" s="411">
        <v>79.44999695</v>
      </c>
      <c r="CX26" s="411">
        <v>79.58000183</v>
      </c>
      <c r="CY26" s="411">
        <v>79.36000061035156</v>
      </c>
      <c r="CZ26" s="411">
        <v>78.93000030517578</v>
      </c>
      <c r="DA26" s="411">
        <v>79.08000183105469</v>
      </c>
      <c r="DB26" s="411">
        <v>78.6500015258789</v>
      </c>
      <c r="DC26" s="411">
        <v>78.76000213623047</v>
      </c>
      <c r="DD26" s="411">
        <v>78.33999633789062</v>
      </c>
      <c r="DE26" s="411">
        <v>79.37999725341797</v>
      </c>
      <c r="DF26" s="411">
        <v>80.18000030517578</v>
      </c>
      <c r="DG26" s="411">
        <v>79.66000366210938</v>
      </c>
      <c r="DH26" s="411">
        <v>79.23999786376953</v>
      </c>
      <c r="DI26" s="411">
        <v>79.95999908447266</v>
      </c>
      <c r="DJ26" s="411">
        <v>80.81</v>
      </c>
      <c r="DK26" s="411">
        <v>80.58000183105469</v>
      </c>
      <c r="DL26" s="411">
        <v>79.4000015258789</v>
      </c>
      <c r="DM26" s="411">
        <v>80.69000244140625</v>
      </c>
      <c r="DN26" s="411"/>
      <c r="DO26" s="411"/>
      <c r="DP26" s="411"/>
      <c r="DQ26" s="411"/>
      <c r="DR26" s="411"/>
      <c r="DS26" s="411"/>
      <c r="DT26" s="411"/>
      <c r="DU26" s="411"/>
      <c r="DV26" s="411"/>
      <c r="DW26" s="411"/>
      <c r="DX26" s="411"/>
      <c r="DY26" s="411"/>
      <c r="DZ26" s="411"/>
      <c r="EA26" s="411"/>
      <c r="EB26" s="411"/>
      <c r="EC26" s="411"/>
      <c r="ED26" s="411"/>
      <c r="EE26" s="411"/>
      <c r="EF26" s="411"/>
      <c r="EG26" s="411"/>
      <c r="EH26" s="411"/>
      <c r="EI26" s="411"/>
      <c r="EJ26" s="411"/>
      <c r="EK26" s="411"/>
      <c r="EL26" s="411"/>
      <c r="EM26" s="411"/>
      <c r="EN26" s="411"/>
      <c r="EO26" s="411"/>
      <c r="EP26" s="411"/>
      <c r="EQ26" s="411"/>
      <c r="ER26" s="411"/>
      <c r="ES26" s="411"/>
      <c r="ET26" s="411"/>
      <c r="EU26" s="411"/>
      <c r="EV26" s="411"/>
      <c r="EW26" s="411"/>
      <c r="EX26" s="411"/>
      <c r="EY26" s="411"/>
      <c r="EZ26" s="411"/>
      <c r="FA26" s="411"/>
      <c r="FB26" s="411"/>
      <c r="FC26" s="411"/>
      <c r="FD26" s="411"/>
      <c r="FE26" s="411"/>
      <c r="FF26" s="411"/>
      <c r="FG26" s="411"/>
      <c r="FH26" s="411"/>
      <c r="FI26" s="411"/>
      <c r="FJ26" s="411"/>
      <c r="FK26" s="411"/>
      <c r="FL26" s="411"/>
      <c r="FM26" s="411"/>
      <c r="FN26" s="411"/>
      <c r="FO26" s="411"/>
      <c r="FP26" s="411"/>
      <c r="FQ26" s="411"/>
      <c r="FR26" s="411"/>
      <c r="FS26" s="411"/>
      <c r="FT26" s="411"/>
      <c r="FU26" s="411"/>
      <c r="FV26" s="411"/>
      <c r="FW26" s="411"/>
      <c r="FX26" s="411"/>
      <c r="FY26" s="411"/>
      <c r="FZ26" s="411"/>
      <c r="GA26" s="411"/>
      <c r="GB26" s="411"/>
      <c r="GC26" s="411"/>
      <c r="GD26" s="411"/>
      <c r="GE26" s="411"/>
      <c r="GF26" s="411"/>
      <c r="GG26" s="411"/>
      <c r="GH26" s="411"/>
      <c r="GI26" s="411"/>
      <c r="GJ26" s="411"/>
      <c r="GK26" s="411"/>
      <c r="GL26" s="411"/>
      <c r="GM26" s="411"/>
      <c r="GN26" s="411"/>
      <c r="GO26" s="411"/>
      <c r="GP26" s="411"/>
      <c r="GQ26" s="411"/>
      <c r="GR26" s="411"/>
      <c r="GS26" s="411"/>
      <c r="GT26" s="411"/>
      <c r="GU26" s="411"/>
      <c r="GV26" s="411"/>
      <c r="GW26" s="411"/>
      <c r="GX26" s="411"/>
      <c r="GY26" s="411"/>
      <c r="GZ26" s="411"/>
      <c r="HA26" s="411"/>
      <c r="HB26" s="411"/>
      <c r="HC26" s="411"/>
      <c r="HD26" s="411"/>
      <c r="HE26" s="411"/>
      <c r="HF26" s="411"/>
      <c r="HG26" s="411"/>
      <c r="HH26" s="411"/>
      <c r="HI26" s="411"/>
      <c r="HJ26" s="411"/>
      <c r="HK26" s="411"/>
      <c r="HL26" s="411"/>
      <c r="HM26" s="411"/>
      <c r="HN26" s="411"/>
      <c r="HO26" s="411"/>
      <c r="HP26" s="411"/>
      <c r="HQ26" s="411"/>
      <c r="HR26" s="411"/>
      <c r="HS26" s="411"/>
      <c r="HT26" s="411"/>
      <c r="HU26" s="411"/>
      <c r="HV26" s="411"/>
      <c r="HW26" s="411"/>
      <c r="HX26" s="411"/>
      <c r="HY26" s="411"/>
      <c r="HZ26" s="411"/>
      <c r="IA26" s="411"/>
      <c r="IB26" s="411"/>
      <c r="IC26" s="411"/>
      <c r="ID26" s="411"/>
      <c r="IE26" s="411"/>
      <c r="IF26" s="411"/>
      <c r="IG26" s="411"/>
      <c r="IH26" s="411"/>
      <c r="II26" s="411"/>
      <c r="IJ26" s="411"/>
      <c r="IK26" s="411"/>
      <c r="IL26" s="411"/>
      <c r="IM26" s="411"/>
      <c r="IN26" s="411"/>
      <c r="IO26" s="411"/>
      <c r="IP26" s="411"/>
      <c r="IQ26" s="411"/>
      <c r="IR26" s="411"/>
      <c r="IS26" s="411"/>
      <c r="IT26" s="411"/>
      <c r="IU26" s="411"/>
      <c r="IV26" s="411"/>
      <c r="IW26" s="411"/>
      <c r="IX26" s="411"/>
      <c r="IY26" s="411"/>
      <c r="IZ26" s="411"/>
      <c r="JA26" s="411"/>
      <c r="JB26" s="411"/>
      <c r="JC26" s="411"/>
      <c r="JD26" s="411"/>
      <c r="JE26" s="411"/>
      <c r="JF26" s="411"/>
      <c r="JG26" s="411"/>
      <c r="JH26" s="411"/>
      <c r="JI26" s="411"/>
      <c r="JJ26" s="411"/>
      <c r="JK26" s="411"/>
      <c r="JL26" s="411"/>
      <c r="JM26" s="411"/>
      <c r="JN26" s="411"/>
      <c r="JO26" s="411"/>
      <c r="JP26" s="411"/>
      <c r="JQ26" s="411"/>
      <c r="JR26" s="411"/>
      <c r="JS26" s="411"/>
      <c r="JT26" s="411"/>
      <c r="JU26" s="411"/>
      <c r="JV26" s="411"/>
      <c r="JW26" s="411"/>
      <c r="JX26" s="411"/>
      <c r="JY26" s="411"/>
      <c r="JZ26" s="411"/>
      <c r="KA26" s="411"/>
      <c r="KB26" s="411"/>
      <c r="KC26" s="411"/>
      <c r="KD26" s="411"/>
      <c r="KE26" s="411"/>
      <c r="KF26" s="411"/>
      <c r="KG26" s="411"/>
      <c r="KH26" s="411"/>
      <c r="KI26" s="411"/>
      <c r="KJ26" s="411"/>
      <c r="KK26" s="411"/>
      <c r="KL26" s="411"/>
      <c r="KM26" s="411"/>
      <c r="KN26" s="411"/>
      <c r="KO26" s="411"/>
      <c r="KP26" s="411"/>
      <c r="KQ26" s="411"/>
      <c r="KR26" s="411"/>
      <c r="KS26" s="411"/>
      <c r="KT26" s="411"/>
      <c r="KU26" s="411"/>
      <c r="KV26" s="411"/>
      <c r="KW26" s="411"/>
      <c r="KX26" s="411"/>
      <c r="KY26" s="411"/>
      <c r="KZ26" s="411"/>
      <c r="LA26" s="411"/>
      <c r="LB26" s="411"/>
      <c r="LC26" s="411"/>
      <c r="LD26" s="411"/>
      <c r="LE26" s="411"/>
      <c r="LF26" s="411"/>
      <c r="LG26" s="411"/>
      <c r="LH26" s="411"/>
      <c r="LI26" s="411"/>
      <c r="LJ26" s="411"/>
      <c r="LK26" s="411"/>
      <c r="LL26" s="411"/>
      <c r="LM26" s="411"/>
      <c r="LN26" s="411"/>
      <c r="LO26" s="411"/>
      <c r="LP26" s="411"/>
      <c r="LQ26" s="411"/>
      <c r="LR26" s="411"/>
      <c r="LS26" s="411"/>
      <c r="LT26" s="411"/>
      <c r="LU26" s="411"/>
      <c r="LV26" s="411"/>
      <c r="LW26" s="411"/>
      <c r="LX26" s="411"/>
      <c r="LY26" s="411"/>
      <c r="LZ26" s="411"/>
      <c r="MA26" s="411"/>
      <c r="MB26" s="411"/>
      <c r="MC26" s="411"/>
      <c r="MD26" s="411"/>
      <c r="ME26" s="411"/>
      <c r="MF26" s="411"/>
      <c r="MG26" s="411"/>
      <c r="MH26" s="411"/>
      <c r="MI26" s="411"/>
      <c r="MJ26" s="411"/>
      <c r="MK26" s="411"/>
      <c r="ML26" s="411"/>
      <c r="MM26" s="411"/>
      <c r="MN26" s="411"/>
      <c r="MO26" s="411"/>
      <c r="MP26" s="411"/>
      <c r="MQ26" s="411"/>
      <c r="MR26" s="411"/>
      <c r="MS26" s="411"/>
      <c r="MT26" s="411"/>
      <c r="MU26" s="411"/>
      <c r="MV26" s="411"/>
      <c r="MW26" s="411"/>
      <c r="MX26" s="411"/>
      <c r="MY26" s="411"/>
      <c r="MZ26" s="411"/>
      <c r="NA26" s="411"/>
      <c r="NB26" s="411"/>
      <c r="NC26" s="411"/>
      <c r="ND26" s="411"/>
      <c r="NE26" s="411"/>
      <c r="NF26" s="411"/>
      <c r="NG26" s="411"/>
      <c r="NH26" s="411"/>
      <c r="NI26" s="411"/>
      <c r="NJ26" s="411"/>
      <c r="NK26" s="411"/>
      <c r="NL26" s="411"/>
      <c r="NM26" s="411"/>
      <c r="NN26" s="411"/>
      <c r="NO26" s="411"/>
      <c r="NP26" s="411"/>
      <c r="NQ26" s="411"/>
      <c r="NR26" s="411"/>
      <c r="NS26" s="411"/>
      <c r="NT26" s="411"/>
      <c r="NU26" s="411"/>
      <c r="NV26" s="411"/>
      <c r="NW26" s="411"/>
      <c r="NX26" s="411"/>
      <c r="NY26" s="411"/>
      <c r="NZ26" s="411"/>
      <c r="OA26" s="411"/>
      <c r="OB26" s="411"/>
      <c r="OC26" s="411"/>
      <c r="OD26" s="411"/>
      <c r="OE26" s="411"/>
      <c r="OF26" s="411"/>
      <c r="OG26" s="411"/>
      <c r="OH26" s="411"/>
      <c r="OI26" s="411"/>
      <c r="OJ26" s="411"/>
      <c r="OK26" s="411"/>
      <c r="OL26" s="411"/>
      <c r="OM26" s="411"/>
      <c r="ON26" s="411"/>
      <c r="OO26" s="411"/>
      <c r="OP26" s="411"/>
      <c r="OQ26" s="411"/>
      <c r="OR26" s="411"/>
      <c r="OS26" s="411"/>
      <c r="OT26" s="411"/>
      <c r="OU26" s="411"/>
      <c r="OV26" s="411"/>
      <c r="OW26" s="411"/>
      <c r="OX26" s="411"/>
      <c r="OY26" s="411"/>
      <c r="OZ26" s="411"/>
      <c r="PA26" s="411"/>
      <c r="PB26" s="411"/>
      <c r="PC26" s="411"/>
      <c r="PD26" s="411"/>
      <c r="PE26" s="411"/>
      <c r="PF26" s="411"/>
      <c r="PG26" s="411"/>
      <c r="PH26" s="411"/>
      <c r="PI26" s="411"/>
      <c r="PJ26" s="411"/>
      <c r="PK26" s="411"/>
      <c r="PL26" s="411"/>
      <c r="PM26" s="411"/>
      <c r="PN26" s="411"/>
      <c r="PO26" s="411"/>
      <c r="PP26" s="411"/>
      <c r="PQ26" s="411"/>
      <c r="PR26" s="411"/>
      <c r="PS26" s="411"/>
      <c r="PT26" s="411"/>
      <c r="PU26" s="411"/>
      <c r="PV26" s="411"/>
      <c r="PW26" s="411"/>
      <c r="PX26" s="411"/>
      <c r="PY26" s="411"/>
      <c r="PZ26" s="411"/>
      <c r="QA26" s="411"/>
      <c r="QB26" s="411"/>
      <c r="QC26" s="411"/>
      <c r="QD26" s="411"/>
      <c r="QE26" s="411"/>
      <c r="QF26" s="411"/>
      <c r="QG26" s="411"/>
      <c r="QH26" s="411"/>
      <c r="QI26" s="411"/>
      <c r="QJ26" s="411"/>
      <c r="QK26" s="411"/>
      <c r="QL26" s="411"/>
      <c r="QM26" s="411"/>
      <c r="QN26" s="411"/>
      <c r="QO26" s="411"/>
      <c r="QP26" s="411"/>
      <c r="QQ26" s="411"/>
      <c r="QR26" s="411"/>
      <c r="QS26" s="411"/>
      <c r="QT26" s="411"/>
      <c r="QU26" s="411"/>
      <c r="QV26" s="411"/>
      <c r="QW26" s="411"/>
      <c r="QX26" s="411"/>
      <c r="QY26" s="411"/>
      <c r="QZ26" s="411"/>
      <c r="RA26" s="411"/>
      <c r="RB26" s="411"/>
      <c r="RC26" s="411"/>
      <c r="RD26" s="411"/>
      <c r="RE26" s="411"/>
      <c r="RF26" s="411"/>
      <c r="RG26" s="411"/>
      <c r="RH26" s="411"/>
      <c r="RI26" s="411"/>
      <c r="RJ26" s="411"/>
      <c r="RK26" s="411"/>
      <c r="RL26" s="411"/>
      <c r="RM26" s="411"/>
      <c r="RN26" s="411"/>
      <c r="RO26" s="411"/>
      <c r="RP26" s="411"/>
      <c r="RQ26" s="411"/>
      <c r="RR26" s="411"/>
      <c r="RS26" s="411"/>
      <c r="RT26" s="411"/>
      <c r="RU26" s="411"/>
      <c r="RV26" s="411"/>
      <c r="RW26" s="411"/>
      <c r="RX26" s="411"/>
      <c r="RY26" s="411"/>
      <c r="RZ26" s="411"/>
      <c r="SA26" s="411"/>
      <c r="SB26" s="411"/>
      <c r="SC26" s="411"/>
      <c r="SD26" s="411"/>
      <c r="SE26" s="411"/>
      <c r="SF26" s="411"/>
      <c r="SG26" s="411"/>
      <c r="SH26" s="411"/>
      <c r="SI26" s="411"/>
      <c r="SJ26" s="411"/>
      <c r="SK26" s="411"/>
      <c r="SL26" s="411"/>
      <c r="SM26" s="411"/>
      <c r="SN26" s="411"/>
      <c r="SO26" s="411"/>
      <c r="SP26" s="411"/>
      <c r="SQ26" s="411"/>
      <c r="SR26" s="411"/>
      <c r="SS26" s="411"/>
      <c r="ST26" s="411"/>
      <c r="SU26" s="411"/>
      <c r="SV26" s="411"/>
      <c r="SW26" s="411"/>
      <c r="SX26" s="411"/>
      <c r="SY26" s="411"/>
      <c r="SZ26" s="411"/>
      <c r="TA26" s="411"/>
      <c r="TB26" s="411"/>
      <c r="TC26" s="411"/>
      <c r="TD26" s="411"/>
      <c r="TE26" s="411"/>
      <c r="TF26" s="411"/>
      <c r="TG26" s="411"/>
      <c r="TH26" s="411"/>
      <c r="TI26" s="411"/>
      <c r="TJ26" s="411"/>
      <c r="TK26" s="411"/>
      <c r="TL26" s="411"/>
      <c r="TM26" s="411"/>
      <c r="TN26" s="411"/>
      <c r="TO26" s="411"/>
      <c r="TP26" s="411"/>
      <c r="TQ26" s="411"/>
      <c r="TR26" s="411"/>
      <c r="TS26" s="411"/>
      <c r="TT26" s="411"/>
      <c r="TU26" s="411"/>
      <c r="TV26" s="411"/>
      <c r="TW26" s="411"/>
      <c r="TX26" s="411"/>
      <c r="TY26" s="411"/>
      <c r="TZ26" s="411"/>
      <c r="UA26" s="411"/>
      <c r="UB26" s="411"/>
      <c r="UC26" s="411"/>
      <c r="UD26" s="411"/>
      <c r="UE26" s="411"/>
      <c r="UF26" s="411"/>
      <c r="UG26" s="411"/>
      <c r="UH26" s="411"/>
      <c r="UI26" s="411"/>
      <c r="UJ26" s="411"/>
      <c r="UK26" s="411"/>
      <c r="UL26" s="411"/>
      <c r="UM26" s="411"/>
      <c r="UN26" s="411"/>
      <c r="UO26" s="411"/>
      <c r="UP26" s="411"/>
      <c r="UQ26" s="411"/>
      <c r="UR26" s="411"/>
      <c r="US26" s="411"/>
      <c r="UT26" s="411"/>
      <c r="UU26" s="411"/>
      <c r="UV26" s="411"/>
      <c r="UW26" s="411"/>
      <c r="UX26" s="411"/>
      <c r="UY26" s="411"/>
      <c r="UZ26" s="411"/>
      <c r="VA26" s="411"/>
      <c r="VB26" s="411"/>
      <c r="VC26" s="411"/>
      <c r="VD26" s="411"/>
      <c r="VE26" s="411"/>
      <c r="VF26" s="411"/>
      <c r="VG26" s="411"/>
      <c r="VH26" s="411"/>
      <c r="VI26" s="411"/>
      <c r="VJ26" s="411"/>
      <c r="VK26" s="411"/>
      <c r="VL26" s="411"/>
      <c r="VM26" s="411"/>
      <c r="VN26" s="411"/>
      <c r="VO26" s="411"/>
      <c r="VP26" s="411"/>
      <c r="VQ26" s="411"/>
      <c r="VR26" s="411"/>
      <c r="VS26" s="411"/>
      <c r="VT26" s="411"/>
      <c r="VU26" s="411"/>
      <c r="VV26" s="411"/>
      <c r="VW26" s="411"/>
      <c r="VX26" s="411"/>
      <c r="VY26" s="411"/>
      <c r="VZ26" s="411"/>
      <c r="WA26" s="411"/>
      <c r="WB26" s="411"/>
      <c r="WC26" s="411"/>
      <c r="WD26" s="411"/>
      <c r="WE26" s="411"/>
      <c r="WF26" s="411"/>
      <c r="WG26" s="411"/>
      <c r="WH26" s="411"/>
      <c r="WI26" s="411"/>
      <c r="WJ26" s="411"/>
      <c r="WK26" s="411"/>
      <c r="WL26" s="411"/>
      <c r="WM26" s="411"/>
      <c r="WN26" s="411"/>
      <c r="WO26" s="411"/>
      <c r="WP26" s="411"/>
      <c r="WQ26" s="411"/>
      <c r="WR26" s="411"/>
      <c r="WS26" s="411"/>
      <c r="WT26" s="411"/>
      <c r="WU26" s="411"/>
      <c r="WV26" s="411"/>
      <c r="WW26" s="411"/>
      <c r="WX26" s="411"/>
      <c r="WY26" s="411"/>
      <c r="WZ26" s="411"/>
      <c r="XA26" s="411"/>
      <c r="XB26" s="411"/>
      <c r="XC26" s="411"/>
      <c r="XD26" s="411"/>
      <c r="XE26" s="411"/>
      <c r="XF26" s="411"/>
      <c r="XG26" s="411"/>
      <c r="XH26" s="411"/>
      <c r="XI26" s="411"/>
      <c r="XJ26" s="411"/>
      <c r="XK26" s="411"/>
      <c r="XL26" s="411"/>
      <c r="XM26" s="411"/>
      <c r="XN26" s="411"/>
      <c r="XO26" s="411"/>
      <c r="XP26" s="411"/>
      <c r="XQ26" s="411"/>
      <c r="XR26" s="411"/>
      <c r="XS26" s="411"/>
      <c r="XT26" s="411"/>
      <c r="XU26" s="411"/>
      <c r="XV26" s="411"/>
      <c r="XW26" s="411"/>
      <c r="XX26" s="411"/>
      <c r="XY26" s="411"/>
      <c r="XZ26" s="411"/>
      <c r="YA26" s="411"/>
      <c r="YB26" s="411"/>
      <c r="YC26" s="411"/>
      <c r="YD26" s="411"/>
      <c r="YE26" s="411"/>
      <c r="YF26" s="411"/>
      <c r="YG26" s="411"/>
      <c r="YH26" s="411"/>
      <c r="YI26" s="411"/>
      <c r="YJ26" s="411"/>
      <c r="YK26" s="411"/>
      <c r="YL26" s="411"/>
      <c r="YM26" s="411"/>
      <c r="YN26" s="411"/>
      <c r="YO26" s="411"/>
      <c r="YP26" s="411"/>
      <c r="YQ26" s="411"/>
      <c r="YR26" s="411"/>
      <c r="YS26" s="411"/>
      <c r="YT26" s="411"/>
      <c r="YU26" s="411"/>
      <c r="YV26" s="411"/>
      <c r="YW26" s="411"/>
      <c r="YX26" s="411"/>
      <c r="YY26" s="411"/>
      <c r="YZ26" s="411"/>
      <c r="ZA26" s="411"/>
      <c r="ZB26" s="411"/>
      <c r="ZC26" s="411"/>
      <c r="ZD26" s="411"/>
      <c r="ZE26" s="411"/>
      <c r="ZF26" s="411"/>
      <c r="ZG26" s="411"/>
      <c r="ZH26" s="411"/>
      <c r="ZI26" s="411"/>
      <c r="ZJ26" s="411"/>
      <c r="ZK26" s="411"/>
      <c r="ZL26" s="411"/>
      <c r="ZM26" s="411"/>
      <c r="ZN26" s="411"/>
      <c r="ZO26" s="411"/>
      <c r="ZP26" s="411"/>
      <c r="ZQ26" s="411"/>
      <c r="ZR26" s="411"/>
      <c r="ZS26" s="411"/>
      <c r="ZT26" s="411"/>
      <c r="ZU26" s="411"/>
      <c r="ZV26" s="411"/>
      <c r="ZW26" s="411"/>
      <c r="ZX26" s="411"/>
      <c r="ZY26" s="411"/>
      <c r="ZZ26" s="411"/>
      <c r="AAA26" s="411"/>
      <c r="AAB26" s="411"/>
      <c r="AAC26" s="411"/>
      <c r="AAD26" s="411"/>
      <c r="AAE26" s="411"/>
      <c r="AAF26" s="411"/>
      <c r="AAG26" s="411"/>
      <c r="AAH26" s="411"/>
      <c r="AAI26" s="411"/>
      <c r="AAJ26" s="411"/>
      <c r="AAK26" s="411"/>
      <c r="AAL26" s="411"/>
      <c r="AAM26" s="411"/>
      <c r="AAN26" s="411"/>
      <c r="AAO26" s="411"/>
      <c r="AAP26" s="411"/>
      <c r="AAQ26" s="411"/>
      <c r="AAR26" s="411"/>
      <c r="AAS26" s="411"/>
      <c r="AAT26" s="411"/>
      <c r="AAU26" s="411"/>
      <c r="AAV26" s="411"/>
      <c r="AAW26" s="411"/>
      <c r="AAX26" s="411"/>
      <c r="AAY26" s="411"/>
      <c r="AAZ26" s="411"/>
      <c r="ABA26" s="411"/>
      <c r="ABB26" s="411"/>
      <c r="ABC26" s="411"/>
      <c r="ABD26" s="411"/>
      <c r="ABE26" s="411"/>
      <c r="ABF26" s="411"/>
      <c r="ABG26" s="411"/>
      <c r="ABH26" s="411"/>
      <c r="ABI26" s="411"/>
      <c r="ABJ26" s="411"/>
      <c r="ABK26" s="411"/>
      <c r="ABL26" s="411"/>
      <c r="ABM26" s="411"/>
      <c r="ABN26" s="411"/>
      <c r="ABO26" s="411"/>
      <c r="ABP26" s="411"/>
      <c r="ABQ26" s="411"/>
      <c r="ABR26" s="411"/>
      <c r="ABS26" s="411"/>
      <c r="ABT26" s="411"/>
      <c r="ABU26" s="411"/>
      <c r="ABV26" s="411"/>
      <c r="ABW26" s="411"/>
      <c r="ABX26" s="411"/>
      <c r="ABY26" s="411"/>
      <c r="ABZ26" s="411"/>
      <c r="ACA26" s="411"/>
      <c r="ACB26" s="411"/>
      <c r="ACC26" s="411"/>
      <c r="ACD26" s="411"/>
      <c r="ACE26" s="411"/>
      <c r="ACF26" s="411"/>
      <c r="ACG26" s="411"/>
      <c r="ACH26" s="411"/>
      <c r="ACI26" s="411"/>
      <c r="ACJ26" s="411"/>
      <c r="ACK26" s="411"/>
      <c r="ACL26" s="411"/>
      <c r="ACM26" s="411"/>
      <c r="ACN26" s="411"/>
      <c r="ACO26" s="411"/>
      <c r="ACP26" s="411"/>
      <c r="ACQ26" s="411"/>
      <c r="ACR26" s="411"/>
      <c r="ACS26" s="411"/>
      <c r="ACT26" s="411"/>
      <c r="ACU26" s="411"/>
      <c r="ACV26" s="411"/>
      <c r="ACW26" s="411"/>
      <c r="ACX26" s="411"/>
      <c r="ACY26" s="411"/>
      <c r="ACZ26" s="411"/>
      <c r="ADA26" s="411"/>
      <c r="ADB26" s="411"/>
      <c r="ADC26" s="411"/>
      <c r="ADD26" s="411"/>
      <c r="ADE26" s="411"/>
      <c r="ADF26" s="411"/>
      <c r="ADG26" s="411"/>
      <c r="ADH26" s="411"/>
      <c r="ADI26" s="411"/>
      <c r="ADJ26" s="411"/>
      <c r="ADK26" s="411"/>
      <c r="ADL26" s="411"/>
      <c r="ADM26" s="411"/>
      <c r="ADN26" s="411"/>
      <c r="ADO26" s="411"/>
      <c r="ADP26" s="411"/>
      <c r="ADQ26" s="411"/>
      <c r="ADR26" s="411"/>
      <c r="ADS26" s="411"/>
      <c r="ADT26" s="411"/>
      <c r="ADU26" s="411"/>
      <c r="ADV26" s="411"/>
      <c r="ADW26" s="411"/>
      <c r="ADX26" s="411"/>
      <c r="ADY26" s="411"/>
      <c r="ADZ26" s="411"/>
      <c r="AEA26" s="411"/>
      <c r="AEB26" s="411"/>
      <c r="AEC26" s="411"/>
      <c r="AED26" s="411"/>
      <c r="AEE26" s="411"/>
      <c r="AEF26" s="411"/>
      <c r="AEG26" s="411"/>
      <c r="AEH26" s="411"/>
      <c r="AEI26" s="411"/>
      <c r="AEJ26" s="411"/>
      <c r="AEK26" s="411"/>
      <c r="AEL26" s="411"/>
      <c r="AEM26" s="411"/>
      <c r="AEN26" s="411"/>
      <c r="AEO26" s="411"/>
      <c r="AEP26" s="411"/>
      <c r="AEQ26" s="411"/>
      <c r="AER26" s="411"/>
      <c r="AES26" s="411"/>
      <c r="AET26" s="411"/>
      <c r="AEU26" s="411"/>
      <c r="AEV26" s="411"/>
      <c r="AEW26" s="411"/>
      <c r="AEX26" s="411"/>
      <c r="AEY26" s="411"/>
      <c r="AEZ26" s="411"/>
      <c r="AFA26" s="411"/>
      <c r="AFB26" s="411"/>
      <c r="AFC26" s="411"/>
      <c r="AFD26" s="411"/>
      <c r="AFE26" s="411"/>
      <c r="AFF26" s="411"/>
      <c r="AFG26" s="411"/>
      <c r="AFH26" s="411"/>
      <c r="AFI26" s="411"/>
      <c r="AFJ26" s="411"/>
      <c r="AFK26" s="411"/>
      <c r="AFL26" s="411"/>
      <c r="AFM26" s="411"/>
      <c r="AFN26" s="411"/>
      <c r="AFO26" s="411"/>
      <c r="AFP26" s="411"/>
      <c r="AFQ26" s="411"/>
      <c r="AFR26" s="411"/>
      <c r="AFS26" s="411"/>
      <c r="AFT26" s="411"/>
      <c r="AFU26" s="411"/>
      <c r="AFV26" s="411"/>
      <c r="AFW26" s="411"/>
      <c r="AFX26" s="411"/>
      <c r="AFY26" s="411"/>
      <c r="AFZ26" s="411"/>
      <c r="AGA26" s="411"/>
      <c r="AGB26" s="411"/>
      <c r="AGC26" s="411"/>
      <c r="AGD26" s="411"/>
      <c r="AGE26" s="411"/>
      <c r="AGF26" s="411"/>
      <c r="AGG26" s="411"/>
      <c r="AGH26" s="411"/>
      <c r="AGI26" s="411"/>
      <c r="AGJ26" s="411"/>
      <c r="AGK26" s="411"/>
      <c r="AGL26" s="411"/>
      <c r="AGM26" s="411"/>
      <c r="AGN26" s="411"/>
      <c r="AGO26" s="411"/>
      <c r="AGP26" s="411"/>
      <c r="AGQ26" s="411"/>
      <c r="AGR26" s="411"/>
      <c r="AGS26" s="411"/>
      <c r="AGT26" s="411"/>
      <c r="AGU26" s="411"/>
      <c r="AGV26" s="411"/>
      <c r="AGW26" s="411"/>
      <c r="AGX26" s="411"/>
      <c r="AGY26" s="411"/>
      <c r="AGZ26" s="411"/>
      <c r="AHA26" s="411"/>
      <c r="AHB26" s="411"/>
      <c r="AHC26" s="411"/>
      <c r="AHD26" s="411"/>
      <c r="AHE26" s="411"/>
      <c r="AHF26" s="411"/>
      <c r="AHG26" s="411"/>
      <c r="AHH26" s="411"/>
      <c r="AHI26" s="411"/>
      <c r="AHJ26" s="411"/>
      <c r="AHK26" s="411"/>
      <c r="AHL26" s="411"/>
      <c r="AHM26" s="411"/>
      <c r="AHN26" s="411"/>
      <c r="AHO26" s="411"/>
      <c r="AHP26" s="411"/>
      <c r="AHQ26" s="411"/>
      <c r="AHR26" s="411"/>
      <c r="AHS26" s="411"/>
      <c r="AHT26" s="411"/>
      <c r="AHU26" s="411"/>
      <c r="AHV26" s="411"/>
      <c r="AHW26" s="411"/>
      <c r="AHX26" s="411"/>
      <c r="AHY26" s="411"/>
      <c r="AHZ26" s="411"/>
      <c r="AIA26" s="411"/>
      <c r="AIB26" s="411"/>
      <c r="AIC26" s="411"/>
      <c r="AID26" s="411"/>
      <c r="AIE26" s="411"/>
      <c r="AIF26" s="411"/>
      <c r="AIG26" s="411"/>
      <c r="AIH26" s="411"/>
      <c r="AII26" s="411"/>
      <c r="AIJ26" s="411"/>
      <c r="AIK26" s="411"/>
      <c r="AIL26" s="411"/>
      <c r="AIM26" s="411"/>
      <c r="AIN26" s="411"/>
      <c r="AIO26" s="411"/>
      <c r="AIP26" s="411"/>
      <c r="AIQ26" s="411"/>
      <c r="AIR26" s="411"/>
      <c r="AIS26" s="411"/>
      <c r="AIT26" s="411"/>
      <c r="AIU26" s="411"/>
      <c r="AIV26" s="411"/>
      <c r="AIW26" s="411"/>
      <c r="AIX26" s="411"/>
      <c r="AIY26" s="411"/>
      <c r="AIZ26" s="411"/>
      <c r="AJA26" s="411"/>
      <c r="AJB26" s="411"/>
      <c r="AJC26" s="411"/>
      <c r="AJD26" s="411"/>
      <c r="AJE26" s="411"/>
      <c r="AJF26" s="411"/>
      <c r="AJG26" s="411"/>
      <c r="AJH26" s="411"/>
      <c r="AJI26" s="411"/>
      <c r="AJJ26" s="411"/>
      <c r="AJK26" s="411"/>
      <c r="AJL26" s="411"/>
      <c r="AJM26" s="411"/>
      <c r="AJN26" s="411"/>
      <c r="AJO26" s="411"/>
      <c r="AJP26" s="411"/>
      <c r="AJQ26" s="411"/>
      <c r="AJR26" s="411"/>
      <c r="AJS26" s="411"/>
      <c r="AJT26" s="411"/>
      <c r="AJU26" s="411"/>
      <c r="AJV26" s="411"/>
      <c r="AJW26" s="411"/>
      <c r="AJX26" s="411"/>
      <c r="AJY26" s="411"/>
      <c r="AJZ26" s="411"/>
      <c r="AKA26" s="411"/>
      <c r="AKB26" s="411"/>
      <c r="AKC26" s="411"/>
      <c r="AKD26" s="411"/>
      <c r="AKE26" s="411"/>
      <c r="AKF26" s="411"/>
      <c r="AKG26" s="411"/>
      <c r="AKH26" s="411"/>
      <c r="AKI26" s="411"/>
      <c r="AKJ26" s="411"/>
      <c r="AKK26" s="411"/>
      <c r="AKL26" s="411"/>
      <c r="AKM26" s="411"/>
      <c r="AKN26" s="411"/>
      <c r="AKO26" s="411"/>
      <c r="AKP26" s="411"/>
      <c r="AKQ26" s="411"/>
      <c r="AKR26" s="411"/>
      <c r="AKS26" s="411"/>
      <c r="AKT26" s="411"/>
    </row>
    <row r="27" ht="15.75" customHeight="1">
      <c r="A27" s="411"/>
      <c r="B27" s="411"/>
      <c r="C27" s="411"/>
      <c r="D27" s="411"/>
      <c r="E27" s="411"/>
      <c r="F27" s="411"/>
      <c r="G27" s="411"/>
      <c r="H27" s="411"/>
      <c r="I27" s="411"/>
      <c r="J27" s="411"/>
      <c r="K27" s="411"/>
      <c r="L27" s="411"/>
      <c r="M27" s="411"/>
      <c r="N27" s="411"/>
      <c r="O27" s="411"/>
      <c r="P27" s="411"/>
      <c r="Q27" s="411"/>
      <c r="R27" s="411"/>
      <c r="S27" s="411"/>
      <c r="T27" s="411"/>
      <c r="U27" s="411"/>
      <c r="V27" s="411"/>
      <c r="W27" s="411"/>
    </row>
    <row r="28" ht="15.75" customHeight="1">
      <c r="A28" s="411"/>
      <c r="B28" s="411"/>
      <c r="C28" s="411"/>
      <c r="D28" s="411"/>
      <c r="E28" s="411"/>
      <c r="F28" s="411"/>
      <c r="G28" s="411"/>
      <c r="H28" s="411"/>
      <c r="I28" s="411"/>
      <c r="J28" s="411"/>
      <c r="K28" s="411"/>
      <c r="L28" s="411"/>
      <c r="M28" s="411"/>
      <c r="N28" s="411"/>
      <c r="O28" s="411"/>
      <c r="P28" s="411"/>
      <c r="Q28" s="411"/>
      <c r="R28" s="411"/>
      <c r="S28" s="411"/>
      <c r="T28" s="411"/>
      <c r="U28" s="411"/>
      <c r="V28" s="411"/>
      <c r="W28" s="411"/>
    </row>
    <row r="29" ht="15.75" customHeight="1">
      <c r="A29" s="411"/>
      <c r="B29" s="411"/>
      <c r="C29" s="411"/>
      <c r="D29" s="411"/>
      <c r="E29" s="411"/>
      <c r="F29" s="411"/>
      <c r="G29" s="411"/>
      <c r="H29" s="411"/>
      <c r="I29" s="411"/>
      <c r="J29" s="411"/>
      <c r="K29" s="411"/>
      <c r="L29" s="411"/>
      <c r="M29" s="411"/>
      <c r="N29" s="411"/>
      <c r="O29" s="411"/>
      <c r="P29" s="411"/>
      <c r="Q29" s="411"/>
      <c r="R29" s="411"/>
      <c r="S29" s="411"/>
      <c r="T29" s="411"/>
      <c r="U29" s="411"/>
      <c r="V29" s="411"/>
      <c r="W29" s="411"/>
    </row>
    <row r="30" ht="15.75" customHeight="1">
      <c r="A30" s="411"/>
      <c r="B30" s="411"/>
      <c r="C30" s="411"/>
      <c r="D30" s="411"/>
      <c r="E30" s="411"/>
      <c r="F30" s="411"/>
      <c r="G30" s="411"/>
      <c r="H30" s="411"/>
      <c r="I30" s="411"/>
      <c r="J30" s="411"/>
      <c r="K30" s="411"/>
      <c r="L30" s="411"/>
      <c r="M30" s="411"/>
      <c r="N30" s="411"/>
      <c r="O30" s="411"/>
      <c r="P30" s="411"/>
      <c r="Q30" s="411"/>
      <c r="R30" s="411"/>
      <c r="S30" s="411"/>
      <c r="T30" s="411"/>
      <c r="U30" s="411"/>
      <c r="V30" s="411"/>
      <c r="W30" s="411"/>
    </row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88" width="8.63"/>
  </cols>
  <sheetData>
    <row r="1">
      <c r="B1" s="565" t="s">
        <v>157</v>
      </c>
      <c r="C1" s="565" t="s">
        <v>15</v>
      </c>
      <c r="D1" s="565" t="s">
        <v>149</v>
      </c>
      <c r="E1" s="565" t="s">
        <v>36</v>
      </c>
      <c r="F1" s="565" t="s">
        <v>84</v>
      </c>
      <c r="G1" s="565" t="s">
        <v>153</v>
      </c>
      <c r="H1" s="565" t="s">
        <v>96</v>
      </c>
      <c r="I1" s="565" t="s">
        <v>23</v>
      </c>
      <c r="J1" s="565" t="s">
        <v>121</v>
      </c>
      <c r="K1" s="565" t="s">
        <v>126</v>
      </c>
      <c r="L1" s="565" t="s">
        <v>165</v>
      </c>
      <c r="M1" s="565" t="s">
        <v>32</v>
      </c>
      <c r="N1" s="565" t="s">
        <v>107</v>
      </c>
      <c r="O1" s="565" t="s">
        <v>159</v>
      </c>
      <c r="P1" s="565" t="s">
        <v>17</v>
      </c>
      <c r="Q1" s="565" t="s">
        <v>119</v>
      </c>
      <c r="R1" s="565" t="s">
        <v>161</v>
      </c>
      <c r="S1" s="565" t="s">
        <v>73</v>
      </c>
      <c r="T1" s="565" t="s">
        <v>65</v>
      </c>
      <c r="U1" s="565" t="s">
        <v>167</v>
      </c>
      <c r="V1" s="565" t="s">
        <v>74</v>
      </c>
      <c r="W1" s="565" t="s">
        <v>72</v>
      </c>
      <c r="X1" s="565" t="s">
        <v>120</v>
      </c>
      <c r="Y1" s="565" t="s">
        <v>133</v>
      </c>
      <c r="Z1" s="565" t="s">
        <v>137</v>
      </c>
      <c r="AA1" s="565" t="s">
        <v>77</v>
      </c>
      <c r="AB1" s="565" t="s">
        <v>95</v>
      </c>
      <c r="AC1" s="565" t="s">
        <v>127</v>
      </c>
      <c r="AD1" s="565" t="s">
        <v>136</v>
      </c>
      <c r="AE1" s="565" t="s">
        <v>171</v>
      </c>
      <c r="AF1" s="565" t="s">
        <v>169</v>
      </c>
      <c r="AG1" s="565" t="s">
        <v>130</v>
      </c>
      <c r="AH1" s="565" t="s">
        <v>99</v>
      </c>
      <c r="AI1" s="565" t="s">
        <v>38</v>
      </c>
      <c r="AJ1" s="565" t="s">
        <v>92</v>
      </c>
      <c r="AK1" s="565" t="s">
        <v>132</v>
      </c>
      <c r="AL1" s="565" t="s">
        <v>75</v>
      </c>
      <c r="AM1" s="565" t="s">
        <v>70</v>
      </c>
      <c r="AN1" s="565" t="s">
        <v>40</v>
      </c>
      <c r="AO1" s="565" t="s">
        <v>44</v>
      </c>
      <c r="AP1" s="565" t="s">
        <v>86</v>
      </c>
      <c r="AQ1" s="565" t="s">
        <v>42</v>
      </c>
      <c r="AR1" s="565" t="s">
        <v>82</v>
      </c>
      <c r="AS1" s="565" t="s">
        <v>79</v>
      </c>
      <c r="AT1" s="565" t="s">
        <v>25</v>
      </c>
      <c r="AU1" s="565" t="s">
        <v>94</v>
      </c>
      <c r="AV1" s="565" t="s">
        <v>128</v>
      </c>
      <c r="AW1" s="565" t="s">
        <v>155</v>
      </c>
      <c r="AX1" s="565" t="s">
        <v>21</v>
      </c>
      <c r="AY1" s="565" t="s">
        <v>90</v>
      </c>
      <c r="AZ1" s="565" t="s">
        <v>117</v>
      </c>
      <c r="BA1" s="565" t="s">
        <v>125</v>
      </c>
      <c r="BB1" s="565" t="s">
        <v>34</v>
      </c>
      <c r="BC1" s="565" t="s">
        <v>50</v>
      </c>
      <c r="BD1" s="565" t="s">
        <v>30</v>
      </c>
      <c r="BE1" s="565" t="s">
        <v>93</v>
      </c>
      <c r="BF1" s="565" t="s">
        <v>118</v>
      </c>
      <c r="BG1" s="565" t="s">
        <v>145</v>
      </c>
      <c r="BH1" s="565" t="s">
        <v>272</v>
      </c>
      <c r="BI1" s="565" t="s">
        <v>115</v>
      </c>
      <c r="BJ1" s="565" t="s">
        <v>139</v>
      </c>
      <c r="BK1" s="565" t="s">
        <v>4</v>
      </c>
      <c r="BL1" s="565" t="s">
        <v>105</v>
      </c>
      <c r="BM1" s="565" t="s">
        <v>101</v>
      </c>
      <c r="BN1" s="565" t="s">
        <v>151</v>
      </c>
      <c r="BO1" s="565" t="s">
        <v>46</v>
      </c>
      <c r="BP1" s="565" t="s">
        <v>7</v>
      </c>
      <c r="BQ1" s="565" t="s">
        <v>163</v>
      </c>
      <c r="BR1" s="565" t="s">
        <v>27</v>
      </c>
      <c r="BS1" s="565" t="s">
        <v>113</v>
      </c>
      <c r="BT1" s="565" t="s">
        <v>48</v>
      </c>
      <c r="BU1" s="565" t="s">
        <v>103</v>
      </c>
      <c r="BV1" s="565" t="s">
        <v>19</v>
      </c>
      <c r="BW1" s="565" t="s">
        <v>88</v>
      </c>
      <c r="BX1" s="565" t="s">
        <v>59</v>
      </c>
      <c r="BY1" s="565" t="s">
        <v>143</v>
      </c>
      <c r="BZ1" s="565" t="s">
        <v>53</v>
      </c>
      <c r="CA1" s="565" t="s">
        <v>280</v>
      </c>
      <c r="CB1" s="565" t="s">
        <v>281</v>
      </c>
      <c r="CC1" s="565" t="s">
        <v>282</v>
      </c>
      <c r="CD1" s="565" t="s">
        <v>283</v>
      </c>
      <c r="CE1" s="565" t="s">
        <v>284</v>
      </c>
      <c r="CF1" s="565" t="s">
        <v>285</v>
      </c>
      <c r="CG1" s="565" t="s">
        <v>286</v>
      </c>
      <c r="CH1" s="565" t="s">
        <v>287</v>
      </c>
      <c r="CI1" s="565" t="s">
        <v>288</v>
      </c>
      <c r="CJ1" s="565" t="s">
        <v>289</v>
      </c>
    </row>
    <row r="2">
      <c r="A2" s="566">
        <v>45005.0</v>
      </c>
      <c r="CA2" s="411">
        <v>5.2778000831604</v>
      </c>
      <c r="CB2" s="411">
        <v>5.0788E-4</v>
      </c>
      <c r="CC2" s="411">
        <v>5.535600185394287</v>
      </c>
      <c r="CD2" s="411">
        <v>6.422292232513428</v>
      </c>
      <c r="CE2" s="411">
        <v>24.94653511047363</v>
      </c>
      <c r="CF2" s="411">
        <v>3.779598951339722</v>
      </c>
      <c r="CG2" s="411">
        <v>0.1454228162765503</v>
      </c>
      <c r="CH2" s="411">
        <v>0.189472883939743</v>
      </c>
    </row>
    <row r="3">
      <c r="A3" s="566">
        <v>45006.0</v>
      </c>
      <c r="C3" s="411">
        <v>12.9399995803833</v>
      </c>
      <c r="CA3" s="411">
        <v>5.235700130462646</v>
      </c>
      <c r="CB3" s="411">
        <v>5.0788E-4</v>
      </c>
      <c r="CC3" s="411">
        <v>5.608799934387207</v>
      </c>
      <c r="CD3" s="411">
        <v>6.42563009262085</v>
      </c>
      <c r="CE3" s="411">
        <v>25.08300018310547</v>
      </c>
      <c r="CF3" s="411">
        <v>3.827630996704102</v>
      </c>
      <c r="CG3" s="411">
        <v>0.1453974395990372</v>
      </c>
      <c r="CH3" s="411">
        <v>0.1909964233636856</v>
      </c>
    </row>
    <row r="4">
      <c r="A4" s="566">
        <v>45007.0</v>
      </c>
      <c r="C4" s="411">
        <v>12.27999973297119</v>
      </c>
      <c r="CA4" s="411">
        <v>5.240900039672852</v>
      </c>
      <c r="CB4" s="411">
        <v>5.0788E-4</v>
      </c>
      <c r="CC4" s="411">
        <v>5.644400119781494</v>
      </c>
      <c r="CD4" s="411">
        <v>6.405794143676758</v>
      </c>
      <c r="CE4" s="411">
        <v>25.23789405822754</v>
      </c>
      <c r="CF4" s="411">
        <v>3.821245908737183</v>
      </c>
      <c r="CG4" s="411">
        <v>0.1452854871749878</v>
      </c>
      <c r="CH4" s="411">
        <v>0.1908069252967834</v>
      </c>
    </row>
    <row r="5">
      <c r="A5" s="566">
        <v>45008.0</v>
      </c>
      <c r="C5" s="411">
        <v>11.1899995803833</v>
      </c>
      <c r="CA5" s="411">
        <v>5.236100196838379</v>
      </c>
      <c r="CB5" s="411">
        <v>5.0788E-4</v>
      </c>
      <c r="CC5" s="411">
        <v>5.689300060272217</v>
      </c>
      <c r="CD5" s="411">
        <v>6.429040908813477</v>
      </c>
      <c r="CE5" s="411">
        <v>25.04299926757812</v>
      </c>
      <c r="CF5" s="411">
        <v>3.815761089324951</v>
      </c>
      <c r="CG5" s="411">
        <v>0.1453657448291779</v>
      </c>
      <c r="CH5" s="411">
        <v>0.1909818351268768</v>
      </c>
    </row>
    <row r="6">
      <c r="A6" s="566">
        <v>45009.0</v>
      </c>
      <c r="C6" s="411">
        <v>11.68</v>
      </c>
      <c r="CA6" s="411">
        <v>5.2967</v>
      </c>
      <c r="CB6" s="411">
        <v>5.0788E-4</v>
      </c>
      <c r="CC6" s="411">
        <v>5.7366</v>
      </c>
      <c r="CD6" s="411">
        <v>6.504246</v>
      </c>
      <c r="CE6" s="411">
        <v>24.692</v>
      </c>
      <c r="CF6" s="411">
        <v>3.85873</v>
      </c>
      <c r="CG6" s="411">
        <v>0.146662</v>
      </c>
      <c r="CH6" s="411">
        <v>0.188797</v>
      </c>
    </row>
    <row r="7">
      <c r="A7" s="566">
        <v>45012.0</v>
      </c>
      <c r="C7" s="411">
        <v>11.34</v>
      </c>
      <c r="CA7" s="411">
        <v>5.2451</v>
      </c>
      <c r="CB7" s="411">
        <v>5.0788E-4</v>
      </c>
      <c r="CC7" s="411">
        <v>5.6418</v>
      </c>
      <c r="CD7" s="411">
        <v>6.418485</v>
      </c>
      <c r="CE7" s="411">
        <v>24.937</v>
      </c>
      <c r="CF7" s="411">
        <v>3.814862</v>
      </c>
      <c r="CG7" s="411">
        <v>0.145624</v>
      </c>
      <c r="CH7" s="411">
        <v>0.190654</v>
      </c>
    </row>
    <row r="8">
      <c r="A8" s="566">
        <v>45013.0</v>
      </c>
      <c r="C8" s="411">
        <v>11.76</v>
      </c>
      <c r="CA8" s="411">
        <v>5.1971</v>
      </c>
      <c r="CB8" s="411">
        <v>5.0788E-4</v>
      </c>
      <c r="CC8" s="411">
        <v>5.6141</v>
      </c>
      <c r="CD8" s="411">
        <v>6.385696</v>
      </c>
      <c r="CE8" s="411">
        <v>25.239</v>
      </c>
      <c r="CF8" s="411">
        <v>3.803539</v>
      </c>
      <c r="CG8" s="411">
        <v>0.145256</v>
      </c>
      <c r="CH8" s="411">
        <v>0.192415</v>
      </c>
    </row>
    <row r="9">
      <c r="A9" s="566">
        <v>45014.0</v>
      </c>
      <c r="C9" s="411">
        <v>11.68</v>
      </c>
      <c r="CA9" s="411">
        <v>5.1644</v>
      </c>
      <c r="CB9" s="411">
        <v>5.0788E-4</v>
      </c>
      <c r="CC9" s="411">
        <v>5.5963</v>
      </c>
      <c r="CD9" s="411">
        <v>6.367627</v>
      </c>
      <c r="CE9" s="411">
        <v>25.363</v>
      </c>
      <c r="CF9" s="411">
        <v>3.797036</v>
      </c>
      <c r="CG9" s="411">
        <v>0.145491</v>
      </c>
      <c r="CH9" s="411">
        <v>0.193633</v>
      </c>
    </row>
    <row r="10">
      <c r="A10" s="566">
        <v>45015.0</v>
      </c>
      <c r="C10" s="411">
        <v>12.11999988555908</v>
      </c>
      <c r="BR10" s="411">
        <v>350.8150024414062</v>
      </c>
      <c r="BV10" s="411">
        <v>31.79999923706055</v>
      </c>
      <c r="CA10" s="411">
        <v>5.134200096130371</v>
      </c>
      <c r="CB10" s="411">
        <v>5.0788E-4</v>
      </c>
      <c r="CC10" s="411">
        <v>5.565000057220459</v>
      </c>
      <c r="CD10" s="411">
        <v>6.313130855560303</v>
      </c>
      <c r="CE10" s="411">
        <v>25.81100082397461</v>
      </c>
      <c r="CF10" s="411">
        <v>3.784426927566528</v>
      </c>
      <c r="CG10" s="411">
        <v>0.145230621099472</v>
      </c>
      <c r="CH10" s="411">
        <v>0.1947723031044006</v>
      </c>
    </row>
    <row r="11">
      <c r="A11" s="566">
        <v>45016.0</v>
      </c>
      <c r="C11" s="411">
        <v>12.02999973297119</v>
      </c>
      <c r="E11" s="411">
        <v>26.57999992370605</v>
      </c>
      <c r="I11" s="411">
        <v>-80.11</v>
      </c>
      <c r="M11" s="411">
        <v>38.70999908447266</v>
      </c>
      <c r="AT11" s="411">
        <v>-83.42</v>
      </c>
      <c r="AX11" s="411">
        <v>143.65</v>
      </c>
      <c r="BB11" s="411">
        <v>50.05500030517578</v>
      </c>
      <c r="BD11" s="411">
        <v>-203.07</v>
      </c>
      <c r="BR11" s="411">
        <v>348.2149963378906</v>
      </c>
      <c r="BV11" s="411">
        <v>32.15000152587891</v>
      </c>
      <c r="CA11" s="411">
        <v>5.092700004577637</v>
      </c>
      <c r="CB11" s="411">
        <v>5.0788E-4</v>
      </c>
      <c r="CC11" s="411">
        <v>5.551799774169922</v>
      </c>
      <c r="CD11" s="411">
        <v>6.305170059204102</v>
      </c>
      <c r="CE11" s="411">
        <v>26.13999938964844</v>
      </c>
      <c r="CF11" s="411">
        <v>3.765105962753296</v>
      </c>
      <c r="CG11" s="411">
        <v>0.145551934838295</v>
      </c>
      <c r="CH11" s="411">
        <v>0.1963595002889633</v>
      </c>
    </row>
    <row r="12">
      <c r="A12" s="566">
        <v>45019.0</v>
      </c>
      <c r="C12" s="411">
        <v>11.52999973297119</v>
      </c>
      <c r="E12" s="411">
        <v>28.30999946594238</v>
      </c>
      <c r="I12" s="411">
        <v>117.98</v>
      </c>
      <c r="M12" s="411">
        <v>39.31999969482422</v>
      </c>
      <c r="AT12" s="411">
        <v>165.14</v>
      </c>
      <c r="AX12" s="411">
        <v>-267.83</v>
      </c>
      <c r="BB12" s="411">
        <v>49.61999893188477</v>
      </c>
      <c r="BD12" s="411">
        <v>-12.16</v>
      </c>
      <c r="BR12" s="411">
        <v>352.1000061035156</v>
      </c>
      <c r="BV12" s="411">
        <v>32.20999908447266</v>
      </c>
      <c r="CA12" s="411">
        <v>5.062300205230713</v>
      </c>
      <c r="CB12" s="411">
        <v>5.0788E-4</v>
      </c>
      <c r="CC12" s="411">
        <v>5.485599994659424</v>
      </c>
      <c r="CD12" s="411">
        <v>6.21504020690918</v>
      </c>
      <c r="CE12" s="411">
        <v>26.33200073242188</v>
      </c>
      <c r="CF12" s="411">
        <v>3.742649078369141</v>
      </c>
      <c r="CG12" s="411">
        <v>0.1456027925014496</v>
      </c>
      <c r="CH12" s="411">
        <v>0.1975386589765549</v>
      </c>
    </row>
    <row r="13">
      <c r="A13" s="566">
        <v>45020.0</v>
      </c>
      <c r="C13" s="411">
        <v>11.21000003814697</v>
      </c>
      <c r="E13" s="411">
        <v>28.26000022888184</v>
      </c>
      <c r="I13" s="411">
        <v>22.55</v>
      </c>
      <c r="M13" s="411">
        <v>38.70000076293945</v>
      </c>
      <c r="AI13" s="411">
        <v>400.12</v>
      </c>
      <c r="AN13" s="411">
        <v>28.65999984741211</v>
      </c>
      <c r="AO13" s="411">
        <v>30.63999938964844</v>
      </c>
      <c r="AQ13" s="411">
        <v>28.10000038146973</v>
      </c>
      <c r="AT13" s="411">
        <v>607.66</v>
      </c>
      <c r="AX13" s="411">
        <v>-180.18</v>
      </c>
      <c r="BB13" s="411">
        <v>49.20510101318359</v>
      </c>
      <c r="BD13" s="411">
        <v>139.09</v>
      </c>
      <c r="BO13" s="411">
        <v>27.31999969482422</v>
      </c>
      <c r="BR13" s="411">
        <v>346.0</v>
      </c>
      <c r="BV13" s="411">
        <v>31.90999984741211</v>
      </c>
      <c r="CA13" s="411">
        <v>5.073100090026855</v>
      </c>
      <c r="CB13" s="411">
        <v>5.0788E-4</v>
      </c>
      <c r="CC13" s="411">
        <v>5.520100116729736</v>
      </c>
      <c r="CD13" s="411">
        <v>6.285355091094971</v>
      </c>
      <c r="CE13" s="411">
        <v>26.11700057983398</v>
      </c>
      <c r="CF13" s="411">
        <v>3.767729043960571</v>
      </c>
      <c r="CG13" s="411">
        <v>0.1454016715288162</v>
      </c>
      <c r="CH13" s="411">
        <v>0.1971181333065033</v>
      </c>
    </row>
    <row r="14">
      <c r="A14" s="566">
        <v>45021.0</v>
      </c>
      <c r="C14" s="411">
        <v>10.80000019073486</v>
      </c>
      <c r="E14" s="411">
        <v>28.28000068664551</v>
      </c>
      <c r="I14" s="411">
        <v>-14.2</v>
      </c>
      <c r="M14" s="411">
        <v>38.38999938964844</v>
      </c>
      <c r="AI14" s="411">
        <v>-294.95</v>
      </c>
      <c r="AN14" s="411">
        <v>28.3700008392334</v>
      </c>
      <c r="AO14" s="411">
        <v>30.48999977111816</v>
      </c>
      <c r="AQ14" s="411">
        <v>28.29000091552734</v>
      </c>
      <c r="AT14" s="411">
        <v>-332.45</v>
      </c>
      <c r="AX14" s="411">
        <v>-343.23</v>
      </c>
      <c r="BB14" s="411">
        <v>48.53499984741211</v>
      </c>
      <c r="BD14" s="411">
        <v>682.62</v>
      </c>
      <c r="BO14" s="411">
        <v>27.25</v>
      </c>
      <c r="BR14" s="411">
        <v>344.2300109863281</v>
      </c>
      <c r="BV14" s="411">
        <v>31.8700008392334</v>
      </c>
      <c r="CA14" s="411">
        <v>5.070700168609619</v>
      </c>
      <c r="CB14" s="411">
        <v>5.0788E-4</v>
      </c>
      <c r="CC14" s="411">
        <v>5.553800106048584</v>
      </c>
      <c r="CD14" s="411">
        <v>6.333121776580811</v>
      </c>
      <c r="CE14" s="411">
        <v>25.91699981689453</v>
      </c>
      <c r="CF14" s="411">
        <v>3.771116971969604</v>
      </c>
      <c r="CG14" s="411">
        <v>0.1453741937875748</v>
      </c>
      <c r="CH14" s="411">
        <v>0.197211429476738</v>
      </c>
    </row>
    <row r="15">
      <c r="A15" s="566">
        <v>45022.0</v>
      </c>
      <c r="C15" s="411">
        <v>10.76000022888184</v>
      </c>
      <c r="I15" s="411">
        <v>-11.72</v>
      </c>
      <c r="M15" s="411">
        <v>38.63999938964844</v>
      </c>
      <c r="AI15" s="411">
        <v>66.23</v>
      </c>
      <c r="AN15" s="411">
        <v>28.57999992370605</v>
      </c>
      <c r="AO15" s="411">
        <v>30.8799991607666</v>
      </c>
      <c r="AQ15" s="411">
        <v>28.64999961853027</v>
      </c>
      <c r="AT15" s="411">
        <v>-83.53</v>
      </c>
      <c r="AX15" s="411">
        <v>363.72</v>
      </c>
      <c r="BB15" s="411">
        <v>48.54999923706055</v>
      </c>
      <c r="BD15" s="411">
        <v>-352.73</v>
      </c>
      <c r="BO15" s="411">
        <v>27.03000068664551</v>
      </c>
      <c r="BR15" s="411">
        <v>345.385009765625</v>
      </c>
      <c r="BV15" s="411">
        <v>31.98999977111816</v>
      </c>
      <c r="CA15" s="411">
        <v>5.033199787139893</v>
      </c>
      <c r="CB15" s="411">
        <v>5.0788E-4</v>
      </c>
      <c r="CC15" s="411">
        <v>5.485599994659424</v>
      </c>
      <c r="CD15" s="411">
        <v>6.265664100646973</v>
      </c>
      <c r="CE15" s="411">
        <v>25.99799919128418</v>
      </c>
      <c r="CF15" s="411">
        <v>3.739561080932617</v>
      </c>
      <c r="CG15" s="411">
        <v>0.1453805267810822</v>
      </c>
      <c r="CH15" s="411">
        <v>0.1986807733774185</v>
      </c>
    </row>
    <row r="16">
      <c r="A16" s="566">
        <v>45026.0</v>
      </c>
      <c r="C16" s="411">
        <v>10.78999996185303</v>
      </c>
      <c r="I16" s="411">
        <v>122.74</v>
      </c>
      <c r="M16" s="411">
        <v>38.61000061035156</v>
      </c>
      <c r="T16" s="411">
        <v>15.71</v>
      </c>
      <c r="AI16" s="411">
        <v>-411.82</v>
      </c>
      <c r="AN16" s="411">
        <v>28.59000015258789</v>
      </c>
      <c r="AO16" s="411">
        <v>30.93000030517578</v>
      </c>
      <c r="AQ16" s="411">
        <v>28.59000015258789</v>
      </c>
      <c r="AT16" s="411">
        <v>-382.8</v>
      </c>
      <c r="AX16" s="411">
        <v>801.58</v>
      </c>
      <c r="BB16" s="411">
        <v>48.31</v>
      </c>
      <c r="BC16" s="411">
        <v>42.84999847412109</v>
      </c>
      <c r="BD16" s="411">
        <v>-118.78</v>
      </c>
      <c r="BO16" s="411">
        <v>27.07789993286133</v>
      </c>
      <c r="BR16" s="411">
        <v>342.8599853515625</v>
      </c>
      <c r="BV16" s="411">
        <v>32.06000137329102</v>
      </c>
      <c r="BX16" s="411">
        <v>148.9900054931641</v>
      </c>
      <c r="BZ16" s="411">
        <v>145.5700073242188</v>
      </c>
      <c r="CA16" s="411">
        <v>5.054399967193604</v>
      </c>
      <c r="CB16" s="411">
        <v>5.0788E-4</v>
      </c>
      <c r="CC16" s="411">
        <v>5.52239990234375</v>
      </c>
      <c r="CD16" s="411">
        <v>6.277463912963867</v>
      </c>
      <c r="CE16" s="411">
        <v>26.12199974060059</v>
      </c>
      <c r="CF16" s="411">
        <v>3.747811079025269</v>
      </c>
      <c r="CG16" s="411">
        <v>0.1455752402544022</v>
      </c>
      <c r="CH16" s="411">
        <v>0.1978474259376526</v>
      </c>
    </row>
    <row r="17">
      <c r="A17" s="566">
        <v>45027.0</v>
      </c>
      <c r="C17" s="411">
        <v>12.27999973297119</v>
      </c>
      <c r="I17" s="411">
        <v>16.33</v>
      </c>
      <c r="M17" s="411">
        <v>39.97000122070312</v>
      </c>
      <c r="T17" s="411">
        <v>98.94</v>
      </c>
      <c r="AI17" s="411">
        <v>326.11</v>
      </c>
      <c r="AM17" s="411">
        <v>375.14599609375</v>
      </c>
      <c r="AN17" s="411">
        <v>28.64999961853027</v>
      </c>
      <c r="AO17" s="411">
        <v>31.1299991607666</v>
      </c>
      <c r="AQ17" s="411">
        <v>28.23999977111816</v>
      </c>
      <c r="AT17" s="411">
        <v>362.38</v>
      </c>
      <c r="AX17" s="411">
        <v>-110.06</v>
      </c>
      <c r="BB17" s="411">
        <v>47.95000076293945</v>
      </c>
      <c r="BC17" s="411">
        <v>42.97000122070312</v>
      </c>
      <c r="BD17" s="411">
        <v>14.36</v>
      </c>
      <c r="BO17" s="411">
        <v>27.14999961853027</v>
      </c>
      <c r="BV17" s="411">
        <v>32.34000015258789</v>
      </c>
      <c r="BX17" s="411">
        <v>147.5899963378906</v>
      </c>
      <c r="BZ17" s="411">
        <v>145.8000030517578</v>
      </c>
      <c r="CA17" s="411">
        <v>5.065299987792969</v>
      </c>
      <c r="CB17" s="411">
        <v>5.0788E-4</v>
      </c>
      <c r="CC17" s="411">
        <v>5.52239990234375</v>
      </c>
      <c r="CD17" s="411">
        <v>6.269591808319092</v>
      </c>
      <c r="CE17" s="411">
        <v>26.33499908447266</v>
      </c>
      <c r="CF17" s="411">
        <v>3.762994050979614</v>
      </c>
      <c r="CG17" s="411">
        <v>0.1453256011009216</v>
      </c>
      <c r="CH17" s="411">
        <v>0.197421669960022</v>
      </c>
    </row>
    <row r="18">
      <c r="A18" s="566">
        <v>45028.0</v>
      </c>
      <c r="C18" s="411">
        <v>12.14999961853027</v>
      </c>
      <c r="I18" s="411">
        <v>-94.88</v>
      </c>
      <c r="S18" s="411">
        <v>34.29</v>
      </c>
      <c r="T18" s="411">
        <v>-18.46</v>
      </c>
      <c r="W18" s="411">
        <v>-34.9</v>
      </c>
      <c r="AI18" s="411">
        <v>356.53</v>
      </c>
      <c r="AM18" s="411">
        <v>375.7149963378906</v>
      </c>
      <c r="AN18" s="411">
        <v>28.81999969482422</v>
      </c>
      <c r="AO18" s="411">
        <v>31.5</v>
      </c>
      <c r="AQ18" s="411">
        <v>28.57999992370605</v>
      </c>
      <c r="AT18" s="411">
        <v>161.1</v>
      </c>
      <c r="AX18" s="411">
        <v>-75.5</v>
      </c>
      <c r="BB18" s="411">
        <v>48.05519866943359</v>
      </c>
      <c r="BC18" s="411">
        <v>42.5</v>
      </c>
      <c r="BD18" s="411">
        <v>-409.84</v>
      </c>
      <c r="BO18" s="411">
        <v>27.09499931335449</v>
      </c>
      <c r="BV18" s="411">
        <v>32.27000045776367</v>
      </c>
      <c r="BX18" s="411">
        <v>146.75</v>
      </c>
      <c r="BZ18" s="411">
        <v>143.5399932861328</v>
      </c>
      <c r="CA18" s="411">
        <v>5.004000186920166</v>
      </c>
      <c r="CB18" s="411">
        <v>5.0788E-4</v>
      </c>
      <c r="CC18" s="411">
        <v>5.45989990234375</v>
      </c>
      <c r="CD18" s="411">
        <v>6.21504020690918</v>
      </c>
      <c r="CE18" s="411">
        <v>26.68199920654297</v>
      </c>
      <c r="CF18" s="411">
        <v>3.715025901794434</v>
      </c>
      <c r="CG18" s="411">
        <v>0.1452327370643616</v>
      </c>
      <c r="CH18" s="411">
        <v>0.1998401135206223</v>
      </c>
    </row>
    <row r="19">
      <c r="A19" s="566">
        <v>45029.0</v>
      </c>
      <c r="C19" s="411">
        <v>11.97000026702881</v>
      </c>
      <c r="I19" s="411">
        <v>-58.42</v>
      </c>
      <c r="S19" s="411">
        <v>347.62</v>
      </c>
      <c r="T19" s="411">
        <v>-17.61</v>
      </c>
      <c r="W19" s="411">
        <v>-0.43</v>
      </c>
      <c r="AI19" s="411">
        <v>304.82</v>
      </c>
      <c r="AM19" s="411">
        <v>374.0199890136719</v>
      </c>
      <c r="AN19" s="411">
        <v>29.17000007629395</v>
      </c>
      <c r="AO19" s="411">
        <v>31.70999908447266</v>
      </c>
      <c r="AQ19" s="411">
        <v>28.92000007629395</v>
      </c>
      <c r="AT19" s="411">
        <v>212.79</v>
      </c>
      <c r="AX19" s="411">
        <v>-310.54</v>
      </c>
      <c r="BB19" s="411">
        <v>49.02000045776367</v>
      </c>
      <c r="BC19" s="411">
        <v>43.15000152587891</v>
      </c>
      <c r="BD19" s="411">
        <v>-120.71</v>
      </c>
      <c r="BO19" s="411">
        <v>27.18000030517578</v>
      </c>
      <c r="BV19" s="411">
        <v>32.56000137329102</v>
      </c>
      <c r="BX19" s="411">
        <v>149.4799957275391</v>
      </c>
      <c r="BZ19" s="411">
        <v>146.7100067138672</v>
      </c>
      <c r="CA19" s="411">
        <v>4.916900157928467</v>
      </c>
      <c r="CB19" s="411">
        <v>5.0788E-4</v>
      </c>
      <c r="CC19" s="411">
        <v>5.406400203704834</v>
      </c>
      <c r="CD19" s="411">
        <v>6.138734817504883</v>
      </c>
      <c r="CE19" s="411">
        <v>27.05200004577637</v>
      </c>
      <c r="CF19" s="411">
        <v>3.657470941543579</v>
      </c>
      <c r="CG19" s="411">
        <v>0.1454820483922958</v>
      </c>
      <c r="CH19" s="411">
        <v>0.2033801674842834</v>
      </c>
    </row>
    <row r="20">
      <c r="A20" s="566">
        <v>45030.0</v>
      </c>
      <c r="C20" s="411">
        <v>11.56999969482422</v>
      </c>
      <c r="I20" s="411">
        <v>-26.1</v>
      </c>
      <c r="T20" s="411">
        <v>-44.46</v>
      </c>
      <c r="W20" s="411">
        <v>-116.32</v>
      </c>
      <c r="AI20" s="411">
        <v>-224.33</v>
      </c>
      <c r="AM20" s="411">
        <v>373.5899963378906</v>
      </c>
      <c r="AN20" s="411">
        <v>29.13999938964844</v>
      </c>
      <c r="AO20" s="411">
        <v>31.73999977111816</v>
      </c>
      <c r="AQ20" s="411">
        <v>28.84000015258789</v>
      </c>
      <c r="AT20" s="411">
        <v>-326.69</v>
      </c>
      <c r="AX20" s="411">
        <v>388.8</v>
      </c>
      <c r="BB20" s="411">
        <v>49.52199935913086</v>
      </c>
      <c r="BC20" s="411">
        <v>42.31000137329102</v>
      </c>
      <c r="BD20" s="411">
        <v>120.88</v>
      </c>
      <c r="BO20" s="411">
        <v>26.97999954223633</v>
      </c>
      <c r="BV20" s="411">
        <v>32.88000106811523</v>
      </c>
      <c r="BX20" s="411">
        <v>148.6499938964844</v>
      </c>
      <c r="BZ20" s="411">
        <v>146.8999938964844</v>
      </c>
      <c r="CA20" s="411">
        <v>4.926700115203857</v>
      </c>
      <c r="CB20" s="411">
        <v>5.0788E-4</v>
      </c>
      <c r="CC20" s="411">
        <v>5.406799793243408</v>
      </c>
      <c r="CD20" s="411">
        <v>6.105500221252441</v>
      </c>
      <c r="CE20" s="411">
        <v>27.17399978637695</v>
      </c>
      <c r="CF20" s="411">
        <v>3.691075086593628</v>
      </c>
      <c r="CG20" s="411">
        <v>0.1456070244312286</v>
      </c>
      <c r="CH20" s="411">
        <v>0.2029756158590317</v>
      </c>
    </row>
    <row r="21" ht="15.75" customHeight="1">
      <c r="A21" s="566">
        <v>45033.0</v>
      </c>
      <c r="C21" s="411">
        <v>11.39000034332275</v>
      </c>
      <c r="I21" s="411">
        <v>138.41</v>
      </c>
      <c r="T21" s="411">
        <v>-15.82</v>
      </c>
      <c r="W21" s="411">
        <v>-28.74</v>
      </c>
      <c r="AI21" s="411">
        <v>-401.24</v>
      </c>
      <c r="AM21" s="411">
        <v>373.0710144042969</v>
      </c>
      <c r="AN21" s="411">
        <v>28.97999954223633</v>
      </c>
      <c r="AO21" s="411">
        <v>31.47999954223633</v>
      </c>
      <c r="AQ21" s="411">
        <v>28.65999984741211</v>
      </c>
      <c r="AT21" s="411">
        <v>-399.47</v>
      </c>
      <c r="AX21" s="411">
        <v>406.77</v>
      </c>
      <c r="BB21" s="411">
        <v>49.19010162353516</v>
      </c>
      <c r="BC21" s="411">
        <v>43.56999969482422</v>
      </c>
      <c r="BD21" s="411">
        <v>171.66</v>
      </c>
      <c r="BO21" s="411">
        <v>27.20999908447266</v>
      </c>
      <c r="BR21" s="411">
        <v>339.7699890136719</v>
      </c>
      <c r="BV21" s="411">
        <v>33.2599983215332</v>
      </c>
      <c r="BX21" s="411">
        <v>149.1900024414062</v>
      </c>
      <c r="BZ21" s="411">
        <v>147.9400024414062</v>
      </c>
      <c r="CA21" s="411">
        <v>4.908699989318848</v>
      </c>
      <c r="CB21" s="411">
        <v>5.0788E-4</v>
      </c>
      <c r="CC21" s="411">
        <v>5.39769983291626</v>
      </c>
      <c r="CD21" s="411">
        <v>6.082725048065186</v>
      </c>
      <c r="CE21" s="411">
        <v>27.27799987792969</v>
      </c>
      <c r="CF21" s="411">
        <v>3.673903942108154</v>
      </c>
      <c r="CG21" s="411">
        <v>0.145551934838295</v>
      </c>
      <c r="CH21" s="411">
        <v>0.2037199288606644</v>
      </c>
    </row>
    <row r="22" ht="15.75" customHeight="1">
      <c r="A22" s="566">
        <v>45034.0</v>
      </c>
      <c r="C22" s="411">
        <v>11.11999988555908</v>
      </c>
      <c r="I22" s="411">
        <v>-42.18</v>
      </c>
      <c r="T22" s="411">
        <v>-24.62</v>
      </c>
      <c r="V22" s="411">
        <v>-139.01</v>
      </c>
      <c r="W22" s="411">
        <v>-77.93</v>
      </c>
      <c r="AA22" s="411">
        <v>2967.7</v>
      </c>
      <c r="AI22" s="411">
        <v>223.44</v>
      </c>
      <c r="AL22" s="411">
        <v>4327.1</v>
      </c>
      <c r="AM22" s="411">
        <v>371.8359985351562</v>
      </c>
      <c r="AR22" s="411">
        <v>39.38999938964844</v>
      </c>
      <c r="AS22" s="411">
        <v>46.52500152587891</v>
      </c>
      <c r="AX22" s="411">
        <v>-212.35</v>
      </c>
      <c r="BB22" s="411">
        <v>50.43899917602539</v>
      </c>
      <c r="BC22" s="411">
        <v>42.63000106811523</v>
      </c>
      <c r="BD22" s="411">
        <v>-208.32</v>
      </c>
      <c r="BV22" s="411">
        <v>33.36000061035156</v>
      </c>
      <c r="BX22" s="411">
        <v>149.6499938964844</v>
      </c>
      <c r="BZ22" s="411">
        <v>148.1799926757812</v>
      </c>
      <c r="CA22" s="411">
        <v>4.939799785614014</v>
      </c>
      <c r="CB22" s="411">
        <v>5.0788E-4</v>
      </c>
      <c r="CC22" s="411">
        <v>5.395100116729736</v>
      </c>
      <c r="CD22" s="411">
        <v>6.113235950469971</v>
      </c>
      <c r="CE22" s="411">
        <v>27.19899940490723</v>
      </c>
      <c r="CF22" s="411">
        <v>3.686613082885742</v>
      </c>
      <c r="CG22" s="411">
        <v>0.1453741937875748</v>
      </c>
      <c r="CH22" s="411">
        <v>0.2024373561143875</v>
      </c>
    </row>
    <row r="23" ht="15.75" customHeight="1">
      <c r="A23" s="566">
        <v>45035.0</v>
      </c>
      <c r="C23" s="411">
        <v>10.69999980926514</v>
      </c>
      <c r="I23" s="411">
        <v>129.48</v>
      </c>
      <c r="T23" s="411">
        <v>-27.82</v>
      </c>
      <c r="V23" s="411">
        <v>-275.64</v>
      </c>
      <c r="W23" s="411">
        <v>-127.6</v>
      </c>
      <c r="AA23" s="411">
        <v>4542.9</v>
      </c>
      <c r="AI23" s="411">
        <v>-72.94</v>
      </c>
      <c r="AL23" s="411">
        <v>4508.45</v>
      </c>
      <c r="AM23" s="411">
        <v>370.9339904785156</v>
      </c>
      <c r="AR23" s="411">
        <v>39.38999938964844</v>
      </c>
      <c r="AS23" s="411">
        <v>46.46500015258789</v>
      </c>
      <c r="AX23" s="411">
        <v>261.22</v>
      </c>
      <c r="BB23" s="411">
        <v>50.84999847412109</v>
      </c>
      <c r="BC23" s="411">
        <v>44.31000137329102</v>
      </c>
      <c r="BD23" s="411">
        <v>-99.78</v>
      </c>
      <c r="BR23" s="411">
        <v>338.0899963378906</v>
      </c>
      <c r="BV23" s="411">
        <v>33.43999862670898</v>
      </c>
      <c r="BX23" s="411">
        <v>149.2200012207031</v>
      </c>
      <c r="BZ23" s="411">
        <v>148.0399932861328</v>
      </c>
      <c r="CA23" s="411">
        <v>4.984300136566162</v>
      </c>
      <c r="CB23" s="411">
        <v>5.0788E-4</v>
      </c>
      <c r="CC23" s="411">
        <v>5.468500137329102</v>
      </c>
      <c r="CD23" s="411">
        <v>6.192869186401367</v>
      </c>
      <c r="CE23" s="411">
        <v>26.87899971008301</v>
      </c>
      <c r="CF23" s="411">
        <v>3.720890998840332</v>
      </c>
      <c r="CG23" s="411">
        <v>0.1454566568136215</v>
      </c>
      <c r="CH23" s="411">
        <v>0.2006299793720245</v>
      </c>
    </row>
    <row r="24" ht="15.75" customHeight="1">
      <c r="A24" s="566">
        <v>45036.0</v>
      </c>
      <c r="C24" s="411">
        <v>10.72000026702881</v>
      </c>
      <c r="I24" s="411">
        <v>-153.83</v>
      </c>
      <c r="T24" s="411">
        <v>45.81</v>
      </c>
      <c r="V24" s="411">
        <v>231.94</v>
      </c>
      <c r="W24" s="411">
        <v>150.69</v>
      </c>
      <c r="AA24" s="411">
        <v>-1742.65</v>
      </c>
      <c r="AI24" s="411">
        <v>59.76</v>
      </c>
      <c r="AL24" s="411">
        <v>-1648.5</v>
      </c>
      <c r="AM24" s="411">
        <v>378.6809997558594</v>
      </c>
      <c r="AR24" s="411">
        <v>39.34000015258789</v>
      </c>
      <c r="AS24" s="411">
        <v>46.38000106811523</v>
      </c>
      <c r="AX24" s="411">
        <v>-199.34</v>
      </c>
      <c r="BB24" s="411">
        <v>50.28559875488281</v>
      </c>
      <c r="BC24" s="411">
        <v>43.47999954223633</v>
      </c>
      <c r="BD24" s="411">
        <v>-87.23</v>
      </c>
      <c r="BR24" s="411">
        <v>345.7799987792969</v>
      </c>
      <c r="BV24" s="411">
        <v>33.34000015258789</v>
      </c>
      <c r="BX24" s="411">
        <v>148.2400054931641</v>
      </c>
      <c r="BZ24" s="411">
        <v>145.7599945068359</v>
      </c>
      <c r="CA24" s="411">
        <v>5.074299812316895</v>
      </c>
      <c r="CB24" s="411">
        <v>5.0788E-4</v>
      </c>
      <c r="CC24" s="411">
        <v>5.554599761962891</v>
      </c>
      <c r="CD24" s="411">
        <v>6.305984973907471</v>
      </c>
      <c r="CE24" s="411">
        <v>26.5319995880127</v>
      </c>
      <c r="CF24" s="411">
        <v>3.766213893890381</v>
      </c>
      <c r="CG24" s="411">
        <v>0.1452411711215973</v>
      </c>
      <c r="CH24" s="411">
        <v>0.1970715224742889</v>
      </c>
    </row>
    <row r="25" ht="15.75" customHeight="1">
      <c r="A25" s="566">
        <v>45040.0</v>
      </c>
      <c r="C25" s="411">
        <v>10.61999989</v>
      </c>
      <c r="I25" s="411">
        <v>235.14</v>
      </c>
      <c r="T25" s="411">
        <v>17.65</v>
      </c>
      <c r="V25" s="411">
        <v>134.13</v>
      </c>
      <c r="W25" s="411">
        <v>64.22</v>
      </c>
      <c r="AI25" s="411">
        <v>372.23</v>
      </c>
      <c r="AM25" s="411">
        <v>376.0220032</v>
      </c>
      <c r="AP25" s="411">
        <v>58.98</v>
      </c>
      <c r="AR25" s="411">
        <v>39.93999863</v>
      </c>
      <c r="AS25" s="411">
        <v>46.61000061</v>
      </c>
      <c r="AX25" s="411">
        <v>126.18</v>
      </c>
      <c r="BB25" s="411">
        <v>49.29999924</v>
      </c>
      <c r="BC25" s="411">
        <v>42.70999908</v>
      </c>
      <c r="BD25" s="411">
        <v>8.52</v>
      </c>
      <c r="BP25" s="411">
        <v>412.63</v>
      </c>
      <c r="BV25" s="411">
        <v>33.13999939</v>
      </c>
      <c r="BX25" s="411">
        <v>147.1100006</v>
      </c>
      <c r="BZ25" s="411">
        <v>147.3500061</v>
      </c>
      <c r="CA25" s="411">
        <v>5.0595</v>
      </c>
      <c r="CB25" s="411">
        <v>5.0788E-4</v>
      </c>
      <c r="CC25" s="411">
        <v>5.561999798</v>
      </c>
      <c r="CD25" s="411">
        <v>6.287799835</v>
      </c>
      <c r="CE25" s="411">
        <v>26.6079998</v>
      </c>
      <c r="CF25" s="411">
        <v>3.717900038</v>
      </c>
      <c r="CG25" s="411">
        <v>0.1450852454</v>
      </c>
      <c r="CH25" s="411">
        <v>0.1986610293</v>
      </c>
    </row>
    <row r="26" ht="15.75" customHeight="1">
      <c r="A26" s="566">
        <v>45041.0</v>
      </c>
      <c r="C26" s="411">
        <v>10.31000042</v>
      </c>
      <c r="F26" s="411">
        <v>99.92</v>
      </c>
      <c r="T26" s="411">
        <v>22.21</v>
      </c>
      <c r="V26" s="411">
        <v>135.55</v>
      </c>
      <c r="AI26" s="411">
        <v>-362.09</v>
      </c>
      <c r="AP26" s="411">
        <v>58.56999969</v>
      </c>
      <c r="AR26" s="411">
        <v>39.29999924</v>
      </c>
      <c r="AS26" s="411">
        <v>46.47499847</v>
      </c>
      <c r="AX26" s="411">
        <v>-208.05</v>
      </c>
      <c r="BC26" s="411">
        <v>40.90999985</v>
      </c>
      <c r="BD26" s="411">
        <v>127.15</v>
      </c>
      <c r="BP26" s="411">
        <v>406.0799866</v>
      </c>
      <c r="BV26" s="411">
        <v>32.56999969</v>
      </c>
      <c r="BX26" s="411">
        <v>143.9700012</v>
      </c>
      <c r="BZ26" s="411">
        <v>144.4299927</v>
      </c>
      <c r="CA26" s="411">
        <v>5.0527</v>
      </c>
      <c r="CB26" s="411">
        <v>5.0788E-4</v>
      </c>
      <c r="CC26" s="411">
        <v>5.547699928</v>
      </c>
      <c r="CD26" s="411">
        <v>6.274000168</v>
      </c>
      <c r="CE26" s="411">
        <v>26.43199921</v>
      </c>
      <c r="CF26" s="411">
        <v>3.709599972</v>
      </c>
      <c r="CG26" s="411">
        <v>0.1450347453</v>
      </c>
      <c r="CH26" s="411">
        <v>0.1979139894</v>
      </c>
    </row>
    <row r="27" ht="15.75" customHeight="1">
      <c r="A27" s="566">
        <v>45042.0</v>
      </c>
      <c r="C27" s="411">
        <v>9.880000114440918</v>
      </c>
      <c r="F27" s="411">
        <v>99.01</v>
      </c>
      <c r="T27" s="411">
        <v>22.21</v>
      </c>
      <c r="V27" s="411">
        <v>135.55</v>
      </c>
      <c r="AI27" s="411">
        <v>-362.09</v>
      </c>
      <c r="AP27" s="411">
        <v>58.36000061035156</v>
      </c>
      <c r="AR27" s="411">
        <v>39.2400016784668</v>
      </c>
      <c r="AS27" s="411">
        <v>46.10499954223633</v>
      </c>
      <c r="AX27" s="411">
        <v>-208.05</v>
      </c>
      <c r="BC27" s="411">
        <v>41.15999984741211</v>
      </c>
      <c r="BD27" s="411">
        <v>127.15</v>
      </c>
      <c r="BP27" s="411">
        <v>404.3599853515625</v>
      </c>
      <c r="BV27" s="411">
        <v>32.2599983215332</v>
      </c>
      <c r="BX27" s="411">
        <v>146.1100006103516</v>
      </c>
      <c r="BZ27" s="411">
        <v>143.6900024414062</v>
      </c>
      <c r="CA27" s="411">
        <v>5.0531</v>
      </c>
      <c r="CB27" s="411">
        <v>5.0788E-4</v>
      </c>
      <c r="CC27" s="411">
        <v>5.545100212097168</v>
      </c>
      <c r="CD27" s="411">
        <v>6.265664100646973</v>
      </c>
      <c r="CE27" s="411">
        <v>26.44499969482422</v>
      </c>
      <c r="CF27" s="411">
        <v>3.708353042602539</v>
      </c>
      <c r="CG27" s="411">
        <v>0.1442668288946152</v>
      </c>
      <c r="CH27" s="411">
        <v>0.1978983134031296</v>
      </c>
    </row>
    <row r="28" ht="15.75" customHeight="1">
      <c r="A28" s="566">
        <v>45043.0</v>
      </c>
      <c r="C28" s="411">
        <v>10.19999980926514</v>
      </c>
      <c r="F28" s="411">
        <v>99.53</v>
      </c>
      <c r="T28" s="411">
        <v>-10.77</v>
      </c>
      <c r="V28" s="411">
        <v>-62.06</v>
      </c>
      <c r="AI28" s="411">
        <v>-71.62</v>
      </c>
      <c r="AP28" s="411">
        <v>59.31000137329102</v>
      </c>
      <c r="AR28" s="411">
        <v>39.7400016784668</v>
      </c>
      <c r="AS28" s="411">
        <v>46.16500091552734</v>
      </c>
      <c r="AX28" s="411">
        <v>261.02</v>
      </c>
      <c r="BC28" s="411">
        <v>41.93000030517578</v>
      </c>
      <c r="BD28" s="411">
        <v>-242.02</v>
      </c>
      <c r="BP28" s="411">
        <v>412.4100036621094</v>
      </c>
      <c r="BV28" s="411">
        <v>32.77999877929688</v>
      </c>
      <c r="BW28" s="411">
        <v>99.04</v>
      </c>
      <c r="BX28" s="411">
        <v>149.2100067138672</v>
      </c>
      <c r="BZ28" s="411">
        <v>147.4799957275391</v>
      </c>
      <c r="CA28" s="411">
        <v>5.0531</v>
      </c>
      <c r="CB28" s="411">
        <v>5.0788E-4</v>
      </c>
      <c r="CC28" s="411">
        <v>5.568399906158447</v>
      </c>
      <c r="CD28" s="411">
        <v>6.285355091094971</v>
      </c>
      <c r="CE28" s="411">
        <v>26.45000076293945</v>
      </c>
      <c r="CF28" s="411">
        <v>3.698704957962036</v>
      </c>
      <c r="CG28" s="411">
        <v>0.1443876624107361</v>
      </c>
      <c r="CH28" s="411">
        <v>0.1982946544885635</v>
      </c>
    </row>
    <row r="29" ht="15.75" customHeight="1">
      <c r="A29" s="566">
        <v>45044.0</v>
      </c>
      <c r="C29" s="411">
        <v>10.85999965667725</v>
      </c>
      <c r="F29" s="411">
        <v>100.9000015258789</v>
      </c>
      <c r="S29" s="411">
        <v>96.67</v>
      </c>
      <c r="T29" s="411">
        <v>-62.59</v>
      </c>
      <c r="V29" s="411">
        <v>-260.95</v>
      </c>
      <c r="AI29" s="411">
        <v>74.02</v>
      </c>
      <c r="AP29" s="411">
        <v>58.84000015258789</v>
      </c>
      <c r="AR29" s="411">
        <v>39.56999969482422</v>
      </c>
      <c r="AS29" s="411">
        <v>46.5</v>
      </c>
      <c r="AX29" s="411">
        <v>800.86</v>
      </c>
      <c r="BC29" s="411">
        <v>42.65999984741211</v>
      </c>
      <c r="BD29" s="411">
        <v>-45.33</v>
      </c>
      <c r="BP29" s="411">
        <v>415.9299926757812</v>
      </c>
      <c r="BV29" s="411">
        <v>33.16999816894531</v>
      </c>
      <c r="BW29" s="411">
        <v>100.0</v>
      </c>
      <c r="BX29" s="411">
        <v>150.8300018310547</v>
      </c>
      <c r="BZ29" s="411">
        <v>147.8600006103516</v>
      </c>
      <c r="CA29" s="411">
        <v>5.0531</v>
      </c>
      <c r="CB29" s="411">
        <v>5.0788E-4</v>
      </c>
      <c r="CC29" s="411">
        <v>5.48829984664917</v>
      </c>
      <c r="CD29" s="411">
        <v>6.21504020690918</v>
      </c>
      <c r="CE29" s="411">
        <v>26.875</v>
      </c>
      <c r="CF29" s="411">
        <v>3.657550096511841</v>
      </c>
      <c r="CG29" s="411">
        <v>0.1444606631994247</v>
      </c>
      <c r="CH29" s="411">
        <v>0.2009565532207489</v>
      </c>
    </row>
    <row r="30" ht="15.75" customHeight="1">
      <c r="A30" s="566">
        <v>45048.0</v>
      </c>
      <c r="C30" s="411">
        <v>10.77000045776367</v>
      </c>
      <c r="F30" s="411">
        <v>98.49</v>
      </c>
      <c r="S30" s="411">
        <v>23.6</v>
      </c>
      <c r="T30" s="411">
        <v>31.38</v>
      </c>
      <c r="AI30" s="411">
        <v>0.0</v>
      </c>
      <c r="AJ30" s="411">
        <v>-325.34</v>
      </c>
      <c r="AP30" s="411">
        <v>58.27999877929688</v>
      </c>
      <c r="AR30" s="411">
        <v>39.09999847412109</v>
      </c>
      <c r="AS30" s="411">
        <v>45.94499969482422</v>
      </c>
      <c r="AX30" s="411">
        <v>0.0</v>
      </c>
      <c r="AY30" s="411">
        <v>150.34</v>
      </c>
      <c r="BC30" s="411">
        <v>38.86000061035156</v>
      </c>
      <c r="BD30" s="411">
        <v>0.0</v>
      </c>
      <c r="BP30" s="411">
        <v>410.8399963378906</v>
      </c>
      <c r="BV30" s="411">
        <v>32.33000183105469</v>
      </c>
      <c r="BW30" s="411">
        <v>99.49</v>
      </c>
      <c r="BX30" s="411">
        <v>149.5099945068359</v>
      </c>
      <c r="BZ30" s="411">
        <v>146.5500030517578</v>
      </c>
      <c r="CA30" s="411">
        <v>5.0362</v>
      </c>
      <c r="CB30" s="411">
        <v>5.0788E-4</v>
      </c>
      <c r="CC30" s="411">
        <v>5.5613</v>
      </c>
      <c r="CD30" s="411">
        <v>6.2996</v>
      </c>
      <c r="CE30" s="411">
        <v>26.933</v>
      </c>
      <c r="CF30" s="411">
        <v>3.7035</v>
      </c>
      <c r="CG30" s="411">
        <v>0.1447</v>
      </c>
      <c r="CH30" s="411">
        <v>0.1982</v>
      </c>
    </row>
    <row r="31" ht="15.75" customHeight="1">
      <c r="A31" s="566">
        <v>45049.0</v>
      </c>
      <c r="C31" s="411">
        <v>11.30000019073486</v>
      </c>
      <c r="S31" s="411">
        <v>397.95</v>
      </c>
      <c r="T31" s="411">
        <v>13.28</v>
      </c>
      <c r="AJ31" s="411">
        <v>364.86</v>
      </c>
      <c r="AP31" s="411">
        <v>58.63000106811523</v>
      </c>
      <c r="AR31" s="411">
        <v>39.18999862670898</v>
      </c>
      <c r="AS31" s="411">
        <v>46.17499923706055</v>
      </c>
      <c r="AU31" s="411">
        <v>357.88</v>
      </c>
      <c r="AY31" s="411">
        <v>-482.55</v>
      </c>
      <c r="BC31" s="411">
        <v>38.15999984741211</v>
      </c>
      <c r="BE31" s="411">
        <v>-344.44</v>
      </c>
      <c r="BP31" s="411">
        <v>408.0199890136719</v>
      </c>
      <c r="BV31" s="411">
        <v>31.95999908447266</v>
      </c>
      <c r="BW31" s="411">
        <v>99.11000061035156</v>
      </c>
      <c r="BX31" s="411">
        <v>148.25</v>
      </c>
      <c r="BZ31" s="411">
        <v>145.3899993896484</v>
      </c>
      <c r="CA31" s="411">
        <v>5.033</v>
      </c>
      <c r="CB31" s="411">
        <v>5.0788E-4</v>
      </c>
      <c r="CC31" s="411">
        <v>5.5317</v>
      </c>
      <c r="CD31" s="411">
        <v>6.2811</v>
      </c>
      <c r="CE31" s="411">
        <v>26.918</v>
      </c>
      <c r="CF31" s="411">
        <v>3.6701</v>
      </c>
      <c r="CG31" s="411">
        <v>0.1451</v>
      </c>
      <c r="CH31" s="411">
        <v>0.2</v>
      </c>
    </row>
    <row r="32" ht="15.75" customHeight="1">
      <c r="A32" s="566">
        <v>45050.0</v>
      </c>
      <c r="C32" s="411">
        <v>11.32999992370605</v>
      </c>
      <c r="S32" s="411">
        <v>315.17</v>
      </c>
      <c r="T32" s="411">
        <v>29.59</v>
      </c>
      <c r="AJ32" s="411">
        <v>-264.14</v>
      </c>
      <c r="AP32" s="411">
        <v>58.7400016784668</v>
      </c>
      <c r="AR32" s="411">
        <v>38.86999893188477</v>
      </c>
      <c r="AS32" s="411">
        <v>45.95000076293945</v>
      </c>
      <c r="AU32" s="411">
        <v>192.19</v>
      </c>
      <c r="AY32" s="411">
        <v>-449.78</v>
      </c>
      <c r="BC32" s="411">
        <v>36.08000183105469</v>
      </c>
      <c r="BE32" s="411">
        <v>207.91</v>
      </c>
      <c r="BP32" s="411">
        <v>405.1300048828125</v>
      </c>
      <c r="BV32" s="411">
        <v>31.54999923706055</v>
      </c>
      <c r="BW32" s="411">
        <v>98.02999877929688</v>
      </c>
      <c r="BX32" s="411">
        <v>147.54</v>
      </c>
      <c r="BZ32" s="411">
        <v>144.2700042724609</v>
      </c>
      <c r="CA32" s="411">
        <v>5.0227</v>
      </c>
      <c r="CB32" s="411">
        <v>5.0788E-4</v>
      </c>
      <c r="CC32" s="411">
        <v>5.5044</v>
      </c>
      <c r="CD32" s="411">
        <v>6.2803</v>
      </c>
      <c r="CE32" s="411">
        <v>26.846</v>
      </c>
      <c r="CF32" s="411">
        <v>3.6899</v>
      </c>
      <c r="CG32" s="411">
        <v>0.1446</v>
      </c>
      <c r="CH32" s="411">
        <v>0.2004</v>
      </c>
    </row>
    <row r="33" ht="15.75" customHeight="1">
      <c r="A33" s="566">
        <v>45051.0</v>
      </c>
      <c r="C33" s="411">
        <v>11.63000011444092</v>
      </c>
      <c r="S33" s="411">
        <v>-35.58</v>
      </c>
      <c r="T33" s="411">
        <v>8.34</v>
      </c>
      <c r="AJ33" s="411">
        <v>31.93</v>
      </c>
      <c r="AP33" s="411">
        <v>59.52999877929688</v>
      </c>
      <c r="AR33" s="411">
        <v>39.40000152587891</v>
      </c>
      <c r="AS33" s="411">
        <v>46.47000122070312</v>
      </c>
      <c r="AU33" s="411">
        <v>224.39</v>
      </c>
      <c r="AY33" s="411">
        <v>365.94</v>
      </c>
      <c r="BC33" s="411">
        <v>38.34999847412109</v>
      </c>
      <c r="BE33" s="411">
        <v>-471.08</v>
      </c>
      <c r="BP33" s="411">
        <v>412.6300048828125</v>
      </c>
      <c r="BV33" s="411">
        <v>32.33000183105469</v>
      </c>
      <c r="BW33" s="411">
        <v>99.51000213623047</v>
      </c>
      <c r="BX33" s="411">
        <v>151.24</v>
      </c>
      <c r="BZ33" s="411">
        <v>147.1900024414062</v>
      </c>
      <c r="CA33" s="411">
        <v>4.9384</v>
      </c>
      <c r="CB33" s="411">
        <v>5.0788E-4</v>
      </c>
      <c r="CC33" s="411">
        <v>5.456799983978271</v>
      </c>
      <c r="CD33" s="411">
        <v>6.25629997253418</v>
      </c>
      <c r="CE33" s="411">
        <v>27.19400024414062</v>
      </c>
      <c r="CF33" s="411">
        <v>3.702899932861328</v>
      </c>
      <c r="CG33" s="411">
        <v>0.144807904958725</v>
      </c>
      <c r="CH33" s="411">
        <v>0.2006984204053879</v>
      </c>
    </row>
    <row r="34" ht="15.75" customHeight="1">
      <c r="A34" s="566">
        <v>45054.0</v>
      </c>
      <c r="C34" s="411">
        <v>11.72000026702881</v>
      </c>
      <c r="H34" s="411">
        <v>-336.83</v>
      </c>
      <c r="S34" s="411">
        <v>-276.01</v>
      </c>
      <c r="T34" s="411">
        <v>4.34</v>
      </c>
      <c r="V34" s="411">
        <v>22.84</v>
      </c>
      <c r="AB34" s="411">
        <v>3225.3</v>
      </c>
      <c r="AJ34" s="411">
        <v>17.8</v>
      </c>
      <c r="AP34" s="411">
        <v>59.40000152587891</v>
      </c>
      <c r="AR34" s="411">
        <v>39.36999893188477</v>
      </c>
      <c r="AS34" s="411">
        <v>46.67499923706055</v>
      </c>
      <c r="AU34" s="411">
        <v>64.61</v>
      </c>
      <c r="AY34" s="411">
        <v>3.27</v>
      </c>
      <c r="BC34" s="411">
        <v>37.58000183105469</v>
      </c>
      <c r="BE34" s="411">
        <v>-23.93</v>
      </c>
      <c r="BP34" s="411">
        <v>412.739990234375</v>
      </c>
      <c r="BV34" s="411">
        <v>32.38000106811523</v>
      </c>
      <c r="BW34" s="411">
        <v>99.1500015258789</v>
      </c>
      <c r="BX34" s="411">
        <v>151.16</v>
      </c>
      <c r="BZ34" s="411">
        <v>147.6900024414062</v>
      </c>
      <c r="CA34" s="411">
        <v>4.9517</v>
      </c>
      <c r="CB34" s="411">
        <v>5.0788E-4</v>
      </c>
      <c r="CC34" s="411">
        <v>5.45389986038208</v>
      </c>
      <c r="CD34" s="411">
        <v>6.25</v>
      </c>
      <c r="CE34" s="411">
        <v>27.28899955749512</v>
      </c>
      <c r="CF34" s="411">
        <v>3.70006799697876</v>
      </c>
      <c r="CG34" s="411">
        <v>0.1447282731533051</v>
      </c>
      <c r="CH34" s="411">
        <v>0.2019508332014084</v>
      </c>
    </row>
    <row r="35" ht="15.75" customHeight="1">
      <c r="A35" s="566">
        <v>45055.0</v>
      </c>
      <c r="C35" s="411">
        <v>11.77000045776367</v>
      </c>
      <c r="H35" s="411">
        <v>22.57</v>
      </c>
      <c r="S35" s="411">
        <v>-183.96</v>
      </c>
      <c r="T35" s="411">
        <v>-36.62</v>
      </c>
      <c r="V35" s="411">
        <v>-141.54</v>
      </c>
      <c r="AB35" s="411">
        <v>-442.7</v>
      </c>
      <c r="AJ35" s="411">
        <v>-281.81</v>
      </c>
      <c r="AP35" s="411">
        <v>60.04000091552734</v>
      </c>
      <c r="AR35" s="411">
        <v>39.0</v>
      </c>
      <c r="AS35" s="411">
        <v>46.49499893188477</v>
      </c>
      <c r="AU35" s="411">
        <v>-78.35</v>
      </c>
      <c r="AY35" s="411">
        <v>83.6</v>
      </c>
      <c r="BC35" s="411">
        <v>37.41999816894531</v>
      </c>
      <c r="BE35" s="411">
        <v>-175.59</v>
      </c>
      <c r="BP35" s="411">
        <v>410.9299926757812</v>
      </c>
      <c r="BV35" s="411">
        <v>32.2599983215332</v>
      </c>
      <c r="BW35" s="411">
        <v>99.37000274658203</v>
      </c>
      <c r="BX35" s="411">
        <v>150.0</v>
      </c>
      <c r="BZ35" s="411">
        <v>147.6499938964844</v>
      </c>
      <c r="CA35" s="411">
        <v>4.988</v>
      </c>
      <c r="CB35" s="411">
        <v>5.0788E-4</v>
      </c>
      <c r="CC35" s="411">
        <v>5.50540018081665</v>
      </c>
      <c r="CD35" s="411">
        <v>6.309147834777832</v>
      </c>
      <c r="CE35" s="411">
        <v>26.95700073242188</v>
      </c>
      <c r="CF35" s="411">
        <v>3.742599010467529</v>
      </c>
      <c r="CG35" s="411">
        <v>0.1446863859891891</v>
      </c>
      <c r="CH35" s="411">
        <v>0.1996805220842361</v>
      </c>
    </row>
    <row r="36" ht="15.75" customHeight="1">
      <c r="A36" s="566">
        <v>45056.0</v>
      </c>
      <c r="C36" s="411">
        <v>12.28999996185303</v>
      </c>
      <c r="H36" s="411">
        <v>-321.53</v>
      </c>
      <c r="S36" s="411">
        <v>305.76</v>
      </c>
      <c r="T36" s="411">
        <v>-13.67</v>
      </c>
      <c r="V36" s="411">
        <v>82.11</v>
      </c>
      <c r="AJ36" s="411">
        <v>71.51</v>
      </c>
      <c r="AP36" s="411">
        <v>59.7400016784668</v>
      </c>
      <c r="AR36" s="411">
        <v>38.95999908447266</v>
      </c>
      <c r="AS36" s="411">
        <v>46.29999923706055</v>
      </c>
      <c r="AU36" s="411">
        <v>8.22</v>
      </c>
      <c r="AY36" s="411">
        <v>-223.2</v>
      </c>
      <c r="BC36" s="411">
        <v>37.06000137329102</v>
      </c>
      <c r="BE36" s="411">
        <v>-410.17</v>
      </c>
      <c r="BP36" s="411">
        <v>412.8500061035156</v>
      </c>
      <c r="BV36" s="411">
        <v>32.08000183105469</v>
      </c>
      <c r="BW36" s="411">
        <v>99.01000213623047</v>
      </c>
      <c r="BX36" s="411">
        <v>151.83</v>
      </c>
      <c r="BZ36" s="411">
        <v>148.3999938964844</v>
      </c>
      <c r="CA36" s="411">
        <v>4.9551</v>
      </c>
      <c r="CB36" s="411">
        <v>5.0788E-4</v>
      </c>
      <c r="CC36" s="411">
        <v>5.464499950408936</v>
      </c>
      <c r="CD36" s="411">
        <v>6.294930934906006</v>
      </c>
      <c r="CE36" s="411">
        <v>27.1200008392334</v>
      </c>
      <c r="CF36" s="411">
        <v>3.725914001464844</v>
      </c>
      <c r="CG36" s="411">
        <v>0.1445211917161942</v>
      </c>
      <c r="CH36" s="411">
        <v>0.2005655914545059</v>
      </c>
    </row>
    <row r="37" ht="15.75" customHeight="1">
      <c r="A37" s="566">
        <v>45057.0</v>
      </c>
      <c r="C37" s="411">
        <v>12.97000026702881</v>
      </c>
      <c r="H37" s="411">
        <v>513.71</v>
      </c>
      <c r="S37" s="411">
        <v>506.98</v>
      </c>
      <c r="T37" s="411">
        <v>12.8</v>
      </c>
      <c r="V37" s="411">
        <v>162.54</v>
      </c>
      <c r="AH37" s="411">
        <v>39.0099983215332</v>
      </c>
      <c r="AJ37" s="411">
        <v>-276.01</v>
      </c>
      <c r="AP37" s="411">
        <v>59.90999984741211</v>
      </c>
      <c r="AR37" s="411">
        <v>38.93000030517578</v>
      </c>
      <c r="AS37" s="411">
        <v>46.34999847412109</v>
      </c>
      <c r="AU37" s="411">
        <v>-471.89</v>
      </c>
      <c r="AY37" s="411">
        <v>10.07</v>
      </c>
      <c r="BC37" s="411">
        <v>36.13999938964844</v>
      </c>
      <c r="BE37" s="411">
        <v>34.96</v>
      </c>
      <c r="BH37" s="411">
        <v>4129.16204</v>
      </c>
      <c r="BP37" s="411">
        <v>412.1300048828125</v>
      </c>
      <c r="BV37" s="411">
        <v>32.02999877929688</v>
      </c>
      <c r="BW37" s="411">
        <v>98.41000366210938</v>
      </c>
      <c r="BX37" s="411">
        <v>151.15</v>
      </c>
      <c r="BZ37" s="411">
        <v>149.0899963378906</v>
      </c>
      <c r="CA37" s="411">
        <v>4.9696</v>
      </c>
      <c r="CB37" s="411">
        <v>5.0788E-4</v>
      </c>
      <c r="CC37" s="411">
        <v>5.426599979400635</v>
      </c>
      <c r="CD37" s="411">
        <v>6.241154193878174</v>
      </c>
      <c r="CE37" s="411">
        <v>27.11185073852539</v>
      </c>
      <c r="CF37" s="411">
        <v>3.694756984710693</v>
      </c>
      <c r="CG37" s="411">
        <v>0.1442543566226959</v>
      </c>
      <c r="CH37" s="411">
        <v>0.2023103833198547</v>
      </c>
    </row>
    <row r="38" ht="15.75" customHeight="1">
      <c r="A38" s="566">
        <v>45058.0</v>
      </c>
      <c r="C38" s="411">
        <v>12.85999965667725</v>
      </c>
      <c r="H38" s="411">
        <v>-515.35</v>
      </c>
      <c r="S38" s="411">
        <v>288.87</v>
      </c>
      <c r="T38" s="411">
        <v>-37.27</v>
      </c>
      <c r="V38" s="411">
        <v>-52.0</v>
      </c>
      <c r="AH38" s="411">
        <v>38.54999923706055</v>
      </c>
      <c r="AP38" s="411">
        <v>60.20000076293945</v>
      </c>
      <c r="AR38" s="411">
        <v>38.72000122070312</v>
      </c>
      <c r="AS38" s="411">
        <v>46.58499908447266</v>
      </c>
      <c r="AY38" s="411">
        <v>323.62</v>
      </c>
      <c r="BC38" s="411">
        <v>36.36999893188477</v>
      </c>
      <c r="BE38" s="411">
        <v>-74.71</v>
      </c>
      <c r="BH38" s="411">
        <v>4128.009869</v>
      </c>
      <c r="BL38" s="411">
        <v>7.28000020980835</v>
      </c>
      <c r="BM38" s="411">
        <v>25.45999908447266</v>
      </c>
      <c r="BP38" s="411">
        <v>411.5899963378906</v>
      </c>
      <c r="BU38" s="411">
        <v>23.04999923706055</v>
      </c>
      <c r="BV38" s="411">
        <v>31.89999961853027</v>
      </c>
      <c r="BW38" s="411">
        <v>98.4800033569336</v>
      </c>
      <c r="BX38" s="411">
        <v>150.95</v>
      </c>
      <c r="BZ38" s="411">
        <v>147.8300018310547</v>
      </c>
      <c r="CA38" s="411">
        <v>4.9295</v>
      </c>
      <c r="CB38" s="411">
        <v>5.0788E-4</v>
      </c>
      <c r="CC38" s="411">
        <v>5.343599796295166</v>
      </c>
      <c r="CD38" s="411">
        <v>6.161428928375244</v>
      </c>
      <c r="CE38" s="411">
        <v>27.53400039672852</v>
      </c>
      <c r="CF38" s="411">
        <v>3.650548934936523</v>
      </c>
      <c r="CG38" s="411">
        <v>0.1439325213432312</v>
      </c>
      <c r="CH38" s="411">
        <v>0.2028603255748749</v>
      </c>
    </row>
    <row r="39" ht="15.75" customHeight="1">
      <c r="A39" s="566">
        <v>45061.0</v>
      </c>
      <c r="C39" s="411">
        <v>12.76000022888184</v>
      </c>
      <c r="S39" s="411">
        <v>421.87</v>
      </c>
      <c r="T39" s="411">
        <v>-7.62</v>
      </c>
      <c r="V39" s="411">
        <v>116.59</v>
      </c>
      <c r="AH39" s="411">
        <v>39.2599983215332</v>
      </c>
      <c r="AP39" s="411">
        <v>60.56000137329102</v>
      </c>
      <c r="AR39" s="411">
        <v>38.97000122070312</v>
      </c>
      <c r="AS39" s="411">
        <v>46.70500183105469</v>
      </c>
      <c r="AY39" s="411">
        <v>308.4</v>
      </c>
      <c r="BC39" s="411">
        <v>37.52000045776367</v>
      </c>
      <c r="BE39" s="411">
        <v>-114.0</v>
      </c>
      <c r="BH39" s="411">
        <v>4128.725257</v>
      </c>
      <c r="BL39" s="411">
        <v>7.440000057220459</v>
      </c>
      <c r="BM39" s="411">
        <v>26.04999923706055</v>
      </c>
      <c r="BP39" s="411">
        <v>413.010009765625</v>
      </c>
      <c r="BU39" s="411">
        <v>23.68000030517578</v>
      </c>
      <c r="BV39" s="411">
        <v>32.15999984741211</v>
      </c>
      <c r="BW39" s="411">
        <v>98.95999908447266</v>
      </c>
      <c r="BX39" s="411">
        <v>150.2</v>
      </c>
      <c r="BZ39" s="411">
        <v>148.0200042724609</v>
      </c>
      <c r="CA39" s="411">
        <v>4.9234</v>
      </c>
      <c r="CB39" s="411">
        <v>5.0788E-4</v>
      </c>
      <c r="CC39" s="411">
        <v>5.335999965667725</v>
      </c>
      <c r="CD39" s="411">
        <v>6.119950771331787</v>
      </c>
      <c r="CE39" s="411">
        <v>27.59000015258789</v>
      </c>
      <c r="CF39" s="411">
        <v>3.629684925079346</v>
      </c>
      <c r="CG39" s="411">
        <v>0.1437339186668396</v>
      </c>
      <c r="CH39" s="411">
        <v>0.2032437771558762</v>
      </c>
    </row>
    <row r="40" ht="15.75" customHeight="1">
      <c r="A40" s="566">
        <v>45062.0</v>
      </c>
      <c r="C40" s="411">
        <v>12.35999965667725</v>
      </c>
      <c r="F40" s="411">
        <v>104.629997253418</v>
      </c>
      <c r="N40" s="411">
        <v>22.5</v>
      </c>
      <c r="S40" s="411">
        <v>-242.08</v>
      </c>
      <c r="T40" s="411">
        <v>-2.5</v>
      </c>
      <c r="V40" s="411">
        <v>-94.52</v>
      </c>
      <c r="AH40" s="411">
        <v>38.97999954223633</v>
      </c>
      <c r="AP40" s="411">
        <v>60.43999862670898</v>
      </c>
      <c r="AR40" s="411">
        <v>38.68000030517578</v>
      </c>
      <c r="AS40" s="411">
        <v>46.49499893188477</v>
      </c>
      <c r="AY40" s="411">
        <v>145.61</v>
      </c>
      <c r="BC40" s="411">
        <v>36.95999908447266</v>
      </c>
      <c r="BE40" s="411">
        <v>-327.54</v>
      </c>
      <c r="BK40" s="411">
        <v>26.29999923706055</v>
      </c>
      <c r="BL40" s="411">
        <v>7.150000095367432</v>
      </c>
      <c r="BM40" s="411">
        <v>27.79999923706055</v>
      </c>
      <c r="BP40" s="411">
        <v>410.25</v>
      </c>
      <c r="BT40" s="411">
        <v>67.63999938964844</v>
      </c>
      <c r="BU40" s="411">
        <v>23.1200008392334</v>
      </c>
      <c r="BV40" s="411">
        <v>31.86000061035156</v>
      </c>
      <c r="BW40" s="411">
        <v>97.62000274658203</v>
      </c>
      <c r="BX40" s="411">
        <v>152.36</v>
      </c>
      <c r="BZ40" s="411">
        <v>147.4199981689453</v>
      </c>
      <c r="CA40" s="411">
        <v>4.9122</v>
      </c>
      <c r="CB40" s="411">
        <v>5.0788E-4</v>
      </c>
      <c r="CC40" s="411">
        <v>5.312699794769287</v>
      </c>
      <c r="CD40" s="411">
        <v>6.122196197509766</v>
      </c>
      <c r="CE40" s="411">
        <v>27.81800079345703</v>
      </c>
      <c r="CF40" s="411">
        <v>3.627938985824585</v>
      </c>
      <c r="CG40" s="411">
        <v>0.1438517719507217</v>
      </c>
      <c r="CH40" s="411">
        <v>0.2045868486166</v>
      </c>
    </row>
    <row r="41" ht="15.75" customHeight="1">
      <c r="A41" s="566">
        <v>45063.0</v>
      </c>
      <c r="C41" s="411">
        <v>14.19999980926514</v>
      </c>
      <c r="F41" s="411">
        <v>106.0100021362305</v>
      </c>
      <c r="N41" s="411">
        <v>23.05999946594238</v>
      </c>
      <c r="S41" s="411">
        <v>-197.19</v>
      </c>
      <c r="T41" s="411">
        <v>-21.42</v>
      </c>
      <c r="V41" s="411">
        <v>-115.22</v>
      </c>
      <c r="AH41" s="411">
        <v>39.15999984741211</v>
      </c>
      <c r="AP41" s="411">
        <v>60.84999847412109</v>
      </c>
      <c r="AR41" s="411">
        <v>38.84999847412109</v>
      </c>
      <c r="AS41" s="411">
        <v>46.43500137329102</v>
      </c>
      <c r="AY41" s="411">
        <v>343.79</v>
      </c>
      <c r="BC41" s="411">
        <v>39.68000030517578</v>
      </c>
      <c r="BE41" s="411">
        <v>245.39</v>
      </c>
      <c r="BK41" s="411">
        <v>25.65999984741211</v>
      </c>
      <c r="BL41" s="411">
        <v>7.460000038146973</v>
      </c>
      <c r="BM41" s="411">
        <v>28.10000038146973</v>
      </c>
      <c r="BP41" s="411">
        <v>415.2300109863281</v>
      </c>
      <c r="BT41" s="411">
        <v>69.87999725341797</v>
      </c>
      <c r="BU41" s="411">
        <v>24.1299991607666</v>
      </c>
      <c r="BV41" s="411">
        <v>32.5</v>
      </c>
      <c r="BW41" s="411">
        <v>99.30000305175781</v>
      </c>
      <c r="BX41" s="411">
        <v>154.39</v>
      </c>
      <c r="BZ41" s="411">
        <v>150.4900054931641</v>
      </c>
      <c r="CA41" s="411">
        <v>4.9513</v>
      </c>
      <c r="CB41" s="411">
        <v>5.0788E-4</v>
      </c>
      <c r="CC41" s="411">
        <v>5.363999843597412</v>
      </c>
      <c r="CD41" s="411">
        <v>6.166310787200928</v>
      </c>
      <c r="CE41" s="411">
        <v>27.60499954223633</v>
      </c>
      <c r="CF41" s="411">
        <v>3.662683963775635</v>
      </c>
      <c r="CG41" s="411">
        <v>0.143336296081543</v>
      </c>
      <c r="CH41" s="411">
        <v>0.2024537324905396</v>
      </c>
    </row>
    <row r="42" ht="15.75" customHeight="1">
      <c r="A42" s="566">
        <v>45064.0</v>
      </c>
      <c r="C42" s="411">
        <v>14.5</v>
      </c>
      <c r="F42" s="411">
        <v>106.75</v>
      </c>
      <c r="N42" s="411">
        <v>22.76000022888184</v>
      </c>
      <c r="T42" s="411">
        <v>17.71</v>
      </c>
      <c r="V42" s="411">
        <v>93.36</v>
      </c>
      <c r="AH42" s="411">
        <v>38.95000076293945</v>
      </c>
      <c r="AP42" s="411">
        <v>60.86000061035156</v>
      </c>
      <c r="AR42" s="411">
        <v>38.75</v>
      </c>
      <c r="AS42" s="411">
        <v>46.65999984741211</v>
      </c>
      <c r="AY42" s="411">
        <v>433.29</v>
      </c>
      <c r="BC42" s="411">
        <v>39.91999816894531</v>
      </c>
      <c r="BE42" s="411">
        <v>400.25</v>
      </c>
      <c r="BK42" s="411">
        <v>25.80999946594238</v>
      </c>
      <c r="BL42" s="411">
        <v>7.480000019073486</v>
      </c>
      <c r="BM42" s="411">
        <v>28.97999954223633</v>
      </c>
      <c r="BP42" s="411">
        <v>419.2300109863281</v>
      </c>
      <c r="BT42" s="411">
        <v>69.9800033569336</v>
      </c>
      <c r="BU42" s="411">
        <v>25.04000091552734</v>
      </c>
      <c r="BV42" s="411">
        <v>32.7400016784668</v>
      </c>
      <c r="BW42" s="411">
        <v>100.0199966430664</v>
      </c>
      <c r="BX42" s="411">
        <v>157.5500030517578</v>
      </c>
      <c r="BZ42" s="411">
        <v>152.8300018310547</v>
      </c>
      <c r="CA42" s="411">
        <v>4.97</v>
      </c>
      <c r="CB42" s="411">
        <v>5.0788E-4</v>
      </c>
      <c r="CC42" s="411">
        <v>5.348999977111816</v>
      </c>
      <c r="CD42" s="411">
        <v>6.163418769836426</v>
      </c>
      <c r="CE42" s="411">
        <v>27.8536434173584</v>
      </c>
      <c r="CF42" s="411">
        <v>3.664803028106689</v>
      </c>
      <c r="CG42" s="411">
        <v>0.142916351556778</v>
      </c>
      <c r="CH42" s="411">
        <v>0.2025234550237656</v>
      </c>
    </row>
    <row r="43" ht="15.75" customHeight="1">
      <c r="A43" s="566">
        <v>45065.0</v>
      </c>
      <c r="C43" s="411">
        <v>14.07999992370605</v>
      </c>
      <c r="F43" s="411">
        <v>107.1600036621094</v>
      </c>
      <c r="N43" s="411">
        <v>22.93000030517578</v>
      </c>
      <c r="T43" s="411">
        <v>3.77</v>
      </c>
      <c r="V43" s="411">
        <v>-16.96</v>
      </c>
      <c r="AH43" s="411">
        <v>38.97999954223633</v>
      </c>
      <c r="AP43" s="411">
        <v>60.95999908447266</v>
      </c>
      <c r="AR43" s="411">
        <v>39.06000137329102</v>
      </c>
      <c r="AS43" s="411">
        <v>46.97000122070312</v>
      </c>
      <c r="AY43" s="411">
        <v>-26.24</v>
      </c>
      <c r="BC43" s="411">
        <v>39.20999908447266</v>
      </c>
      <c r="BE43" s="411">
        <v>102.84</v>
      </c>
      <c r="BI43" s="411">
        <v>10.85999965667725</v>
      </c>
      <c r="BK43" s="411">
        <v>25.77000045776367</v>
      </c>
      <c r="BL43" s="411">
        <v>7.420000076293945</v>
      </c>
      <c r="BM43" s="411">
        <v>28.89999961853027</v>
      </c>
      <c r="BP43" s="411">
        <v>418.6199951171875</v>
      </c>
      <c r="BS43" s="411">
        <v>28.27000045776367</v>
      </c>
      <c r="BT43" s="411">
        <v>69.20999908447266</v>
      </c>
      <c r="BU43" s="411">
        <v>24.73999977111816</v>
      </c>
      <c r="BV43" s="411">
        <v>32.59999847412109</v>
      </c>
      <c r="BW43" s="411">
        <v>99.77999877929688</v>
      </c>
      <c r="BX43" s="411">
        <v>157.4799957275391</v>
      </c>
      <c r="BZ43" s="411">
        <v>151.5500030517578</v>
      </c>
      <c r="CA43" s="411">
        <v>4.9858</v>
      </c>
      <c r="CB43" s="411">
        <v>5.0788E-4</v>
      </c>
      <c r="CC43" s="411">
        <v>5.34630012512207</v>
      </c>
      <c r="CD43" s="411">
        <v>6.15384578704834</v>
      </c>
      <c r="CE43" s="411">
        <v>27.90800094604492</v>
      </c>
      <c r="CF43" s="411">
        <v>3.675657987594604</v>
      </c>
      <c r="CG43" s="411">
        <v>0.1421443969011307</v>
      </c>
      <c r="CH43" s="411">
        <v>0.2014342248439789</v>
      </c>
      <c r="CI43" s="411">
        <v>0.6629980802536011</v>
      </c>
      <c r="CJ43" s="411">
        <v>0.6235813498497009</v>
      </c>
    </row>
    <row r="44" ht="15.75" customHeight="1">
      <c r="A44" s="566">
        <v>45068.0</v>
      </c>
      <c r="C44" s="411">
        <v>15.39999961853027</v>
      </c>
      <c r="F44" s="411">
        <v>106.5500030517578</v>
      </c>
      <c r="N44" s="411">
        <v>22.64999961853027</v>
      </c>
      <c r="T44" s="411">
        <v>-14.96</v>
      </c>
      <c r="V44" s="411">
        <v>-65.08</v>
      </c>
      <c r="AH44" s="411">
        <v>39.29999923706055</v>
      </c>
      <c r="AP44" s="411">
        <v>61.22999954223633</v>
      </c>
      <c r="AR44" s="411">
        <v>39.02000045776367</v>
      </c>
      <c r="AS44" s="411">
        <v>46.98500061035156</v>
      </c>
      <c r="AY44" s="411">
        <v>40.56</v>
      </c>
      <c r="BC44" s="411">
        <v>40.45999908447266</v>
      </c>
      <c r="BE44" s="411">
        <v>391.8</v>
      </c>
      <c r="BI44" s="411">
        <v>10.89999961853027</v>
      </c>
      <c r="BK44" s="411">
        <v>25.6200008392334</v>
      </c>
      <c r="BL44" s="411">
        <v>7.449999809265137</v>
      </c>
      <c r="BM44" s="411">
        <v>29.20000076293945</v>
      </c>
      <c r="BP44" s="411">
        <v>418.7900085449219</v>
      </c>
      <c r="BS44" s="411">
        <v>28.29000091552734</v>
      </c>
      <c r="BT44" s="411">
        <v>68.0999984741211</v>
      </c>
      <c r="BU44" s="411">
        <v>24.78000068664551</v>
      </c>
      <c r="BV44" s="411">
        <v>32.65999984741211</v>
      </c>
      <c r="BW44" s="411">
        <v>99.76000213623047</v>
      </c>
      <c r="BX44" s="411">
        <v>157.7799987792969</v>
      </c>
      <c r="BZ44" s="411">
        <v>151.0800018310547</v>
      </c>
      <c r="CA44" s="411">
        <v>4.968</v>
      </c>
      <c r="CB44" s="411">
        <v>5.0788E-4</v>
      </c>
      <c r="CC44" s="411">
        <v>5.335800170898438</v>
      </c>
      <c r="CD44" s="411">
        <v>6.224448204040527</v>
      </c>
      <c r="CE44" s="411">
        <v>27.54400062561035</v>
      </c>
      <c r="CF44" s="411">
        <v>3.700411081314087</v>
      </c>
      <c r="CG44" s="411">
        <v>0.1427164673805237</v>
      </c>
      <c r="CH44" s="411">
        <v>0.2001280784606934</v>
      </c>
      <c r="CI44" s="411">
        <v>0.666100025177002</v>
      </c>
      <c r="CJ44" s="411">
        <v>0.6284209489822388</v>
      </c>
    </row>
    <row r="45" ht="15.75" customHeight="1">
      <c r="A45" s="566">
        <v>45069.0</v>
      </c>
      <c r="C45" s="411">
        <v>14.93000030517578</v>
      </c>
      <c r="F45" s="411">
        <v>106.4400024414062</v>
      </c>
      <c r="N45" s="411">
        <v>22.39999961853027</v>
      </c>
      <c r="T45" s="411">
        <v>13.67</v>
      </c>
      <c r="V45" s="411">
        <v>103.46</v>
      </c>
      <c r="AH45" s="411">
        <v>38.68999862670898</v>
      </c>
      <c r="AP45" s="411">
        <v>60.34999847412109</v>
      </c>
      <c r="AR45" s="411">
        <v>38.16999816894531</v>
      </c>
      <c r="AS45" s="411">
        <v>46.72000122070312</v>
      </c>
      <c r="AY45" s="411">
        <v>2.11</v>
      </c>
      <c r="BC45" s="411">
        <v>40.86000061035156</v>
      </c>
      <c r="BE45" s="411">
        <v>203.69</v>
      </c>
      <c r="BI45" s="411">
        <v>10.94999980926514</v>
      </c>
      <c r="BK45" s="411">
        <v>26.25</v>
      </c>
      <c r="BL45" s="411">
        <v>7.300000190734863</v>
      </c>
      <c r="BM45" s="411">
        <v>29.14999961853027</v>
      </c>
      <c r="BP45" s="411">
        <v>414.0899963378906</v>
      </c>
      <c r="BS45" s="411">
        <v>28.3700008392334</v>
      </c>
      <c r="BT45" s="411">
        <v>66.55999755859375</v>
      </c>
      <c r="BU45" s="411">
        <v>24.39999961853027</v>
      </c>
      <c r="BV45" s="411">
        <v>32.27999877929688</v>
      </c>
      <c r="BW45" s="411">
        <v>98.55999755859375</v>
      </c>
      <c r="BX45" s="411">
        <v>155.4499969482422</v>
      </c>
      <c r="BZ45" s="411">
        <v>149.6999969482422</v>
      </c>
      <c r="CA45" s="411">
        <v>4.9674</v>
      </c>
      <c r="CB45" s="411">
        <v>5.0788E-4</v>
      </c>
      <c r="CC45" s="411">
        <v>5.365300178527832</v>
      </c>
      <c r="CD45" s="411">
        <v>6.169031143188477</v>
      </c>
      <c r="CE45" s="411">
        <v>27.90900039672852</v>
      </c>
      <c r="CF45" s="411">
        <v>3.675568103790283</v>
      </c>
      <c r="CG45" s="411">
        <v>0.1422293037176132</v>
      </c>
      <c r="CH45" s="411">
        <v>0.2013652473688126</v>
      </c>
      <c r="CI45" s="411">
        <v>0.6649687886238098</v>
      </c>
      <c r="CJ45" s="411">
        <v>0.6286303400993347</v>
      </c>
    </row>
    <row r="46" ht="15.75" customHeight="1">
      <c r="A46" s="566">
        <v>45070.0</v>
      </c>
      <c r="C46" s="411">
        <v>14.6899995803833</v>
      </c>
      <c r="F46" s="411">
        <v>105.2699966430664</v>
      </c>
      <c r="N46" s="411">
        <v>21.94000053405762</v>
      </c>
      <c r="T46" s="411">
        <v>20.92</v>
      </c>
      <c r="V46" s="411">
        <v>79.21</v>
      </c>
      <c r="AH46" s="411">
        <v>38.40000152587891</v>
      </c>
      <c r="AP46" s="411">
        <v>59.70999908447266</v>
      </c>
      <c r="AR46" s="411">
        <v>37.65000152587891</v>
      </c>
      <c r="AS46" s="411">
        <v>45.875</v>
      </c>
      <c r="AY46" s="411">
        <v>167.88</v>
      </c>
      <c r="BC46" s="411">
        <v>40.13000106811523</v>
      </c>
      <c r="BE46" s="411">
        <v>-420.42</v>
      </c>
      <c r="BI46" s="411">
        <v>10.84000015258789</v>
      </c>
      <c r="BK46" s="411">
        <v>26.64999961853027</v>
      </c>
      <c r="BL46" s="411">
        <v>7.5</v>
      </c>
      <c r="BM46" s="411">
        <v>28.60000038146973</v>
      </c>
      <c r="BP46" s="411">
        <v>411.0899963378906</v>
      </c>
      <c r="BS46" s="411">
        <v>28.46999931335449</v>
      </c>
      <c r="BT46" s="411">
        <v>65.05000305175781</v>
      </c>
      <c r="BU46" s="411">
        <v>23.75</v>
      </c>
      <c r="BV46" s="411">
        <v>31.86000061035156</v>
      </c>
      <c r="BW46" s="411">
        <v>97.29000091552734</v>
      </c>
      <c r="BX46" s="411">
        <v>154.3099975585938</v>
      </c>
      <c r="BZ46" s="411">
        <v>149.1499938964844</v>
      </c>
      <c r="CA46" s="411">
        <v>4.9474</v>
      </c>
      <c r="CB46" s="411">
        <v>5.0788E-4</v>
      </c>
      <c r="CC46" s="411">
        <v>5.351200103759766</v>
      </c>
      <c r="CD46" s="411">
        <v>6.165227890014648</v>
      </c>
      <c r="CE46" s="411">
        <v>27.86400032043457</v>
      </c>
      <c r="CF46" s="411">
        <v>3.680659055709839</v>
      </c>
      <c r="CG46" s="411">
        <v>0.141715332865715</v>
      </c>
      <c r="CH46" s="411">
        <v>0.2011586725711823</v>
      </c>
      <c r="CI46" s="411">
        <v>0.6613581776618958</v>
      </c>
      <c r="CJ46" s="411">
        <v>0.6250195503234863</v>
      </c>
    </row>
    <row r="47" ht="15.75" customHeight="1">
      <c r="A47" s="566">
        <v>45071.0</v>
      </c>
      <c r="C47" s="411">
        <v>15.60000038146973</v>
      </c>
      <c r="F47" s="411">
        <v>106.5500030517578</v>
      </c>
      <c r="N47" s="411">
        <v>22.15999984741211</v>
      </c>
      <c r="T47" s="411">
        <v>64.98</v>
      </c>
      <c r="V47" s="411">
        <v>243.36</v>
      </c>
      <c r="AH47" s="411">
        <v>38.31999969482422</v>
      </c>
      <c r="AP47" s="411">
        <v>60.04999923706055</v>
      </c>
      <c r="AR47" s="411">
        <v>37.58000183105469</v>
      </c>
      <c r="AS47" s="411">
        <v>45.68999862670898</v>
      </c>
      <c r="AY47" s="411">
        <v>296.93</v>
      </c>
      <c r="BC47" s="411">
        <v>39.79999923706055</v>
      </c>
      <c r="BE47" s="411">
        <v>45.84</v>
      </c>
      <c r="BI47" s="411">
        <v>10.80000019073486</v>
      </c>
      <c r="BK47" s="411">
        <v>26.45000076293945</v>
      </c>
      <c r="BL47" s="411">
        <v>7.559999942779541</v>
      </c>
      <c r="BM47" s="411">
        <v>29.65999984741211</v>
      </c>
      <c r="BP47" s="411">
        <v>414.6499938964844</v>
      </c>
      <c r="BS47" s="411">
        <v>28.60000038146973</v>
      </c>
      <c r="BT47" s="411">
        <v>64.8499984741211</v>
      </c>
      <c r="BU47" s="411">
        <v>24.68000030517578</v>
      </c>
      <c r="BV47" s="411">
        <v>31.85000038146973</v>
      </c>
      <c r="BW47" s="411">
        <v>97.61000061035156</v>
      </c>
      <c r="BX47" s="411">
        <v>160.2299957275391</v>
      </c>
      <c r="BZ47" s="411">
        <v>148.4799957275391</v>
      </c>
      <c r="CA47" s="411">
        <v>4.999</v>
      </c>
      <c r="CB47" s="411">
        <v>5.0788E-4</v>
      </c>
      <c r="CC47" s="411">
        <v>5.330599784851074</v>
      </c>
      <c r="CD47" s="411">
        <v>6.134223937988281</v>
      </c>
      <c r="CE47" s="411">
        <v>28.07500076293945</v>
      </c>
      <c r="CF47" s="411">
        <v>3.647135972976685</v>
      </c>
      <c r="CG47" s="411">
        <v>0.141647070646286</v>
      </c>
      <c r="CH47" s="411">
        <v>0.2016698271036148</v>
      </c>
      <c r="CI47" s="411">
        <v>0.6545102000236511</v>
      </c>
      <c r="CJ47" s="411">
        <v>0.610608696937561</v>
      </c>
    </row>
    <row r="48" ht="15.75" customHeight="1">
      <c r="A48" s="566">
        <v>45072.0</v>
      </c>
      <c r="C48" s="411">
        <v>16.03000068664551</v>
      </c>
      <c r="F48" s="411">
        <v>107.5100021362305</v>
      </c>
      <c r="N48" s="411">
        <v>22.61000061035156</v>
      </c>
      <c r="T48" s="411">
        <v>9.26</v>
      </c>
      <c r="V48" s="411">
        <v>44.11</v>
      </c>
      <c r="AH48" s="411">
        <v>39.0</v>
      </c>
      <c r="AP48" s="411">
        <v>60.25</v>
      </c>
      <c r="AR48" s="411">
        <v>37.95999908447266</v>
      </c>
      <c r="AS48" s="411">
        <v>46.2599983215332</v>
      </c>
      <c r="AY48" s="411">
        <v>275.59</v>
      </c>
      <c r="BC48" s="411">
        <v>40.29000091552734</v>
      </c>
      <c r="BE48" s="411">
        <v>-639.1</v>
      </c>
      <c r="BI48" s="411">
        <v>10.78999996185303</v>
      </c>
      <c r="BK48" s="411">
        <v>26.79999923706055</v>
      </c>
      <c r="BL48" s="411">
        <v>7.639999866485596</v>
      </c>
      <c r="BM48" s="411">
        <v>29.65999984741211</v>
      </c>
      <c r="BP48" s="411">
        <v>420.0199890136719</v>
      </c>
      <c r="BS48" s="411">
        <v>28.59000015258789</v>
      </c>
      <c r="BT48" s="411">
        <v>66.33000183105469</v>
      </c>
      <c r="BU48" s="411">
        <v>25.42000007629395</v>
      </c>
      <c r="BV48" s="411">
        <v>32.11000061035156</v>
      </c>
      <c r="BW48" s="411">
        <v>98.33999633789062</v>
      </c>
      <c r="BX48" s="411">
        <v>164.7799987792969</v>
      </c>
      <c r="BZ48" s="411">
        <v>151.9700012207031</v>
      </c>
      <c r="CA48" s="411">
        <v>5.0114</v>
      </c>
      <c r="CB48" s="411">
        <v>5.0788E-4</v>
      </c>
      <c r="CC48" s="411">
        <v>5.356800079345703</v>
      </c>
      <c r="CD48" s="411">
        <v>6.166699886322021</v>
      </c>
      <c r="CE48" s="411">
        <v>28.13299942016602</v>
      </c>
      <c r="CF48" s="411">
        <v>3.688133001327515</v>
      </c>
      <c r="CG48" s="411">
        <v>0.1412948220968246</v>
      </c>
      <c r="CH48" s="411">
        <v>0.1986018419265747</v>
      </c>
      <c r="CI48" s="411">
        <v>0.6519755125045776</v>
      </c>
      <c r="CJ48" s="411">
        <v>0.6051803231239319</v>
      </c>
    </row>
    <row r="49" ht="15.75" customHeight="1">
      <c r="A49" s="566">
        <v>45075.0</v>
      </c>
      <c r="C49" s="411">
        <v>16.29999923706055</v>
      </c>
      <c r="F49" s="411">
        <v>106.7699966430664</v>
      </c>
      <c r="N49" s="411">
        <v>22.61</v>
      </c>
      <c r="T49" s="411">
        <v>-26.2</v>
      </c>
      <c r="V49" s="411">
        <v>-72.03</v>
      </c>
      <c r="AH49" s="411">
        <v>39.0</v>
      </c>
      <c r="AP49" s="411">
        <v>60.25</v>
      </c>
      <c r="AR49" s="411">
        <v>37.96</v>
      </c>
      <c r="AS49" s="411">
        <v>46.18500137329102</v>
      </c>
      <c r="AY49" s="411">
        <v>-53.7</v>
      </c>
      <c r="BC49" s="411">
        <v>40.29</v>
      </c>
      <c r="BE49" s="411">
        <v>-197.35</v>
      </c>
      <c r="BI49" s="411">
        <v>10.89999961853027</v>
      </c>
      <c r="BK49" s="411">
        <v>26.69000053405762</v>
      </c>
      <c r="BL49" s="411">
        <v>7.519999980926514</v>
      </c>
      <c r="BM49" s="411">
        <v>29.45000076293945</v>
      </c>
      <c r="BP49" s="411">
        <v>420.02</v>
      </c>
      <c r="BS49" s="411">
        <v>28.59</v>
      </c>
      <c r="BT49" s="411">
        <v>65.83000183105469</v>
      </c>
      <c r="BU49" s="411">
        <v>25.1200008392334</v>
      </c>
      <c r="BV49" s="411">
        <v>32.11</v>
      </c>
      <c r="BW49" s="411">
        <v>98.34</v>
      </c>
      <c r="BX49" s="411">
        <v>164.78</v>
      </c>
      <c r="BZ49" s="411">
        <v>151.97</v>
      </c>
      <c r="CA49" s="411">
        <v>5.0114</v>
      </c>
      <c r="CB49" s="411">
        <v>5.0788E-4</v>
      </c>
      <c r="CC49" s="411">
        <v>5.386600017547607</v>
      </c>
      <c r="CD49" s="411">
        <v>6.15763521194458</v>
      </c>
      <c r="CE49" s="411">
        <v>28.19799995422363</v>
      </c>
      <c r="CF49" s="411">
        <v>3.664885997772217</v>
      </c>
      <c r="CG49" s="411">
        <v>0.141747459769249</v>
      </c>
      <c r="CH49" s="411">
        <v>0.200288400053978</v>
      </c>
      <c r="CI49" s="411">
        <v>0.6526989340782166</v>
      </c>
      <c r="CJ49" s="411">
        <v>0.6057815551757812</v>
      </c>
    </row>
    <row r="50" ht="15.75" customHeight="1">
      <c r="A50" s="566">
        <v>45076.0</v>
      </c>
      <c r="C50" s="411">
        <v>16.04999923706055</v>
      </c>
      <c r="F50" s="411">
        <v>105.379997253418</v>
      </c>
      <c r="N50" s="411">
        <v>22.55999946594238</v>
      </c>
      <c r="T50" s="411">
        <v>9.21</v>
      </c>
      <c r="V50" s="411">
        <v>75.56</v>
      </c>
      <c r="AH50" s="411">
        <v>38.54999923706055</v>
      </c>
      <c r="AP50" s="411">
        <v>59.86000061035156</v>
      </c>
      <c r="AR50" s="411">
        <v>37.54999923706055</v>
      </c>
      <c r="AS50" s="411">
        <v>45.7599983215332</v>
      </c>
      <c r="AY50" s="411">
        <v>-165.24</v>
      </c>
      <c r="BC50" s="411">
        <v>40.20999908447266</v>
      </c>
      <c r="BE50" s="411">
        <v>258.97</v>
      </c>
      <c r="BI50" s="411">
        <v>10.84000015258789</v>
      </c>
      <c r="BK50" s="411">
        <v>26.38999938964844</v>
      </c>
      <c r="BL50" s="411">
        <v>7.239999771118164</v>
      </c>
      <c r="BM50" s="411">
        <v>28.98999977111816</v>
      </c>
      <c r="BP50" s="411">
        <v>420.1799926757812</v>
      </c>
      <c r="BS50" s="411">
        <v>28.55999946594238</v>
      </c>
      <c r="BT50" s="411">
        <v>64.27999877929688</v>
      </c>
      <c r="BU50" s="411">
        <v>24.93000030517578</v>
      </c>
      <c r="BV50" s="411">
        <v>32.09999847412109</v>
      </c>
      <c r="BW50" s="411">
        <v>98.19000244140625</v>
      </c>
      <c r="BX50" s="411">
        <v>165.6600036621094</v>
      </c>
      <c r="BZ50" s="411">
        <v>152.9900054931641</v>
      </c>
      <c r="CA50" s="411">
        <v>5.0181</v>
      </c>
      <c r="CB50" s="411">
        <v>5.0788E-4</v>
      </c>
      <c r="CC50" s="411">
        <v>5.370800018310547</v>
      </c>
      <c r="CD50" s="411">
        <v>6.197021007537842</v>
      </c>
      <c r="CE50" s="411">
        <v>27.97299957275391</v>
      </c>
      <c r="CF50" s="411">
        <v>3.687216997146606</v>
      </c>
      <c r="CG50" s="411">
        <v>0.1413967162370682</v>
      </c>
      <c r="CH50" s="411">
        <v>0.1992786228656769</v>
      </c>
      <c r="CI50" s="411">
        <v>0.6528502106666565</v>
      </c>
      <c r="CJ50" s="411">
        <v>0.6044487357139587</v>
      </c>
    </row>
    <row r="51" ht="15.75" customHeight="1">
      <c r="A51" s="566">
        <v>45077.0</v>
      </c>
      <c r="C51" s="411">
        <v>16.85000038146973</v>
      </c>
      <c r="F51" s="411">
        <v>104.84</v>
      </c>
      <c r="N51" s="411">
        <v>22.6200008392334</v>
      </c>
      <c r="T51" s="411">
        <v>-21.08</v>
      </c>
      <c r="V51" s="411">
        <v>-23.84</v>
      </c>
      <c r="AH51" s="411">
        <v>38.18999862670898</v>
      </c>
      <c r="AP51" s="411">
        <v>59.34000015258789</v>
      </c>
      <c r="AR51" s="411">
        <v>37.0</v>
      </c>
      <c r="AS51" s="411">
        <v>45.26499938964844</v>
      </c>
      <c r="AY51" s="411">
        <v>-30.29</v>
      </c>
      <c r="BC51" s="411">
        <v>38.97000122070312</v>
      </c>
      <c r="BE51" s="411">
        <v>242.52</v>
      </c>
      <c r="BI51" s="411">
        <v>10.94999980926514</v>
      </c>
      <c r="BK51" s="411">
        <v>26.1200008392334</v>
      </c>
      <c r="BL51" s="411">
        <v>7.25</v>
      </c>
      <c r="BM51" s="411">
        <v>29.0</v>
      </c>
      <c r="BP51" s="411">
        <v>417.8500061035156</v>
      </c>
      <c r="BS51" s="411">
        <v>28.61000061035156</v>
      </c>
      <c r="BT51" s="411">
        <v>63.81000137329102</v>
      </c>
      <c r="BU51" s="411">
        <v>25.47999954223633</v>
      </c>
      <c r="BV51" s="411">
        <v>31.76000022888184</v>
      </c>
      <c r="BW51" s="411">
        <v>96.8499984741211</v>
      </c>
      <c r="BX51" s="411">
        <v>164.2799987792969</v>
      </c>
      <c r="BZ51" s="411">
        <v>151.6100006103516</v>
      </c>
      <c r="CA51" s="411">
        <v>5.0593</v>
      </c>
      <c r="CB51" s="411">
        <v>5.0788E-4</v>
      </c>
      <c r="CC51" s="411">
        <v>5.403999805450439</v>
      </c>
      <c r="CD51" s="411">
        <v>6.289000034332275</v>
      </c>
      <c r="CE51" s="411">
        <v>27.51399993896484</v>
      </c>
      <c r="CF51" s="411">
        <v>3.723900079727173</v>
      </c>
      <c r="CG51" s="411">
        <v>0.1406331211328506</v>
      </c>
      <c r="CH51" s="411">
        <v>0.1978082954883575</v>
      </c>
      <c r="CI51" s="411">
        <v>0.6517800092697144</v>
      </c>
      <c r="CJ51" s="411">
        <v>0.6046789884567261</v>
      </c>
    </row>
    <row r="52" ht="15.75" customHeight="1">
      <c r="A52" s="566">
        <v>45078.0</v>
      </c>
      <c r="C52" s="411">
        <v>17.85000038146973</v>
      </c>
      <c r="F52" s="411">
        <v>107.2</v>
      </c>
      <c r="N52" s="411">
        <v>22.84</v>
      </c>
      <c r="T52" s="411">
        <v>17.54</v>
      </c>
      <c r="V52" s="411">
        <v>34.72</v>
      </c>
      <c r="AH52" s="411">
        <v>38.86999893188477</v>
      </c>
      <c r="AP52" s="411">
        <v>60.83000183105469</v>
      </c>
      <c r="AR52" s="411">
        <v>37.34000015258789</v>
      </c>
      <c r="AS52" s="411">
        <v>45.66999816894531</v>
      </c>
      <c r="AZ52" s="411">
        <v>-288.53</v>
      </c>
      <c r="BC52" s="411">
        <v>39.7599983215332</v>
      </c>
      <c r="BF52" s="411">
        <v>-356.22</v>
      </c>
      <c r="BI52" s="411">
        <v>11.14999961853027</v>
      </c>
      <c r="BK52" s="411">
        <v>26.95999908447266</v>
      </c>
      <c r="BL52" s="411">
        <v>7.599999904632568</v>
      </c>
      <c r="BM52" s="411">
        <v>30.22999954223633</v>
      </c>
      <c r="BP52" s="411">
        <v>421.8200073242188</v>
      </c>
      <c r="BS52" s="411">
        <v>28.27000045776367</v>
      </c>
      <c r="BT52" s="411">
        <v>65.16000366210938</v>
      </c>
      <c r="BU52" s="411">
        <v>26.29000091552734</v>
      </c>
      <c r="BV52" s="411">
        <v>32.09999847412109</v>
      </c>
      <c r="BW52" s="411">
        <v>98.08999633789062</v>
      </c>
      <c r="BX52" s="411">
        <v>165.9499969482422</v>
      </c>
      <c r="BZ52" s="411">
        <v>153.3999938964844</v>
      </c>
      <c r="CA52" s="411">
        <v>5.035</v>
      </c>
      <c r="CB52" s="411">
        <v>5.0788E-4</v>
      </c>
      <c r="CC52" s="411">
        <v>5.402200222015381</v>
      </c>
      <c r="CD52" s="411">
        <v>6.291368007659912</v>
      </c>
      <c r="CE52" s="411">
        <v>27.50900077819824</v>
      </c>
      <c r="CF52" s="411">
        <v>3.724344968795776</v>
      </c>
      <c r="CG52" s="411">
        <v>0.1406311541795731</v>
      </c>
      <c r="CH52" s="411">
        <v>0.1978317648172379</v>
      </c>
      <c r="CI52" s="411">
        <v>0.6506401300430298</v>
      </c>
      <c r="CJ52" s="411">
        <v>0.6025112867355347</v>
      </c>
    </row>
    <row r="53" ht="15.75" customHeight="1">
      <c r="A53" s="566">
        <v>45079.0</v>
      </c>
      <c r="C53" s="411">
        <v>18.35000038146973</v>
      </c>
      <c r="T53" s="411">
        <v>-8.36</v>
      </c>
      <c r="V53" s="411">
        <v>-22.36</v>
      </c>
      <c r="AH53" s="411">
        <v>39.54000091552734</v>
      </c>
      <c r="AP53" s="411">
        <v>62.0</v>
      </c>
      <c r="AR53" s="411">
        <v>37.79999923706055</v>
      </c>
      <c r="AS53" s="411">
        <v>46.32500076293945</v>
      </c>
      <c r="AZ53" s="411">
        <v>376.76</v>
      </c>
      <c r="BC53" s="411">
        <v>42.20999908447266</v>
      </c>
      <c r="BF53" s="411">
        <v>-63.07</v>
      </c>
      <c r="BI53" s="411">
        <v>10.78999996185303</v>
      </c>
      <c r="BK53" s="411">
        <v>27.18000030517578</v>
      </c>
      <c r="BL53" s="411">
        <v>7.380000114440918</v>
      </c>
      <c r="BM53" s="411">
        <v>30.79999923706055</v>
      </c>
      <c r="BP53" s="411">
        <v>427.9200134277344</v>
      </c>
      <c r="BS53" s="411">
        <v>28.56999969482422</v>
      </c>
      <c r="BT53" s="411">
        <v>67.94000244140625</v>
      </c>
      <c r="BU53" s="411">
        <v>26.54000091552734</v>
      </c>
      <c r="BV53" s="411">
        <v>32.79999923706055</v>
      </c>
      <c r="BW53" s="411">
        <v>100.9400024414062</v>
      </c>
      <c r="BX53" s="411">
        <v>166.8999938964844</v>
      </c>
      <c r="BZ53" s="411">
        <v>157.0</v>
      </c>
      <c r="CA53" s="411">
        <v>5.0131</v>
      </c>
      <c r="CB53" s="411">
        <v>5.0788E-4</v>
      </c>
      <c r="CC53" s="411">
        <v>5.392000198364258</v>
      </c>
      <c r="CD53" s="411">
        <v>6.279129028320312</v>
      </c>
      <c r="CE53" s="411">
        <v>27.66300010681152</v>
      </c>
      <c r="CF53" s="411">
        <v>3.726253032684326</v>
      </c>
      <c r="CG53" s="411">
        <v>0.1409840732812881</v>
      </c>
      <c r="CH53" s="411">
        <v>0.1994773596525192</v>
      </c>
      <c r="CI53" s="411">
        <v>0.657799482345581</v>
      </c>
      <c r="CJ53" s="411">
        <v>0.6065789461135864</v>
      </c>
    </row>
    <row r="54" ht="15.75" customHeight="1">
      <c r="A54" s="566">
        <v>45082.0</v>
      </c>
      <c r="C54" s="411">
        <v>18.28000068664551</v>
      </c>
      <c r="T54" s="411">
        <v>38.1</v>
      </c>
      <c r="V54" s="411">
        <v>291.2</v>
      </c>
      <c r="AH54" s="411">
        <v>39.52999877929688</v>
      </c>
      <c r="AP54" s="411">
        <v>61.77999877929688</v>
      </c>
      <c r="AR54" s="411">
        <v>37.36999893188477</v>
      </c>
      <c r="AS54" s="411">
        <v>46.1150016784668</v>
      </c>
      <c r="AZ54" s="411">
        <v>-87.29</v>
      </c>
      <c r="BC54" s="411">
        <v>41.11999893188477</v>
      </c>
      <c r="BF54" s="411">
        <v>-264.56</v>
      </c>
      <c r="BI54" s="411">
        <v>10.82999992370605</v>
      </c>
      <c r="BK54" s="411">
        <v>27.46999931335449</v>
      </c>
      <c r="BL54" s="411">
        <v>7.260000228881836</v>
      </c>
      <c r="BM54" s="411">
        <v>31.10000038146973</v>
      </c>
      <c r="BP54" s="411">
        <v>427.1000061035156</v>
      </c>
      <c r="BS54" s="411">
        <v>28.52000045776367</v>
      </c>
      <c r="BT54" s="411">
        <v>67.37999725341797</v>
      </c>
      <c r="BU54" s="411">
        <v>26.45999908447266</v>
      </c>
      <c r="BV54" s="411">
        <v>32.63000106811523</v>
      </c>
      <c r="BW54" s="411">
        <v>100.2399978637695</v>
      </c>
      <c r="BX54" s="411">
        <v>165.9400024414062</v>
      </c>
      <c r="BZ54" s="411">
        <v>157.4700012207031</v>
      </c>
      <c r="CA54" s="411">
        <v>4.9566</v>
      </c>
      <c r="CB54" s="411">
        <v>5.0788E-4</v>
      </c>
      <c r="CC54" s="411">
        <v>5.305099964141846</v>
      </c>
      <c r="CD54" s="411">
        <v>6.15384578704834</v>
      </c>
      <c r="CE54" s="411">
        <v>28.27199935913086</v>
      </c>
      <c r="CF54" s="411">
        <v>3.690248012542725</v>
      </c>
      <c r="CG54" s="411">
        <v>0.1411671787500381</v>
      </c>
      <c r="CH54" s="411">
        <v>0.2017511874437332</v>
      </c>
      <c r="CI54" s="411">
        <v>0.6599997878074646</v>
      </c>
      <c r="CJ54" s="411">
        <v>0.6058182716369629</v>
      </c>
    </row>
    <row r="55" ht="15.75" customHeight="1">
      <c r="A55" s="566">
        <v>45083.0</v>
      </c>
      <c r="C55" s="411">
        <v>20.20000076293945</v>
      </c>
      <c r="T55" s="411">
        <v>22.91</v>
      </c>
      <c r="V55" s="411">
        <v>73.23</v>
      </c>
      <c r="AH55" s="411">
        <v>39.88000106811523</v>
      </c>
      <c r="AN55" s="411">
        <v>27.78</v>
      </c>
      <c r="AO55" s="411">
        <v>29.94</v>
      </c>
      <c r="AP55" s="411">
        <v>63.04000091552734</v>
      </c>
      <c r="AQ55" s="411">
        <v>27.54</v>
      </c>
      <c r="AR55" s="411">
        <v>37.56000137329102</v>
      </c>
      <c r="AS55" s="411">
        <v>46.31999969482422</v>
      </c>
      <c r="AZ55" s="411">
        <v>13.81</v>
      </c>
      <c r="BC55" s="411">
        <v>43.15999984741211</v>
      </c>
      <c r="BF55" s="411">
        <v>-174.67</v>
      </c>
      <c r="BI55" s="411">
        <v>9.930000305175781</v>
      </c>
      <c r="BK55" s="411">
        <v>28.04999923706055</v>
      </c>
      <c r="BL55" s="411">
        <v>7.599999904632568</v>
      </c>
      <c r="BM55" s="411">
        <v>31.6200008392334</v>
      </c>
      <c r="BP55" s="411">
        <v>428.0299987792969</v>
      </c>
      <c r="BS55" s="411">
        <v>28.61000061035156</v>
      </c>
      <c r="BT55" s="411">
        <v>67.5999984741211</v>
      </c>
      <c r="BU55" s="411">
        <v>27.15999984741211</v>
      </c>
      <c r="BV55" s="411">
        <v>33.04000091552734</v>
      </c>
      <c r="BW55" s="411">
        <v>100.870002746582</v>
      </c>
      <c r="BX55" s="411">
        <v>165.8999938964844</v>
      </c>
      <c r="BZ55" s="411">
        <v>159.1100006103516</v>
      </c>
      <c r="CA55" s="411">
        <v>4.925</v>
      </c>
      <c r="CB55" s="411">
        <v>5.0788E-4</v>
      </c>
      <c r="CC55" s="411">
        <v>5.274099826812744</v>
      </c>
      <c r="CD55" s="411">
        <v>6.116208076477051</v>
      </c>
      <c r="CE55" s="411">
        <v>28.28300094604492</v>
      </c>
      <c r="CF55" s="411">
        <v>3.661793947219849</v>
      </c>
      <c r="CG55" s="411">
        <v>0.1407459527254105</v>
      </c>
      <c r="CH55" s="411">
        <v>0.2030209451913834</v>
      </c>
      <c r="CI55" s="411">
        <v>0.6613494157791138</v>
      </c>
      <c r="CJ55" s="411">
        <v>0.6070613265037537</v>
      </c>
    </row>
    <row r="56" ht="15.75" customHeight="1">
      <c r="A56" s="566">
        <v>45084.0</v>
      </c>
      <c r="C56" s="411">
        <v>19.48999977111816</v>
      </c>
      <c r="T56" s="411">
        <v>15.57</v>
      </c>
      <c r="V56" s="411">
        <v>-99.67</v>
      </c>
      <c r="AH56" s="411">
        <v>39.40000152587891</v>
      </c>
      <c r="AN56" s="411">
        <v>27.6299991607666</v>
      </c>
      <c r="AO56" s="411">
        <v>29.93000030517578</v>
      </c>
      <c r="AP56" s="411">
        <v>61.0</v>
      </c>
      <c r="AQ56" s="411">
        <v>27.39999961853027</v>
      </c>
      <c r="AR56" s="411">
        <v>36.56000137329102</v>
      </c>
      <c r="AS56" s="411">
        <v>46.23500061035156</v>
      </c>
      <c r="AZ56" s="411">
        <v>167.63</v>
      </c>
      <c r="BC56" s="411">
        <v>44.59000015258789</v>
      </c>
      <c r="BF56" s="411">
        <v>-178.83</v>
      </c>
      <c r="BI56" s="411">
        <v>10.3100004196167</v>
      </c>
      <c r="BK56" s="411">
        <v>28.8700008392334</v>
      </c>
      <c r="BL56" s="411">
        <v>7.46999979019165</v>
      </c>
      <c r="BM56" s="411">
        <v>32.36999893188477</v>
      </c>
      <c r="BP56" s="411">
        <v>426.5499877929688</v>
      </c>
      <c r="BS56" s="411">
        <v>28.6200008392334</v>
      </c>
      <c r="BT56" s="411">
        <v>67.5999984741211</v>
      </c>
      <c r="BU56" s="411">
        <v>27.8799991607666</v>
      </c>
      <c r="BV56" s="411">
        <v>33.16999816894531</v>
      </c>
      <c r="BW56" s="411">
        <v>102.4899978637695</v>
      </c>
      <c r="BX56" s="411">
        <v>163.4199981689453</v>
      </c>
      <c r="BZ56" s="411">
        <v>158.0299987792969</v>
      </c>
      <c r="CA56" s="411">
        <v>4.9113</v>
      </c>
      <c r="CB56" s="411">
        <v>5.0788E-4</v>
      </c>
      <c r="CC56" s="411">
        <v>5.251299858093262</v>
      </c>
      <c r="CD56" s="411">
        <v>6.097560882568359</v>
      </c>
      <c r="CE56" s="411">
        <v>28.38899993896484</v>
      </c>
      <c r="CF56" s="411">
        <v>3.663692951202393</v>
      </c>
      <c r="CG56" s="411">
        <v>0.1404731124639511</v>
      </c>
      <c r="CH56" s="411">
        <v>0.2035830616950989</v>
      </c>
      <c r="CI56" s="411">
        <v>0.6679089665412903</v>
      </c>
      <c r="CJ56" s="411">
        <v>0.6078399419784546</v>
      </c>
    </row>
    <row r="57" ht="15.75" customHeight="1">
      <c r="A57" s="566">
        <v>45086.0</v>
      </c>
      <c r="C57" s="411">
        <v>19.61000061035156</v>
      </c>
      <c r="T57" s="411">
        <v>63.59</v>
      </c>
      <c r="V57" s="411">
        <v>263.75</v>
      </c>
      <c r="AH57" s="411">
        <v>39.86000061035156</v>
      </c>
      <c r="AN57" s="411">
        <v>27.76000022888184</v>
      </c>
      <c r="AO57" s="411">
        <v>30.23999977111816</v>
      </c>
      <c r="AP57" s="411">
        <v>62.22000122070312</v>
      </c>
      <c r="AQ57" s="411">
        <v>27.45000076293945</v>
      </c>
      <c r="AR57" s="411">
        <v>36.86999893188477</v>
      </c>
      <c r="AS57" s="411">
        <v>46.15499877929688</v>
      </c>
      <c r="AZ57" s="411">
        <v>-220.47</v>
      </c>
      <c r="BC57" s="411">
        <v>43.45999908447266</v>
      </c>
      <c r="BF57" s="411">
        <v>-239.25</v>
      </c>
      <c r="BI57" s="411">
        <v>10.48999977111816</v>
      </c>
      <c r="BK57" s="411">
        <v>30.28000068664551</v>
      </c>
      <c r="BL57" s="411">
        <v>7.590000152587891</v>
      </c>
      <c r="BM57" s="411">
        <v>32.2400016784668</v>
      </c>
      <c r="BP57" s="411">
        <v>429.8999938964844</v>
      </c>
      <c r="BS57" s="411">
        <v>28.47999954223633</v>
      </c>
      <c r="BU57" s="411">
        <v>28.20000076293945</v>
      </c>
      <c r="BV57" s="411">
        <v>33.15000152587891</v>
      </c>
      <c r="BW57" s="411">
        <v>102.4000015258789</v>
      </c>
      <c r="BX57" s="411">
        <v>166.0099945068359</v>
      </c>
      <c r="BZ57" s="411">
        <v>161.1999969482422</v>
      </c>
      <c r="CA57" s="411">
        <v>4.922100067138672</v>
      </c>
      <c r="CB57" s="411">
        <v>5.0788E-4</v>
      </c>
      <c r="CC57" s="411">
        <v>5.305799961090088</v>
      </c>
      <c r="CD57" s="411">
        <v>6.182377815246582</v>
      </c>
      <c r="CE57" s="411">
        <v>28.19599914550781</v>
      </c>
      <c r="CF57" s="411">
        <v>3.682600975036621</v>
      </c>
      <c r="CG57" s="411">
        <v>0.1406232416629791</v>
      </c>
      <c r="CH57" s="411">
        <v>0.2031653076410294</v>
      </c>
      <c r="CI57" s="411">
        <v>0.671259880065918</v>
      </c>
      <c r="CJ57" s="411">
        <v>0.609440267086029</v>
      </c>
    </row>
    <row r="58" ht="15.75" customHeight="1">
      <c r="A58" s="566">
        <v>45089.0</v>
      </c>
      <c r="C58" s="411">
        <v>19.21</v>
      </c>
      <c r="T58" s="411">
        <v>11.45</v>
      </c>
      <c r="V58" s="411">
        <v>42.61</v>
      </c>
      <c r="AH58" s="411">
        <v>39.93999862670898</v>
      </c>
      <c r="AN58" s="411">
        <v>28.13999938964844</v>
      </c>
      <c r="AO58" s="411">
        <v>30.45999908447266</v>
      </c>
      <c r="AP58" s="411">
        <v>62.61000061035156</v>
      </c>
      <c r="AQ58" s="411">
        <v>27.56999969482422</v>
      </c>
      <c r="AR58" s="411">
        <v>37.20000076293945</v>
      </c>
      <c r="AS58" s="411">
        <v>46.20000076293945</v>
      </c>
      <c r="AZ58" s="411">
        <v>82.49</v>
      </c>
      <c r="BC58" s="411">
        <v>43.13999938964844</v>
      </c>
      <c r="BF58" s="411">
        <v>24.48</v>
      </c>
      <c r="BI58" s="411">
        <v>10.58</v>
      </c>
      <c r="BK58" s="411">
        <v>30.28000068664551</v>
      </c>
      <c r="BL58" s="411">
        <v>7.48</v>
      </c>
      <c r="BM58" s="411">
        <v>32.7</v>
      </c>
      <c r="BP58" s="411">
        <v>433.7999877929688</v>
      </c>
      <c r="BS58" s="411">
        <v>28.48999977111816</v>
      </c>
      <c r="BU58" s="411">
        <v>28.45</v>
      </c>
      <c r="BV58" s="411">
        <v>33.13999938964844</v>
      </c>
      <c r="BW58" s="411">
        <v>103.129997253418</v>
      </c>
      <c r="BX58" s="411">
        <v>169.6199951171875</v>
      </c>
      <c r="BZ58" s="411">
        <v>163.9700012207031</v>
      </c>
      <c r="CA58" s="411">
        <v>4.8832</v>
      </c>
      <c r="CB58" s="411">
        <v>5.0788E-4</v>
      </c>
      <c r="CC58" s="411">
        <v>5.240799903869629</v>
      </c>
      <c r="CD58" s="411">
        <v>6.131207942962646</v>
      </c>
      <c r="CE58" s="411">
        <v>28.55400085449219</v>
      </c>
      <c r="CF58" s="411">
        <v>3.655436992645264</v>
      </c>
      <c r="CG58" s="411">
        <v>0.1402996778488159</v>
      </c>
      <c r="CH58" s="411">
        <v>0.2050062417984009</v>
      </c>
      <c r="CI58" s="411">
        <v>0.6744998693466187</v>
      </c>
      <c r="CJ58" s="411">
        <v>0.6130606532096863</v>
      </c>
    </row>
    <row r="59" ht="15.75" customHeight="1">
      <c r="A59" s="566">
        <v>45090.0</v>
      </c>
      <c r="C59" s="411">
        <v>18.36000061035156</v>
      </c>
      <c r="T59" s="411">
        <v>-58.56</v>
      </c>
      <c r="V59" s="411">
        <v>-197.47</v>
      </c>
      <c r="AH59" s="411">
        <v>40.34000015258789</v>
      </c>
      <c r="AN59" s="411">
        <v>28.38999938964844</v>
      </c>
      <c r="AO59" s="411">
        <v>30.71999931335449</v>
      </c>
      <c r="AP59" s="411">
        <v>63.5099983215332</v>
      </c>
      <c r="AQ59" s="411">
        <v>27.56999969482422</v>
      </c>
      <c r="AR59" s="411">
        <v>37.45000076293945</v>
      </c>
      <c r="AS59" s="411">
        <v>46.50500106811523</v>
      </c>
      <c r="AZ59" s="411">
        <v>238.15</v>
      </c>
      <c r="BC59" s="411">
        <v>44.13999938964844</v>
      </c>
      <c r="BF59" s="411">
        <v>-225.52</v>
      </c>
      <c r="BI59" s="411">
        <v>10.73999977111816</v>
      </c>
      <c r="BL59" s="411">
        <v>7.199999809265137</v>
      </c>
      <c r="BM59" s="411">
        <v>32.2599983215332</v>
      </c>
      <c r="BP59" s="411">
        <v>436.6600036621094</v>
      </c>
      <c r="BS59" s="411">
        <v>28.39999961853027</v>
      </c>
      <c r="BU59" s="411">
        <v>27.30999946594238</v>
      </c>
      <c r="BV59" s="411">
        <v>33.34000015258789</v>
      </c>
      <c r="BW59" s="411">
        <v>104.3300018310547</v>
      </c>
      <c r="BX59" s="411">
        <v>170.6499938964844</v>
      </c>
      <c r="BZ59" s="411">
        <v>165.6699981689453</v>
      </c>
      <c r="CA59" s="411">
        <v>4.8533</v>
      </c>
      <c r="CB59" s="411">
        <v>5.0788E-4</v>
      </c>
      <c r="CC59" s="411">
        <v>5.229599952697754</v>
      </c>
      <c r="CD59" s="411">
        <v>6.07902717590332</v>
      </c>
      <c r="CE59" s="411">
        <v>28.67499923706055</v>
      </c>
      <c r="CF59" s="411">
        <v>3.635327100753784</v>
      </c>
      <c r="CG59" s="411">
        <v>0.1399658471345901</v>
      </c>
      <c r="CH59" s="411">
        <v>0.2057359218597412</v>
      </c>
      <c r="CI59" s="411">
        <v>0.6753101944923401</v>
      </c>
      <c r="CJ59" s="411">
        <v>0.6129103302955627</v>
      </c>
    </row>
    <row r="60" ht="15.75" customHeight="1">
      <c r="A60" s="566">
        <v>45091.0</v>
      </c>
      <c r="C60" s="411">
        <v>19.95000076293945</v>
      </c>
      <c r="F60" s="411">
        <v>115.1100006103516</v>
      </c>
      <c r="T60" s="411">
        <v>10.34</v>
      </c>
      <c r="V60" s="411">
        <v>63.55</v>
      </c>
      <c r="AH60" s="411">
        <v>40.63999938964844</v>
      </c>
      <c r="AP60" s="411">
        <v>63.79999923706055</v>
      </c>
      <c r="AQ60" s="411">
        <v>27.86</v>
      </c>
      <c r="AR60" s="411">
        <v>37.61999893188477</v>
      </c>
      <c r="AS60" s="411">
        <v>46.68000030517578</v>
      </c>
      <c r="AZ60" s="411">
        <v>-191.42</v>
      </c>
      <c r="BC60" s="411">
        <v>42.84999847412109</v>
      </c>
      <c r="BF60" s="411">
        <v>-385.76</v>
      </c>
      <c r="BI60" s="411">
        <v>11.23999977111816</v>
      </c>
      <c r="BL60" s="411">
        <v>7.369999885559082</v>
      </c>
      <c r="BM60" s="411">
        <v>33.34000015258789</v>
      </c>
      <c r="BP60" s="411">
        <v>437.1799926757812</v>
      </c>
      <c r="BS60" s="411">
        <v>28.26000022888184</v>
      </c>
      <c r="BU60" s="411">
        <v>27.8700008392334</v>
      </c>
      <c r="BV60" s="411">
        <v>33.20999908447266</v>
      </c>
      <c r="BW60" s="411">
        <v>104.0500030517578</v>
      </c>
      <c r="BX60" s="411">
        <v>172.4100036621094</v>
      </c>
      <c r="BZ60" s="411">
        <v>165.5500030517578</v>
      </c>
      <c r="CA60" s="411">
        <v>4.8462</v>
      </c>
      <c r="CB60" s="411">
        <v>5.0788E-4</v>
      </c>
      <c r="CC60" s="411">
        <v>5.242099761962891</v>
      </c>
      <c r="CD60" s="411">
        <v>6.123699188232422</v>
      </c>
      <c r="CE60" s="411">
        <v>28.82099914550781</v>
      </c>
      <c r="CF60" s="411">
        <v>3.648911952972412</v>
      </c>
      <c r="CG60" s="411">
        <v>0.1395381242036819</v>
      </c>
      <c r="CH60" s="411">
        <v>0.2057189792394638</v>
      </c>
      <c r="CI60" s="411">
        <v>0.6769289374351501</v>
      </c>
      <c r="CJ60" s="411">
        <v>0.6159418225288391</v>
      </c>
    </row>
    <row r="61" ht="15.75" customHeight="1">
      <c r="A61" s="566">
        <v>45092.0</v>
      </c>
      <c r="C61" s="411">
        <v>20.04999923706055</v>
      </c>
      <c r="F61" s="411">
        <v>115.4000015258789</v>
      </c>
      <c r="J61" s="411">
        <v>-289.6</v>
      </c>
      <c r="S61" s="411">
        <v>182.82</v>
      </c>
      <c r="T61" s="411">
        <v>29.81</v>
      </c>
      <c r="X61" s="411">
        <v>42.59</v>
      </c>
      <c r="AH61" s="411">
        <v>41.02000045776367</v>
      </c>
      <c r="AP61" s="411">
        <v>63.70999908447266</v>
      </c>
      <c r="AR61" s="411">
        <v>38.0099983215332</v>
      </c>
      <c r="AS61" s="411">
        <v>46.08499908447266</v>
      </c>
      <c r="AZ61" s="411">
        <v>239.81</v>
      </c>
      <c r="BC61" s="411">
        <v>43.66999816894531</v>
      </c>
      <c r="BI61" s="411">
        <v>11.46000003814697</v>
      </c>
      <c r="BL61" s="411">
        <v>7.349999904632568</v>
      </c>
      <c r="BM61" s="411">
        <v>33.34000015258789</v>
      </c>
      <c r="BP61" s="411">
        <v>442.6000061035156</v>
      </c>
      <c r="BS61" s="411">
        <v>28.10000038146973</v>
      </c>
      <c r="BU61" s="411">
        <v>27.79999923706055</v>
      </c>
      <c r="BV61" s="411">
        <v>33.65000152587891</v>
      </c>
      <c r="BW61" s="411">
        <v>105.620002746582</v>
      </c>
      <c r="BX61" s="411">
        <v>174.6300048828125</v>
      </c>
      <c r="BZ61" s="411">
        <v>166.6300048828125</v>
      </c>
      <c r="CA61" s="411">
        <v>4.8222</v>
      </c>
      <c r="CB61" s="411">
        <v>5.0788E-4</v>
      </c>
      <c r="CC61" s="411">
        <v>5.217599868774414</v>
      </c>
      <c r="CD61" s="411">
        <v>6.100496768951416</v>
      </c>
      <c r="CE61" s="411">
        <v>29.05500030517578</v>
      </c>
      <c r="CF61" s="411">
        <v>3.611046075820923</v>
      </c>
      <c r="CG61" s="411">
        <v>0.1396141052246094</v>
      </c>
      <c r="CH61" s="411">
        <v>0.2076843231916428</v>
      </c>
      <c r="CI61" s="411">
        <v>0.6796895265579224</v>
      </c>
      <c r="CJ61" s="411">
        <v>0.6196900010108948</v>
      </c>
    </row>
    <row r="62" ht="15.75" customHeight="1">
      <c r="A62" s="566">
        <v>45093.0</v>
      </c>
      <c r="C62" s="411">
        <v>20.61000061035156</v>
      </c>
      <c r="F62" s="411">
        <v>114.9000015258789</v>
      </c>
      <c r="J62" s="411">
        <v>60.3</v>
      </c>
      <c r="S62" s="411">
        <v>146.66</v>
      </c>
      <c r="T62" s="411">
        <v>-19.85</v>
      </c>
      <c r="X62" s="411">
        <v>-23.38</v>
      </c>
      <c r="AH62" s="411">
        <v>40.88000106811523</v>
      </c>
      <c r="AP62" s="411">
        <v>63.09999847412109</v>
      </c>
      <c r="AR62" s="411">
        <v>38.29000091552734</v>
      </c>
      <c r="AS62" s="411">
        <v>46.33000183105469</v>
      </c>
      <c r="AZ62" s="411">
        <v>504.63</v>
      </c>
      <c r="BC62" s="411">
        <v>43.06999969482422</v>
      </c>
      <c r="BI62" s="411">
        <v>11.80000019073486</v>
      </c>
      <c r="BL62" s="411">
        <v>7.230000019073486</v>
      </c>
      <c r="BM62" s="411">
        <v>33.22999954223633</v>
      </c>
      <c r="BP62" s="411">
        <v>439.4599914550781</v>
      </c>
      <c r="BS62" s="411">
        <v>28.14999961853027</v>
      </c>
      <c r="BU62" s="411">
        <v>27.8799991607666</v>
      </c>
      <c r="BV62" s="411">
        <v>33.58000183105469</v>
      </c>
      <c r="BW62" s="411">
        <v>105.4499969482422</v>
      </c>
      <c r="BX62" s="411">
        <v>173.1900024414062</v>
      </c>
      <c r="BZ62" s="411">
        <v>166.3800048828125</v>
      </c>
      <c r="CA62" s="411">
        <v>4.8286</v>
      </c>
      <c r="CB62" s="411">
        <v>5.0788E-4</v>
      </c>
      <c r="CC62" s="411">
        <v>5.273399829864502</v>
      </c>
      <c r="CD62" s="411">
        <v>6.180900096893311</v>
      </c>
      <c r="CE62" s="411">
        <v>29.40299987792969</v>
      </c>
      <c r="CF62" s="411">
        <v>3.636037111282349</v>
      </c>
      <c r="CG62" s="411">
        <v>0.1403528451919556</v>
      </c>
      <c r="CH62" s="411">
        <v>0.2074731886386871</v>
      </c>
      <c r="CI62" s="411">
        <v>0.6877579092979431</v>
      </c>
      <c r="CJ62" s="411">
        <v>0.6237136125564575</v>
      </c>
    </row>
    <row r="63" ht="15.75" customHeight="1">
      <c r="A63" s="566">
        <v>45096.0</v>
      </c>
      <c r="C63" s="411">
        <v>21.42000007629395</v>
      </c>
      <c r="F63" s="411">
        <v>116.129997253418</v>
      </c>
      <c r="J63" s="411">
        <v>223.55</v>
      </c>
      <c r="S63" s="411">
        <v>-73.24</v>
      </c>
      <c r="T63" s="411">
        <v>-0.85</v>
      </c>
      <c r="X63" s="411">
        <v>-18.4</v>
      </c>
      <c r="AH63" s="411">
        <v>40.88</v>
      </c>
      <c r="AP63" s="411">
        <v>63.0999</v>
      </c>
      <c r="AR63" s="411">
        <v>38.29</v>
      </c>
      <c r="AS63" s="411">
        <v>45.8650016784668</v>
      </c>
      <c r="AZ63" s="411">
        <v>66.85</v>
      </c>
      <c r="BC63" s="411">
        <v>43.0699</v>
      </c>
      <c r="BI63" s="411">
        <v>11.27000045776367</v>
      </c>
      <c r="BL63" s="411">
        <v>7.239999771118164</v>
      </c>
      <c r="BM63" s="411">
        <v>33.45000076293945</v>
      </c>
      <c r="BP63" s="411">
        <v>439.459991</v>
      </c>
      <c r="BS63" s="411">
        <v>28.1499996</v>
      </c>
      <c r="BU63" s="411">
        <v>27.89999961853027</v>
      </c>
      <c r="BV63" s="411">
        <v>33.58</v>
      </c>
      <c r="BW63" s="411">
        <v>105.4499</v>
      </c>
      <c r="BX63" s="411">
        <v>173.19</v>
      </c>
      <c r="BZ63" s="411">
        <v>166.38</v>
      </c>
      <c r="CA63" s="411">
        <v>4.7797</v>
      </c>
      <c r="CB63" s="411">
        <v>5.0788E-4</v>
      </c>
      <c r="CC63" s="411">
        <v>5.266900062561035</v>
      </c>
      <c r="CD63" s="411">
        <v>6.176651954650879</v>
      </c>
      <c r="CE63" s="411">
        <v>29.42399978637695</v>
      </c>
      <c r="CF63" s="411">
        <v>3.648700952529907</v>
      </c>
      <c r="CG63" s="411">
        <v>0.1403390616178513</v>
      </c>
      <c r="CH63" s="411">
        <v>0.2080299556255341</v>
      </c>
      <c r="CI63" s="411">
        <v>0.6875999569892883</v>
      </c>
      <c r="CJ63" s="411">
        <v>0.6232001185417175</v>
      </c>
    </row>
    <row r="64" ht="15.75" customHeight="1">
      <c r="A64" s="566">
        <v>45097.0</v>
      </c>
      <c r="C64" s="411">
        <v>21.59000015258789</v>
      </c>
      <c r="F64" s="411">
        <v>115.8199996948242</v>
      </c>
      <c r="J64" s="411">
        <v>131.18</v>
      </c>
      <c r="S64" s="411">
        <v>-25.26</v>
      </c>
      <c r="T64" s="411">
        <v>15.01</v>
      </c>
      <c r="X64" s="411">
        <v>42.36</v>
      </c>
      <c r="AH64" s="411">
        <v>40.08000183105469</v>
      </c>
      <c r="AP64" s="411">
        <v>62.22999954223633</v>
      </c>
      <c r="AR64" s="411">
        <v>37.84999847412109</v>
      </c>
      <c r="AS64" s="411">
        <v>45.56999969482422</v>
      </c>
      <c r="AZ64" s="411">
        <v>-192.94</v>
      </c>
      <c r="BC64" s="411">
        <v>42.11999893188477</v>
      </c>
      <c r="BI64" s="411">
        <v>10.64999961853027</v>
      </c>
      <c r="BL64" s="411">
        <v>7.230000019073486</v>
      </c>
      <c r="BM64" s="411">
        <v>32.95000076293945</v>
      </c>
      <c r="BP64" s="411">
        <v>437.1799926757812</v>
      </c>
      <c r="BS64" s="411">
        <v>28.22999954223633</v>
      </c>
      <c r="BU64" s="411">
        <v>27.94000053405762</v>
      </c>
      <c r="BV64" s="411">
        <v>33.18000030517578</v>
      </c>
      <c r="BX64" s="411">
        <v>171.6600036621094</v>
      </c>
      <c r="BZ64" s="411">
        <v>167.2899932861328</v>
      </c>
      <c r="CA64" s="411">
        <v>4.7769</v>
      </c>
      <c r="CB64" s="411">
        <v>5.0788E-4</v>
      </c>
      <c r="CC64" s="411">
        <v>5.215099811553955</v>
      </c>
      <c r="CD64" s="411">
        <v>6.105006217956543</v>
      </c>
      <c r="CE64" s="411">
        <v>29.6879997253418</v>
      </c>
      <c r="CF64" s="411">
        <v>3.614068031311035</v>
      </c>
      <c r="CG64" s="411">
        <v>0.1396570056676865</v>
      </c>
      <c r="CH64" s="411">
        <v>0.2093407958745956</v>
      </c>
      <c r="CI64" s="411">
        <v>0.6851379871368408</v>
      </c>
      <c r="CJ64" s="411">
        <v>0.6202396750450134</v>
      </c>
    </row>
    <row r="65" ht="15.75" customHeight="1">
      <c r="A65" s="566">
        <v>45098.0</v>
      </c>
      <c r="C65" s="411">
        <v>21.76000022888184</v>
      </c>
      <c r="F65" s="411">
        <v>116.2699966430664</v>
      </c>
      <c r="J65" s="411">
        <v>-42.34</v>
      </c>
      <c r="S65" s="411">
        <v>245.57</v>
      </c>
      <c r="T65" s="411">
        <v>-6.07</v>
      </c>
      <c r="X65" s="411">
        <v>-43.06</v>
      </c>
      <c r="AH65" s="411">
        <v>39.88999938964844</v>
      </c>
      <c r="AP65" s="411">
        <v>62.97000122070312</v>
      </c>
      <c r="AR65" s="411">
        <v>37.81999969482422</v>
      </c>
      <c r="AS65" s="411">
        <v>45.36999893188477</v>
      </c>
      <c r="AZ65" s="411">
        <v>159.05</v>
      </c>
      <c r="BC65" s="411">
        <v>41.47000122070312</v>
      </c>
      <c r="BI65" s="411">
        <v>10.17000007629395</v>
      </c>
      <c r="BL65" s="411">
        <v>7.289999961853027</v>
      </c>
      <c r="BM65" s="411">
        <v>33.18999862670898</v>
      </c>
      <c r="BP65" s="411">
        <v>434.9400024414062</v>
      </c>
      <c r="BS65" s="411">
        <v>28.10000038146973</v>
      </c>
      <c r="BU65" s="411">
        <v>28.22999954223633</v>
      </c>
      <c r="BV65" s="411">
        <v>33.13999938964844</v>
      </c>
      <c r="BX65" s="411">
        <v>169.1199951171875</v>
      </c>
      <c r="BZ65" s="411">
        <v>165.2799987792969</v>
      </c>
      <c r="CA65" s="411">
        <v>4.7792</v>
      </c>
      <c r="CB65" s="411">
        <v>5.0788E-4</v>
      </c>
      <c r="CC65" s="411">
        <v>5.22700023651123</v>
      </c>
      <c r="CD65" s="411">
        <v>6.108735084533691</v>
      </c>
      <c r="CE65" s="411">
        <v>29.4950008392334</v>
      </c>
      <c r="CF65" s="411">
        <v>3.618741035461426</v>
      </c>
      <c r="CG65" s="411">
        <v>0.1392602473497391</v>
      </c>
      <c r="CH65" s="411">
        <v>0.2087987810373306</v>
      </c>
      <c r="CI65" s="411">
        <v>0.6788820624351501</v>
      </c>
      <c r="CJ65" s="411">
        <v>0.6166787147521973</v>
      </c>
    </row>
    <row r="66" ht="15.75" customHeight="1">
      <c r="A66" s="566">
        <v>45099.0</v>
      </c>
      <c r="C66" s="411">
        <v>21.19000053405762</v>
      </c>
      <c r="F66" s="411">
        <v>115.2600021362305</v>
      </c>
      <c r="J66" s="411">
        <v>143.69</v>
      </c>
      <c r="T66" s="411">
        <v>-43.65</v>
      </c>
      <c r="X66" s="411">
        <v>-42.94</v>
      </c>
      <c r="AH66" s="411">
        <v>39.75</v>
      </c>
      <c r="AP66" s="411">
        <v>62.45000076293945</v>
      </c>
      <c r="AR66" s="411">
        <v>37.56000137329102</v>
      </c>
      <c r="AS66" s="411">
        <v>45.15499877929688</v>
      </c>
      <c r="AZ66" s="411">
        <v>421.05</v>
      </c>
      <c r="BC66" s="411">
        <v>40.15999984741211</v>
      </c>
      <c r="BI66" s="411">
        <v>9.7</v>
      </c>
      <c r="BL66" s="411">
        <v>7.039999961853027</v>
      </c>
      <c r="BM66" s="411">
        <v>32.93000030517578</v>
      </c>
      <c r="BP66" s="411">
        <v>436.510009765625</v>
      </c>
      <c r="BS66" s="411">
        <v>28.20000076293945</v>
      </c>
      <c r="BU66" s="411">
        <v>27.89999961853027</v>
      </c>
      <c r="BV66" s="411">
        <v>32.88000106811523</v>
      </c>
      <c r="BX66" s="411">
        <v>170.5</v>
      </c>
      <c r="BZ66" s="411">
        <v>167.3899993896484</v>
      </c>
      <c r="CA66" s="411">
        <v>4.7729</v>
      </c>
      <c r="CB66" s="411">
        <v>5.0788E-4</v>
      </c>
      <c r="CC66" s="411">
        <v>5.227700233459473</v>
      </c>
      <c r="CD66" s="411">
        <v>6.081900119781494</v>
      </c>
      <c r="CE66" s="411">
        <v>29.93899917602539</v>
      </c>
      <c r="CF66" s="411">
        <v>3.628200054168701</v>
      </c>
      <c r="CG66" s="411">
        <v>0.1393203884363174</v>
      </c>
      <c r="CH66" s="411">
        <v>0.2095162272453308</v>
      </c>
      <c r="CI66" s="411">
        <v>0.6798702478408813</v>
      </c>
      <c r="CJ66" s="411">
        <v>0.6207093596458435</v>
      </c>
    </row>
    <row r="67" ht="15.75" customHeight="1">
      <c r="A67" s="566">
        <v>45100.0</v>
      </c>
      <c r="C67" s="411">
        <v>21.23999977111816</v>
      </c>
      <c r="F67" s="411">
        <v>115.3099975585938</v>
      </c>
      <c r="J67" s="411">
        <v>146.84</v>
      </c>
      <c r="T67" s="411">
        <v>31.05</v>
      </c>
      <c r="X67" s="411">
        <v>186.26</v>
      </c>
      <c r="AH67" s="411">
        <v>39.16999816894531</v>
      </c>
      <c r="AP67" s="411">
        <v>60.90999984741211</v>
      </c>
      <c r="AR67" s="411">
        <v>37.08000183105469</v>
      </c>
      <c r="AS67" s="411">
        <v>44.95999908447266</v>
      </c>
      <c r="AZ67" s="411">
        <v>251.83</v>
      </c>
      <c r="BC67" s="411">
        <v>39.58</v>
      </c>
      <c r="BL67" s="411">
        <v>7.070000171661377</v>
      </c>
      <c r="BM67" s="411">
        <v>33.36999893188477</v>
      </c>
      <c r="BP67" s="411">
        <v>433.2099914550781</v>
      </c>
      <c r="BS67" s="411">
        <v>28.35000038146973</v>
      </c>
      <c r="BU67" s="411">
        <v>28.11000061035156</v>
      </c>
      <c r="BV67" s="411">
        <v>32.7400016784668</v>
      </c>
      <c r="BX67" s="411">
        <v>168.6499938964844</v>
      </c>
      <c r="BZ67" s="411">
        <v>165.4499969482422</v>
      </c>
      <c r="CA67" s="411">
        <v>4.7697</v>
      </c>
      <c r="CB67" s="411">
        <v>5.0788E-4</v>
      </c>
      <c r="CC67" s="411">
        <v>5.225699901580811</v>
      </c>
      <c r="CD67" s="411">
        <v>6.075334072113037</v>
      </c>
      <c r="CE67" s="411">
        <v>29.9420108795166</v>
      </c>
      <c r="CF67" s="411">
        <v>3.628201961517334</v>
      </c>
      <c r="CG67" s="411">
        <v>0.1393048614263535</v>
      </c>
      <c r="CH67" s="411">
        <v>0.2096551805734634</v>
      </c>
      <c r="CI67" s="411">
        <v>0.6760699152946472</v>
      </c>
      <c r="CJ67" s="411">
        <v>0.6182800531387329</v>
      </c>
    </row>
    <row r="68" ht="15.75" customHeight="1">
      <c r="A68" s="566">
        <v>45103.0</v>
      </c>
      <c r="C68" s="411">
        <v>20.67000007629395</v>
      </c>
      <c r="F68" s="411">
        <v>114.4199981689453</v>
      </c>
      <c r="J68" s="411">
        <v>183.39</v>
      </c>
      <c r="T68" s="411">
        <v>7.91</v>
      </c>
      <c r="X68" s="411">
        <v>79.62</v>
      </c>
      <c r="AH68" s="411">
        <v>39.29999923706055</v>
      </c>
      <c r="AP68" s="411">
        <v>60.90999984741211</v>
      </c>
      <c r="AR68" s="411">
        <v>37.22000122070312</v>
      </c>
      <c r="AS68" s="411">
        <v>44.95000076293945</v>
      </c>
      <c r="AZ68" s="411">
        <v>-98.23</v>
      </c>
      <c r="BC68" s="411">
        <v>40.08000183105469</v>
      </c>
      <c r="BL68" s="411">
        <v>6.639999866485596</v>
      </c>
      <c r="BM68" s="411">
        <v>33.02999877929688</v>
      </c>
      <c r="BP68" s="411">
        <v>431.4400024414062</v>
      </c>
      <c r="BS68" s="411">
        <v>28.31999969482422</v>
      </c>
      <c r="BU68" s="411">
        <v>27.59000015258789</v>
      </c>
      <c r="BV68" s="411">
        <v>32.66999816894531</v>
      </c>
      <c r="BX68" s="411">
        <v>167.4400024414062</v>
      </c>
      <c r="BZ68" s="411">
        <v>163.3300018310547</v>
      </c>
      <c r="CA68" s="411">
        <v>4.7697</v>
      </c>
      <c r="CB68" s="411">
        <v>5.0788E-4</v>
      </c>
      <c r="CC68" s="411">
        <v>5.162700176239014</v>
      </c>
      <c r="CD68" s="411">
        <v>6.086427211761475</v>
      </c>
      <c r="CE68" s="411">
        <v>29.97999954223633</v>
      </c>
      <c r="CF68" s="411">
        <v>3.595695972442627</v>
      </c>
      <c r="CG68" s="411">
        <v>0.1393048614263535</v>
      </c>
      <c r="CH68" s="411">
        <v>0.2089645713567734</v>
      </c>
      <c r="CI68" s="411">
        <v>0.6680517792701721</v>
      </c>
      <c r="CJ68" s="411">
        <v>0.614870011806488</v>
      </c>
    </row>
    <row r="69" ht="15.75" customHeight="1">
      <c r="A69" s="566">
        <v>45104.0</v>
      </c>
      <c r="C69" s="411">
        <v>20.94000053405762</v>
      </c>
      <c r="F69" s="411">
        <v>113.7699966430664</v>
      </c>
      <c r="J69" s="411">
        <v>-121.71</v>
      </c>
      <c r="T69" s="411">
        <v>11.66</v>
      </c>
      <c r="X69" s="411">
        <v>49.95</v>
      </c>
      <c r="AH69" s="411">
        <v>39.70000076293945</v>
      </c>
      <c r="AP69" s="411">
        <v>61.13999938964844</v>
      </c>
      <c r="AR69" s="411">
        <v>37.81999969482422</v>
      </c>
      <c r="AS69" s="411">
        <v>44.98500061035156</v>
      </c>
      <c r="AZ69" s="411">
        <v>204.25</v>
      </c>
      <c r="BC69" s="411">
        <v>40.7599983215332</v>
      </c>
      <c r="BL69" s="411">
        <v>6.28000020980835</v>
      </c>
      <c r="BM69" s="411">
        <v>32.34000015258789</v>
      </c>
      <c r="BP69" s="411">
        <v>436.1700134277344</v>
      </c>
      <c r="BS69" s="411">
        <v>28.25</v>
      </c>
      <c r="BU69" s="411">
        <v>27.48999977111816</v>
      </c>
      <c r="BV69" s="411">
        <v>32.93000030517578</v>
      </c>
      <c r="BX69" s="411">
        <v>170.7400054931641</v>
      </c>
      <c r="BZ69" s="411">
        <v>166.8399963378906</v>
      </c>
      <c r="CA69" s="411">
        <v>4.7897</v>
      </c>
      <c r="CB69" s="411">
        <v>5.0788E-4</v>
      </c>
      <c r="CC69" s="411">
        <v>5.198500156402588</v>
      </c>
      <c r="CD69" s="411">
        <v>6.056934833526611</v>
      </c>
      <c r="CE69" s="411">
        <v>30.07600021362305</v>
      </c>
      <c r="CF69" s="411">
        <v>3.623569965362549</v>
      </c>
      <c r="CG69" s="411">
        <v>0.138188362121582</v>
      </c>
      <c r="CH69" s="411">
        <v>0.2097623348236084</v>
      </c>
      <c r="CI69" s="411">
        <v>0.6674498319625854</v>
      </c>
      <c r="CJ69" s="411">
        <v>0.6163100004196167</v>
      </c>
    </row>
    <row r="70" ht="15.75" customHeight="1">
      <c r="A70" s="566">
        <v>45105.0</v>
      </c>
      <c r="C70" s="411">
        <v>21.35000038146973</v>
      </c>
      <c r="F70" s="411">
        <v>113.0299987792969</v>
      </c>
      <c r="J70" s="411">
        <v>131.07</v>
      </c>
      <c r="T70" s="411">
        <v>-2.26</v>
      </c>
      <c r="X70" s="411">
        <v>-59.88</v>
      </c>
      <c r="AH70" s="411">
        <v>39.45999908447266</v>
      </c>
      <c r="AP70" s="411">
        <v>61.81999969482422</v>
      </c>
      <c r="AR70" s="411">
        <v>37.93999862670898</v>
      </c>
      <c r="AS70" s="411">
        <v>45.29999923706055</v>
      </c>
      <c r="AZ70" s="411">
        <v>115.04</v>
      </c>
      <c r="BL70" s="411">
        <v>6.210000038146973</v>
      </c>
      <c r="BM70" s="411">
        <v>32.0</v>
      </c>
      <c r="BP70" s="411">
        <v>436.3900146484375</v>
      </c>
      <c r="BS70" s="411">
        <v>28.3799991607666</v>
      </c>
      <c r="BU70" s="411">
        <v>27.3799991607666</v>
      </c>
      <c r="BV70" s="411">
        <v>32.84999847412109</v>
      </c>
      <c r="BX70" s="411">
        <v>170.8399963378906</v>
      </c>
      <c r="BZ70" s="411">
        <v>167.5</v>
      </c>
      <c r="CA70" s="411">
        <v>4.8105</v>
      </c>
      <c r="CB70" s="411">
        <v>5.0788E-4</v>
      </c>
      <c r="CC70" s="411">
        <v>5.268099784851074</v>
      </c>
      <c r="CD70" s="411">
        <v>6.123699188232422</v>
      </c>
      <c r="CE70" s="411">
        <v>29.89299964904785</v>
      </c>
      <c r="CF70" s="411">
        <v>3.64347505569458</v>
      </c>
      <c r="CG70" s="411">
        <v>0.1385290920734406</v>
      </c>
      <c r="CH70" s="411">
        <v>0.207878589630127</v>
      </c>
      <c r="CI70" s="411">
        <v>0.668140172958374</v>
      </c>
      <c r="CJ70" s="411">
        <v>0.6157407760620117</v>
      </c>
    </row>
    <row r="71" ht="15.75" customHeight="1">
      <c r="A71" s="566">
        <v>45106.0</v>
      </c>
      <c r="C71" s="411">
        <v>21.34000015258789</v>
      </c>
      <c r="F71" s="411">
        <v>114.9100036621094</v>
      </c>
      <c r="J71" s="411">
        <v>174.43</v>
      </c>
      <c r="T71" s="411">
        <v>24.54</v>
      </c>
      <c r="AH71" s="411">
        <v>39.25</v>
      </c>
      <c r="AP71" s="411">
        <v>61.5099983215332</v>
      </c>
      <c r="AR71" s="411">
        <v>37.95999908447266</v>
      </c>
      <c r="AS71" s="411">
        <v>45.35499954223633</v>
      </c>
      <c r="AZ71" s="411">
        <v>202.19</v>
      </c>
      <c r="BL71" s="411">
        <v>6.599999904632568</v>
      </c>
      <c r="BM71" s="411">
        <v>32.45000076293945</v>
      </c>
      <c r="BP71" s="411">
        <v>438.1099853515625</v>
      </c>
      <c r="BS71" s="411">
        <v>28.5</v>
      </c>
      <c r="BU71" s="411">
        <v>28.10000038146973</v>
      </c>
      <c r="BV71" s="411">
        <v>33.41999816894531</v>
      </c>
      <c r="BX71" s="411">
        <v>171.1399993896484</v>
      </c>
      <c r="BZ71" s="411">
        <v>167.6799926757812</v>
      </c>
      <c r="CA71" s="411">
        <v>4.87</v>
      </c>
      <c r="CB71" s="411">
        <v>5.0788E-4</v>
      </c>
      <c r="CC71" s="411">
        <v>5.293399810791016</v>
      </c>
      <c r="CD71" s="411">
        <v>6.13288688659668</v>
      </c>
      <c r="CE71" s="411">
        <v>29.75200080871582</v>
      </c>
      <c r="CF71" s="411">
        <v>3.658935070037842</v>
      </c>
      <c r="CG71" s="411">
        <v>0.1380567103624344</v>
      </c>
      <c r="CH71" s="411">
        <v>0.2061643153429031</v>
      </c>
      <c r="CI71" s="411">
        <v>0.6600616574287415</v>
      </c>
      <c r="CJ71" s="411">
        <v>0.6074300408363342</v>
      </c>
    </row>
    <row r="72" ht="15.75" customHeight="1">
      <c r="A72" s="566">
        <v>45107.0</v>
      </c>
      <c r="C72" s="411">
        <v>21.86000061035156</v>
      </c>
      <c r="F72" s="411">
        <v>114.1699981689453</v>
      </c>
      <c r="J72" s="411">
        <v>46.75</v>
      </c>
      <c r="T72" s="411">
        <v>45.48</v>
      </c>
      <c r="AH72" s="411">
        <v>39.56000137329102</v>
      </c>
      <c r="AP72" s="411">
        <v>61.90000152587891</v>
      </c>
      <c r="AR72" s="411">
        <v>38.52999877929688</v>
      </c>
      <c r="AS72" s="411">
        <v>45.8849983215332</v>
      </c>
      <c r="AZ72" s="411">
        <v>101.94</v>
      </c>
      <c r="BL72" s="411">
        <v>6.573513031005859</v>
      </c>
      <c r="BM72" s="411">
        <v>32.91999816894531</v>
      </c>
      <c r="BP72" s="411">
        <v>443.2799987792969</v>
      </c>
      <c r="BS72" s="411">
        <v>28.3799991607666</v>
      </c>
      <c r="BU72" s="411">
        <v>28.47999954223633</v>
      </c>
      <c r="BV72" s="411">
        <v>33.70999908447266</v>
      </c>
      <c r="BX72" s="411">
        <v>173.8600006103516</v>
      </c>
      <c r="BZ72" s="411">
        <v>169.8099975585938</v>
      </c>
      <c r="CA72" s="411">
        <v>4.8556</v>
      </c>
      <c r="CB72" s="411">
        <v>5.0788E-4</v>
      </c>
      <c r="CC72" s="411">
        <v>5.273900032043457</v>
      </c>
      <c r="CD72" s="411">
        <v>6.12508487701416</v>
      </c>
      <c r="CE72" s="411">
        <v>29.80100059509277</v>
      </c>
      <c r="CF72" s="411">
        <v>3.66237998008728</v>
      </c>
      <c r="CG72" s="411">
        <v>0.137896791100502</v>
      </c>
      <c r="CH72" s="411">
        <v>0.2059477716684341</v>
      </c>
      <c r="CI72" s="411">
        <v>0.6619710922241211</v>
      </c>
      <c r="CJ72" s="411">
        <v>0.606678307056427</v>
      </c>
    </row>
    <row r="73" ht="15.75" customHeight="1">
      <c r="A73" s="566">
        <v>45110.0</v>
      </c>
      <c r="C73" s="411">
        <v>13.37</v>
      </c>
      <c r="F73" s="411">
        <v>115.9400024414062</v>
      </c>
      <c r="J73" s="411">
        <v>0.0</v>
      </c>
      <c r="K73" s="411">
        <v>-54.87</v>
      </c>
      <c r="T73" s="411">
        <v>46.07</v>
      </c>
      <c r="AH73" s="411">
        <v>40.0</v>
      </c>
      <c r="AP73" s="411">
        <v>62.09</v>
      </c>
      <c r="AR73" s="411">
        <v>38.41</v>
      </c>
      <c r="AS73" s="411">
        <v>45.79</v>
      </c>
      <c r="AZ73" s="411">
        <v>0.0</v>
      </c>
      <c r="BA73" s="411">
        <v>156.5</v>
      </c>
      <c r="BL73" s="411">
        <v>6.7</v>
      </c>
      <c r="BM73" s="411">
        <v>33.48</v>
      </c>
      <c r="BP73" s="411">
        <v>443.7900085449219</v>
      </c>
      <c r="BS73" s="411">
        <v>28.41</v>
      </c>
      <c r="BU73" s="411">
        <v>29.05</v>
      </c>
      <c r="BV73" s="411">
        <v>33.90000152587891</v>
      </c>
      <c r="BX73" s="411">
        <v>173.4900054931641</v>
      </c>
      <c r="BZ73" s="411">
        <v>171.86</v>
      </c>
      <c r="CA73" s="411">
        <v>4.7882</v>
      </c>
      <c r="CB73" s="411">
        <v>5.08E-4</v>
      </c>
      <c r="CC73" s="411">
        <v>5.218200206756592</v>
      </c>
      <c r="CD73" s="411">
        <v>6.0679612159729</v>
      </c>
      <c r="CE73" s="411">
        <v>30.16500091552734</v>
      </c>
      <c r="CF73" s="411">
        <v>3.609711885452271</v>
      </c>
      <c r="CG73" s="411">
        <v>0.1380757689476013</v>
      </c>
      <c r="CH73" s="411">
        <v>0.2090213596820831</v>
      </c>
      <c r="CI73" s="411">
        <v>0.6658321619033813</v>
      </c>
      <c r="CJ73" s="411">
        <v>0.6132185459136963</v>
      </c>
    </row>
    <row r="74" ht="15.75" customHeight="1">
      <c r="A74" s="566">
        <v>45111.0</v>
      </c>
      <c r="C74" s="411">
        <v>21.1299991607666</v>
      </c>
      <c r="F74" s="411">
        <v>115.2399978637695</v>
      </c>
      <c r="K74" s="411">
        <v>-150.12</v>
      </c>
      <c r="T74" s="411">
        <v>13.85</v>
      </c>
      <c r="AH74" s="411">
        <v>40.0</v>
      </c>
      <c r="AP74" s="411">
        <v>62.09</v>
      </c>
      <c r="AR74" s="411">
        <v>38.41</v>
      </c>
      <c r="AS74" s="411">
        <v>45.84000015258789</v>
      </c>
      <c r="BA74" s="411">
        <v>-52.17</v>
      </c>
      <c r="BL74" s="411">
        <v>7.019999980926514</v>
      </c>
      <c r="BM74" s="411">
        <v>32.25</v>
      </c>
      <c r="BP74" s="411">
        <v>443.7900085449219</v>
      </c>
      <c r="BS74" s="411">
        <v>28.41</v>
      </c>
      <c r="BU74" s="411">
        <v>29.11000061035156</v>
      </c>
      <c r="BV74" s="411">
        <v>33.90000152587891</v>
      </c>
      <c r="BX74" s="411">
        <v>173.4900054931641</v>
      </c>
      <c r="BZ74" s="411">
        <v>171.86</v>
      </c>
      <c r="CA74" s="411">
        <v>4.8056</v>
      </c>
      <c r="CB74" s="411">
        <v>5.08E-4</v>
      </c>
      <c r="CC74" s="411">
        <v>5.242899894714355</v>
      </c>
      <c r="CD74" s="411">
        <v>6.093844890594482</v>
      </c>
      <c r="CE74" s="411">
        <v>30.06399917602539</v>
      </c>
      <c r="CF74" s="411">
        <v>3.626735925674438</v>
      </c>
      <c r="CG74" s="411">
        <v>0.1381253600120544</v>
      </c>
      <c r="CH74" s="411">
        <v>0.2080515921115875</v>
      </c>
      <c r="CI74" s="411">
        <v>0.6674097180366516</v>
      </c>
      <c r="CJ74" s="411">
        <v>0.6156005859375</v>
      </c>
    </row>
    <row r="75" ht="15.75" customHeight="1">
      <c r="A75" s="566">
        <v>45112.0</v>
      </c>
      <c r="C75" s="411">
        <v>20.46999931335449</v>
      </c>
      <c r="F75" s="411">
        <v>115.8399963378906</v>
      </c>
      <c r="K75" s="411">
        <v>209.25</v>
      </c>
      <c r="T75" s="411">
        <v>-14.28</v>
      </c>
      <c r="AH75" s="411">
        <v>39.7599983215332</v>
      </c>
      <c r="AP75" s="411">
        <v>61.58000183105469</v>
      </c>
      <c r="AR75" s="411">
        <v>37.77999877929688</v>
      </c>
      <c r="AS75" s="411">
        <v>45.48500061035156</v>
      </c>
      <c r="BA75" s="411">
        <v>76.77</v>
      </c>
      <c r="BL75" s="411">
        <v>6.980000019073486</v>
      </c>
      <c r="BM75" s="411">
        <v>32.13000106811523</v>
      </c>
      <c r="BP75" s="411">
        <v>443.1300048828125</v>
      </c>
      <c r="BS75" s="411">
        <v>28.54000091552734</v>
      </c>
      <c r="BU75" s="411">
        <v>29.79999923706055</v>
      </c>
      <c r="BV75" s="411">
        <v>33.83000183105469</v>
      </c>
      <c r="BX75" s="411">
        <v>172.4199981689453</v>
      </c>
      <c r="BZ75" s="411">
        <v>171.9299926757812</v>
      </c>
      <c r="CA75" s="411">
        <v>4.8577</v>
      </c>
      <c r="CB75" s="411">
        <v>5.08E-4</v>
      </c>
      <c r="CC75" s="411">
        <v>5.264800071716309</v>
      </c>
      <c r="CD75" s="411">
        <v>6.154971122741699</v>
      </c>
      <c r="CE75" s="411">
        <v>29.81999969482422</v>
      </c>
      <c r="CF75" s="411">
        <v>3.657902002334595</v>
      </c>
      <c r="CG75" s="411">
        <v>0.1386289596557617</v>
      </c>
      <c r="CH75" s="411">
        <v>0.2066158354282379</v>
      </c>
      <c r="CI75" s="411">
        <v>0.6692701578140259</v>
      </c>
      <c r="CJ75" s="411">
        <v>0.619809091091156</v>
      </c>
    </row>
    <row r="76" ht="15.75" customHeight="1">
      <c r="A76" s="566">
        <v>45113.0</v>
      </c>
      <c r="C76" s="411">
        <v>19.13999938964844</v>
      </c>
      <c r="F76" s="411">
        <v>113.6399993896484</v>
      </c>
      <c r="K76" s="411">
        <v>-32.81</v>
      </c>
      <c r="T76" s="411">
        <v>-33.89</v>
      </c>
      <c r="AH76" s="411">
        <v>38.95000076293945</v>
      </c>
      <c r="AP76" s="411">
        <v>60.77000045776367</v>
      </c>
      <c r="AR76" s="411">
        <v>36.84000015258789</v>
      </c>
      <c r="AS76" s="411">
        <v>45.88</v>
      </c>
      <c r="BA76" s="411">
        <v>-175.61</v>
      </c>
      <c r="BL76" s="411">
        <v>6.699999809265137</v>
      </c>
      <c r="BM76" s="411">
        <v>31.20000076293945</v>
      </c>
      <c r="BP76" s="411">
        <v>439.6600036621094</v>
      </c>
      <c r="BS76" s="411">
        <v>28.46999931335449</v>
      </c>
      <c r="BU76" s="411">
        <v>29.26000022888184</v>
      </c>
      <c r="BV76" s="411">
        <v>33.54000091552734</v>
      </c>
      <c r="BX76" s="411">
        <v>171.9600067138672</v>
      </c>
      <c r="BZ76" s="411">
        <v>169.1600036621094</v>
      </c>
      <c r="CA76" s="411">
        <v>4.8977</v>
      </c>
      <c r="CB76" s="411">
        <v>5.08E-4</v>
      </c>
      <c r="CC76" s="411">
        <v>5.259399890899658</v>
      </c>
      <c r="CD76" s="411">
        <v>6.150062084197998</v>
      </c>
      <c r="CE76" s="411">
        <v>29.79400062561035</v>
      </c>
      <c r="CF76" s="411">
        <v>3.64705491065979</v>
      </c>
      <c r="CG76" s="411">
        <v>0.1379348337650299</v>
      </c>
      <c r="CH76" s="411">
        <v>0.2032809555530548</v>
      </c>
      <c r="CI76" s="411">
        <v>0.6656903028488159</v>
      </c>
      <c r="CJ76" s="411">
        <v>0.6176995635032654</v>
      </c>
    </row>
    <row r="77" ht="15.75" customHeight="1">
      <c r="A77" s="566">
        <v>45114.0</v>
      </c>
      <c r="C77" s="411">
        <v>19.31999969482422</v>
      </c>
      <c r="F77" s="411">
        <v>115.1900024414062</v>
      </c>
      <c r="K77" s="411">
        <v>-185.79</v>
      </c>
      <c r="T77" s="411">
        <v>33.29</v>
      </c>
      <c r="AH77" s="411">
        <v>39.38999938964844</v>
      </c>
      <c r="AP77" s="411">
        <v>61.63999938964844</v>
      </c>
      <c r="AR77" s="411">
        <v>37.18000030517578</v>
      </c>
      <c r="AS77" s="411">
        <v>44.5</v>
      </c>
      <c r="BA77" s="411">
        <v>-687.32</v>
      </c>
      <c r="BL77" s="411">
        <v>7.269999980926514</v>
      </c>
      <c r="BM77" s="411">
        <v>31.63999938964844</v>
      </c>
      <c r="BP77" s="411">
        <v>438.5499877929688</v>
      </c>
      <c r="BS77" s="411">
        <v>28.22999954223633</v>
      </c>
      <c r="BU77" s="411">
        <v>29.40999984741211</v>
      </c>
      <c r="BV77" s="411">
        <v>33.59000015258789</v>
      </c>
      <c r="BX77" s="411">
        <v>171.2100067138672</v>
      </c>
      <c r="BZ77" s="411">
        <v>169.3699951171875</v>
      </c>
      <c r="CA77" s="411">
        <v>4.918700218200684</v>
      </c>
      <c r="CB77" s="411">
        <v>5.0788E-4</v>
      </c>
      <c r="CC77" s="411">
        <v>5.342700004577637</v>
      </c>
      <c r="CD77" s="411">
        <v>6.254700183868408</v>
      </c>
      <c r="CE77" s="411">
        <v>29.13800048828125</v>
      </c>
      <c r="CF77" s="411">
        <v>3.670500040054321</v>
      </c>
      <c r="CG77" s="411">
        <v>0.1379462629556656</v>
      </c>
      <c r="CH77" s="411">
        <v>0.2033057361841202</v>
      </c>
      <c r="CI77" s="411">
        <v>0.6628398895263672</v>
      </c>
      <c r="CJ77" s="411">
        <v>0.616351842880249</v>
      </c>
    </row>
    <row r="78" ht="15.75" customHeight="1">
      <c r="A78" s="566">
        <v>45117.0</v>
      </c>
      <c r="C78" s="411">
        <v>19.92000007629395</v>
      </c>
      <c r="F78" s="411">
        <v>114.0999984741211</v>
      </c>
      <c r="K78" s="411">
        <v>7.74</v>
      </c>
      <c r="T78" s="411">
        <v>-25.69</v>
      </c>
      <c r="AH78" s="411">
        <v>39.41999816894531</v>
      </c>
      <c r="AP78" s="411">
        <v>61.54999923706055</v>
      </c>
      <c r="AR78" s="411">
        <v>37.5099983215332</v>
      </c>
      <c r="AS78" s="411">
        <v>44.61000061035156</v>
      </c>
      <c r="BA78" s="411">
        <v>-263.31</v>
      </c>
      <c r="BL78" s="411">
        <v>7.170000076293945</v>
      </c>
      <c r="BM78" s="411">
        <v>31.72999954223633</v>
      </c>
      <c r="BP78" s="411">
        <v>439.6600036621094</v>
      </c>
      <c r="BS78" s="411">
        <v>28.15999984741211</v>
      </c>
      <c r="BU78" s="411">
        <v>28.46999931335449</v>
      </c>
      <c r="BV78" s="411">
        <v>33.7400016784668</v>
      </c>
      <c r="BX78" s="411">
        <v>171.6600036621094</v>
      </c>
      <c r="BZ78" s="411">
        <v>169.8899993896484</v>
      </c>
      <c r="CA78" s="411">
        <v>4.89799976348877</v>
      </c>
      <c r="CB78" s="411">
        <v>5.0788E-4</v>
      </c>
      <c r="CC78" s="411">
        <v>5.33430004119873</v>
      </c>
      <c r="CD78" s="411">
        <v>6.246096134185791</v>
      </c>
      <c r="CE78" s="411">
        <v>29.17700004577637</v>
      </c>
      <c r="CF78" s="411">
        <v>3.664170980453491</v>
      </c>
      <c r="CG78" s="411">
        <v>0.1386712491512299</v>
      </c>
      <c r="CH78" s="411">
        <v>0.204164981842041</v>
      </c>
      <c r="CI78" s="411">
        <v>0.6688382029533386</v>
      </c>
      <c r="CJ78" s="411">
        <v>0.6205899715423584</v>
      </c>
    </row>
    <row r="79" ht="15.75" customHeight="1">
      <c r="A79" s="566">
        <v>45118.0</v>
      </c>
      <c r="C79" s="411">
        <v>19.39999961853027</v>
      </c>
      <c r="BL79" s="411">
        <v>7.079999923706055</v>
      </c>
      <c r="BM79" s="411">
        <v>31.32999992370605</v>
      </c>
      <c r="BU79" s="411">
        <v>27.98999977111816</v>
      </c>
      <c r="CA79" s="411">
        <v>4.898200035095215</v>
      </c>
      <c r="CB79" s="411">
        <v>5.0788E-4</v>
      </c>
      <c r="CC79" s="411">
        <v>5.388199806213379</v>
      </c>
      <c r="CD79" s="411">
        <v>6.297228813171387</v>
      </c>
      <c r="CE79" s="411">
        <v>28.83200073242188</v>
      </c>
      <c r="CF79" s="411">
        <v>3.688273906707764</v>
      </c>
      <c r="CG79" s="411">
        <v>0.1383011043071747</v>
      </c>
      <c r="CH79" s="411">
        <v>0.2041566222906113</v>
      </c>
      <c r="CI79" s="411">
        <v>0.667900025844574</v>
      </c>
      <c r="CJ79" s="411">
        <v>0.6206515431404114</v>
      </c>
    </row>
    <row r="80" ht="15.75" customHeight="1">
      <c r="A80" s="566">
        <v>45119.0</v>
      </c>
      <c r="C80" s="411">
        <v>18.56999969482422</v>
      </c>
      <c r="BL80" s="411">
        <v>6.840000152587891</v>
      </c>
      <c r="BM80" s="411">
        <v>31.53000068664551</v>
      </c>
      <c r="BU80" s="411">
        <v>28.20999908447266</v>
      </c>
      <c r="CA80" s="411">
        <v>4.851500034332275</v>
      </c>
      <c r="CB80" s="411">
        <v>5.0788E-4</v>
      </c>
      <c r="CC80" s="411">
        <v>5.340799808502197</v>
      </c>
      <c r="CD80" s="411">
        <v>6.275506973266602</v>
      </c>
      <c r="CE80" s="411">
        <v>28.86599922180176</v>
      </c>
      <c r="CF80" s="411">
        <v>3.665613889694214</v>
      </c>
      <c r="CG80" s="411">
        <v>0.1387116461992264</v>
      </c>
      <c r="CH80" s="411">
        <v>0.2061218172311783</v>
      </c>
      <c r="CI80" s="411">
        <v>0.6693798899650574</v>
      </c>
      <c r="CJ80" s="411">
        <v>0.6199589371681213</v>
      </c>
    </row>
    <row r="81" ht="15.75" customHeight="1">
      <c r="A81" s="566">
        <v>45120.0</v>
      </c>
      <c r="C81" s="411">
        <v>18.11</v>
      </c>
      <c r="BL81" s="411">
        <v>6.489999771118164</v>
      </c>
      <c r="BM81" s="411">
        <v>32.29999923706055</v>
      </c>
      <c r="BU81" s="411">
        <v>28.5</v>
      </c>
      <c r="CA81" s="411">
        <v>4.81689977645874</v>
      </c>
      <c r="CB81" s="411">
        <v>5.0788E-4</v>
      </c>
      <c r="CC81" s="411">
        <v>5.364399909973145</v>
      </c>
      <c r="CD81" s="411">
        <v>6.259942054748535</v>
      </c>
      <c r="CE81" s="411">
        <v>28.69852066040039</v>
      </c>
      <c r="CF81" s="411">
        <v>3.6525559425354</v>
      </c>
      <c r="CG81" s="411">
        <v>0.1395615041255951</v>
      </c>
      <c r="CH81" s="411">
        <v>0.2076024115085602</v>
      </c>
      <c r="CI81" s="411">
        <v>0.6792786121368408</v>
      </c>
      <c r="CJ81" s="411">
        <v>0.6305209994316101</v>
      </c>
    </row>
    <row r="82" ht="15.75" customHeight="1">
      <c r="A82" s="566">
        <v>45121.0</v>
      </c>
      <c r="C82" s="411">
        <v>16.96999931335449</v>
      </c>
      <c r="BL82" s="411">
        <v>6.25</v>
      </c>
      <c r="BM82" s="411">
        <v>31.95999908447266</v>
      </c>
      <c r="BU82" s="411">
        <v>27.85000038146973</v>
      </c>
      <c r="CA82" s="411">
        <v>4.7947998046875</v>
      </c>
      <c r="CB82" s="411">
        <v>5.0788E-4</v>
      </c>
      <c r="CC82" s="411">
        <v>5.379600048065186</v>
      </c>
      <c r="CD82" s="411">
        <v>6.294619083404541</v>
      </c>
      <c r="CE82" s="411">
        <v>28.77899932861328</v>
      </c>
      <c r="CF82" s="411">
        <v>3.655289888381958</v>
      </c>
      <c r="CG82" s="411">
        <v>0.139860138297081</v>
      </c>
      <c r="CH82" s="411">
        <v>0.2085592746734619</v>
      </c>
      <c r="CI82" s="411">
        <v>0.6888617873191833</v>
      </c>
      <c r="CJ82" s="411">
        <v>0.6391900181770325</v>
      </c>
    </row>
    <row r="83" ht="15.75" customHeight="1">
      <c r="A83" s="566">
        <v>45124.0</v>
      </c>
      <c r="C83" s="411">
        <v>17.32999992370605</v>
      </c>
      <c r="BL83" s="411">
        <v>6.389999866485596</v>
      </c>
      <c r="BM83" s="411">
        <v>32.79999923706055</v>
      </c>
      <c r="BU83" s="411">
        <v>28.28000068664551</v>
      </c>
      <c r="CA83" s="411">
        <v>4.788099765777588</v>
      </c>
      <c r="CB83" s="411">
        <v>5.0788E-4</v>
      </c>
      <c r="CC83" s="411">
        <v>5.402200222015381</v>
      </c>
      <c r="CD83" s="411">
        <v>6.283500194549561</v>
      </c>
      <c r="CE83" s="411">
        <v>28.80999946594238</v>
      </c>
      <c r="CF83" s="411">
        <v>3.641400098800659</v>
      </c>
      <c r="CG83" s="411">
        <v>0.1394525170326233</v>
      </c>
      <c r="CH83" s="411">
        <v>0.2088511139154434</v>
      </c>
      <c r="CI83" s="411">
        <v>0.6837793588638306</v>
      </c>
      <c r="CJ83" s="411">
        <v>0.6365818381309509</v>
      </c>
    </row>
    <row r="84" ht="15.75" customHeight="1">
      <c r="A84" s="566">
        <v>45125.0</v>
      </c>
      <c r="C84" s="411">
        <v>17.21999931335449</v>
      </c>
      <c r="BL84" s="411">
        <v>6.289999961853027</v>
      </c>
      <c r="BM84" s="411">
        <v>32.97000122070312</v>
      </c>
      <c r="BU84" s="411">
        <v>28.56999969482422</v>
      </c>
      <c r="CA84" s="411">
        <v>4.805799961090088</v>
      </c>
      <c r="CB84" s="411">
        <v>5.0788E-4</v>
      </c>
      <c r="CC84" s="411">
        <v>5.39900016784668</v>
      </c>
      <c r="CD84" s="411">
        <v>6.282502174377441</v>
      </c>
      <c r="CE84" s="411">
        <v>28.85000038146973</v>
      </c>
      <c r="CF84" s="411">
        <v>3.639734029769897</v>
      </c>
      <c r="CG84" s="411">
        <v>0.1394583433866501</v>
      </c>
      <c r="CH84" s="411">
        <v>0.2080819010734558</v>
      </c>
      <c r="CI84" s="411">
        <v>0.6810500025749207</v>
      </c>
      <c r="CJ84" s="411">
        <v>0.6321192383766174</v>
      </c>
    </row>
    <row r="85" ht="15.75" customHeight="1">
      <c r="A85" s="566">
        <v>45126.0</v>
      </c>
      <c r="C85" s="411">
        <v>17.22999954223633</v>
      </c>
      <c r="BL85" s="411">
        <v>6.150000095367432</v>
      </c>
      <c r="BM85" s="411">
        <v>32.95000076293945</v>
      </c>
      <c r="BU85" s="411">
        <v>28.82999992370605</v>
      </c>
      <c r="CA85" s="411">
        <v>4.809299945831299</v>
      </c>
      <c r="CB85" s="411">
        <v>5.0788E-4</v>
      </c>
      <c r="CC85" s="411">
        <v>5.396999835968018</v>
      </c>
      <c r="CD85" s="411">
        <v>6.268393993377686</v>
      </c>
      <c r="CE85" s="411">
        <v>28.89200019836426</v>
      </c>
      <c r="CF85" s="411">
        <v>3.650815010070801</v>
      </c>
      <c r="CG85" s="411">
        <v>0.1392893493175507</v>
      </c>
      <c r="CH85" s="411">
        <v>0.2079304754734039</v>
      </c>
      <c r="CI85" s="411">
        <v>0.6814821362495422</v>
      </c>
      <c r="CJ85" s="411">
        <v>0.6296991109848022</v>
      </c>
    </row>
    <row r="86" ht="15.75" customHeight="1">
      <c r="A86" s="566">
        <v>45127.0</v>
      </c>
      <c r="C86" s="411">
        <v>17.0</v>
      </c>
      <c r="BL86" s="411">
        <v>6.150000095367432</v>
      </c>
      <c r="BM86" s="411">
        <v>33.36000061035156</v>
      </c>
      <c r="BU86" s="411">
        <v>28.6299991607666</v>
      </c>
      <c r="CA86" s="411">
        <v>4.789899826049805</v>
      </c>
      <c r="CB86" s="411">
        <v>5.0788E-4</v>
      </c>
      <c r="CC86" s="411">
        <v>5.364299774169922</v>
      </c>
      <c r="CD86" s="411">
        <v>6.196907997131348</v>
      </c>
      <c r="CE86" s="411">
        <v>29.12700080871582</v>
      </c>
      <c r="CF86" s="411">
        <v>3.6370849609375</v>
      </c>
      <c r="CG86" s="411">
        <v>0.1393553465604782</v>
      </c>
      <c r="CH86" s="411">
        <v>0.2087726294994354</v>
      </c>
      <c r="CI86" s="411">
        <v>0.6769999265670776</v>
      </c>
      <c r="CJ86" s="411">
        <v>0.6262878179550171</v>
      </c>
    </row>
    <row r="87" ht="15.75" customHeight="1">
      <c r="A87" s="566">
        <v>45128.0</v>
      </c>
      <c r="C87" s="411">
        <v>18.5</v>
      </c>
      <c r="F87" s="411">
        <v>116.4000015258789</v>
      </c>
      <c r="AC87" s="411">
        <v>-1473.5</v>
      </c>
      <c r="BL87" s="411">
        <v>6.179999828338623</v>
      </c>
      <c r="BM87" s="411">
        <v>34.52000045776367</v>
      </c>
      <c r="BU87" s="411">
        <v>29.17000007629395</v>
      </c>
      <c r="CA87" s="411">
        <v>4.796899795532227</v>
      </c>
      <c r="CB87" s="411">
        <v>5.0788E-4</v>
      </c>
      <c r="CC87" s="411">
        <v>5.309999942779541</v>
      </c>
      <c r="CD87" s="411">
        <v>6.134600162506104</v>
      </c>
      <c r="CE87" s="411">
        <v>29.6830005645752</v>
      </c>
      <c r="CF87" s="411">
        <v>3.639219999313354</v>
      </c>
      <c r="CG87" s="411">
        <v>0.1393436938524246</v>
      </c>
      <c r="CH87" s="411">
        <v>0.2084679752588272</v>
      </c>
      <c r="CI87" s="411">
        <v>0.6732646822929382</v>
      </c>
      <c r="CJ87" s="411">
        <v>0.6169412136077881</v>
      </c>
    </row>
    <row r="88" ht="15.75" customHeight="1">
      <c r="A88" s="566">
        <v>45131.0</v>
      </c>
      <c r="C88" s="411">
        <v>18.79999923706055</v>
      </c>
      <c r="F88" s="411">
        <v>117.5699996948242</v>
      </c>
      <c r="AC88" s="411">
        <v>-2046.75</v>
      </c>
      <c r="BL88" s="411">
        <v>6.25</v>
      </c>
      <c r="BM88" s="411">
        <v>35.90999984741211</v>
      </c>
      <c r="BU88" s="411">
        <v>29.22999954223633</v>
      </c>
      <c r="CA88" s="411">
        <v>4.777400016784668</v>
      </c>
      <c r="CB88" s="411">
        <v>5.0788E-4</v>
      </c>
      <c r="CC88" s="411">
        <v>5.313300132751465</v>
      </c>
      <c r="CD88" s="411">
        <v>6.134969234466553</v>
      </c>
      <c r="CE88" s="411">
        <v>29.65500068664551</v>
      </c>
      <c r="CF88" s="411">
        <v>3.612524032592773</v>
      </c>
      <c r="CG88" s="411">
        <v>0.1391730308532715</v>
      </c>
      <c r="CH88" s="411">
        <v>0.2093188762664795</v>
      </c>
      <c r="CI88" s="411">
        <v>0.6725800037384033</v>
      </c>
      <c r="CJ88" s="411">
        <v>0.6169000864028931</v>
      </c>
    </row>
    <row r="89" ht="15.75" customHeight="1">
      <c r="A89" s="566">
        <v>45132.0</v>
      </c>
      <c r="C89" s="411">
        <v>18.45999908447266</v>
      </c>
      <c r="F89" s="411">
        <v>117.9800033569336</v>
      </c>
      <c r="AC89" s="411">
        <v>891.4</v>
      </c>
      <c r="BL89" s="411">
        <v>6.289999961853027</v>
      </c>
      <c r="BM89" s="411">
        <v>36.41999816894531</v>
      </c>
      <c r="BU89" s="411">
        <v>29.3700008392334</v>
      </c>
      <c r="CA89" s="411">
        <v>4.725500106811523</v>
      </c>
      <c r="CB89" s="411">
        <v>5.0788E-4</v>
      </c>
      <c r="CC89" s="411">
        <v>5.225200176239014</v>
      </c>
      <c r="CD89" s="411">
        <v>6.054257869720459</v>
      </c>
      <c r="CE89" s="411">
        <v>29.93099975585938</v>
      </c>
      <c r="CF89" s="411">
        <v>3.585325956344604</v>
      </c>
      <c r="CG89" s="411">
        <v>0.1391730308532715</v>
      </c>
      <c r="CH89" s="411">
        <v>0.2116178125143051</v>
      </c>
      <c r="CI89" s="411">
        <v>0.6733009219169617</v>
      </c>
      <c r="CJ89" s="411">
        <v>0.6200205087661743</v>
      </c>
    </row>
    <row r="90" ht="15.75" customHeight="1">
      <c r="A90" s="566">
        <v>45133.0</v>
      </c>
      <c r="C90" s="411">
        <v>18.43000030517578</v>
      </c>
      <c r="F90" s="411">
        <v>118.7399978637695</v>
      </c>
      <c r="AC90" s="411">
        <v>-1331.45</v>
      </c>
      <c r="AG90" s="411">
        <v>27.05</v>
      </c>
      <c r="AV90" s="411">
        <v>52.26</v>
      </c>
      <c r="BL90" s="411">
        <v>6.519999980926514</v>
      </c>
      <c r="BM90" s="411">
        <v>36.97999954223633</v>
      </c>
      <c r="BT90" s="411">
        <v>71.76</v>
      </c>
      <c r="BU90" s="411">
        <v>28.79000091552734</v>
      </c>
      <c r="CA90" s="411">
        <v>4.748899936676025</v>
      </c>
      <c r="CB90" s="411">
        <v>5.0788E-4</v>
      </c>
      <c r="CC90" s="411">
        <v>5.244900226593018</v>
      </c>
      <c r="CD90" s="411">
        <v>6.116208076477051</v>
      </c>
      <c r="CE90" s="411">
        <v>29.6560001373291</v>
      </c>
      <c r="CF90" s="411">
        <v>3.599978923797607</v>
      </c>
      <c r="CG90" s="411">
        <v>0.1401463150978088</v>
      </c>
      <c r="CH90" s="411">
        <v>0.2105750888586044</v>
      </c>
      <c r="CI90" s="411">
        <v>0.6787599325180054</v>
      </c>
      <c r="CJ90" s="411">
        <v>0.6216585636138916</v>
      </c>
    </row>
    <row r="91" ht="15.75" customHeight="1">
      <c r="A91" s="566">
        <v>45134.0</v>
      </c>
      <c r="C91" s="411">
        <v>17.68000030517578</v>
      </c>
      <c r="F91" s="411">
        <v>116.0400009155273</v>
      </c>
      <c r="AC91" s="411">
        <v>992.1</v>
      </c>
      <c r="AG91" s="411">
        <v>26.85000038146973</v>
      </c>
      <c r="AV91" s="411">
        <v>51.40000152587891</v>
      </c>
      <c r="BL91" s="411">
        <v>6.599999904632568</v>
      </c>
      <c r="BM91" s="411">
        <v>36.63000106811523</v>
      </c>
      <c r="BT91" s="411">
        <v>70.41999816894531</v>
      </c>
      <c r="BU91" s="411">
        <v>28.94000053405762</v>
      </c>
      <c r="CA91" s="411">
        <v>4.736199855804443</v>
      </c>
      <c r="CB91" s="411">
        <v>5.0788E-4</v>
      </c>
      <c r="CC91" s="411">
        <v>5.244999885559082</v>
      </c>
      <c r="CD91" s="411">
        <v>6.122444152832031</v>
      </c>
      <c r="CE91" s="411">
        <v>29.62100028991699</v>
      </c>
      <c r="CF91" s="411">
        <v>3.585000991821289</v>
      </c>
      <c r="CG91" s="411">
        <v>0.139860138297081</v>
      </c>
      <c r="CH91" s="411">
        <v>0.2111397385597229</v>
      </c>
      <c r="CI91" s="411">
        <v>0.6759999394416809</v>
      </c>
      <c r="CJ91" s="411">
        <v>0.6212299466133118</v>
      </c>
    </row>
    <row r="92" ht="15.75" customHeight="1">
      <c r="A92" s="566">
        <v>45135.0</v>
      </c>
      <c r="C92" s="411">
        <v>17.55999946594238</v>
      </c>
      <c r="F92" s="411">
        <v>116.5199966430664</v>
      </c>
      <c r="Q92" s="411">
        <v>-41.39</v>
      </c>
      <c r="Y92" s="411">
        <v>-9.2</v>
      </c>
      <c r="AC92" s="411">
        <v>-1019.05</v>
      </c>
      <c r="AG92" s="411">
        <v>27.54000091552734</v>
      </c>
      <c r="AK92" s="411">
        <v>229.28</v>
      </c>
      <c r="AV92" s="411">
        <v>51.7400016784668</v>
      </c>
      <c r="BL92" s="411">
        <v>6.78000020980835</v>
      </c>
      <c r="BM92" s="411">
        <v>36.40000152587891</v>
      </c>
      <c r="BT92" s="411">
        <v>67.62999725341797</v>
      </c>
      <c r="BU92" s="411">
        <v>29.0</v>
      </c>
      <c r="CA92" s="411">
        <v>4.741600036621094</v>
      </c>
      <c r="CB92" s="411">
        <v>5.0788E-4</v>
      </c>
      <c r="CC92" s="411">
        <v>5.20959997177124</v>
      </c>
      <c r="CD92" s="411">
        <v>6.076000213623047</v>
      </c>
      <c r="CE92" s="411">
        <v>29.81900024414062</v>
      </c>
      <c r="CF92" s="411">
        <v>3.583621025085449</v>
      </c>
      <c r="CG92" s="411">
        <v>0.1398875266313553</v>
      </c>
      <c r="CH92" s="411">
        <v>0.2108992785215378</v>
      </c>
      <c r="CI92" s="411">
        <v>0.6651589870452881</v>
      </c>
      <c r="CJ92" s="411">
        <v>0.6157635450363159</v>
      </c>
    </row>
    <row r="93" ht="15.75" customHeight="1">
      <c r="A93" s="566">
        <v>45138.0</v>
      </c>
      <c r="C93" s="411">
        <v>17.70000076293945</v>
      </c>
      <c r="F93" s="411">
        <v>117.9499969482422</v>
      </c>
      <c r="Q93" s="411">
        <v>86.16</v>
      </c>
      <c r="Y93" s="411">
        <v>7.59</v>
      </c>
      <c r="AC93" s="411">
        <v>571.65</v>
      </c>
      <c r="AG93" s="411">
        <v>27.76000022888184</v>
      </c>
      <c r="AK93" s="411">
        <v>-110.3</v>
      </c>
      <c r="AV93" s="411">
        <v>51.93999862670898</v>
      </c>
      <c r="BL93" s="411">
        <v>7.0</v>
      </c>
      <c r="BM93" s="411">
        <v>36.0</v>
      </c>
      <c r="BT93" s="411">
        <v>69.16000366210938</v>
      </c>
      <c r="BU93" s="411">
        <v>29.39999961853027</v>
      </c>
      <c r="CA93" s="411">
        <v>4.723299980163574</v>
      </c>
      <c r="CB93" s="411">
        <v>5.0788E-4</v>
      </c>
      <c r="CC93" s="411">
        <v>5.189499855041504</v>
      </c>
      <c r="CD93" s="411">
        <v>6.064280986785889</v>
      </c>
      <c r="CE93" s="411">
        <v>29.78700065612793</v>
      </c>
      <c r="CF93" s="411">
        <v>3.556157112121582</v>
      </c>
      <c r="CG93" s="411">
        <v>0.1407895535230637</v>
      </c>
      <c r="CH93" s="411">
        <v>0.2117163836956024</v>
      </c>
      <c r="CI93" s="411">
        <v>0.6660805344581604</v>
      </c>
      <c r="CJ93" s="411">
        <v>0.6160100698471069</v>
      </c>
    </row>
    <row r="94" ht="15.75" customHeight="1">
      <c r="A94" s="566">
        <v>45139.0</v>
      </c>
      <c r="C94" s="411">
        <v>17.70999908447266</v>
      </c>
      <c r="F94" s="411">
        <v>117.5199966430664</v>
      </c>
      <c r="Q94" s="411">
        <v>-57.18</v>
      </c>
      <c r="Y94" s="411">
        <v>-8.26</v>
      </c>
      <c r="AD94" s="411">
        <v>3157.65</v>
      </c>
      <c r="AG94" s="411">
        <v>27.63999938964844</v>
      </c>
      <c r="AK94" s="411">
        <v>-114.8</v>
      </c>
      <c r="AV94" s="411">
        <v>50.95000076293945</v>
      </c>
      <c r="BL94" s="411">
        <v>7.150000095367432</v>
      </c>
      <c r="BM94" s="411">
        <v>35.5099983215332</v>
      </c>
      <c r="BT94" s="411">
        <v>68.19999694824219</v>
      </c>
      <c r="BU94" s="411">
        <v>29.77000045776367</v>
      </c>
      <c r="CA94" s="411">
        <v>4.794099807739258</v>
      </c>
      <c r="CB94" s="411">
        <v>5.0788E-4</v>
      </c>
      <c r="CC94" s="411">
        <v>5.274600028991699</v>
      </c>
      <c r="CD94" s="411">
        <v>6.132100105285645</v>
      </c>
      <c r="CE94" s="411">
        <v>29.80999946594238</v>
      </c>
      <c r="CF94" s="411">
        <v>3.611000061035156</v>
      </c>
      <c r="CG94" s="411">
        <v>0.1393281668424606</v>
      </c>
      <c r="CH94" s="411">
        <v>0.2085897326469421</v>
      </c>
      <c r="CI94" s="411">
        <v>0.6716818809509277</v>
      </c>
      <c r="CJ94" s="411">
        <v>0.6204898357391357</v>
      </c>
    </row>
    <row r="95" ht="15.75" customHeight="1">
      <c r="A95" s="566">
        <v>45140.0</v>
      </c>
      <c r="C95" s="411">
        <v>17.42000007629395</v>
      </c>
      <c r="F95" s="411">
        <v>117.0100021362305</v>
      </c>
      <c r="Q95" s="411">
        <v>75.44</v>
      </c>
      <c r="Y95" s="411">
        <v>-12.05</v>
      </c>
      <c r="AD95" s="411">
        <v>523.55</v>
      </c>
      <c r="AG95" s="411">
        <v>26.80999946594238</v>
      </c>
      <c r="AK95" s="411">
        <v>-155.12</v>
      </c>
      <c r="AV95" s="411">
        <v>50.40999984741211</v>
      </c>
      <c r="BL95" s="411">
        <v>7.139999866485596</v>
      </c>
      <c r="BM95" s="411">
        <v>35.09999847412109</v>
      </c>
      <c r="BT95" s="411">
        <v>67.08999633789062</v>
      </c>
      <c r="BU95" s="411">
        <v>29.85000038146973</v>
      </c>
      <c r="CA95" s="411">
        <v>4.791999816894531</v>
      </c>
      <c r="CB95" s="411">
        <v>5.0788E-4</v>
      </c>
      <c r="CC95" s="411">
        <v>5.255599975585938</v>
      </c>
      <c r="CD95" s="411">
        <v>6.127450942993164</v>
      </c>
      <c r="CE95" s="411">
        <v>29.81900024414062</v>
      </c>
      <c r="CF95" s="411">
        <v>3.60094690322876</v>
      </c>
      <c r="CG95" s="411">
        <v>0.1393436938524246</v>
      </c>
      <c r="CH95" s="411">
        <v>0.2086811363697052</v>
      </c>
      <c r="CI95" s="411">
        <v>0.6617608070373535</v>
      </c>
      <c r="CJ95" s="411">
        <v>0.614148736000061</v>
      </c>
    </row>
    <row r="96" ht="15.75" customHeight="1">
      <c r="A96" s="566">
        <v>45141.0</v>
      </c>
      <c r="C96" s="411">
        <v>17.17000007629395</v>
      </c>
      <c r="F96" s="411">
        <v>116.7099990844727</v>
      </c>
      <c r="Q96" s="411">
        <v>124.19</v>
      </c>
      <c r="Y96" s="411">
        <v>47.53</v>
      </c>
      <c r="AD96" s="411">
        <v>3879.7</v>
      </c>
      <c r="AG96" s="411">
        <v>26.71999931335449</v>
      </c>
      <c r="AK96" s="411">
        <v>-16.44</v>
      </c>
      <c r="AV96" s="411">
        <v>49.54999923706055</v>
      </c>
      <c r="BL96" s="411">
        <v>6.849999904632568</v>
      </c>
      <c r="BM96" s="411">
        <v>34.54000091552734</v>
      </c>
      <c r="BT96" s="411">
        <v>67.51000213623047</v>
      </c>
      <c r="BU96" s="411">
        <v>29.79999923706055</v>
      </c>
      <c r="CA96" s="411">
        <v>4.810400009155273</v>
      </c>
      <c r="CB96" s="411">
        <v>5.0788E-4</v>
      </c>
      <c r="CC96" s="411">
        <v>5.252999782562256</v>
      </c>
      <c r="CD96" s="411">
        <v>6.118855953216553</v>
      </c>
      <c r="CE96" s="411">
        <v>29.7810001373291</v>
      </c>
      <c r="CF96" s="411">
        <v>3.59821605682373</v>
      </c>
      <c r="CG96" s="411">
        <v>0.1390743255615234</v>
      </c>
      <c r="CH96" s="411">
        <v>0.2078829258680344</v>
      </c>
      <c r="CI96" s="411">
        <v>0.6544999480247498</v>
      </c>
      <c r="CJ96" s="411">
        <v>0.6086301207542419</v>
      </c>
    </row>
    <row r="97" ht="15.75" customHeight="1">
      <c r="A97" s="566">
        <v>45142.0</v>
      </c>
      <c r="C97" s="411">
        <v>17.21999931335449</v>
      </c>
      <c r="F97" s="411">
        <v>115.6600036621094</v>
      </c>
      <c r="Q97" s="411">
        <v>46.85</v>
      </c>
      <c r="Y97" s="411">
        <v>-4.91</v>
      </c>
      <c r="AD97" s="411">
        <v>-1032.1</v>
      </c>
      <c r="AG97" s="411">
        <v>26.3700008392334</v>
      </c>
      <c r="AK97" s="411">
        <v>317.52</v>
      </c>
      <c r="AV97" s="411">
        <v>50.36000061035156</v>
      </c>
      <c r="BL97" s="411">
        <v>7.039999961853027</v>
      </c>
      <c r="BM97" s="411">
        <v>34.88999938964844</v>
      </c>
      <c r="BT97" s="411">
        <v>67.55999755859375</v>
      </c>
      <c r="BU97" s="411">
        <v>30.03000068664551</v>
      </c>
      <c r="CA97" s="411">
        <v>4.916399955749512</v>
      </c>
      <c r="CB97" s="411">
        <v>4.9037E-4</v>
      </c>
      <c r="CC97" s="411">
        <v>5.355500221252441</v>
      </c>
      <c r="CD97" s="411">
        <v>6.202199935913086</v>
      </c>
      <c r="CE97" s="411">
        <v>29.11000061035156</v>
      </c>
      <c r="CF97" s="411">
        <v>3.635400056838989</v>
      </c>
      <c r="CG97" s="411">
        <v>0.1396102160215378</v>
      </c>
      <c r="CH97" s="411">
        <v>0.2034008651971817</v>
      </c>
      <c r="CI97" s="411">
        <v>0.6570733785629272</v>
      </c>
      <c r="CJ97" s="411">
        <v>0.6100164651870728</v>
      </c>
    </row>
    <row r="98" ht="15.75" customHeight="1">
      <c r="A98" s="566">
        <v>45145.0</v>
      </c>
      <c r="C98" s="411">
        <v>17.25</v>
      </c>
      <c r="F98" s="411">
        <v>115.6100006103516</v>
      </c>
      <c r="Q98" s="411">
        <v>-113.62</v>
      </c>
      <c r="Y98" s="411">
        <v>-4.56</v>
      </c>
      <c r="AD98" s="411">
        <v>1518.25</v>
      </c>
      <c r="AG98" s="411">
        <v>26.36000061035156</v>
      </c>
      <c r="AK98" s="411">
        <v>-15.66</v>
      </c>
      <c r="AV98" s="411">
        <v>50.06499862670898</v>
      </c>
      <c r="BL98" s="411">
        <v>6.880000114440918</v>
      </c>
      <c r="BM98" s="411">
        <v>34.63000106811523</v>
      </c>
      <c r="BT98" s="411">
        <v>67.9000015258789</v>
      </c>
      <c r="BU98" s="411">
        <v>29.94000053405762</v>
      </c>
      <c r="CA98" s="411">
        <v>4.88539981842041</v>
      </c>
      <c r="CB98" s="411">
        <v>4.9037E-4</v>
      </c>
      <c r="CC98" s="411">
        <v>5.357900142669678</v>
      </c>
      <c r="CD98" s="411">
        <v>6.227763175964355</v>
      </c>
      <c r="CE98" s="411">
        <v>29.02499961853027</v>
      </c>
      <c r="CF98" s="411">
        <v>3.63617205619812</v>
      </c>
      <c r="CG98" s="411">
        <v>0.1402288526296616</v>
      </c>
      <c r="CH98" s="411">
        <v>0.204691544175148</v>
      </c>
      <c r="CI98" s="411">
        <v>0.657371461391449</v>
      </c>
      <c r="CJ98" s="411">
        <v>0.6100090146064758</v>
      </c>
    </row>
    <row r="99" ht="15.75" customHeight="1">
      <c r="A99" s="566">
        <v>45146.0</v>
      </c>
      <c r="C99" s="411">
        <v>17.53000069</v>
      </c>
      <c r="F99" s="411">
        <v>115.2699966</v>
      </c>
      <c r="Q99" s="411">
        <v>231.51</v>
      </c>
      <c r="Y99" s="411">
        <v>5.95</v>
      </c>
      <c r="AD99" s="411">
        <v>40.65</v>
      </c>
      <c r="AG99" s="411">
        <v>26.04000092</v>
      </c>
      <c r="AK99" s="411">
        <v>-231.3</v>
      </c>
      <c r="AV99" s="411">
        <v>50.45000076</v>
      </c>
      <c r="BL99" s="411">
        <v>6.460000038</v>
      </c>
      <c r="BM99" s="411">
        <v>34.20000076</v>
      </c>
      <c r="BT99" s="411">
        <v>67.45999908</v>
      </c>
      <c r="BU99" s="411">
        <v>30.60000038</v>
      </c>
      <c r="CA99" s="411">
        <v>4.899000168</v>
      </c>
      <c r="CB99" s="411">
        <v>4.9037E-4</v>
      </c>
      <c r="CC99" s="411">
        <v>5.382500172</v>
      </c>
      <c r="CD99" s="411">
        <v>6.257822037</v>
      </c>
      <c r="CE99" s="411">
        <v>29.07600021</v>
      </c>
      <c r="CF99" s="411">
        <v>3.658478975</v>
      </c>
      <c r="CG99" s="411">
        <v>0.1390375793</v>
      </c>
      <c r="CH99" s="411">
        <v>0.2041232884</v>
      </c>
      <c r="CI99" s="411">
        <v>0.6572591066</v>
      </c>
      <c r="CJ99" s="411">
        <v>0.6106571555</v>
      </c>
    </row>
    <row r="100" ht="15.75" customHeight="1">
      <c r="A100" s="566">
        <v>45147.0</v>
      </c>
      <c r="C100" s="411">
        <v>16.59000015</v>
      </c>
      <c r="F100" s="411">
        <v>114.6999969</v>
      </c>
      <c r="Z100" s="411">
        <v>79.40000153</v>
      </c>
      <c r="AD100" s="411">
        <v>212.1</v>
      </c>
      <c r="AG100" s="411">
        <v>25.65999985</v>
      </c>
      <c r="AK100" s="411">
        <v>73.53</v>
      </c>
      <c r="AV100" s="411">
        <v>50.61000061</v>
      </c>
      <c r="BL100" s="411">
        <v>6.01</v>
      </c>
      <c r="BM100" s="411">
        <v>31.45</v>
      </c>
      <c r="BO100" s="411">
        <v>6.010000229</v>
      </c>
      <c r="BP100" s="411">
        <v>33.93999863</v>
      </c>
      <c r="BT100" s="411">
        <v>64.89</v>
      </c>
      <c r="BU100" s="411">
        <v>30.99</v>
      </c>
      <c r="BV100" s="411">
        <v>64.89377594</v>
      </c>
      <c r="BW100" s="411">
        <v>30.98999977</v>
      </c>
      <c r="CA100" s="411">
        <v>4.9015</v>
      </c>
      <c r="CB100" s="411">
        <v>4.9037E-4</v>
      </c>
      <c r="CC100" s="411">
        <v>5.3615</v>
      </c>
      <c r="CD100" s="411">
        <v>4.898600101</v>
      </c>
      <c r="CE100" s="411">
        <v>4.9037E-4</v>
      </c>
      <c r="CF100" s="411">
        <v>5.361499786</v>
      </c>
      <c r="CG100" s="411">
        <v>6.234414101</v>
      </c>
      <c r="CH100" s="411">
        <v>29.2310009</v>
      </c>
      <c r="CI100" s="411">
        <v>3.648283958</v>
      </c>
      <c r="CJ100" s="411">
        <v>0.1385866851</v>
      </c>
    </row>
    <row r="101" ht="15.75" customHeight="1">
      <c r="A101" s="566">
        <v>45148.0</v>
      </c>
      <c r="C101" s="411">
        <v>18.21999931</v>
      </c>
      <c r="F101" s="411">
        <v>114.5100021</v>
      </c>
      <c r="Z101" s="411">
        <v>79.44999695</v>
      </c>
      <c r="AD101" s="411">
        <v>1518.25</v>
      </c>
      <c r="AG101" s="411">
        <v>25.29999924</v>
      </c>
      <c r="AK101" s="411">
        <v>49.75</v>
      </c>
      <c r="AV101" s="411">
        <v>50.08000183</v>
      </c>
      <c r="BL101" s="411">
        <v>6.2</v>
      </c>
      <c r="BM101" s="411">
        <v>32.27</v>
      </c>
      <c r="BO101" s="411">
        <v>6.199999809</v>
      </c>
      <c r="BP101" s="411">
        <v>32.27000046</v>
      </c>
      <c r="BT101" s="411">
        <v>64.13</v>
      </c>
      <c r="BU101" s="411">
        <v>30.82</v>
      </c>
      <c r="BV101" s="411">
        <v>64.12689209</v>
      </c>
      <c r="BW101" s="411">
        <v>30.81999969</v>
      </c>
      <c r="CA101" s="411">
        <v>4.8518</v>
      </c>
      <c r="CB101" s="411">
        <v>4.9037E-4</v>
      </c>
      <c r="CC101" s="411">
        <v>5.3787</v>
      </c>
      <c r="CD101" s="411">
        <v>4.90170002</v>
      </c>
      <c r="CE101" s="411">
        <v>4.9037E-4</v>
      </c>
      <c r="CF101" s="411">
        <v>5.37869978</v>
      </c>
      <c r="CG101" s="411">
        <v>6.230529785</v>
      </c>
      <c r="CH101" s="411">
        <v>29.3029995</v>
      </c>
      <c r="CI101" s="411">
        <v>3.651503086</v>
      </c>
      <c r="CJ101" s="411">
        <v>0.1387231946</v>
      </c>
    </row>
    <row r="102" ht="15.75" customHeight="1">
      <c r="A102" s="566">
        <v>45149.0</v>
      </c>
      <c r="C102" s="411">
        <v>17.04999924</v>
      </c>
      <c r="F102" s="411">
        <v>114.25</v>
      </c>
      <c r="Z102" s="411">
        <v>79.58000183</v>
      </c>
      <c r="AD102" s="411">
        <v>1514.1</v>
      </c>
      <c r="AG102" s="411">
        <v>24.97999954</v>
      </c>
      <c r="AK102" s="411">
        <v>-195.06</v>
      </c>
      <c r="AV102" s="411">
        <v>49.88999939</v>
      </c>
      <c r="BL102" s="411">
        <v>5.95</v>
      </c>
      <c r="BM102" s="411">
        <v>31.45</v>
      </c>
      <c r="BO102" s="411">
        <v>5.949999809</v>
      </c>
      <c r="BP102" s="411">
        <v>31.45000076</v>
      </c>
      <c r="BT102" s="411">
        <v>63.59</v>
      </c>
      <c r="BU102" s="411">
        <v>30.51</v>
      </c>
      <c r="BV102" s="411">
        <v>63.59299469</v>
      </c>
      <c r="BW102" s="411">
        <v>30.51000023</v>
      </c>
      <c r="CA102" s="411">
        <v>4.8918</v>
      </c>
      <c r="CB102" s="411">
        <v>4.9037E-4</v>
      </c>
      <c r="CC102" s="411">
        <v>5.3571</v>
      </c>
      <c r="CD102" s="411">
        <v>4.891499996</v>
      </c>
      <c r="CE102" s="411">
        <v>4.9037E-4</v>
      </c>
      <c r="CF102" s="411">
        <v>5.35710001</v>
      </c>
      <c r="CG102" s="411">
        <v>6.191949844</v>
      </c>
      <c r="CH102" s="411">
        <v>29.59700012</v>
      </c>
      <c r="CI102" s="411">
        <v>3.629962921</v>
      </c>
      <c r="CJ102" s="411">
        <v>0.1386058927</v>
      </c>
    </row>
    <row r="103" ht="15.75" customHeight="1">
      <c r="A103" s="566">
        <v>45152.0</v>
      </c>
      <c r="C103" s="411">
        <v>16.96999931335449</v>
      </c>
      <c r="F103" s="411">
        <v>113.3099975585938</v>
      </c>
      <c r="Z103" s="411">
        <v>79.36000061035156</v>
      </c>
      <c r="AD103" s="411">
        <v>2991.55</v>
      </c>
      <c r="AK103" s="411">
        <v>-222.85</v>
      </c>
      <c r="BG103" s="411">
        <v>107.6399993896484</v>
      </c>
      <c r="BJ103" s="411">
        <v>33.63000106811523</v>
      </c>
      <c r="BL103" s="411">
        <v>5.570000171661377</v>
      </c>
      <c r="BM103" s="411">
        <v>30.88999938964844</v>
      </c>
      <c r="BT103" s="411">
        <v>61.90000152587891</v>
      </c>
      <c r="BU103" s="411">
        <v>29.8799991607666</v>
      </c>
      <c r="BY103" s="411">
        <v>74.43000030517578</v>
      </c>
      <c r="CA103" s="411">
        <v>4.910999774932861</v>
      </c>
      <c r="CB103" s="411">
        <v>4.9037E-4</v>
      </c>
      <c r="CC103" s="411">
        <v>5.354100227355957</v>
      </c>
      <c r="CD103" s="411">
        <v>6.23052978515625</v>
      </c>
      <c r="CE103" s="411">
        <v>29.47500038146973</v>
      </c>
      <c r="CF103" s="411">
        <v>3.636060953140259</v>
      </c>
      <c r="CG103" s="411">
        <v>0.1390375792980194</v>
      </c>
      <c r="CH103" s="411">
        <v>0.2036245316267014</v>
      </c>
      <c r="CI103" s="411">
        <v>0.6495404839515686</v>
      </c>
      <c r="CJ103" s="411">
        <v>0.5984584093093872</v>
      </c>
    </row>
    <row r="104" ht="15.75" customHeight="1">
      <c r="A104" s="566">
        <v>45153.0</v>
      </c>
      <c r="C104" s="411">
        <v>15.85000038146973</v>
      </c>
      <c r="F104" s="411">
        <v>112.370002746582</v>
      </c>
      <c r="Z104" s="411">
        <v>78.93000030517578</v>
      </c>
      <c r="AD104" s="411">
        <v>1384.0</v>
      </c>
      <c r="AK104" s="411">
        <v>-9.26</v>
      </c>
      <c r="BG104" s="411">
        <v>106.5500030517578</v>
      </c>
      <c r="BJ104" s="411">
        <v>33.56</v>
      </c>
      <c r="BL104" s="411">
        <v>5.340000152587891</v>
      </c>
      <c r="BM104" s="411">
        <v>30.75</v>
      </c>
      <c r="BT104" s="411">
        <v>61.29000091552734</v>
      </c>
      <c r="BU104" s="411">
        <v>29.98999977111816</v>
      </c>
      <c r="BY104" s="411">
        <v>73.62999725341797</v>
      </c>
      <c r="CA104" s="411">
        <v>4.962100028991699</v>
      </c>
      <c r="CB104" s="411">
        <v>4.9037E-4</v>
      </c>
      <c r="CC104" s="411">
        <v>5.410299777984619</v>
      </c>
      <c r="CD104" s="411">
        <v>6.289308071136475</v>
      </c>
      <c r="CE104" s="411">
        <v>29.29400062561035</v>
      </c>
      <c r="CF104" s="411">
        <v>3.685376882553101</v>
      </c>
      <c r="CG104" s="411">
        <v>0.1377922892570496</v>
      </c>
      <c r="CH104" s="411">
        <v>0.2015275806188583</v>
      </c>
      <c r="CI104" s="411">
        <v>0.6488400101661682</v>
      </c>
      <c r="CJ104" s="411">
        <v>0.5974786281585693</v>
      </c>
    </row>
    <row r="105" ht="15.75" customHeight="1">
      <c r="A105" s="566">
        <v>45154.0</v>
      </c>
      <c r="C105" s="411">
        <v>15.63000011444092</v>
      </c>
      <c r="F105" s="411">
        <v>111.870002746582</v>
      </c>
      <c r="Z105" s="411">
        <v>79.08000183105469</v>
      </c>
      <c r="AD105" s="411">
        <v>-508.0</v>
      </c>
      <c r="AK105" s="411">
        <v>-154.16</v>
      </c>
      <c r="BG105" s="411">
        <v>106.5299987792969</v>
      </c>
      <c r="BL105" s="411">
        <v>5.130000114440918</v>
      </c>
      <c r="BM105" s="411">
        <v>30.04999923706055</v>
      </c>
      <c r="BT105" s="411">
        <v>61.04999923706055</v>
      </c>
      <c r="BU105" s="411">
        <v>29.70000076293945</v>
      </c>
      <c r="BY105" s="411">
        <v>73.45999908447266</v>
      </c>
      <c r="CA105" s="411">
        <v>4.983200073242188</v>
      </c>
      <c r="CB105" s="411">
        <v>4.9037E-4</v>
      </c>
      <c r="CC105" s="411">
        <v>5.434599876403809</v>
      </c>
      <c r="CD105" s="411">
        <v>6.321113109588623</v>
      </c>
      <c r="CE105" s="411">
        <v>29.20299911499023</v>
      </c>
      <c r="CF105" s="411">
        <v>3.69190788269043</v>
      </c>
      <c r="CG105" s="411">
        <v>0.1370257139205933</v>
      </c>
      <c r="CH105" s="411">
        <v>0.2006742656230927</v>
      </c>
      <c r="CI105" s="411">
        <v>0.6457903981208801</v>
      </c>
      <c r="CJ105" s="411">
        <v>0.5957380533218384</v>
      </c>
    </row>
    <row r="106" ht="15.75" customHeight="1">
      <c r="A106" s="566">
        <v>45155.0</v>
      </c>
      <c r="C106" s="411">
        <v>15.31999969482422</v>
      </c>
      <c r="F106" s="411">
        <v>111.3600006103516</v>
      </c>
      <c r="Z106" s="411">
        <v>78.6500015258789</v>
      </c>
      <c r="AD106" s="411">
        <v>385.0</v>
      </c>
      <c r="AK106" s="411">
        <v>-34.85</v>
      </c>
      <c r="BG106" s="411">
        <v>105.0500030517578</v>
      </c>
      <c r="BL106" s="411">
        <v>5.110000133514404</v>
      </c>
      <c r="BM106" s="411">
        <v>30.29999923706055</v>
      </c>
      <c r="BT106" s="411">
        <v>61.90999984741211</v>
      </c>
      <c r="BU106" s="411">
        <v>28.95000076293945</v>
      </c>
      <c r="BY106" s="411">
        <v>72.75</v>
      </c>
      <c r="CA106" s="411">
        <v>4.986899852752686</v>
      </c>
      <c r="CB106" s="411">
        <v>4.9037E-4</v>
      </c>
      <c r="CC106" s="411">
        <v>5.420000076293945</v>
      </c>
      <c r="CD106" s="411">
        <v>6.341154098510742</v>
      </c>
      <c r="CE106" s="411">
        <v>29.32600021362305</v>
      </c>
      <c r="CF106" s="411">
        <v>3.68311595916748</v>
      </c>
      <c r="CG106" s="411">
        <v>0.1370426267385483</v>
      </c>
      <c r="CH106" s="411">
        <v>0.2005253881216049</v>
      </c>
      <c r="CI106" s="411">
        <v>0.6414697170257568</v>
      </c>
      <c r="CJ106" s="411">
        <v>0.5931304097175598</v>
      </c>
    </row>
    <row r="107" ht="15.75" customHeight="1">
      <c r="A107" s="566">
        <v>45156.0</v>
      </c>
      <c r="C107" s="411">
        <v>15.90999984741211</v>
      </c>
      <c r="F107" s="411">
        <v>111.6999969482422</v>
      </c>
      <c r="Z107" s="411">
        <v>78.76000213623047</v>
      </c>
      <c r="AD107" s="411">
        <v>-1122.55</v>
      </c>
      <c r="AK107" s="411">
        <v>43.18</v>
      </c>
      <c r="BG107" s="411">
        <v>104.8099975585938</v>
      </c>
      <c r="BL107" s="411">
        <v>5.309999942779541</v>
      </c>
      <c r="BM107" s="411">
        <v>29.73999977111816</v>
      </c>
      <c r="BT107" s="411">
        <v>61.22000122070312</v>
      </c>
      <c r="BU107" s="411">
        <v>29.3700008392334</v>
      </c>
      <c r="BY107" s="411">
        <v>73.0199966430664</v>
      </c>
      <c r="CA107" s="411">
        <v>4.975500106811523</v>
      </c>
      <c r="CB107" s="411">
        <v>4.9037E-4</v>
      </c>
      <c r="CC107" s="411">
        <v>5.403200149536133</v>
      </c>
      <c r="CD107" s="411">
        <v>6.326900005340576</v>
      </c>
      <c r="CE107" s="411">
        <v>29.22800064086914</v>
      </c>
      <c r="CF107" s="411">
        <v>3.68311595916748</v>
      </c>
      <c r="CG107" s="411">
        <v>0.1373550891876221</v>
      </c>
      <c r="CH107" s="411">
        <v>0.2009848207235336</v>
      </c>
      <c r="CI107" s="411">
        <v>0.6408613324165344</v>
      </c>
      <c r="CJ107" s="411">
        <v>0.5923819541931152</v>
      </c>
    </row>
    <row r="108" ht="15.75" customHeight="1">
      <c r="A108" s="566">
        <v>45159.0</v>
      </c>
      <c r="C108" s="411">
        <v>15.6899995803833</v>
      </c>
      <c r="F108" s="411">
        <v>110.7900009155273</v>
      </c>
      <c r="Z108" s="411">
        <v>78.33999633789062</v>
      </c>
      <c r="AD108" s="411">
        <v>427.4</v>
      </c>
      <c r="AK108" s="411">
        <v>106.42</v>
      </c>
      <c r="BG108" s="411">
        <v>102.8600006103516</v>
      </c>
      <c r="BL108" s="411">
        <v>5.440000057220459</v>
      </c>
      <c r="BM108" s="411">
        <v>29.97999954223633</v>
      </c>
      <c r="BT108" s="411">
        <v>61.29999923706055</v>
      </c>
      <c r="BU108" s="411">
        <v>29.44000053405762</v>
      </c>
      <c r="BY108" s="411">
        <v>72.52999877929688</v>
      </c>
      <c r="CA108" s="411">
        <v>4.966899871826172</v>
      </c>
      <c r="CB108" s="411">
        <v>4.9037E-4</v>
      </c>
      <c r="CC108" s="411">
        <v>5.381599903106689</v>
      </c>
      <c r="CD108" s="411">
        <v>6.327503204345703</v>
      </c>
      <c r="CE108" s="411">
        <v>29.23999977111816</v>
      </c>
      <c r="CF108" s="411">
        <v>3.653496026992798</v>
      </c>
      <c r="CG108" s="411">
        <v>0.1373494267463684</v>
      </c>
      <c r="CH108" s="411">
        <v>0.2013328224420547</v>
      </c>
      <c r="CI108" s="411">
        <v>0.6414697170257568</v>
      </c>
      <c r="CJ108" s="411">
        <v>0.5926803946495056</v>
      </c>
    </row>
    <row r="109" ht="15.75" customHeight="1">
      <c r="A109" s="566">
        <v>45160.0</v>
      </c>
      <c r="C109" s="411">
        <v>16.01000022888184</v>
      </c>
      <c r="F109" s="411">
        <v>112.4100036621094</v>
      </c>
      <c r="Z109" s="411">
        <v>79.37999725341797</v>
      </c>
      <c r="AD109" s="411">
        <v>-2402.9</v>
      </c>
      <c r="AK109" s="411">
        <v>-242.13</v>
      </c>
      <c r="BG109" s="411">
        <v>101.4599990844727</v>
      </c>
      <c r="BL109" s="411">
        <v>5.360000133514404</v>
      </c>
      <c r="BM109" s="411">
        <v>29.88999938964844</v>
      </c>
      <c r="BT109" s="411">
        <v>62.58000183105469</v>
      </c>
      <c r="BU109" s="411">
        <v>30.02000045776367</v>
      </c>
      <c r="BY109" s="411">
        <v>72.12000274658203</v>
      </c>
      <c r="CA109" s="411">
        <v>4.978700160980225</v>
      </c>
      <c r="CB109" s="411">
        <v>4.9037E-4</v>
      </c>
      <c r="CC109" s="411">
        <v>5.419899940490723</v>
      </c>
      <c r="CD109" s="411">
        <v>6.345178127288818</v>
      </c>
      <c r="CE109" s="411">
        <v>29.35700035095215</v>
      </c>
      <c r="CF109" s="411">
        <v>3.672478914260864</v>
      </c>
      <c r="CG109" s="411">
        <v>0.1389274746179581</v>
      </c>
      <c r="CH109" s="411">
        <v>0.2008556425571442</v>
      </c>
      <c r="CI109" s="411">
        <v>0.6414080262184143</v>
      </c>
      <c r="CJ109" s="411">
        <v>0.5929685831069946</v>
      </c>
    </row>
    <row r="110" ht="15.75" customHeight="1">
      <c r="A110" s="566">
        <v>45161.0</v>
      </c>
      <c r="C110" s="411">
        <v>16.20000076293945</v>
      </c>
      <c r="F110" s="411">
        <v>114.3000030517578</v>
      </c>
      <c r="Z110" s="411">
        <v>80.18000030517578</v>
      </c>
      <c r="AD110" s="411">
        <v>-3631.65</v>
      </c>
      <c r="AK110" s="411">
        <v>36.13</v>
      </c>
      <c r="BG110" s="411">
        <v>98.75</v>
      </c>
      <c r="BL110" s="411">
        <v>5.429999828338623</v>
      </c>
      <c r="BM110" s="411">
        <v>29.98999977111816</v>
      </c>
      <c r="BT110" s="411">
        <v>63.04000091552734</v>
      </c>
      <c r="BU110" s="411">
        <v>30.45000076293945</v>
      </c>
      <c r="BY110" s="411">
        <v>72.5999984741211</v>
      </c>
      <c r="CA110" s="411">
        <v>4.937099933624268</v>
      </c>
      <c r="CB110" s="411">
        <v>4.9037E-4</v>
      </c>
      <c r="CC110" s="411">
        <v>5.350500106811523</v>
      </c>
      <c r="CD110" s="411">
        <v>6.281406879425049</v>
      </c>
      <c r="CE110" s="411">
        <v>29.50799942016602</v>
      </c>
      <c r="CF110" s="411">
        <v>3.638434886932373</v>
      </c>
      <c r="CG110" s="411">
        <v>0.1371290683746338</v>
      </c>
      <c r="CH110" s="411">
        <v>0.2025480568408966</v>
      </c>
      <c r="CI110" s="411">
        <v>0.6427999138832092</v>
      </c>
      <c r="CJ110" s="411">
        <v>0.5940676331520081</v>
      </c>
    </row>
    <row r="111" ht="15.75" customHeight="1">
      <c r="A111" s="566">
        <v>45162.0</v>
      </c>
      <c r="C111" s="411">
        <v>15.34000015258789</v>
      </c>
      <c r="F111" s="411">
        <v>113.3000030517578</v>
      </c>
      <c r="Z111" s="411">
        <v>79.66000366210938</v>
      </c>
      <c r="AD111" s="411">
        <v>552.5</v>
      </c>
      <c r="AK111" s="411">
        <v>-249.18</v>
      </c>
      <c r="BG111" s="411">
        <v>97.62999725341797</v>
      </c>
      <c r="BL111" s="411">
        <v>5.409999847412109</v>
      </c>
      <c r="BM111" s="411">
        <v>29.65999984741211</v>
      </c>
      <c r="BT111" s="411">
        <v>62.20000076293945</v>
      </c>
      <c r="BU111" s="411">
        <v>30.46999931335449</v>
      </c>
      <c r="BY111" s="411">
        <v>72.0199966430664</v>
      </c>
      <c r="CA111" s="411">
        <v>4.855100154876709</v>
      </c>
      <c r="CB111" s="411">
        <v>4.9037E-4</v>
      </c>
      <c r="CC111" s="411">
        <v>5.271500110626221</v>
      </c>
      <c r="CD111" s="411">
        <v>6.169031143188477</v>
      </c>
      <c r="CE111" s="411">
        <v>29.78300094604492</v>
      </c>
      <c r="CF111" s="411">
        <v>3.585809946060181</v>
      </c>
      <c r="CG111" s="411">
        <v>0.1394602954387665</v>
      </c>
      <c r="CH111" s="411">
        <v>0.205968976020813</v>
      </c>
      <c r="CI111" s="411">
        <v>0.6480587720870972</v>
      </c>
      <c r="CJ111" s="411">
        <v>0.5974286794662476</v>
      </c>
    </row>
    <row r="112" ht="15.75" customHeight="1">
      <c r="A112" s="566">
        <v>45163.0</v>
      </c>
      <c r="C112" s="411">
        <v>14.97999954223633</v>
      </c>
      <c r="F112" s="411">
        <v>112.1500015258789</v>
      </c>
      <c r="Z112" s="411">
        <v>79.23999786376953</v>
      </c>
      <c r="AD112" s="411">
        <v>-527.35</v>
      </c>
      <c r="AK112" s="411">
        <v>-9.29</v>
      </c>
      <c r="BG112" s="411">
        <v>98.83999633789062</v>
      </c>
      <c r="BL112" s="411">
        <v>5.400000095367432</v>
      </c>
      <c r="BM112" s="411">
        <v>29.20999908447266</v>
      </c>
      <c r="BT112" s="411">
        <v>62.06999969482422</v>
      </c>
      <c r="BU112" s="411">
        <v>29.63999938964844</v>
      </c>
      <c r="BY112" s="411">
        <v>72.41999816894531</v>
      </c>
      <c r="CA112" s="411">
        <v>4.880300045013428</v>
      </c>
      <c r="CB112" s="411">
        <v>4.9037E-4</v>
      </c>
      <c r="CC112" s="411">
        <v>5.258200168609619</v>
      </c>
      <c r="CD112" s="411">
        <v>6.127500057220459</v>
      </c>
      <c r="CE112" s="411">
        <v>30.03300094604492</v>
      </c>
      <c r="CF112" s="411">
        <v>3.589056968688965</v>
      </c>
      <c r="CG112" s="411">
        <v>0.1374287009239197</v>
      </c>
      <c r="CH112" s="411">
        <v>0.2049054354429245</v>
      </c>
      <c r="CI112" s="411">
        <v>0.6404919028282166</v>
      </c>
      <c r="CJ112" s="411">
        <v>0.591957688331604</v>
      </c>
    </row>
    <row r="113" ht="15.75" customHeight="1">
      <c r="A113" s="566">
        <v>45166.0</v>
      </c>
      <c r="B113" s="411">
        <v>12.14999961853027</v>
      </c>
      <c r="C113" s="411">
        <v>14.86999988555908</v>
      </c>
      <c r="D113" s="411">
        <v>10.89999961853027</v>
      </c>
      <c r="F113" s="411">
        <v>113.5</v>
      </c>
      <c r="G113" s="411">
        <v>36.63999938964844</v>
      </c>
      <c r="L113" s="411">
        <v>24.1</v>
      </c>
      <c r="O113" s="411">
        <v>0.11</v>
      </c>
      <c r="R113" s="411">
        <v>34.12</v>
      </c>
      <c r="U113" s="411">
        <v>-3.76</v>
      </c>
      <c r="Z113" s="411">
        <v>79.95999908447266</v>
      </c>
      <c r="AD113" s="411">
        <v>673.9</v>
      </c>
      <c r="AF113" s="411">
        <v>681.65</v>
      </c>
      <c r="AG113" s="411">
        <v>24.35000038146973</v>
      </c>
      <c r="AK113" s="411">
        <v>-10.39</v>
      </c>
      <c r="AW113" s="411">
        <v>1424.0</v>
      </c>
      <c r="BG113" s="411">
        <v>99.62999725341797</v>
      </c>
      <c r="BL113" s="411">
        <v>5.389999866485596</v>
      </c>
      <c r="BM113" s="411">
        <v>29.13999938964844</v>
      </c>
      <c r="BN113" s="411">
        <v>835.0</v>
      </c>
      <c r="BQ113" s="411">
        <v>994.42</v>
      </c>
      <c r="BU113" s="411">
        <v>29.46999931335449</v>
      </c>
      <c r="BY113" s="411">
        <v>72.75</v>
      </c>
      <c r="CA113" s="411">
        <v>4.870399951934814</v>
      </c>
      <c r="CB113" s="411">
        <v>4.9037E-4</v>
      </c>
      <c r="CC113" s="411">
        <v>5.248499870300293</v>
      </c>
      <c r="CD113" s="411">
        <v>6.127450942993164</v>
      </c>
      <c r="CE113" s="411">
        <v>30.06999969482422</v>
      </c>
      <c r="CF113" s="411">
        <v>3.573812007904053</v>
      </c>
      <c r="CG113" s="411">
        <v>0.1371930241584778</v>
      </c>
      <c r="CH113" s="411">
        <v>0.2053219527006149</v>
      </c>
      <c r="CI113" s="411">
        <v>0.6416714191436768</v>
      </c>
      <c r="CJ113" s="411">
        <v>0.5910863876342773</v>
      </c>
    </row>
    <row r="114" ht="15.75" customHeight="1">
      <c r="A114" s="566">
        <v>45167.0</v>
      </c>
      <c r="B114" s="411">
        <v>11.95</v>
      </c>
      <c r="C114" s="411">
        <v>15.01</v>
      </c>
      <c r="D114" s="411">
        <v>8.91</v>
      </c>
      <c r="F114" s="411">
        <v>114.620002746582</v>
      </c>
      <c r="G114" s="411">
        <v>37.1</v>
      </c>
      <c r="L114" s="411">
        <v>-14.638</v>
      </c>
      <c r="O114" s="411">
        <v>0.91</v>
      </c>
      <c r="R114" s="411">
        <v>207.37</v>
      </c>
      <c r="U114" s="411">
        <v>8.77</v>
      </c>
      <c r="Z114" s="411">
        <v>80.81</v>
      </c>
      <c r="AD114" s="411">
        <v>1089.35</v>
      </c>
      <c r="AF114" s="411">
        <v>1072.95</v>
      </c>
      <c r="AG114" s="411">
        <v>24.91</v>
      </c>
      <c r="AW114" s="411">
        <v>1206.0</v>
      </c>
      <c r="BG114" s="411">
        <v>101.77</v>
      </c>
      <c r="BL114" s="411">
        <v>5.239999771118164</v>
      </c>
      <c r="BM114" s="411">
        <v>29.55999946594238</v>
      </c>
      <c r="BN114" s="411">
        <v>554.52</v>
      </c>
      <c r="BQ114" s="411">
        <v>3348.53</v>
      </c>
      <c r="BU114" s="411">
        <v>29.54000091552734</v>
      </c>
      <c r="BY114" s="411">
        <v>73.01</v>
      </c>
      <c r="CA114" s="411">
        <v>4.872600078582764</v>
      </c>
      <c r="CB114" s="411">
        <v>4.9037E-4</v>
      </c>
      <c r="CC114" s="411">
        <v>5.269899845123291</v>
      </c>
      <c r="CD114" s="411">
        <v>6.138734817504883</v>
      </c>
      <c r="CE114" s="411">
        <v>30.04199981689453</v>
      </c>
      <c r="CF114" s="411">
        <v>3.580934047698975</v>
      </c>
      <c r="CG114" s="411">
        <v>0.1371911466121674</v>
      </c>
      <c r="CH114" s="411">
        <v>0.2052292376756668</v>
      </c>
      <c r="CI114" s="411">
        <v>0.6428180932998657</v>
      </c>
      <c r="CJ114" s="411">
        <v>0.5907477140426636</v>
      </c>
    </row>
    <row r="115" ht="15.75" customHeight="1">
      <c r="A115" s="566">
        <v>45168.0</v>
      </c>
      <c r="B115" s="411">
        <v>11.8100004196167</v>
      </c>
      <c r="C115" s="411">
        <v>15.03999996185303</v>
      </c>
      <c r="D115" s="411">
        <v>8.600000381469727</v>
      </c>
      <c r="F115" s="411">
        <v>113.9000015258789</v>
      </c>
      <c r="G115" s="411">
        <v>37.29000091552734</v>
      </c>
      <c r="L115" s="411">
        <v>100.52</v>
      </c>
      <c r="O115" s="411">
        <v>2.24</v>
      </c>
      <c r="R115" s="411">
        <v>-53.89</v>
      </c>
      <c r="U115" s="411">
        <v>5.72</v>
      </c>
      <c r="Z115" s="411">
        <v>80.58000183105469</v>
      </c>
      <c r="AD115" s="411">
        <v>275.55</v>
      </c>
      <c r="AF115" s="411">
        <v>252.1</v>
      </c>
      <c r="AG115" s="411">
        <v>24.95000076293945</v>
      </c>
      <c r="AW115" s="411">
        <v>-931.0</v>
      </c>
      <c r="BG115" s="411">
        <v>102.0999984741211</v>
      </c>
      <c r="BL115" s="411">
        <v>5.210000038146973</v>
      </c>
      <c r="BM115" s="411">
        <v>28.63999938964844</v>
      </c>
      <c r="BN115" s="411">
        <v>-253.37</v>
      </c>
      <c r="BQ115" s="411">
        <v>151.79</v>
      </c>
      <c r="BU115" s="411">
        <v>28.75</v>
      </c>
      <c r="BY115" s="411">
        <v>73.12999725341797</v>
      </c>
      <c r="CA115" s="411">
        <v>4.85129976272583</v>
      </c>
      <c r="CB115" s="411">
        <v>4.9037E-4</v>
      </c>
      <c r="CC115" s="411">
        <v>5.280499935150146</v>
      </c>
      <c r="CD115" s="411">
        <v>6.123699188232422</v>
      </c>
      <c r="CE115" s="411">
        <v>30.07500076293945</v>
      </c>
      <c r="CF115" s="411">
        <v>3.577332019805908</v>
      </c>
      <c r="CG115" s="411">
        <v>0.1373739689588547</v>
      </c>
      <c r="CH115" s="411">
        <v>0.20613032579422</v>
      </c>
      <c r="CI115" s="411">
        <v>0.647659957408905</v>
      </c>
      <c r="CJ115" s="411">
        <v>0.5967476963996887</v>
      </c>
    </row>
    <row r="116" ht="15.75" customHeight="1">
      <c r="A116" s="566">
        <v>45169.0</v>
      </c>
      <c r="B116" s="411">
        <v>11.60999965667725</v>
      </c>
      <c r="C116" s="411">
        <v>14.48999977111816</v>
      </c>
      <c r="D116" s="411">
        <v>8.399999618530273</v>
      </c>
      <c r="F116" s="411">
        <v>112.3099975585938</v>
      </c>
      <c r="G116" s="411">
        <v>37.18000030517578</v>
      </c>
      <c r="L116" s="411">
        <v>-155.11</v>
      </c>
      <c r="O116" s="411">
        <v>-6.8</v>
      </c>
      <c r="R116" s="411">
        <v>-466.13</v>
      </c>
      <c r="U116" s="411">
        <v>-17.27</v>
      </c>
      <c r="Z116" s="411">
        <v>79.4000015258789</v>
      </c>
      <c r="AD116" s="411">
        <v>2760.75</v>
      </c>
      <c r="AF116" s="411">
        <v>4206.5</v>
      </c>
      <c r="AG116" s="411">
        <v>24.90999984741211</v>
      </c>
      <c r="AW116" s="411">
        <v>-1852.0</v>
      </c>
      <c r="BG116" s="411">
        <v>101.7099990844727</v>
      </c>
      <c r="BL116" s="411">
        <v>5.480000019073486</v>
      </c>
      <c r="BM116" s="411">
        <v>28.65999984741211</v>
      </c>
      <c r="BN116" s="411">
        <v>-871.09</v>
      </c>
      <c r="BQ116" s="411">
        <v>922.85</v>
      </c>
      <c r="BU116" s="411">
        <v>27.18000030517578</v>
      </c>
      <c r="BY116" s="411">
        <v>72.76000213623047</v>
      </c>
      <c r="CA116" s="411">
        <v>4.95359992980957</v>
      </c>
      <c r="CB116" s="411">
        <v>4.9037E-4</v>
      </c>
      <c r="CC116" s="411">
        <v>5.371099948883057</v>
      </c>
      <c r="CD116" s="411">
        <v>6.276400089263916</v>
      </c>
      <c r="CE116" s="411">
        <v>29.34900093078613</v>
      </c>
      <c r="CF116" s="411">
        <v>3.665800094604492</v>
      </c>
      <c r="CG116" s="411">
        <v>0.1377847045660019</v>
      </c>
      <c r="CH116" s="411">
        <v>0.201873391866684</v>
      </c>
      <c r="CI116" s="411">
        <v>0.6478782296180725</v>
      </c>
      <c r="CJ116" s="411">
        <v>0.5952983498573303</v>
      </c>
    </row>
    <row r="117" ht="15.75" customHeight="1">
      <c r="A117" s="566">
        <v>45170.0</v>
      </c>
      <c r="B117" s="411">
        <v>11.85999965667725</v>
      </c>
      <c r="C117" s="411">
        <v>14.93000030517578</v>
      </c>
      <c r="F117" s="411">
        <v>114.0500030517578</v>
      </c>
      <c r="G117" s="411">
        <v>38.13000106811523</v>
      </c>
      <c r="L117" s="411">
        <v>-25.85</v>
      </c>
      <c r="O117" s="411">
        <v>-0.63</v>
      </c>
      <c r="P117" s="411">
        <v>-63.9</v>
      </c>
      <c r="R117" s="411">
        <v>-35.39</v>
      </c>
      <c r="S117" s="411">
        <v>39.66</v>
      </c>
      <c r="U117" s="411">
        <v>-9.53</v>
      </c>
      <c r="Z117" s="411">
        <v>80.69000244140625</v>
      </c>
      <c r="AD117" s="411">
        <v>0.0</v>
      </c>
      <c r="AE117" s="411">
        <v>-773.75</v>
      </c>
      <c r="AF117" s="411">
        <v>-772.5</v>
      </c>
      <c r="AG117" s="411">
        <v>25.10000038146973</v>
      </c>
      <c r="AW117" s="411">
        <v>1900.0</v>
      </c>
      <c r="BG117" s="411">
        <v>102.3600006103516</v>
      </c>
      <c r="BL117" s="411">
        <v>5.75</v>
      </c>
      <c r="BM117" s="411">
        <v>28.86000061035156</v>
      </c>
      <c r="BN117" s="411">
        <v>36.63</v>
      </c>
      <c r="BQ117" s="411">
        <v>-2234.59</v>
      </c>
      <c r="BU117" s="411">
        <v>28.32999992370605</v>
      </c>
      <c r="BY117" s="411">
        <v>72.13999938964844</v>
      </c>
      <c r="CA117" s="411">
        <v>4.953800201416016</v>
      </c>
      <c r="CB117" s="411">
        <v>4.9037E-4</v>
      </c>
      <c r="CC117" s="411">
        <v>5.316999912261963</v>
      </c>
      <c r="CD117" s="411">
        <v>6.212500095367432</v>
      </c>
      <c r="CE117" s="411">
        <v>29.60300064086914</v>
      </c>
      <c r="CF117" s="411">
        <v>3.661140918731689</v>
      </c>
      <c r="CG117" s="411">
        <v>0.1377998888492584</v>
      </c>
      <c r="CH117" s="411">
        <v>0.2018652260303497</v>
      </c>
      <c r="CI117" s="411">
        <v>0.6454944014549255</v>
      </c>
      <c r="CJ117" s="411">
        <v>0.5943536162376404</v>
      </c>
    </row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2021-03-03T15:21:42Z</dcterms:created>
  <dc:creator>openpyxl</dc:creator>
</cp:coreProperties>
</file>